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PAR" sheetId="1" r:id="rId4"/>
    <sheet state="visible" name="CASPAR Data Dictionary" sheetId="2" r:id="rId5"/>
    <sheet state="visible" name="Papers to go into CASPAR" sheetId="3" r:id="rId6"/>
    <sheet state="visible" name="NEW non detections" sheetId="4" r:id="rId7"/>
    <sheet state="hidden" name="old database" sheetId="5" r:id="rId8"/>
    <sheet state="hidden" name="Literature EWs and Fluxes" sheetId="6" r:id="rId9"/>
    <sheet state="hidden" name="distances" sheetId="7" r:id="rId10"/>
    <sheet state="visible" name="Re-estimated Values" sheetId="8" r:id="rId11"/>
    <sheet state="hidden" name="New Masses" sheetId="9" r:id="rId12"/>
    <sheet state="visible" name="Re-estimation By Rows" sheetId="10" r:id="rId13"/>
  </sheets>
  <definedNames/>
  <calcPr/>
</workbook>
</file>

<file path=xl/sharedStrings.xml><?xml version="1.0" encoding="utf-8"?>
<sst xmlns="http://schemas.openxmlformats.org/spreadsheetml/2006/main" count="35847" uniqueCount="5921">
  <si>
    <t>white = object name
yellow = flags
green = common information
blue = literature accretion information
gray = EWs and line fluxes</t>
  </si>
  <si>
    <t>last major updates: 
Sarah Betti 3June21: new format in place.  all literature values updated/checked.  no re-estimated values have been added yet</t>
  </si>
  <si>
    <t>Simbad-Resolvable Name</t>
  </si>
  <si>
    <t>Reference Name</t>
  </si>
  <si>
    <t>Companion</t>
  </si>
  <si>
    <t>Separation</t>
  </si>
  <si>
    <t>Upper Limit</t>
  </si>
  <si>
    <t>Object</t>
  </si>
  <si>
    <t>RA</t>
  </si>
  <si>
    <t>Dec</t>
  </si>
  <si>
    <t>Star Forming Region</t>
  </si>
  <si>
    <t>Disk Type</t>
  </si>
  <si>
    <t xml:space="preserve">System Age </t>
  </si>
  <si>
    <t>System Age err</t>
  </si>
  <si>
    <t>Gaia DR release</t>
  </si>
  <si>
    <t>GAIA Distance</t>
  </si>
  <si>
    <t xml:space="preserve">RA proper motion </t>
  </si>
  <si>
    <t>RA proper motion err</t>
  </si>
  <si>
    <t>Dec proper motion</t>
  </si>
  <si>
    <t>Dec proper motion err</t>
  </si>
  <si>
    <t>radial velocity</t>
  </si>
  <si>
    <t>radial velocity err</t>
  </si>
  <si>
    <t>A_V</t>
  </si>
  <si>
    <t>A_V err</t>
  </si>
  <si>
    <t>A_J</t>
  </si>
  <si>
    <t>A_J err</t>
  </si>
  <si>
    <t>A_V reference</t>
  </si>
  <si>
    <t xml:space="preserve">Rmag </t>
  </si>
  <si>
    <t>Rmag err</t>
  </si>
  <si>
    <t>Jmag</t>
  </si>
  <si>
    <t>Jmag err</t>
  </si>
  <si>
    <t>Hmag</t>
  </si>
  <si>
    <t>Hmag err</t>
  </si>
  <si>
    <t>Kmag</t>
  </si>
  <si>
    <t>Kmag err</t>
  </si>
  <si>
    <t>Ha mag</t>
  </si>
  <si>
    <t>Ha mag err</t>
  </si>
  <si>
    <t>Reference</t>
  </si>
  <si>
    <t>Telescope/Instrument</t>
  </si>
  <si>
    <t>Epoch</t>
  </si>
  <si>
    <t>log g</t>
  </si>
  <si>
    <t>Distance</t>
  </si>
  <si>
    <t>Distance err</t>
  </si>
  <si>
    <t>Sp Type</t>
  </si>
  <si>
    <t>Sp Type err</t>
  </si>
  <si>
    <t>Temp</t>
  </si>
  <si>
    <t>Temp err</t>
  </si>
  <si>
    <t>Mass</t>
  </si>
  <si>
    <t>Mass err</t>
  </si>
  <si>
    <t>Luminosity</t>
  </si>
  <si>
    <t>Luminosity Err</t>
  </si>
  <si>
    <t>Radius</t>
  </si>
  <si>
    <t>Radius err</t>
  </si>
  <si>
    <t>Tracer</t>
  </si>
  <si>
    <t>Accretion Diagnostic</t>
  </si>
  <si>
    <t>Ha EW</t>
  </si>
  <si>
    <t>Ha EW err</t>
  </si>
  <si>
    <t>Ha Line Flux</t>
  </si>
  <si>
    <t>Ha Line Flux err</t>
  </si>
  <si>
    <t>Hb EW</t>
  </si>
  <si>
    <t>Hb EW err</t>
  </si>
  <si>
    <t>Hb Line Flux</t>
  </si>
  <si>
    <t>Hb Line Flux err</t>
  </si>
  <si>
    <t>Hgamma EW</t>
  </si>
  <si>
    <t>Hgamma EW err</t>
  </si>
  <si>
    <t>Hgamma Line Flux</t>
  </si>
  <si>
    <t>Hgamma Line Flux err</t>
  </si>
  <si>
    <t>Hdelta EW</t>
  </si>
  <si>
    <t>Hdelta EW err</t>
  </si>
  <si>
    <t>Hdelta Line Flux</t>
  </si>
  <si>
    <t>Hdelta Line Flux err</t>
  </si>
  <si>
    <t>Hepsilon EW</t>
  </si>
  <si>
    <t>Hepisolon EW err</t>
  </si>
  <si>
    <t>Hepsilon Line Flux</t>
  </si>
  <si>
    <t>Hepsilon Line Flux err</t>
  </si>
  <si>
    <t>H 11 337.1 EW</t>
  </si>
  <si>
    <t>H 11 337.1 EW err</t>
  </si>
  <si>
    <t>H 11 337.1 Line Flux</t>
  </si>
  <si>
    <t>H 11 337.1 Line Flux err</t>
  </si>
  <si>
    <t>PaB EW</t>
  </si>
  <si>
    <t>PaB EW err</t>
  </si>
  <si>
    <t>PaB Line Flux</t>
  </si>
  <si>
    <t>PaB Line Flux err</t>
  </si>
  <si>
    <t>PaG EW</t>
  </si>
  <si>
    <t>Pa G EW err</t>
  </si>
  <si>
    <t>PaG Line Flux</t>
  </si>
  <si>
    <t>PaG Line Flux err</t>
  </si>
  <si>
    <t>Pa delta EW</t>
  </si>
  <si>
    <t>Pa delta EW err</t>
  </si>
  <si>
    <t>Pa delta Line Flux</t>
  </si>
  <si>
    <t>Pa delta Line Flux err</t>
  </si>
  <si>
    <t>BrG EW</t>
  </si>
  <si>
    <t>BrG EW err</t>
  </si>
  <si>
    <t>BrG Line Flux</t>
  </si>
  <si>
    <t>BrG Line Flux err</t>
  </si>
  <si>
    <t>PfB EW</t>
  </si>
  <si>
    <t>PfB EW err</t>
  </si>
  <si>
    <t>PfB Line Flux</t>
  </si>
  <si>
    <t>PfB Line Flux err</t>
  </si>
  <si>
    <t>HeI 587.6 EW</t>
  </si>
  <si>
    <t>HeI 587.6 EW err</t>
  </si>
  <si>
    <t>He I 587.6 Line Flux</t>
  </si>
  <si>
    <t>He I 587.6 Line Flux err</t>
  </si>
  <si>
    <t>HeI 667.8 EW</t>
  </si>
  <si>
    <t>HeI 667.8 EW err</t>
  </si>
  <si>
    <t>HeI 667.8 Line Flux</t>
  </si>
  <si>
    <t>HeI 667.8 Line Flux err</t>
  </si>
  <si>
    <t>HeI 706.5 EW</t>
  </si>
  <si>
    <t>HeI 706.5EW err</t>
  </si>
  <si>
    <t>HeI 706.5 Line Flux</t>
  </si>
  <si>
    <t>HeI 706.5 Line Flux err</t>
  </si>
  <si>
    <t>CaII K 393.4 EW</t>
  </si>
  <si>
    <t>CaII K 393.4 EW err</t>
  </si>
  <si>
    <t>CaII K 393.4 Line Flux</t>
  </si>
  <si>
    <t>CaII K 393.4 Line Flux err</t>
  </si>
  <si>
    <t>CaII H 396.9 EW</t>
  </si>
  <si>
    <t>CaII H 396.9 Line Flux</t>
  </si>
  <si>
    <t>CaII H 396.9 Line Flux err</t>
  </si>
  <si>
    <t>CaII 866.2 EW</t>
  </si>
  <si>
    <t>CaII 866.2 EW err</t>
  </si>
  <si>
    <t>CaII 866.2 Line Flux</t>
  </si>
  <si>
    <t>CaII 866.2 Line FLux</t>
  </si>
  <si>
    <t>Li 6708 EW</t>
  </si>
  <si>
    <t>OI 844.6 EW</t>
  </si>
  <si>
    <t>OI 844.6 EW err</t>
  </si>
  <si>
    <t>OI 844.6 Line Flux</t>
  </si>
  <si>
    <t>OI 844.6 Line Flux err</t>
  </si>
  <si>
    <t>Log Accretion Luminosity</t>
  </si>
  <si>
    <t>Log Accretion Luminosity err</t>
  </si>
  <si>
    <t>Accretion Rate</t>
  </si>
  <si>
    <t>Accretion Rate err</t>
  </si>
  <si>
    <t>Scaling Relation</t>
  </si>
  <si>
    <t>Evolutionary Models</t>
  </si>
  <si>
    <t>Notes</t>
  </si>
  <si>
    <t>UNITS or flag</t>
  </si>
  <si>
    <t xml:space="preserve">COM </t>
  </si>
  <si>
    <t>arcseconds</t>
  </si>
  <si>
    <t>UPP</t>
  </si>
  <si>
    <t>S/BD/P</t>
  </si>
  <si>
    <t>deg</t>
  </si>
  <si>
    <t>Myr</t>
  </si>
  <si>
    <t>pc</t>
  </si>
  <si>
    <t>mas /yr</t>
  </si>
  <si>
    <t>mas/yr</t>
  </si>
  <si>
    <t>km/s</t>
  </si>
  <si>
    <t>mag</t>
  </si>
  <si>
    <t>K</t>
  </si>
  <si>
    <t>Msun</t>
  </si>
  <si>
    <t>Lsun</t>
  </si>
  <si>
    <t>Rsun</t>
  </si>
  <si>
    <t>A</t>
  </si>
  <si>
    <t>erg/s*cm^2</t>
  </si>
  <si>
    <t>log(erg s^-1 cm^-2)</t>
  </si>
  <si>
    <t>Msun/yr</t>
  </si>
  <si>
    <t>2MASS J16264848-2428389</t>
  </si>
  <si>
    <t>ISO-Oph 070</t>
  </si>
  <si>
    <t>COM</t>
  </si>
  <si>
    <t>P</t>
  </si>
  <si>
    <t>p Oph</t>
  </si>
  <si>
    <t>III</t>
  </si>
  <si>
    <t>Natta 2006</t>
  </si>
  <si>
    <t>NNT/SofI</t>
  </si>
  <si>
    <t>Line Strength</t>
  </si>
  <si>
    <t>BrG line luminosity</t>
  </si>
  <si>
    <t>&lt;-1.2</t>
  </si>
  <si>
    <t>Natta 2004, Calvet 2004</t>
  </si>
  <si>
    <t>D'Antona 1998</t>
  </si>
  <si>
    <t>ISO-Oph 157</t>
  </si>
  <si>
    <t>S</t>
  </si>
  <si>
    <t>II</t>
  </si>
  <si>
    <t>&lt;-1.0</t>
  </si>
  <si>
    <t>ISO-Oph 179</t>
  </si>
  <si>
    <t>&lt;-0.7</t>
  </si>
  <si>
    <t>ISO-Oph 139</t>
  </si>
  <si>
    <t>&lt;-2.8</t>
  </si>
  <si>
    <t>ISO-Oph 075</t>
  </si>
  <si>
    <t>&lt;-3.9</t>
  </si>
  <si>
    <t>ISO-Oph 047</t>
  </si>
  <si>
    <t>ISO-Oph 059</t>
  </si>
  <si>
    <t>&lt;-0.6</t>
  </si>
  <si>
    <t>ISO-Oph 076</t>
  </si>
  <si>
    <t>&lt;-3.0</t>
  </si>
  <si>
    <t>ISO-Oph 161</t>
  </si>
  <si>
    <t>&lt;-0.8</t>
  </si>
  <si>
    <t>ISO-Oph 108</t>
  </si>
  <si>
    <t>NAME SR 12C</t>
  </si>
  <si>
    <t>SR12 c</t>
  </si>
  <si>
    <t>BD</t>
  </si>
  <si>
    <t>SR12</t>
  </si>
  <si>
    <t>U</t>
  </si>
  <si>
    <t>Kuzuhara+2011, converted from A_J</t>
  </si>
  <si>
    <t>Santamaria-Miranda 2018/2019</t>
  </si>
  <si>
    <t>VLT/X-shooter</t>
  </si>
  <si>
    <t>L0</t>
  </si>
  <si>
    <t>Ca II line flux</t>
  </si>
  <si>
    <t>Comeron 2003</t>
  </si>
  <si>
    <t>Corrections published in 2019 Erratum paper</t>
  </si>
  <si>
    <t>2MASS J04272799+2612052</t>
  </si>
  <si>
    <t>KPNO Tau 4</t>
  </si>
  <si>
    <t>Taurus</t>
  </si>
  <si>
    <t>Zhang 2018</t>
  </si>
  <si>
    <t>Mohanty 2005</t>
  </si>
  <si>
    <t>Keck I/HIRES</t>
  </si>
  <si>
    <t>2002/2003</t>
  </si>
  <si>
    <t>M9.5</t>
  </si>
  <si>
    <t>Allard 2001, Baraffe 1998</t>
  </si>
  <si>
    <t>disk classification from LUHMAN ET AL. JAN 2010 Accretion rate equation 3</t>
  </si>
  <si>
    <t>disk classification from LUHMAN ET AL. JAN 2010 Accretion rate equation 1</t>
  </si>
  <si>
    <t>2MASS J04190126+2802487</t>
  </si>
  <si>
    <t>KPNO Tau 12</t>
  </si>
  <si>
    <t>M9.0</t>
  </si>
  <si>
    <t>2MASS J04300724+2608207</t>
  </si>
  <si>
    <t>KPNO Tau 6</t>
  </si>
  <si>
    <t>M8.5</t>
  </si>
  <si>
    <t>ISO-Oph 033</t>
  </si>
  <si>
    <t>Comeron 2010</t>
  </si>
  <si>
    <t>VLT/FORS1</t>
  </si>
  <si>
    <t>M6.5</t>
  </si>
  <si>
    <t>Allard 2001</t>
  </si>
  <si>
    <t>2MASS J04305718+2556394</t>
  </si>
  <si>
    <t>KPNO Tau 7</t>
  </si>
  <si>
    <t>M8.25</t>
  </si>
  <si>
    <t>2MASS J12073346-3932539</t>
  </si>
  <si>
    <t>2MASS 1207-3932</t>
  </si>
  <si>
    <t>TW HyA</t>
  </si>
  <si>
    <t>Herczeg 2008</t>
  </si>
  <si>
    <t>Magellan II/MIKE</t>
  </si>
  <si>
    <t>M8.0</t>
  </si>
  <si>
    <t>Accretion rate equation 3</t>
  </si>
  <si>
    <t>Accretion rate equation 1</t>
  </si>
  <si>
    <t>DENIS J160603.9-205644</t>
  </si>
  <si>
    <t>USco DENIS 160603</t>
  </si>
  <si>
    <t>M7.5</t>
  </si>
  <si>
    <t>Cl* IC 348 LRL 291</t>
  </si>
  <si>
    <t>IC348 291</t>
  </si>
  <si>
    <t>IC348</t>
  </si>
  <si>
    <t>Flaherty 2013</t>
  </si>
  <si>
    <t>M7.25</t>
  </si>
  <si>
    <t>2MASS J04394748+2601407</t>
  </si>
  <si>
    <t>CFHT-BD-Tau 4</t>
  </si>
  <si>
    <t>M7.0</t>
  </si>
  <si>
    <t>2MASS J16273863-2438391</t>
  </si>
  <si>
    <t>GY 310</t>
  </si>
  <si>
    <t>Natta 2002</t>
  </si>
  <si>
    <t>disk classification from Luhman 1999 Accretion rate equation 3</t>
  </si>
  <si>
    <t>disk classification from Luhman 1999 Accretion rate equation 1</t>
  </si>
  <si>
    <t>Cl* IC 348 LRL 415</t>
  </si>
  <si>
    <t>IC348 415</t>
  </si>
  <si>
    <t>Muzerolle 2003</t>
  </si>
  <si>
    <t>disk classification from Ruiz-Rodrigues 2018 Accretion rate equation 3</t>
  </si>
  <si>
    <t>disk classification from Ruiz-Rodrigues 2018 Accretion rate equation 1</t>
  </si>
  <si>
    <t>2MASS J04262939+2624137</t>
  </si>
  <si>
    <t>KPNO Tau 3</t>
  </si>
  <si>
    <t>M6.0</t>
  </si>
  <si>
    <t>2MASS J19013357-3700304</t>
  </si>
  <si>
    <t>LS-RCrA 1</t>
  </si>
  <si>
    <t>R Coronae Australis</t>
  </si>
  <si>
    <t>I</t>
  </si>
  <si>
    <t>SED class from Fernadez and Comeron 2001 Accretion rate equation 3</t>
  </si>
  <si>
    <t>SED class from Fernadez and Comeron 2001 Accretion rate equation 1</t>
  </si>
  <si>
    <t>MHO 5</t>
  </si>
  <si>
    <t>2MASS J03442980+3200545</t>
  </si>
  <si>
    <t>IC348 205</t>
  </si>
  <si>
    <t>Cl* IC 348 LRL 382</t>
  </si>
  <si>
    <t>M5.5</t>
  </si>
  <si>
    <t>y</t>
  </si>
  <si>
    <t>[NC98] Cha HA 6</t>
  </si>
  <si>
    <t>Cha Ha 6</t>
  </si>
  <si>
    <t>Chamaeleon I</t>
  </si>
  <si>
    <t>Natta 2004</t>
  </si>
  <si>
    <t>M5.75</t>
  </si>
  <si>
    <t>from fit to only low mass accretors</t>
  </si>
  <si>
    <t>from fit to higher mass CTTS and low mass accretors</t>
  </si>
  <si>
    <t>2MASS J16262152-2426009</t>
  </si>
  <si>
    <t>GY 5</t>
  </si>
  <si>
    <t>disk classification from Luhman 1999. Accretion rate equation 3</t>
  </si>
  <si>
    <t>disk classification from Luhman 1999. Accretion rate equation 1</t>
  </si>
  <si>
    <t>2MASS J03435526+3207533</t>
  </si>
  <si>
    <t>IC348 256</t>
  </si>
  <si>
    <t>2MASS J04183030+2743208</t>
  </si>
  <si>
    <t>KPNO Tau 11</t>
  </si>
  <si>
    <t>[NC98] Cha HA 2</t>
  </si>
  <si>
    <t>Cha Ha 2</t>
  </si>
  <si>
    <t>M5.25</t>
  </si>
  <si>
    <t>Mdot calculated from fit</t>
  </si>
  <si>
    <t>Cl* IC 348 LRL 165</t>
  </si>
  <si>
    <t>2MASS J04174955+2813318</t>
  </si>
  <si>
    <t>KPNO Tau 10</t>
  </si>
  <si>
    <t>M5.0</t>
  </si>
  <si>
    <t>V* DH Tau B</t>
  </si>
  <si>
    <t>DH Tau b</t>
  </si>
  <si>
    <t>Zhou 2014</t>
  </si>
  <si>
    <t>HST/WFC3</t>
  </si>
  <si>
    <t>Excess</t>
  </si>
  <si>
    <t>Excess Balmer</t>
  </si>
  <si>
    <t>Valenti 1993</t>
  </si>
  <si>
    <t>Bowler 2011</t>
  </si>
  <si>
    <t>T R M from previous literature</t>
  </si>
  <si>
    <t>T R M from Zhou</t>
  </si>
  <si>
    <t>NAME GSC 06214-00210B</t>
  </si>
  <si>
    <t>GSC 6214-210 b</t>
  </si>
  <si>
    <t>Upper Sco OB Association</t>
  </si>
  <si>
    <t>Bowler+2014</t>
  </si>
  <si>
    <t>NAME Oph 11B</t>
  </si>
  <si>
    <t>Oph J162225-240515B</t>
  </si>
  <si>
    <t>Upper Scorpio</t>
  </si>
  <si>
    <t>Herczeg 2009</t>
  </si>
  <si>
    <t>Keck I/LRIS</t>
  </si>
  <si>
    <t>M8.75</t>
  </si>
  <si>
    <t>&lt;40</t>
  </si>
  <si>
    <t>&lt;5.01E-17</t>
  </si>
  <si>
    <t>&lt;5</t>
  </si>
  <si>
    <t>&lt;1E-17</t>
  </si>
  <si>
    <t>GQ Lup b</t>
  </si>
  <si>
    <t>Lupus</t>
  </si>
  <si>
    <t>Herczeg 2014</t>
  </si>
  <si>
    <t>L1</t>
  </si>
  <si>
    <t>T R M from previous literature; NOT IN SIMBAD</t>
  </si>
  <si>
    <t>M8</t>
  </si>
  <si>
    <t>&lt;0.9</t>
  </si>
  <si>
    <t>uncertainty in Mdot = 0.6 dex</t>
  </si>
  <si>
    <t>&lt;0.8</t>
  </si>
  <si>
    <t>2MASS J11020983-3430355</t>
  </si>
  <si>
    <t>SSSPM J1102-3431</t>
  </si>
  <si>
    <t>2MASS J16072382-2211018</t>
  </si>
  <si>
    <t>USco J160723.82-221102.0</t>
  </si>
  <si>
    <t>&lt;0.6</t>
  </si>
  <si>
    <t>&lt;0.4</t>
  </si>
  <si>
    <t>&lt;1.26E-17</t>
  </si>
  <si>
    <t>T R M from Zhou; NOT IN SIMBAD</t>
  </si>
  <si>
    <t>2MASS J16060374-2219298</t>
  </si>
  <si>
    <t>Usco J160603.75-221930.0</t>
  </si>
  <si>
    <t>2MASSW J1207334-393254</t>
  </si>
  <si>
    <t>2MASS J04414825+2534304</t>
  </si>
  <si>
    <t>M7.75</t>
  </si>
  <si>
    <t>2MASS J04442713+2512164</t>
  </si>
  <si>
    <t>2MASS J04390396+2544264</t>
  </si>
  <si>
    <t>DENIS-P J160603.9-205644</t>
  </si>
  <si>
    <t>NAME Oph 11A</t>
  </si>
  <si>
    <t>Oph J162225-240515A</t>
  </si>
  <si>
    <t>&lt;3.8</t>
  </si>
  <si>
    <t>&lt;2E-17</t>
  </si>
  <si>
    <t>&lt;1.3</t>
  </si>
  <si>
    <t>2MASS J15591135-2338002</t>
  </si>
  <si>
    <t>UScoCTIO 128</t>
  </si>
  <si>
    <t>M7</t>
  </si>
  <si>
    <t>2MASS J04141188+2811535</t>
  </si>
  <si>
    <t>2M 0414+2811</t>
  </si>
  <si>
    <t>V* V2728 Ori</t>
  </si>
  <si>
    <t>SO500</t>
  </si>
  <si>
    <t>σ Ori</t>
  </si>
  <si>
    <t>McMahon2020</t>
  </si>
  <si>
    <t>Rigliaco 2012</t>
  </si>
  <si>
    <t>M6</t>
  </si>
  <si>
    <t>Baraffe 1998</t>
  </si>
  <si>
    <t>also has accretion luminosity for multiple NIR lines</t>
  </si>
  <si>
    <t>UScoCTIO 112</t>
  </si>
  <si>
    <t>&lt;1.1</t>
  </si>
  <si>
    <t>&lt;6.31E-17</t>
  </si>
  <si>
    <t>&lt;0.2</t>
  </si>
  <si>
    <t>&lt;2.51E-17</t>
  </si>
  <si>
    <t>2MASS J04321606+1812464</t>
  </si>
  <si>
    <t>&lt;0.25*</t>
  </si>
  <si>
    <t>&lt;0.16*</t>
  </si>
  <si>
    <t>&lt;0.7</t>
  </si>
  <si>
    <t xml:space="preserve">[BLH2002] KPNO-Tau 11 </t>
  </si>
  <si>
    <t>KPNO 11</t>
  </si>
  <si>
    <t>2MASS J05180285+2327127</t>
  </si>
  <si>
    <t>S0518+2327</t>
  </si>
  <si>
    <t>2MASS J04362151+2351165</t>
  </si>
  <si>
    <t>2M 0436+2351</t>
  </si>
  <si>
    <t>M5</t>
  </si>
  <si>
    <t>Haro 6-36</t>
  </si>
  <si>
    <t>CIDA 14</t>
  </si>
  <si>
    <t>&lt;0.07</t>
  </si>
  <si>
    <t>&lt;0.1</t>
  </si>
  <si>
    <t>&lt;0.10</t>
  </si>
  <si>
    <t>V* V2726 Ori</t>
  </si>
  <si>
    <t>SO490</t>
  </si>
  <si>
    <t>&lt;-0.08</t>
  </si>
  <si>
    <t>&lt;8.0e-17</t>
  </si>
  <si>
    <t>EM* LkHA  331</t>
  </si>
  <si>
    <t>V927 Tau</t>
  </si>
  <si>
    <t>&lt;0.13</t>
  </si>
  <si>
    <t>2MASS J04141760+2806096</t>
  </si>
  <si>
    <t>CIDA 1</t>
  </si>
  <si>
    <t>V* GM Tau</t>
  </si>
  <si>
    <t>GM Tau</t>
  </si>
  <si>
    <t>2MASS J04390163+2336029</t>
  </si>
  <si>
    <t>S0439+2336</t>
  </si>
  <si>
    <t>&lt;0.09</t>
  </si>
  <si>
    <t>2MASS J04322210+1827426</t>
  </si>
  <si>
    <t>MHO 6</t>
  </si>
  <si>
    <t>2MASS J05390193-0235029</t>
  </si>
  <si>
    <t>SO848</t>
  </si>
  <si>
    <t>M4</t>
  </si>
  <si>
    <t>2MASS J04554757+3028077</t>
  </si>
  <si>
    <t>2M 0455+3028</t>
  </si>
  <si>
    <t>M4.75</t>
  </si>
  <si>
    <t>&lt;0.3</t>
  </si>
  <si>
    <t>[W96] rJ053833-0236</t>
  </si>
  <si>
    <t>SO587</t>
  </si>
  <si>
    <t>M4.5</t>
  </si>
  <si>
    <t>&lt;-0.03</t>
  </si>
  <si>
    <t>&lt;3.0e-16</t>
  </si>
  <si>
    <t>2MASS J05381319-0226088</t>
  </si>
  <si>
    <t>SO397</t>
  </si>
  <si>
    <t>2MASS J05395421-0227326</t>
  </si>
  <si>
    <t>SO1266</t>
  </si>
  <si>
    <t>–</t>
  </si>
  <si>
    <t>&lt;-0.13</t>
  </si>
  <si>
    <t>&lt;1.4e-16</t>
  </si>
  <si>
    <t>DE Tau</t>
  </si>
  <si>
    <t>Gullbring 1998</t>
  </si>
  <si>
    <t>MMT</t>
  </si>
  <si>
    <t>M2</t>
  </si>
  <si>
    <t>Haro 5-32</t>
  </si>
  <si>
    <t>SO1260</t>
  </si>
  <si>
    <t>DF Tau</t>
  </si>
  <si>
    <t>M1</t>
  </si>
  <si>
    <t>TWA 3B</t>
  </si>
  <si>
    <t>Hen3-600B</t>
  </si>
  <si>
    <t>M3.5</t>
  </si>
  <si>
    <t>&lt;2E-14</t>
  </si>
  <si>
    <t>2MASS J05383902-0245321</t>
  </si>
  <si>
    <t>SO646</t>
  </si>
  <si>
    <t>DO Tau</t>
  </si>
  <si>
    <t>M0</t>
  </si>
  <si>
    <t>TWA 3A</t>
  </si>
  <si>
    <t>Hen3-600A</t>
  </si>
  <si>
    <t>M3</t>
  </si>
  <si>
    <t>DN Tau</t>
  </si>
  <si>
    <t>V* UY Aur</t>
  </si>
  <si>
    <t>UY Aur</t>
  </si>
  <si>
    <t>K7</t>
  </si>
  <si>
    <t>CY Tau</t>
  </si>
  <si>
    <t>DK Tau</t>
  </si>
  <si>
    <t>DQ Tau</t>
  </si>
  <si>
    <t>2MASS J04323034+1731406</t>
  </si>
  <si>
    <t>GG Tau</t>
  </si>
  <si>
    <t>2MASS J04333456+2421058</t>
  </si>
  <si>
    <t>GK Tau</t>
  </si>
  <si>
    <t>V* BP Tau</t>
  </si>
  <si>
    <t>BP Tau</t>
  </si>
  <si>
    <t>IP Tau</t>
  </si>
  <si>
    <t>2MASS J04551098+3021595</t>
  </si>
  <si>
    <t>GM Aur</t>
  </si>
  <si>
    <t>V* AA Tau</t>
  </si>
  <si>
    <t>AA Tau</t>
  </si>
  <si>
    <t>V* DF Tau</t>
  </si>
  <si>
    <t>HST/STIS G430L</t>
  </si>
  <si>
    <t>2MASS J04333405+2421170</t>
  </si>
  <si>
    <t>GI Tau</t>
  </si>
  <si>
    <t>K6</t>
  </si>
  <si>
    <t>V* TW Hya</t>
  </si>
  <si>
    <t>TW Hya</t>
  </si>
  <si>
    <t>NAME TW Hya b</t>
  </si>
  <si>
    <t>2MASS J04333935+1751523</t>
  </si>
  <si>
    <t>HN Tau</t>
  </si>
  <si>
    <t>K5</t>
  </si>
  <si>
    <t>V* DG Tau</t>
  </si>
  <si>
    <t>DG Tau</t>
  </si>
  <si>
    <t>DS Tau</t>
  </si>
  <si>
    <t>V* V836 Tau</t>
  </si>
  <si>
    <t>V836 Tau</t>
  </si>
  <si>
    <t>V* RU Lup</t>
  </si>
  <si>
    <t>RU Lupi</t>
  </si>
  <si>
    <t>[BLH2002] KPNO-Tau 4</t>
  </si>
  <si>
    <t>KPNO 4</t>
  </si>
  <si>
    <t>Kraus 2006</t>
  </si>
  <si>
    <t>Excess V band</t>
  </si>
  <si>
    <t>[BLH2002] KPNO-Tau 12</t>
  </si>
  <si>
    <t>KPNO 12</t>
  </si>
  <si>
    <t>[BLH2002] KPNO-Tau 6</t>
  </si>
  <si>
    <t>KPNO 6</t>
  </si>
  <si>
    <t>2MASS J16085953-3856275</t>
  </si>
  <si>
    <t>Alcala 2017</t>
  </si>
  <si>
    <t>2015/2016</t>
  </si>
  <si>
    <t>H He Ca Na O luminosity</t>
  </si>
  <si>
    <t>Barraffe+2015</t>
  </si>
  <si>
    <t>2MASS J16083733-3923109</t>
  </si>
  <si>
    <t>Lup706</t>
  </si>
  <si>
    <t>2MASS J15414081-3345188</t>
  </si>
  <si>
    <t>AKC2006-18</t>
  </si>
  <si>
    <t>2MASS J16095628-3859518</t>
  </si>
  <si>
    <t>Lup818s</t>
  </si>
  <si>
    <t>Siess+2000</t>
  </si>
  <si>
    <t>SSTc2dJ154518.5-342125</t>
  </si>
  <si>
    <t>2MASS J16085529-3848481</t>
  </si>
  <si>
    <t>SSTc2dJ161019.8-383607</t>
  </si>
  <si>
    <t>[LEM2005] Lup 607</t>
  </si>
  <si>
    <t>Lup607</t>
  </si>
  <si>
    <t>Marked as UL in table A.3</t>
  </si>
  <si>
    <t>2MASS J16085373-3914367</t>
  </si>
  <si>
    <t>2MASS J16081497-3857145</t>
  </si>
  <si>
    <t>2MASS J16073773-3921388</t>
  </si>
  <si>
    <t>Lup713</t>
  </si>
  <si>
    <t>2MASS J15445789-3423392</t>
  </si>
  <si>
    <t>AKC2006-19</t>
  </si>
  <si>
    <t>SSTc2dJ155925.2-423507</t>
  </si>
  <si>
    <t>[LEM2005] Lup 604s</t>
  </si>
  <si>
    <t>Lup604s</t>
  </si>
  <si>
    <t>SSTc2dJ160026.1-415356</t>
  </si>
  <si>
    <t>2MASS J15450887-3417333</t>
  </si>
  <si>
    <t>SSTc2dJ154508.9-341734</t>
  </si>
  <si>
    <t>2MASS J16100133-3906449</t>
  </si>
  <si>
    <t>2MASS J16115979-3823383</t>
  </si>
  <si>
    <t>SST-Lup3-1</t>
  </si>
  <si>
    <t>SSTc2dJ161018.6-383613</t>
  </si>
  <si>
    <t>NAME THA 15-10B</t>
  </si>
  <si>
    <t>Sz81B (NE)</t>
  </si>
  <si>
    <t>THA 15-35</t>
  </si>
  <si>
    <t>Par-Lup3-4</t>
  </si>
  <si>
    <t>SSTc2dJ161344.1-373646</t>
  </si>
  <si>
    <t>SSTc2dJ160703.9-391112</t>
  </si>
  <si>
    <t>EV</t>
  </si>
  <si>
    <t>Sz84</t>
  </si>
  <si>
    <t>Sz 100</t>
  </si>
  <si>
    <t>Sz100</t>
  </si>
  <si>
    <t>Sz 104</t>
  </si>
  <si>
    <t>Sz104</t>
  </si>
  <si>
    <t>Sz69</t>
  </si>
  <si>
    <t>SSTc2dJ160000.6-422158</t>
  </si>
  <si>
    <t>Sz113</t>
  </si>
  <si>
    <t>NAME Sz 108B</t>
  </si>
  <si>
    <t>Sz108B</t>
  </si>
  <si>
    <t>Sz112</t>
  </si>
  <si>
    <t>SSTc2dJ160927.0-383628</t>
  </si>
  <si>
    <t>V* HO Lup B</t>
  </si>
  <si>
    <t>Sz88B</t>
  </si>
  <si>
    <t>Sz115</t>
  </si>
  <si>
    <t>Sz99</t>
  </si>
  <si>
    <t>SSTc2dJ161029.6-392215</t>
  </si>
  <si>
    <t>Sz114</t>
  </si>
  <si>
    <t>M4.8</t>
  </si>
  <si>
    <t>NAME THA 15-10A</t>
  </si>
  <si>
    <t>Sz81A (SW)</t>
  </si>
  <si>
    <t>SSTc2dJ160002.4-422216</t>
  </si>
  <si>
    <t>2MASS J16090141-3925119</t>
  </si>
  <si>
    <t>SSTc2d160901.4-392512</t>
  </si>
  <si>
    <t>Sz76</t>
  </si>
  <si>
    <t>Sz97</t>
  </si>
  <si>
    <t>Sz 103</t>
  </si>
  <si>
    <t>Sz103</t>
  </si>
  <si>
    <t>Sz110</t>
  </si>
  <si>
    <t>IRAS 16054-3857</t>
  </si>
  <si>
    <t>Par-Lup3-3</t>
  </si>
  <si>
    <t>Sz74</t>
  </si>
  <si>
    <t>Sz117</t>
  </si>
  <si>
    <t>Sz131</t>
  </si>
  <si>
    <t>Sz66</t>
  </si>
  <si>
    <t>2MASS J16085324-3914401</t>
  </si>
  <si>
    <t>Sz95</t>
  </si>
  <si>
    <t>NAME THA 15-42B</t>
  </si>
  <si>
    <t>Sz123B</t>
  </si>
  <si>
    <t>Sz130</t>
  </si>
  <si>
    <t>Sz72</t>
  </si>
  <si>
    <t>Sz71</t>
  </si>
  <si>
    <t>M1.5</t>
  </si>
  <si>
    <t>Sz96</t>
  </si>
  <si>
    <t>RXJ1556.1-3655</t>
  </si>
  <si>
    <t>Sz111</t>
  </si>
  <si>
    <t>THA 15-42</t>
  </si>
  <si>
    <t>Sz123A</t>
  </si>
  <si>
    <t>SSTc2dJ160836.2-392302</t>
  </si>
  <si>
    <t>SSTc2dJ161243.8-381503</t>
  </si>
  <si>
    <t>Sz91</t>
  </si>
  <si>
    <t>CD-35 10525</t>
  </si>
  <si>
    <t>Sz75/GQ Lup</t>
  </si>
  <si>
    <t>Sz 106</t>
  </si>
  <si>
    <t>Sz106</t>
  </si>
  <si>
    <t>M0.5</t>
  </si>
  <si>
    <t>2MASS J16030548-4018254</t>
  </si>
  <si>
    <t>EX Lup</t>
  </si>
  <si>
    <t>V* HO Lup A</t>
  </si>
  <si>
    <t>Sz88A</t>
  </si>
  <si>
    <t>Sz98</t>
  </si>
  <si>
    <t>Sz83</t>
  </si>
  <si>
    <t>Sz65</t>
  </si>
  <si>
    <t>Sz77</t>
  </si>
  <si>
    <t>Sz90</t>
  </si>
  <si>
    <t>Sz129</t>
  </si>
  <si>
    <t>Sz73</t>
  </si>
  <si>
    <t>MY Lup</t>
  </si>
  <si>
    <t>K0</t>
  </si>
  <si>
    <t>Sz118</t>
  </si>
  <si>
    <t>THA 15-12</t>
  </si>
  <si>
    <t>Sz82/IM Lup</t>
  </si>
  <si>
    <t>RY Lup</t>
  </si>
  <si>
    <t>K2</t>
  </si>
  <si>
    <t>SSTc2dJ160830.7-382827</t>
  </si>
  <si>
    <t>Sz68</t>
  </si>
  <si>
    <t>PDS 70 c</t>
  </si>
  <si>
    <t>Centaurus</t>
  </si>
  <si>
    <t>Haffert 2019</t>
  </si>
  <si>
    <t>VLT/MUSE</t>
  </si>
  <si>
    <t>Line Width</t>
  </si>
  <si>
    <t>Ha 10% width</t>
  </si>
  <si>
    <t>Muzerolle 2005</t>
  </si>
  <si>
    <t>disk classification from LUHMAN ET AL. JAN 2010</t>
  </si>
  <si>
    <t>PDS 70 b</t>
  </si>
  <si>
    <t>SCR J0103-5515C</t>
  </si>
  <si>
    <t>Delorme 1 (AB)b</t>
  </si>
  <si>
    <t>TucanaHorologium</t>
  </si>
  <si>
    <t>Schlafly 2011</t>
  </si>
  <si>
    <t>Eriksson 2020</t>
  </si>
  <si>
    <t>2MASS J16060629-2335133</t>
  </si>
  <si>
    <t>USCo 1606-2335</t>
  </si>
  <si>
    <t>Upper Scorpius</t>
  </si>
  <si>
    <t>Petrus 2020</t>
  </si>
  <si>
    <t>VLT/X-Shooter</t>
  </si>
  <si>
    <t>&lt;3.2E-17</t>
  </si>
  <si>
    <t>&lt;0.09e-16</t>
  </si>
  <si>
    <t>2MASS J16082847-2315103</t>
  </si>
  <si>
    <t>USCO J1608-2315</t>
  </si>
  <si>
    <t>M11</t>
  </si>
  <si>
    <t>&lt;0.25e-16</t>
  </si>
  <si>
    <t>&lt;0.11e-16</t>
  </si>
  <si>
    <t>&lt;0.29e-16</t>
  </si>
  <si>
    <t>EPIC 205137295</t>
  </si>
  <si>
    <t>USco 1610-1913B</t>
  </si>
  <si>
    <t>M9</t>
  </si>
  <si>
    <t>USCO J1607-2211</t>
  </si>
  <si>
    <t>&lt;0.23e-16</t>
  </si>
  <si>
    <t>&lt;0.2e-16</t>
  </si>
  <si>
    <t>&lt;0.15e-16</t>
  </si>
  <si>
    <t>&lt;0.17e-16</t>
  </si>
  <si>
    <t>CHSM 17173</t>
  </si>
  <si>
    <t>Luhman+2007 , converted from A_j</t>
  </si>
  <si>
    <t>disk classification from Luhman et al. 2008</t>
  </si>
  <si>
    <t>[NC98] Cha HA 1</t>
  </si>
  <si>
    <t>Cha Ha 1</t>
  </si>
  <si>
    <t>[NC98] Cha HA 7</t>
  </si>
  <si>
    <t>Cha Ha 7</t>
  </si>
  <si>
    <t>2MASS J04363893+2258119</t>
  </si>
  <si>
    <t>CFHT 3</t>
  </si>
  <si>
    <t>ISO-Oph 032</t>
  </si>
  <si>
    <t>VLT/UVES</t>
  </si>
  <si>
    <t>Mdot, not EW, marked as UL</t>
  </si>
  <si>
    <t>2MASS J04294568+2630468</t>
  </si>
  <si>
    <t>KPNO Tau 5</t>
  </si>
  <si>
    <t>Keck II/ESI</t>
  </si>
  <si>
    <t>M6.25</t>
  </si>
  <si>
    <t>Muzerolle 2001</t>
  </si>
  <si>
    <t>disk classification from Ruiz-Rodrigues 2018</t>
  </si>
  <si>
    <t>IC348 382</t>
  </si>
  <si>
    <t>-0.3:</t>
  </si>
  <si>
    <t>2MASS J15383166-1038507</t>
  </si>
  <si>
    <t>DENIS-P J1538317−103850</t>
  </si>
  <si>
    <t>Nguyen-Thanh 2020</t>
  </si>
  <si>
    <t>ANU/WiFeS</t>
  </si>
  <si>
    <t>Allard 2013</t>
  </si>
  <si>
    <t>2MASS J04185115+2814332</t>
  </si>
  <si>
    <t>KPNO Tau 2</t>
  </si>
  <si>
    <t>2MASS J11011926-7732383</t>
  </si>
  <si>
    <t>[NC98] Cha HA 11</t>
  </si>
  <si>
    <t>Cha Ha 11</t>
  </si>
  <si>
    <t>[NC98] Cha HA 3</t>
  </si>
  <si>
    <t>Cha Ha 3</t>
  </si>
  <si>
    <t>ISO-Oph 102</t>
  </si>
  <si>
    <t>NaN</t>
  </si>
  <si>
    <t>ISO-Oph 030</t>
  </si>
  <si>
    <t>CFHT 4</t>
  </si>
  <si>
    <t>ISO-Oph 138</t>
  </si>
  <si>
    <t>Natta+2006, converted from A_j</t>
  </si>
  <si>
    <t>2MASS J11070324-7610565</t>
  </si>
  <si>
    <t>CHSM 7869</t>
  </si>
  <si>
    <t>[NC98] Cha HA 10</t>
  </si>
  <si>
    <t>Cha Ha 10</t>
  </si>
  <si>
    <t>2MASS J04381486+2611399</t>
  </si>
  <si>
    <t>[NC98] Cha HA 12</t>
  </si>
  <si>
    <t>Cha Ha 12</t>
  </si>
  <si>
    <t>Luhman2007 , converted from A_j</t>
  </si>
  <si>
    <t>2MASS J04554801+3028050</t>
  </si>
  <si>
    <t>M5.6</t>
  </si>
  <si>
    <t>2MASS J11080234-7640343</t>
  </si>
  <si>
    <t>Chameleon I</t>
  </si>
  <si>
    <t>Luhman+2007 , A_j</t>
  </si>
  <si>
    <t>2MASS J04181710+2828419</t>
  </si>
  <si>
    <t>V410 Anon 13</t>
  </si>
  <si>
    <t>&lt;-0.1</t>
  </si>
  <si>
    <t>2MASS J11173792-7646193</t>
  </si>
  <si>
    <t>2MASS J11095215-7639128</t>
  </si>
  <si>
    <t>ISO-ChaI 217</t>
  </si>
  <si>
    <t>Fang 2017</t>
  </si>
  <si>
    <t>2MASS J11104141-7720480</t>
  </si>
  <si>
    <t>ISO-ChaI 252</t>
  </si>
  <si>
    <t>Furlan 2009</t>
  </si>
  <si>
    <t>[NC98] Cha HA 5</t>
  </si>
  <si>
    <t>Cha Ha 5</t>
  </si>
  <si>
    <t>2MASS J04330781+2616066</t>
  </si>
  <si>
    <t>KPNO 14</t>
  </si>
  <si>
    <t>2MASS J10561638-7630530</t>
  </si>
  <si>
    <t>2MASS J03441012+3204045</t>
  </si>
  <si>
    <t>IC348 173</t>
  </si>
  <si>
    <t>2MASS J10580597-7711501</t>
  </si>
  <si>
    <t>Cl* IC 348 LRL 336</t>
  </si>
  <si>
    <t>2MASS J11072443-7743489</t>
  </si>
  <si>
    <t>2MASS J11075993-7715317</t>
  </si>
  <si>
    <t>-0.4:</t>
  </si>
  <si>
    <t>2MASS J05390878-0231115</t>
  </si>
  <si>
    <t>SO908</t>
  </si>
  <si>
    <t>Rigliaco 2011</t>
  </si>
  <si>
    <t>FLAMES/Giraffe</t>
  </si>
  <si>
    <t>M3.0</t>
  </si>
  <si>
    <t>Added SIMBAD spectral type (Hernandez 2014)</t>
  </si>
  <si>
    <t>V* TY Ori</t>
  </si>
  <si>
    <t>SO615</t>
  </si>
  <si>
    <t>TNG/SARG</t>
  </si>
  <si>
    <t>K3.0</t>
  </si>
  <si>
    <t>2MASS J05385831-0216101</t>
  </si>
  <si>
    <t>SO818</t>
  </si>
  <si>
    <t>II*</t>
  </si>
  <si>
    <t>M0.0</t>
  </si>
  <si>
    <t>Haro 5-19</t>
  </si>
  <si>
    <t>SO897</t>
  </si>
  <si>
    <t>K6.5</t>
  </si>
  <si>
    <t>Hashimoto 2020</t>
  </si>
  <si>
    <t>Ha Hb Line Luminosity</t>
  </si>
  <si>
    <t>Aoyama2019</t>
  </si>
  <si>
    <t>HB is the upper limit</t>
  </si>
  <si>
    <t>Ha Line Luminosity</t>
  </si>
  <si>
    <t>Baraffe 2002</t>
  </si>
  <si>
    <t>Thanathibodee 2019</t>
  </si>
  <si>
    <t>&lt;0.13e-16</t>
  </si>
  <si>
    <t>&lt;0.32e-16</t>
  </si>
  <si>
    <t>HD 142250B</t>
  </si>
  <si>
    <t>HIP 77900B</t>
  </si>
  <si>
    <t>&lt;4.6E-17</t>
  </si>
  <si>
    <t>&lt;0.45e-16</t>
  </si>
  <si>
    <t>&lt;0.22e-16</t>
  </si>
  <si>
    <t>&lt;0.31e-16</t>
  </si>
  <si>
    <t>&lt;3.7E-17</t>
  </si>
  <si>
    <t>&lt;2.4E-17</t>
  </si>
  <si>
    <t>&lt;0.20e-16</t>
  </si>
  <si>
    <t>2MASS J16104714-2239492</t>
  </si>
  <si>
    <t>USco 1610-2239</t>
  </si>
  <si>
    <t>&lt;0.1e-16</t>
  </si>
  <si>
    <t>&lt;0.21e-16</t>
  </si>
  <si>
    <t>&lt;0.07e-16</t>
  </si>
  <si>
    <t>&lt;0.19e-16</t>
  </si>
  <si>
    <t>&lt;0.93e-16</t>
  </si>
  <si>
    <t>&lt;0.16e-16</t>
  </si>
  <si>
    <t>HD 143567B</t>
  </si>
  <si>
    <t>HIP 78530B</t>
  </si>
  <si>
    <t>&lt;2.19e-16</t>
  </si>
  <si>
    <t>&lt;-.79e-16</t>
  </si>
  <si>
    <t>&lt;0-72e-16</t>
  </si>
  <si>
    <t>&lt;0.47e-16</t>
  </si>
  <si>
    <t>&lt;2.61e-16</t>
  </si>
  <si>
    <t>&lt;1.28e-16</t>
  </si>
  <si>
    <t>&lt;0.99e-16</t>
  </si>
  <si>
    <t>&lt;0.95e-16</t>
  </si>
  <si>
    <t>ISO-Oph 087</t>
  </si>
  <si>
    <t>Manara 2015</t>
  </si>
  <si>
    <t>Alcala 2014</t>
  </si>
  <si>
    <t>Luhman 2003, Baraffe 1998</t>
  </si>
  <si>
    <t>2MASS J06452774+0015514</t>
  </si>
  <si>
    <t>Sh 2-284</t>
  </si>
  <si>
    <t>Kalari 2015</t>
  </si>
  <si>
    <t>VIMOS/Robert Stobie Spectrograph</t>
  </si>
  <si>
    <t>K4V</t>
  </si>
  <si>
    <t>De Marchi 2010</t>
  </si>
  <si>
    <t>Castelli/Kurucz 2004</t>
  </si>
  <si>
    <t>[CRA2011] D25 J06444714+0013320</t>
  </si>
  <si>
    <t>2MASS J06444714+0013320</t>
  </si>
  <si>
    <t>K2V</t>
  </si>
  <si>
    <t>2MASS J06450075+0013356</t>
  </si>
  <si>
    <t>K0V</t>
  </si>
  <si>
    <t>2MASS J06451841+0022189</t>
  </si>
  <si>
    <t>G4V</t>
  </si>
  <si>
    <t>2MASS J06451318+0018307</t>
  </si>
  <si>
    <t>G0V</t>
  </si>
  <si>
    <t>2MASS J06451616+0022238</t>
  </si>
  <si>
    <t>F3V</t>
  </si>
  <si>
    <t>2MASS J06443827+0019229</t>
  </si>
  <si>
    <t>F2V</t>
  </si>
  <si>
    <t>2MASS J06450274+0018077</t>
  </si>
  <si>
    <t>2MASS J06444936+0020245</t>
  </si>
  <si>
    <t>G5V</t>
  </si>
  <si>
    <t>2MASS J06451727+0023454</t>
  </si>
  <si>
    <t>2MASS J06443541+0019093</t>
  </si>
  <si>
    <t>[CRA2011] D25 J06444602+0019182</t>
  </si>
  <si>
    <t>2MASS J06444602+0019182</t>
  </si>
  <si>
    <t>2MASS J06443682+0016186</t>
  </si>
  <si>
    <t>SALT/Robert Stobie Spectrograph</t>
  </si>
  <si>
    <t>A8V</t>
  </si>
  <si>
    <t>2MASS J06452454+0022448</t>
  </si>
  <si>
    <t>G8V</t>
  </si>
  <si>
    <t>2MASS J06450208+0019443</t>
  </si>
  <si>
    <t>A5V</t>
  </si>
  <si>
    <t>2MASS J06444496+0019335</t>
  </si>
  <si>
    <t>F8V</t>
  </si>
  <si>
    <t>2MASS J06443291+0023546</t>
  </si>
  <si>
    <t>F0V</t>
  </si>
  <si>
    <t>2MASS J06443788+0021509</t>
  </si>
  <si>
    <t>2MASS J06443294+0010528</t>
  </si>
  <si>
    <t>F4V</t>
  </si>
  <si>
    <t>2MASS J06451701+0022077</t>
  </si>
  <si>
    <t>A0V</t>
  </si>
  <si>
    <t>2MASS J06445837+0014151</t>
  </si>
  <si>
    <t>F0</t>
  </si>
  <si>
    <t>2MASS J06445577+0013168</t>
  </si>
  <si>
    <t>F2</t>
  </si>
  <si>
    <t>2MASS J06450681+0013535</t>
  </si>
  <si>
    <t>2MASS J06450971+0014121</t>
  </si>
  <si>
    <t>Ha Line Luminosity and Width</t>
  </si>
  <si>
    <t>Aoyama 2019</t>
  </si>
  <si>
    <t>EM* LkCa 15b</t>
  </si>
  <si>
    <t>Lk Ca 15b</t>
  </si>
  <si>
    <t>Sallum 2015</t>
  </si>
  <si>
    <t>Magellan/MagAO</t>
  </si>
  <si>
    <t>Photometric Line Strength</t>
  </si>
  <si>
    <t>Ha Photometric Line Strength</t>
  </si>
  <si>
    <t>assumed mass to calculate Mdot</t>
  </si>
  <si>
    <t>Upper Centuarus Lupus</t>
  </si>
  <si>
    <t>Wagner 2018</t>
  </si>
  <si>
    <t>VPHAS J180429.4-243148.8</t>
  </si>
  <si>
    <t>18042939-2431488</t>
  </si>
  <si>
    <t>Lagoon Nebula</t>
  </si>
  <si>
    <t>VST/OmegaCAM</t>
  </si>
  <si>
    <t>Ha photometry</t>
  </si>
  <si>
    <t>Siess 2000</t>
  </si>
  <si>
    <t>VPHAS J180508.5-241646.0</t>
  </si>
  <si>
    <t>18050853-2416460</t>
  </si>
  <si>
    <t>VPHAS J180428.0-241202.8</t>
  </si>
  <si>
    <t>18042799-2412029</t>
  </si>
  <si>
    <t>VPHAS J180233.7-241802.2</t>
  </si>
  <si>
    <t>18023368-2418022</t>
  </si>
  <si>
    <t>2MASS J18043943-2427091</t>
  </si>
  <si>
    <t>18043944-2427090</t>
  </si>
  <si>
    <t>Cl* NGC 6530 WFI 13438</t>
  </si>
  <si>
    <t>18041518-2426427</t>
  </si>
  <si>
    <t>VPHAS J180333.1-241623.1</t>
  </si>
  <si>
    <t>18033306-2416231</t>
  </si>
  <si>
    <t>Cl* NGC 6530 WFI 18509</t>
  </si>
  <si>
    <t>18042126-2423077</t>
  </si>
  <si>
    <t>VPHAS J180404.2-241743.1</t>
  </si>
  <si>
    <t>18040418-2417431</t>
  </si>
  <si>
    <t>18040419-2417431</t>
  </si>
  <si>
    <t>Cl* NGC 6530 WFI 15668</t>
  </si>
  <si>
    <t>18045602-2424474</t>
  </si>
  <si>
    <t>2MASS J18025506-2418450</t>
  </si>
  <si>
    <t>18025507-2418451</t>
  </si>
  <si>
    <t>Cl* NGC 6530 WFI 24884</t>
  </si>
  <si>
    <t>18042732-2419318</t>
  </si>
  <si>
    <t>Cl* NGC 6530 WFI 20948</t>
  </si>
  <si>
    <t>18040715-2421404</t>
  </si>
  <si>
    <t>18040717-2421407</t>
  </si>
  <si>
    <t>VPHAS J180334.6-242447.2</t>
  </si>
  <si>
    <t>18033458-2424471</t>
  </si>
  <si>
    <t>VPHAS J180343.9-241618.1</t>
  </si>
  <si>
    <t>18034386-2416181</t>
  </si>
  <si>
    <t>VPHAS J180429.8-242235.9</t>
  </si>
  <si>
    <t>18042977-2422360</t>
  </si>
  <si>
    <t>VPHAS J180316.6-241934.1</t>
  </si>
  <si>
    <t>18031655-2419341</t>
  </si>
  <si>
    <t>VPHAS J180401.6-241632.7</t>
  </si>
  <si>
    <t>18040159-2416327</t>
  </si>
  <si>
    <t>VPHAS J180320.8-241543.0</t>
  </si>
  <si>
    <t>18032081-2415430</t>
  </si>
  <si>
    <t>Cl* NGC 6530 WFI 22057</t>
  </si>
  <si>
    <t>18042882-2421045</t>
  </si>
  <si>
    <t>VPHAS J180355.7-242225.6</t>
  </si>
  <si>
    <t>18035565-2422256</t>
  </si>
  <si>
    <t>Cl* NGC 6530 WFI 20517</t>
  </si>
  <si>
    <t>18043174-2421556</t>
  </si>
  <si>
    <t>VPHAS J180419.6-242612.5</t>
  </si>
  <si>
    <t>18041960-2426125</t>
  </si>
  <si>
    <t>VPHAS J180325.5-241603.1</t>
  </si>
  <si>
    <t>18032554-2416031</t>
  </si>
  <si>
    <t>Cl* NGC 6530 WFI 20216</t>
  </si>
  <si>
    <t>18043678-2422069</t>
  </si>
  <si>
    <t>VPHAS J180433.7-242353.5</t>
  </si>
  <si>
    <t>18043371-2423535</t>
  </si>
  <si>
    <t>Cl* NGC 6530 WFI 27090</t>
  </si>
  <si>
    <t>18040277-2417547</t>
  </si>
  <si>
    <t>2MASS J18041577-2425158</t>
  </si>
  <si>
    <t>18041577-2425157</t>
  </si>
  <si>
    <t>VPHAS J180442.4-241551.8</t>
  </si>
  <si>
    <t>18044236-2415518</t>
  </si>
  <si>
    <t>VPHAS J180448.1-243113.8</t>
  </si>
  <si>
    <t>18044811-2431137</t>
  </si>
  <si>
    <t>VPHAS J180431.7-240544.9</t>
  </si>
  <si>
    <t>18043172-2405449</t>
  </si>
  <si>
    <t>VPHAS J180443.2-241259.3</t>
  </si>
  <si>
    <t>18044323-2412593</t>
  </si>
  <si>
    <t>VPHAS J180505.1-241247.3</t>
  </si>
  <si>
    <t>18050505-2412473</t>
  </si>
  <si>
    <t>VPHAS J180254.0-241817.5</t>
  </si>
  <si>
    <t>18025396-2418176</t>
  </si>
  <si>
    <t>VPHAS J180302.8-240703.5</t>
  </si>
  <si>
    <t>18030277-2407035</t>
  </si>
  <si>
    <t>VPHAS J180517.9-243028.6</t>
  </si>
  <si>
    <t>18051787-2430286</t>
  </si>
  <si>
    <t>VPHAS J180307.5-241713.3</t>
  </si>
  <si>
    <t>18030750-2417133</t>
  </si>
  <si>
    <t>VPHAS J180309.3-242939.7</t>
  </si>
  <si>
    <t>18030928-2429397</t>
  </si>
  <si>
    <t>VPHAS J180325.4-243112.2</t>
  </si>
  <si>
    <t>18032539-2431123</t>
  </si>
  <si>
    <t>VPHAS J180427.5-242801.4</t>
  </si>
  <si>
    <t>18042753-2428014</t>
  </si>
  <si>
    <t>VPHAS J180252.0-241317.6</t>
  </si>
  <si>
    <t>18025198-2413176</t>
  </si>
  <si>
    <t>VPHAS J180257.9-241722.3</t>
  </si>
  <si>
    <t>18025793-2417223</t>
  </si>
  <si>
    <t>VPHAS J180440.2-242414.4</t>
  </si>
  <si>
    <t>18044025-2424144</t>
  </si>
  <si>
    <t>VPHAS J180449.3-240404.7</t>
  </si>
  <si>
    <t>18044933-2404047</t>
  </si>
  <si>
    <t>2MASS J18025094-2422199</t>
  </si>
  <si>
    <t>18025093-2422198</t>
  </si>
  <si>
    <t>VPHAS J180301.5-242011.5</t>
  </si>
  <si>
    <t>18030150-2420115</t>
  </si>
  <si>
    <t>VPHAS J180301.6-241942.6</t>
  </si>
  <si>
    <t>18030161-2419426</t>
  </si>
  <si>
    <t>VPHAS J180408.2-242921.9</t>
  </si>
  <si>
    <t>18040825-2429219</t>
  </si>
  <si>
    <t>VPHAS J180424.3-243226.0</t>
  </si>
  <si>
    <t>18042427-2432260</t>
  </si>
  <si>
    <t>VPHAS J180507.7-241332.4</t>
  </si>
  <si>
    <t>18050765-2413324</t>
  </si>
  <si>
    <t>VPHAS J180239.7-241931.0</t>
  </si>
  <si>
    <t>18023972-2419310</t>
  </si>
  <si>
    <t>VPHAS J180252.5-241302.3</t>
  </si>
  <si>
    <t>18025249-2413023</t>
  </si>
  <si>
    <t>VPHAS J180256.8-240707.1</t>
  </si>
  <si>
    <t>18025684-2407071</t>
  </si>
  <si>
    <t>VPHAS J180413.3-241453.2</t>
  </si>
  <si>
    <t>18041334-2414532</t>
  </si>
  <si>
    <t>VPHAS J180416.4-243252.2</t>
  </si>
  <si>
    <t>18041643-2432522</t>
  </si>
  <si>
    <t>VPHAS J180422.1-241311.0</t>
  </si>
  <si>
    <t>18042208-2413110</t>
  </si>
  <si>
    <t>VPHAS J180439.4-241755.7</t>
  </si>
  <si>
    <t>18043943-2417557</t>
  </si>
  <si>
    <t>VPHAS J180243.6-241218.0</t>
  </si>
  <si>
    <t>18024362-2412180</t>
  </si>
  <si>
    <t>VPHAS J180248.8-241547.5</t>
  </si>
  <si>
    <t>18024884-2415475</t>
  </si>
  <si>
    <t>VPHAS J180409.5-241630.5</t>
  </si>
  <si>
    <t>18040952-2416305</t>
  </si>
  <si>
    <t>18040953-2416305</t>
  </si>
  <si>
    <t>VPHAS J180441.8-242632.6</t>
  </si>
  <si>
    <t>18044180-2426326</t>
  </si>
  <si>
    <t>VPHAS J180247.3-241820.5</t>
  </si>
  <si>
    <t>18024733-2418205</t>
  </si>
  <si>
    <t>VPHAS J180255.0-241553.3</t>
  </si>
  <si>
    <t>18025495-2415534</t>
  </si>
  <si>
    <t>18041334-2414531</t>
  </si>
  <si>
    <t>VPHAS J180407.4-242245.7</t>
  </si>
  <si>
    <t>18040736-2422457</t>
  </si>
  <si>
    <t>VPHAS J180429.5-241638.7</t>
  </si>
  <si>
    <t>18042946-2416387</t>
  </si>
  <si>
    <t>VPHAS J180507.0-241824.6</t>
  </si>
  <si>
    <t>18050700-2418246</t>
  </si>
  <si>
    <t>VPHAS J180307.3-241933.9</t>
  </si>
  <si>
    <t>18030730-2419340</t>
  </si>
  <si>
    <t>VPHAS J180347.9-240856.7</t>
  </si>
  <si>
    <t>18034791-2408568</t>
  </si>
  <si>
    <t>VPHAS J180418.6-241509.7</t>
  </si>
  <si>
    <t>18041862-2415098</t>
  </si>
  <si>
    <t>VPHAS J180421.6-241927.3</t>
  </si>
  <si>
    <t>18042158-2419273</t>
  </si>
  <si>
    <t>VPHAS J180518.5-241552.5</t>
  </si>
  <si>
    <t>18051854-2415525</t>
  </si>
  <si>
    <t>VPHAS J180235.6-241302.4</t>
  </si>
  <si>
    <t>18023560-2413024</t>
  </si>
  <si>
    <t>VPHAS J180356.4-241814.5</t>
  </si>
  <si>
    <t>18035643-2418145</t>
  </si>
  <si>
    <t>VPHAS J180427.5-242106.7</t>
  </si>
  <si>
    <t>18042748-2421067</t>
  </si>
  <si>
    <t>VPHAS J180404.3-242901.2</t>
  </si>
  <si>
    <t>18040425-2429012</t>
  </si>
  <si>
    <t>VPHAS J180426.5-242108.3</t>
  </si>
  <si>
    <t>18042647-2421083</t>
  </si>
  <si>
    <t>VPHAS J180502.6-242443.7</t>
  </si>
  <si>
    <t>18050256-2424437</t>
  </si>
  <si>
    <t>VPHAS J180408.5-242125.5</t>
  </si>
  <si>
    <t>18040851-2421255</t>
  </si>
  <si>
    <t>VPHAS J180414.7-242219.5</t>
  </si>
  <si>
    <t>18041471-2422195</t>
  </si>
  <si>
    <t>VPHAS J180250.4-241822.3</t>
  </si>
  <si>
    <t>18025038-2418223</t>
  </si>
  <si>
    <t>VPHAS J180413.5-241737.3</t>
  </si>
  <si>
    <t>18041351-2417373</t>
  </si>
  <si>
    <t>[KA2010] II 104</t>
  </si>
  <si>
    <t>18041987-2428237</t>
  </si>
  <si>
    <t>2MASS J18042077-2428026</t>
  </si>
  <si>
    <t>18042078-2428025</t>
  </si>
  <si>
    <t>2MASS J18044352-2427384</t>
  </si>
  <si>
    <t>18044353-2427384</t>
  </si>
  <si>
    <t>Cl* NGC 6530 SCB 531</t>
  </si>
  <si>
    <t>18041932-2422546</t>
  </si>
  <si>
    <t>Cl* NGC 6530 SCB 202</t>
  </si>
  <si>
    <t>18034700-2422045</t>
  </si>
  <si>
    <t>VPHAS J180448.5-242640.3</t>
  </si>
  <si>
    <t>18044853-2426403</t>
  </si>
  <si>
    <t>2MASS J18041019-2423227</t>
  </si>
  <si>
    <t>18041019-2423227</t>
  </si>
  <si>
    <t>EM* LkHA 116</t>
  </si>
  <si>
    <t>18045864-2424363</t>
  </si>
  <si>
    <t>2MASS J18042109-2423254</t>
  </si>
  <si>
    <t>18042109-2423253</t>
  </si>
  <si>
    <t>VPHAS J180417.4-241909.4</t>
  </si>
  <si>
    <t>18041741-2419095</t>
  </si>
  <si>
    <t>V* V1778 Sgr</t>
  </si>
  <si>
    <t>18041639-2424390</t>
  </si>
  <si>
    <t>2MASS J18033934-2425239</t>
  </si>
  <si>
    <t>18033934-2425239</t>
  </si>
  <si>
    <t>2MASS J18042050-2423040</t>
  </si>
  <si>
    <t>18042050-2423040</t>
  </si>
  <si>
    <t>V* V1743 Sgr</t>
  </si>
  <si>
    <t>18023730-2416242</t>
  </si>
  <si>
    <t>Cl* NGC 6530 WFI 20020</t>
  </si>
  <si>
    <t>18042673-2422138</t>
  </si>
  <si>
    <t>Cl* NGC 6530 SCB 486</t>
  </si>
  <si>
    <t>18041590-2418463</t>
  </si>
  <si>
    <t>2MASS J18042269-2416051</t>
  </si>
  <si>
    <t>18042269-2416051</t>
  </si>
  <si>
    <t>Cl* NGC 6530 WFI 21779</t>
  </si>
  <si>
    <t>18042966-2421138</t>
  </si>
  <si>
    <t>V* V1785 Sgr</t>
  </si>
  <si>
    <t>18042520-2413341</t>
  </si>
  <si>
    <t>2MASS J18041776-2417098</t>
  </si>
  <si>
    <t>18041776-2417095</t>
  </si>
  <si>
    <t>2MASS J18043704-2424319</t>
  </si>
  <si>
    <t>18043703-2424319</t>
  </si>
  <si>
    <t>VPHAS J180406.4-241616.2</t>
  </si>
  <si>
    <t>18040637-2416161</t>
  </si>
  <si>
    <t>2MASS J18042989-2414295</t>
  </si>
  <si>
    <t>18042991-2414296</t>
  </si>
  <si>
    <t>VPHAS J180419.5-242109.9</t>
  </si>
  <si>
    <t>18041954-2421099</t>
  </si>
  <si>
    <t>2MASS J18041713-2416275</t>
  </si>
  <si>
    <t>18041714-2416275</t>
  </si>
  <si>
    <t>V* V1748 Sgr</t>
  </si>
  <si>
    <t>18024331-2417433</t>
  </si>
  <si>
    <t>2MASS J18035898-2418177</t>
  </si>
  <si>
    <t>18035898-2418177</t>
  </si>
  <si>
    <t>2MASS J18041940-2426071</t>
  </si>
  <si>
    <t>18041941-2426072</t>
  </si>
  <si>
    <t>2MASS J18042419-2416251</t>
  </si>
  <si>
    <t>18042420-2416251</t>
  </si>
  <si>
    <t>VPHAS J180410.6-242548.0</t>
  </si>
  <si>
    <t>18041061-2425480</t>
  </si>
  <si>
    <t>VPHAS J180405.5-241703.2</t>
  </si>
  <si>
    <t>18040551-2417032</t>
  </si>
  <si>
    <t>2MASS J18042492-2422300</t>
  </si>
  <si>
    <t>18042492-2422301</t>
  </si>
  <si>
    <t>Cl* NGC 6530 WFI 23677</t>
  </si>
  <si>
    <t>18040430-2420116</t>
  </si>
  <si>
    <t>2MASS J18035206-2422337</t>
  </si>
  <si>
    <t>18035206-2422338</t>
  </si>
  <si>
    <t>2MASS J18044363-2427591</t>
  </si>
  <si>
    <t>18044364-2427591</t>
  </si>
  <si>
    <t>Cl* NGC 6530 WFI 19318</t>
  </si>
  <si>
    <t>18043623-2422386</t>
  </si>
  <si>
    <t>Cl* NGC 6530 WFI 16084</t>
  </si>
  <si>
    <t>18041475-2424326</t>
  </si>
  <si>
    <t>Cl* NGC 6530 WFI 21548</t>
  </si>
  <si>
    <t>18041275-2421207</t>
  </si>
  <si>
    <t>VPHAS J180323.9-241457.1</t>
  </si>
  <si>
    <t>18032388-2414571</t>
  </si>
  <si>
    <t>VPHAS J180331.4-241836.4</t>
  </si>
  <si>
    <t>18033144-2418364</t>
  </si>
  <si>
    <t>Cl* NGC 6530 WFI 36451</t>
  </si>
  <si>
    <t>18044637-2413321</t>
  </si>
  <si>
    <t>VPHAS J180328.0-241527.4</t>
  </si>
  <si>
    <t>18032802-2415274</t>
  </si>
  <si>
    <t>VPHAS J180350.9-242214.9</t>
  </si>
  <si>
    <t>18035090-2422148</t>
  </si>
  <si>
    <t>18035089-2422148</t>
  </si>
  <si>
    <t>Cl* NGC 6530 WFI 25171</t>
  </si>
  <si>
    <t>18042228-2419219</t>
  </si>
  <si>
    <t>VPHAS J180514.6-243117.3</t>
  </si>
  <si>
    <t>18051461-2431173</t>
  </si>
  <si>
    <t>VPHAS J180256.0-241902.9</t>
  </si>
  <si>
    <t>18025604-2419029</t>
  </si>
  <si>
    <t>VPHAS J180448.1-240813.0</t>
  </si>
  <si>
    <t>18044813-2408130</t>
  </si>
  <si>
    <t>VPHAS J180255.3-241406.9</t>
  </si>
  <si>
    <t>18025526-2414069</t>
  </si>
  <si>
    <t>VPHAS J180353.1-241251.5</t>
  </si>
  <si>
    <t>18035313-2412515</t>
  </si>
  <si>
    <t>VPHAS J180431.5-240429.6</t>
  </si>
  <si>
    <t>18043152-2404296</t>
  </si>
  <si>
    <t>VPHAS J180441.3-241427.8</t>
  </si>
  <si>
    <t>18044131-2414278</t>
  </si>
  <si>
    <t>VPHAS J180508.5-240515.2</t>
  </si>
  <si>
    <t>18050851-2405152</t>
  </si>
  <si>
    <t>VPHAS J180238.4-241931.3</t>
  </si>
  <si>
    <t>18023836-2419313</t>
  </si>
  <si>
    <t>VPHAS J180241.5-241611.0</t>
  </si>
  <si>
    <t>18024154-2416110</t>
  </si>
  <si>
    <t>VPHAS J180327.5-241302.8</t>
  </si>
  <si>
    <t>18032748-2413028</t>
  </si>
  <si>
    <t>VPHAS J180351.9-241410.7</t>
  </si>
  <si>
    <t>18035187-2414107</t>
  </si>
  <si>
    <t>VPHAS J180252.2-241126.2</t>
  </si>
  <si>
    <t>18025223-2411262</t>
  </si>
  <si>
    <t>VPHAS J180336.0-243128.5</t>
  </si>
  <si>
    <t>18033601-2431285</t>
  </si>
  <si>
    <t>VPHAS J180400.1-243318.0</t>
  </si>
  <si>
    <t>18040010-2433180</t>
  </si>
  <si>
    <t>VPHAS J180508.1-241949.1</t>
  </si>
  <si>
    <t>18050815-2419491</t>
  </si>
  <si>
    <t>VPHAS J180526.8-242021.6</t>
  </si>
  <si>
    <t>18052679-2420216</t>
  </si>
  <si>
    <t>VPHAS J180301.8-241959.3</t>
  </si>
  <si>
    <t>18030176-2419593</t>
  </si>
  <si>
    <t>VPHAS J180319.2-243106.7</t>
  </si>
  <si>
    <t>18031925-2431067</t>
  </si>
  <si>
    <t>VPHAS J180412.9-241520.6</t>
  </si>
  <si>
    <t>18041289-2415205</t>
  </si>
  <si>
    <t>VPHAS J180457.0-240714.0</t>
  </si>
  <si>
    <t>18045705-2407140</t>
  </si>
  <si>
    <t>VPHAS J180249.8-241350.9</t>
  </si>
  <si>
    <t>18024984-2413509</t>
  </si>
  <si>
    <t>VPHAS J180337.3-243216.7</t>
  </si>
  <si>
    <t>18033733-2432167</t>
  </si>
  <si>
    <t>VPHAS J180240.0-241934.6</t>
  </si>
  <si>
    <t>18024000-2419346</t>
  </si>
  <si>
    <t>VPHAS J180322.2-242014.0</t>
  </si>
  <si>
    <t>18032224-2420140</t>
  </si>
  <si>
    <t>VPHAS J180326.7-241551.0</t>
  </si>
  <si>
    <t>18032669-2415510</t>
  </si>
  <si>
    <t>VPHAS J180340.9-243139.4</t>
  </si>
  <si>
    <t>18034089-2431394</t>
  </si>
  <si>
    <t>VPHAS J180403.3-243309.6</t>
  </si>
  <si>
    <t>18040326-2433096</t>
  </si>
  <si>
    <t>VPHAS J180408.6-243156.8</t>
  </si>
  <si>
    <t>18040862-2431568</t>
  </si>
  <si>
    <t>VPHAS J180455.1-240644.5</t>
  </si>
  <si>
    <t>18045510-2406445</t>
  </si>
  <si>
    <t>VPHAS J180259.4-241820.9</t>
  </si>
  <si>
    <t>18025945-2418209</t>
  </si>
  <si>
    <t>VPHAS J180340.6-243207.6</t>
  </si>
  <si>
    <t>18034056-2432076</t>
  </si>
  <si>
    <t>VPHAS J180530.0-243023.3</t>
  </si>
  <si>
    <t>18052996-2430233</t>
  </si>
  <si>
    <t>VPHAS J180424.4-241244.3</t>
  </si>
  <si>
    <t>18042444-2412443</t>
  </si>
  <si>
    <t>VPHAS J180440.6-241437.2</t>
  </si>
  <si>
    <t>18044060-2414372</t>
  </si>
  <si>
    <t>VPHAS J180233.5-241454.8</t>
  </si>
  <si>
    <t>18023355-2414548</t>
  </si>
  <si>
    <t>VPHAS J180331.0-240727.0</t>
  </si>
  <si>
    <t>18033100-2407270</t>
  </si>
  <si>
    <t>VPHAS J180438.6-241148.2</t>
  </si>
  <si>
    <t>18043863-2411482</t>
  </si>
  <si>
    <t>VPHAS J180518.5-243116.3</t>
  </si>
  <si>
    <t>18051853-2431163</t>
  </si>
  <si>
    <t>VPHAS J180242.4-241515.8</t>
  </si>
  <si>
    <t>18024242-2415158</t>
  </si>
  <si>
    <t>VPHAS J180328.1-242538.1</t>
  </si>
  <si>
    <t>18032813-2425380</t>
  </si>
  <si>
    <t>VPHAS J180334.7-241012.4</t>
  </si>
  <si>
    <t>18033468-2410124</t>
  </si>
  <si>
    <t>VPHAS J180420.3-242752.0</t>
  </si>
  <si>
    <t>18042031-2427521</t>
  </si>
  <si>
    <t>VPHAS J180334.8-241940.8</t>
  </si>
  <si>
    <t>18033485-2419408</t>
  </si>
  <si>
    <t>VPHAS J180520.8-243154.9</t>
  </si>
  <si>
    <t>18052076-2431549</t>
  </si>
  <si>
    <t>2MASS J18041053-2426559</t>
  </si>
  <si>
    <t>18041053-2426559</t>
  </si>
  <si>
    <t>Cl* NGC 6530 SCB 184</t>
  </si>
  <si>
    <t>18034519-2423251</t>
  </si>
  <si>
    <t>EM* LkHA 114</t>
  </si>
  <si>
    <t>18043322-2427178</t>
  </si>
  <si>
    <t>V* V1800 Sgr</t>
  </si>
  <si>
    <t>18044089-2417107</t>
  </si>
  <si>
    <t>EM* LkHA 110</t>
  </si>
  <si>
    <t>18041142-2427162</t>
  </si>
  <si>
    <t>V* V1779 Sgr</t>
  </si>
  <si>
    <t>18041788-2417469</t>
  </si>
  <si>
    <t>Cl* NGC 6530 SCB 540</t>
  </si>
  <si>
    <t>18042004-2422482</t>
  </si>
  <si>
    <t>2MASS J18034720-2424212</t>
  </si>
  <si>
    <t>18034721-2424213</t>
  </si>
  <si>
    <t>2MASS J18042923-2423431</t>
  </si>
  <si>
    <t>18042924-2423431</t>
  </si>
  <si>
    <t>V* V1764 Sgr</t>
  </si>
  <si>
    <t>18035826-2416491</t>
  </si>
  <si>
    <t>V* V1793 Sgr</t>
  </si>
  <si>
    <t>18043091-2426450</t>
  </si>
  <si>
    <t>Cl* NGC 6530 SCB 839</t>
  </si>
  <si>
    <t>18044554-2427534</t>
  </si>
  <si>
    <t>2MASS J18040514-2425585</t>
  </si>
  <si>
    <t>18040513-2425585</t>
  </si>
  <si>
    <t>VPHAS J180349.9-242146.6</t>
  </si>
  <si>
    <t>18034986-2421466</t>
  </si>
  <si>
    <t>Cl* NGC 6530 SCB 222</t>
  </si>
  <si>
    <t>18034921-2422085</t>
  </si>
  <si>
    <t>2MASS J18034495-2416085</t>
  </si>
  <si>
    <t>18034495-2416086</t>
  </si>
  <si>
    <t>Cl* NGC 6530 SCB 438</t>
  </si>
  <si>
    <t>18041214-2422198</t>
  </si>
  <si>
    <t>18041215-2422198</t>
  </si>
  <si>
    <t>V* V1773 Sgr</t>
  </si>
  <si>
    <t>18041245-2411516</t>
  </si>
  <si>
    <t>2MASS J18041621-2423241</t>
  </si>
  <si>
    <t>18041621-2423241</t>
  </si>
  <si>
    <t>2MASS J18040565-2415394</t>
  </si>
  <si>
    <t>18040566-2415394</t>
  </si>
  <si>
    <t>2MASS J18042735-2414271</t>
  </si>
  <si>
    <t>18042735-2414271</t>
  </si>
  <si>
    <t>VPHAS J180419.5-242333.1</t>
  </si>
  <si>
    <t>18041946-2423331</t>
  </si>
  <si>
    <t>18040550-2417032</t>
  </si>
  <si>
    <t>Cl* NGC 6530 WFI 26328</t>
  </si>
  <si>
    <t>18035392-2418295</t>
  </si>
  <si>
    <t>VPHAS J180436.9-242033.5</t>
  </si>
  <si>
    <t>18043693-2420335</t>
  </si>
  <si>
    <t>VPHAS J180317.5-241801.5</t>
  </si>
  <si>
    <t>18031751-2418015</t>
  </si>
  <si>
    <t>VPHAS J180521.8-243000.7</t>
  </si>
  <si>
    <t>18052175-2430007</t>
  </si>
  <si>
    <t>VPHAS J180337.6-243217.7</t>
  </si>
  <si>
    <t>18033758-2432177</t>
  </si>
  <si>
    <t>VPHAS J180345.3-243233.5</t>
  </si>
  <si>
    <t>18034526-2432336</t>
  </si>
  <si>
    <t>VPHAS J180247.9-241412.4</t>
  </si>
  <si>
    <t>18024794-2414124</t>
  </si>
  <si>
    <t>VPHAS J180252.1-241322.2</t>
  </si>
  <si>
    <t>18025209-2413222</t>
  </si>
  <si>
    <t>VPHAS J180523.9-242912.2</t>
  </si>
  <si>
    <t>18052387-2429122</t>
  </si>
  <si>
    <t>VPHAS J180416.8-243230.0</t>
  </si>
  <si>
    <t>18041681-2432300</t>
  </si>
  <si>
    <t>VPHAS J180239.0-241427.4</t>
  </si>
  <si>
    <t>18023897-2414274</t>
  </si>
  <si>
    <t>VPHAS J180411.8-242329.3</t>
  </si>
  <si>
    <t>18041182-2423293</t>
  </si>
  <si>
    <t>VPHAS J180241.0-241216.2</t>
  </si>
  <si>
    <t>18024097-2412163</t>
  </si>
  <si>
    <t>VPHAS J180429.1-242306.9</t>
  </si>
  <si>
    <t>18042905-2423069</t>
  </si>
  <si>
    <t>Cl* NGC 6530 SCB 726</t>
  </si>
  <si>
    <t>18043509-2426126</t>
  </si>
  <si>
    <t>2MASS J18042036-2428195</t>
  </si>
  <si>
    <t>18042037-2428195</t>
  </si>
  <si>
    <t>Cl* NGC 6530 SCB 238</t>
  </si>
  <si>
    <t>18035072-2420130</t>
  </si>
  <si>
    <t>2MASS J18043984-2423049</t>
  </si>
  <si>
    <t>18043988-2423049</t>
  </si>
  <si>
    <t>V* V1790 Sgr</t>
  </si>
  <si>
    <t>18042823-2425480</t>
  </si>
  <si>
    <t>V* V1761 Sgr</t>
  </si>
  <si>
    <t>18034936-2423376</t>
  </si>
  <si>
    <t>VPHAS J180503.0-242521.2</t>
  </si>
  <si>
    <t>18050301-2425212</t>
  </si>
  <si>
    <t>VPHAS J180526.8-243015.0</t>
  </si>
  <si>
    <t>18052683-2430150</t>
  </si>
  <si>
    <t>VPHAS J180248.5-241204.0</t>
  </si>
  <si>
    <t>18024855-2412040</t>
  </si>
  <si>
    <t>VPHAS J180407.8-242312.7</t>
  </si>
  <si>
    <t>18040783-2423127</t>
  </si>
  <si>
    <t>EM* LkHA 104</t>
  </si>
  <si>
    <t>18025429-2420565</t>
  </si>
  <si>
    <t>2MASS J18034826-2422233</t>
  </si>
  <si>
    <t>18034827-2422234</t>
  </si>
  <si>
    <t>Cl* NGC 6530 SCB 496</t>
  </si>
  <si>
    <t>18041652-2429088</t>
  </si>
  <si>
    <t>Ve 2-48</t>
  </si>
  <si>
    <t>18025246-2418444</t>
  </si>
  <si>
    <t>VPHAS J180232.1-241532.0</t>
  </si>
  <si>
    <t>18023206-2415320</t>
  </si>
  <si>
    <t>Cl* NGC 6530 SCB 206</t>
  </si>
  <si>
    <t>18034772-2425078</t>
  </si>
  <si>
    <t>Cl* NGC 6530 SCB 37</t>
  </si>
  <si>
    <t>18032563-2420569</t>
  </si>
  <si>
    <t>VPHAS J180530.3-241558.9</t>
  </si>
  <si>
    <t>18053033-2415590</t>
  </si>
  <si>
    <t>Cl* NGC 6530 SCB 772</t>
  </si>
  <si>
    <t>18043946-2428242</t>
  </si>
  <si>
    <t>18040782-2423124</t>
  </si>
  <si>
    <t>VPHAS J180407.8-242311.4</t>
  </si>
  <si>
    <t>18040781-2323115</t>
  </si>
  <si>
    <t>Cl* NGC 6530 SCB 783</t>
  </si>
  <si>
    <t>18044105-2428138</t>
  </si>
  <si>
    <t>V* FP Tau</t>
  </si>
  <si>
    <t>FP Tau</t>
  </si>
  <si>
    <t>M2.5</t>
  </si>
  <si>
    <t>Veiling</t>
  </si>
  <si>
    <t>Ha veiling</t>
  </si>
  <si>
    <t>Haro 6-28</t>
  </si>
  <si>
    <t>EM* LkHA 358</t>
  </si>
  <si>
    <t>LkHa 358</t>
  </si>
  <si>
    <t>2MASS J15460752-6258042</t>
  </si>
  <si>
    <t>Argus</t>
  </si>
  <si>
    <t>Lee 2020</t>
  </si>
  <si>
    <t>Ha, HeI, LiI Line Luminosity</t>
  </si>
  <si>
    <t>Hb Line Luminosity</t>
  </si>
  <si>
    <t>HeI 667.8 Line Luminosity</t>
  </si>
  <si>
    <t>HeI 706.5 Line Luminosity</t>
  </si>
  <si>
    <t>HII Line Luminosity</t>
  </si>
  <si>
    <t>Hy Line Luminosity</t>
  </si>
  <si>
    <t>OI Line Luminosity</t>
  </si>
  <si>
    <t>ISO-Oph 170</t>
  </si>
  <si>
    <t>Antu/ISAAC</t>
  </si>
  <si>
    <t>PaB Line Luminosity</t>
  </si>
  <si>
    <t>Added SIMBAD spectral type (Manara 2015)</t>
  </si>
  <si>
    <t>Natta 2004, Rigliaco 2012</t>
  </si>
  <si>
    <t>Keck/OSIRIS</t>
  </si>
  <si>
    <t>Baraffe 2003, Chabrier 2000, Saumon 2008</t>
  </si>
  <si>
    <t>Gatti+2006, A_J/A_V = 0.434 (0.004)</t>
  </si>
  <si>
    <t>Gatti 2006</t>
  </si>
  <si>
    <t>VLT/ISAAC UT1</t>
  </si>
  <si>
    <t>Muzerolle 1998 / Natta 2002</t>
  </si>
  <si>
    <t>ISO-Oph 082</t>
  </si>
  <si>
    <t>&lt;-2.0</t>
  </si>
  <si>
    <t>[GY92] 10</t>
  </si>
  <si>
    <t>ISO-Oph GY10</t>
  </si>
  <si>
    <t>ISO-Oph 094</t>
  </si>
  <si>
    <t>ISO-Oph 175</t>
  </si>
  <si>
    <t>Added SIMBAD spectral type (Alves de Oliveira 2012)</t>
  </si>
  <si>
    <t>ISO-Oph 023</t>
  </si>
  <si>
    <t>ISO-Oph 160</t>
  </si>
  <si>
    <t>ISO-Oph 176</t>
  </si>
  <si>
    <t>DB</t>
  </si>
  <si>
    <t>ISO-Oph 164</t>
  </si>
  <si>
    <t>ISO-Oph 193</t>
  </si>
  <si>
    <t>null</t>
  </si>
  <si>
    <t>ISO-Oph 165</t>
  </si>
  <si>
    <t>[NC98] Cha HA 9</t>
  </si>
  <si>
    <t>Cha Ha 9</t>
  </si>
  <si>
    <t>ISO-Oph 158</t>
  </si>
  <si>
    <t>ISO-Oph 197</t>
  </si>
  <si>
    <t>ISO-Oph 123</t>
  </si>
  <si>
    <t>Added SIMBAD spectral type (Wilking 2005)</t>
  </si>
  <si>
    <t>ISO-Oph 115</t>
  </si>
  <si>
    <t>&lt;-0.5</t>
  </si>
  <si>
    <t>ISO-Oph 192</t>
  </si>
  <si>
    <t>2MASS J16260137-2425203</t>
  </si>
  <si>
    <t>ISO-Oph 009</t>
  </si>
  <si>
    <t>&lt;-0.3</t>
  </si>
  <si>
    <t>2MASS J16260457-2417514</t>
  </si>
  <si>
    <t>ISO-Oph 012</t>
  </si>
  <si>
    <t>&lt;-0.2</t>
  </si>
  <si>
    <t>ISO-Oph 186</t>
  </si>
  <si>
    <t>&lt;-1.5</t>
  </si>
  <si>
    <t>ISO-Oph 185</t>
  </si>
  <si>
    <t>ISO-Oph 089</t>
  </si>
  <si>
    <t>ISO-Oph 052</t>
  </si>
  <si>
    <t>ISO-Oph 069</t>
  </si>
  <si>
    <t>&lt;-0.4</t>
  </si>
  <si>
    <t>ISO-Oph 053</t>
  </si>
  <si>
    <t>ISO-Oph 037</t>
  </si>
  <si>
    <t>ISO-Oph 072</t>
  </si>
  <si>
    <t>ISO-Oph 063</t>
  </si>
  <si>
    <t>ISO-Oph 189</t>
  </si>
  <si>
    <t>[GY92] 322</t>
  </si>
  <si>
    <t>ISO-Oph 169b</t>
  </si>
  <si>
    <t>&lt;-0.9</t>
  </si>
  <si>
    <t>ISO-Oph 041</t>
  </si>
  <si>
    <t>ISO-Oph 086</t>
  </si>
  <si>
    <t>ISO-Oph 194</t>
  </si>
  <si>
    <t>M3-M4.5</t>
  </si>
  <si>
    <t>ISO-Oph 178</t>
  </si>
  <si>
    <t>ISO-Oph 156</t>
  </si>
  <si>
    <t>Added SIMBAD spectral type (WIlking 2010)</t>
  </si>
  <si>
    <t>ISO-Oph 051</t>
  </si>
  <si>
    <t>ISO-Oph 120</t>
  </si>
  <si>
    <t>&lt;-2.5</t>
  </si>
  <si>
    <t>ISO-Oph 196</t>
  </si>
  <si>
    <t>Added SIMBAD spectral type (Ricci 2010)</t>
  </si>
  <si>
    <t>ISO-Oph 172</t>
  </si>
  <si>
    <t>ISO-Oph 177</t>
  </si>
  <si>
    <t>ISO-Oph 066</t>
  </si>
  <si>
    <t>ISO-Oph 117</t>
  </si>
  <si>
    <t>ISO-Oph 106</t>
  </si>
  <si>
    <t>ISO-Oph 056</t>
  </si>
  <si>
    <t>ISO-Oph 187</t>
  </si>
  <si>
    <t>Added SIMBAD spectral type (Cohen 1979)</t>
  </si>
  <si>
    <t>ISO-Oph 151</t>
  </si>
  <si>
    <t>M3.25</t>
  </si>
  <si>
    <t>Added SIMBAD spectral type (Wilking 2010)</t>
  </si>
  <si>
    <t>2MASS J16260704-2427241</t>
  </si>
  <si>
    <t>ISO-Oph 013</t>
  </si>
  <si>
    <t>2MASS J16261898-2424142</t>
  </si>
  <si>
    <t>ISO-Oph 026</t>
  </si>
  <si>
    <t>ISO-Oph 046</t>
  </si>
  <si>
    <t>ISO-Oph 044</t>
  </si>
  <si>
    <t>ISO-Oph 148</t>
  </si>
  <si>
    <t>ISO-Oph 144</t>
  </si>
  <si>
    <t>&lt;-1.4</t>
  </si>
  <si>
    <t>SIMBAD has spectral type but no citation (K6.5)</t>
  </si>
  <si>
    <t>NAME WL 20E</t>
  </si>
  <si>
    <t>ISO-Oph 121a</t>
  </si>
  <si>
    <t>ISO-Oph 093</t>
  </si>
  <si>
    <t>&lt;-20.0</t>
  </si>
  <si>
    <t>ISO-Oph 002</t>
  </si>
  <si>
    <t>ISO-Oph 183</t>
  </si>
  <si>
    <t>2MASS J16260329-2417464</t>
  </si>
  <si>
    <t>ISO-Oph 011</t>
  </si>
  <si>
    <t>ISO-Oph 098</t>
  </si>
  <si>
    <t>ISO-Oph 095</t>
  </si>
  <si>
    <t>ISO-Oph 105</t>
  </si>
  <si>
    <t>K9</t>
  </si>
  <si>
    <t>ISO-Oph 152</t>
  </si>
  <si>
    <t>2MASS J16253958-2426349</t>
  </si>
  <si>
    <t>ISO-Oph 003</t>
  </si>
  <si>
    <t>ISO-Oph 043</t>
  </si>
  <si>
    <t>ISO-Oph 142</t>
  </si>
  <si>
    <t>ISO-Oph 083</t>
  </si>
  <si>
    <t>Added spectral type (Wilking 2005)</t>
  </si>
  <si>
    <t>ISO-Oph 195</t>
  </si>
  <si>
    <t>K5-K6</t>
  </si>
  <si>
    <t>2MASS J16261581-2419221</t>
  </si>
  <si>
    <t>ISO-Oph 018</t>
  </si>
  <si>
    <t>2MASS J16260763-2427413</t>
  </si>
  <si>
    <t>ISO-Oph 014</t>
  </si>
  <si>
    <t>ISO-Oph 154</t>
  </si>
  <si>
    <t>ISO-Oph 199</t>
  </si>
  <si>
    <t>M2e</t>
  </si>
  <si>
    <t>ISO-Oph 064</t>
  </si>
  <si>
    <t>ISO-Oph 078</t>
  </si>
  <si>
    <t>ISO-Oph 128</t>
  </si>
  <si>
    <t>2MASS J16261706-2420216</t>
  </si>
  <si>
    <t>ISO-Oph 020</t>
  </si>
  <si>
    <t>K7.5</t>
  </si>
  <si>
    <t>ISO-Oph 067</t>
  </si>
  <si>
    <t>ISO-Oph 038</t>
  </si>
  <si>
    <t>ISO-Oph 116</t>
  </si>
  <si>
    <t>ISO-Oph 140</t>
  </si>
  <si>
    <t>2MASS J16255615-2420481</t>
  </si>
  <si>
    <t>ISO-Oph 006</t>
  </si>
  <si>
    <t>2MASS J16261886-2428196</t>
  </si>
  <si>
    <t>ISO-Oph 024</t>
  </si>
  <si>
    <t>2MASS J16255052-2439145</t>
  </si>
  <si>
    <t>ISO-Oph 005</t>
  </si>
  <si>
    <t>K5.5</t>
  </si>
  <si>
    <t>2MASS J16253673-2415424</t>
  </si>
  <si>
    <t>ISO-Oph 001</t>
  </si>
  <si>
    <t>K4</t>
  </si>
  <si>
    <t>ISO-Oph 166</t>
  </si>
  <si>
    <t>M0+M4</t>
  </si>
  <si>
    <t>ISO-Oph 163</t>
  </si>
  <si>
    <t>K8</t>
  </si>
  <si>
    <t>ISO-Oph 168</t>
  </si>
  <si>
    <t>Added SIMBAD spectral type (Torres 2006)</t>
  </si>
  <si>
    <t>ISO-Oph 147</t>
  </si>
  <si>
    <t>SIMBAD has spectral type but no citation (M2)</t>
  </si>
  <si>
    <t>WL 20</t>
  </si>
  <si>
    <t>ISO-Oph 121b</t>
  </si>
  <si>
    <t>2MASS J16261033-2420548</t>
  </si>
  <si>
    <t>ISO-Oph 017</t>
  </si>
  <si>
    <t>ISO-Oph 132</t>
  </si>
  <si>
    <t>YLW 37</t>
  </si>
  <si>
    <t>ISO-Oph 068</t>
  </si>
  <si>
    <t>G3.5</t>
  </si>
  <si>
    <t>EM* SR 24B</t>
  </si>
  <si>
    <t>ISO-Oph 088b</t>
  </si>
  <si>
    <t>EM* SR 24A</t>
  </si>
  <si>
    <t>ISO-Oph 088a</t>
  </si>
  <si>
    <t>K1</t>
  </si>
  <si>
    <t>K2:e+M0.5e spectral types according to simbad (cohen 1979)</t>
  </si>
  <si>
    <t>2MASS J16262101-2415414</t>
  </si>
  <si>
    <t>ISO-Oph 028</t>
  </si>
  <si>
    <t>ISO-Oph 155</t>
  </si>
  <si>
    <t>ISO-Oph 040</t>
  </si>
  <si>
    <t>ISO-Oph 062</t>
  </si>
  <si>
    <t>ISO-Oph 073</t>
  </si>
  <si>
    <t>2MASS J16261684-2422231</t>
  </si>
  <si>
    <t>ISO-Oph 019</t>
  </si>
  <si>
    <t>ISO-Oph 110</t>
  </si>
  <si>
    <t>G1</t>
  </si>
  <si>
    <t>Added SIMBAD spectral type (Suarez 2006)</t>
  </si>
  <si>
    <t>K3</t>
  </si>
  <si>
    <t>ISO-Oph 092</t>
  </si>
  <si>
    <t>A0</t>
  </si>
  <si>
    <t>Added SIMBAD spectral type (Connelley 2010)</t>
  </si>
  <si>
    <t>ISO-Oph 036</t>
  </si>
  <si>
    <t>ISO-Oph 198</t>
  </si>
  <si>
    <t>G7</t>
  </si>
  <si>
    <t>ISO-Oph 039</t>
  </si>
  <si>
    <t>Salyk 2013</t>
  </si>
  <si>
    <t>Keck II/NIRSPEC, VLT/CRIRES</t>
  </si>
  <si>
    <t>PfB Line Luminosity</t>
  </si>
  <si>
    <t>V* V866 Sco B</t>
  </si>
  <si>
    <t>AS 205 S</t>
  </si>
  <si>
    <t>Keck II/NIRSPEC</t>
  </si>
  <si>
    <t>V* DO Tau</t>
  </si>
  <si>
    <t>V* DR Tau</t>
  </si>
  <si>
    <t>DR Tau</t>
  </si>
  <si>
    <t>HH 100</t>
  </si>
  <si>
    <t>VLT/CRIRES</t>
  </si>
  <si>
    <t xml:space="preserve">DoAr 24 </t>
  </si>
  <si>
    <t>DoAr 24</t>
  </si>
  <si>
    <t>DAr 24 E S in paper</t>
  </si>
  <si>
    <t>EM* SR 4</t>
  </si>
  <si>
    <t>SR 4</t>
  </si>
  <si>
    <t>V* GM Aur</t>
  </si>
  <si>
    <t>Auriga</t>
  </si>
  <si>
    <t>IIt</t>
  </si>
  <si>
    <t>Haro 6-13</t>
  </si>
  <si>
    <t>Taurus-Auriga</t>
  </si>
  <si>
    <t>Elia 2-20</t>
  </si>
  <si>
    <t>VSSG 1</t>
  </si>
  <si>
    <t>V* HL Tau</t>
  </si>
  <si>
    <t>HL Tau</t>
  </si>
  <si>
    <t>V* DP Tau</t>
  </si>
  <si>
    <t>DP Tau</t>
  </si>
  <si>
    <t>V* S CrA</t>
  </si>
  <si>
    <t>S CrA B</t>
  </si>
  <si>
    <t>Corona Austrailus</t>
  </si>
  <si>
    <t>binary system</t>
  </si>
  <si>
    <t>V* VW Cha</t>
  </si>
  <si>
    <t>VW Cha</t>
  </si>
  <si>
    <t>FIELD</t>
  </si>
  <si>
    <t>V* DM Tau</t>
  </si>
  <si>
    <t>DM Tau</t>
  </si>
  <si>
    <t>V* FZ Tau</t>
  </si>
  <si>
    <t>FZ Tau</t>
  </si>
  <si>
    <t>V* DL Tau</t>
  </si>
  <si>
    <t>DL Tau</t>
  </si>
  <si>
    <t>V* CI Tau</t>
  </si>
  <si>
    <t>CI Tau</t>
  </si>
  <si>
    <t>V* VZ Cha</t>
  </si>
  <si>
    <t>VZ Cha</t>
  </si>
  <si>
    <t>GQ Lup</t>
  </si>
  <si>
    <t>V* DS Tau</t>
  </si>
  <si>
    <t>WLY 1-43</t>
  </si>
  <si>
    <t>GY 224</t>
  </si>
  <si>
    <t>RU Lup</t>
  </si>
  <si>
    <t>WL 16</t>
  </si>
  <si>
    <t>V* CW Tau</t>
  </si>
  <si>
    <t>CW Tau</t>
  </si>
  <si>
    <t>Haro 1-16</t>
  </si>
  <si>
    <t>DoAr 44</t>
  </si>
  <si>
    <t>EM* AS 209</t>
  </si>
  <si>
    <t>AS 209</t>
  </si>
  <si>
    <t>CPD-36  6759</t>
  </si>
  <si>
    <t>HD 135344 B</t>
  </si>
  <si>
    <t>Upper Centaurus Lupus</t>
  </si>
  <si>
    <t>F3</t>
  </si>
  <si>
    <t>S CrA A</t>
  </si>
  <si>
    <t>V* V866 Sco A</t>
  </si>
  <si>
    <t>AS 205 N</t>
  </si>
  <si>
    <t>V* V1003 Oph</t>
  </si>
  <si>
    <t>RNO 90</t>
  </si>
  <si>
    <t>G5</t>
  </si>
  <si>
    <t>V* SU Aur</t>
  </si>
  <si>
    <t>SU Aur</t>
  </si>
  <si>
    <t>HD 169142</t>
  </si>
  <si>
    <t>A5</t>
  </si>
  <si>
    <t>HD 31648</t>
  </si>
  <si>
    <t>MWC 480</t>
  </si>
  <si>
    <t>HD 144432</t>
  </si>
  <si>
    <t>HD 144432 A</t>
  </si>
  <si>
    <t>Sco OB2-2</t>
  </si>
  <si>
    <t>A9</t>
  </si>
  <si>
    <t>V* RY Tau</t>
  </si>
  <si>
    <t>RY Tau</t>
  </si>
  <si>
    <t>HD 36112</t>
  </si>
  <si>
    <t>MWC 758</t>
  </si>
  <si>
    <t>A3</t>
  </si>
  <si>
    <t>HD 142666</t>
  </si>
  <si>
    <t>Upper Sco OB-2</t>
  </si>
  <si>
    <t>A8</t>
  </si>
  <si>
    <t>IRAS 16245-2423</t>
  </si>
  <si>
    <t>IRS 48</t>
  </si>
  <si>
    <t>V* CV Cha</t>
  </si>
  <si>
    <t>CV Cha</t>
  </si>
  <si>
    <t>G8</t>
  </si>
  <si>
    <t>V* BF Ori</t>
  </si>
  <si>
    <t>BF Ori</t>
  </si>
  <si>
    <t>A5-F6</t>
  </si>
  <si>
    <t>V* T Tau</t>
  </si>
  <si>
    <t>T Tau N</t>
  </si>
  <si>
    <t>HD 141569</t>
  </si>
  <si>
    <t>HD 141569 A</t>
  </si>
  <si>
    <t>B9.5</t>
  </si>
  <si>
    <t>HD 150193</t>
  </si>
  <si>
    <t>A1</t>
  </si>
  <si>
    <t>HD 163296</t>
  </si>
  <si>
    <t>HD  35187</t>
  </si>
  <si>
    <t>HD 35187</t>
  </si>
  <si>
    <t>118 Tau</t>
  </si>
  <si>
    <t>A2</t>
  </si>
  <si>
    <t>V* UX Ori</t>
  </si>
  <si>
    <t>UX Ori</t>
  </si>
  <si>
    <t>V* AB Aur</t>
  </si>
  <si>
    <t>AB Aur</t>
  </si>
  <si>
    <t>HD  37357</t>
  </si>
  <si>
    <t>HD 37357</t>
  </si>
  <si>
    <t>CD-33 10685</t>
  </si>
  <si>
    <t>Sz 68</t>
  </si>
  <si>
    <t>Upper Centaurus-Lupus</t>
  </si>
  <si>
    <t>EM* LkHA  330</t>
  </si>
  <si>
    <t>LkHa 330</t>
  </si>
  <si>
    <t>G3</t>
  </si>
  <si>
    <t>V* WW Vul</t>
  </si>
  <si>
    <t>WW Vul</t>
  </si>
  <si>
    <t>Vulpecula OB1</t>
  </si>
  <si>
    <t>HD 244604</t>
  </si>
  <si>
    <t>V* VV Ser</t>
  </si>
  <si>
    <t>VV Ser</t>
  </si>
  <si>
    <t>B9</t>
  </si>
  <si>
    <t>HD  38120</t>
  </si>
  <si>
    <t>HD 38120</t>
  </si>
  <si>
    <t>NGC 1977</t>
  </si>
  <si>
    <t>HD 142527</t>
  </si>
  <si>
    <t>F6</t>
  </si>
  <si>
    <t>EM* AS  442</t>
  </si>
  <si>
    <t>V1977 Cyg</t>
  </si>
  <si>
    <t>B8</t>
  </si>
  <si>
    <t>HD  37806</t>
  </si>
  <si>
    <t>HD 37806</t>
  </si>
  <si>
    <t>HD 179218</t>
  </si>
  <si>
    <t>IRAS 08211-4158</t>
  </si>
  <si>
    <t>LLN 8</t>
  </si>
  <si>
    <t>HD 190073</t>
  </si>
  <si>
    <t>V* RR Tau</t>
  </si>
  <si>
    <t>RR Tau</t>
  </si>
  <si>
    <t>HD  58647</t>
  </si>
  <si>
    <t>HD 58647</t>
  </si>
  <si>
    <t>V* CT Cha B</t>
  </si>
  <si>
    <t>CT Cha b</t>
  </si>
  <si>
    <t>Wu 2015</t>
  </si>
  <si>
    <t>Photometric Ha Excess</t>
  </si>
  <si>
    <t>Photometric Excess Ha</t>
  </si>
  <si>
    <t>Close 2014</t>
  </si>
  <si>
    <t>Wu 2017</t>
  </si>
  <si>
    <t>Rigliaco 2012, Close 2014</t>
  </si>
  <si>
    <t>NOT IN SIMBAD</t>
  </si>
  <si>
    <t>2MASS J05383976-0232203</t>
  </si>
  <si>
    <t>SO657</t>
  </si>
  <si>
    <t>2008/2009</t>
  </si>
  <si>
    <t>U-band photometry</t>
  </si>
  <si>
    <t>U-band excess</t>
  </si>
  <si>
    <t>Gullbring 1998, Calvet 1998, Herczeg 2008</t>
  </si>
  <si>
    <t>[BZR99] S Ori 36</t>
  </si>
  <si>
    <t>SO1059</t>
  </si>
  <si>
    <t>Mayrit 803197</t>
  </si>
  <si>
    <t>SO537</t>
  </si>
  <si>
    <t>SIMBAD has spectral type (M6) but no citation</t>
  </si>
  <si>
    <t>2MASS J05384448-0240376</t>
  </si>
  <si>
    <t>SO700</t>
  </si>
  <si>
    <t>[BZR99] S Ori 30</t>
  </si>
  <si>
    <t>SO936</t>
  </si>
  <si>
    <t>V* V2737 Ori</t>
  </si>
  <si>
    <t>SO750</t>
  </si>
  <si>
    <t>M3.8</t>
  </si>
  <si>
    <t>Added SIMBAD spectral type (Bozhinova 2016)</t>
  </si>
  <si>
    <t>Mayrit 1045094</t>
  </si>
  <si>
    <t>SO1268</t>
  </si>
  <si>
    <t>2MASS J05384818-0244007</t>
  </si>
  <si>
    <t>SO739</t>
  </si>
  <si>
    <t>[BZR99] S Ori 10</t>
  </si>
  <si>
    <t>SO1193</t>
  </si>
  <si>
    <t>[BZR99] S Ori 15</t>
  </si>
  <si>
    <t>SO738</t>
  </si>
  <si>
    <t>Added SIMBAD spectral type (Barrado Y Navascues 2003)</t>
  </si>
  <si>
    <t>2MASS J05385060-0242429</t>
  </si>
  <si>
    <t>SO762</t>
  </si>
  <si>
    <t>[BNM2013] 93.03 227</t>
  </si>
  <si>
    <t>SO514</t>
  </si>
  <si>
    <t>2MASS J05392174-0244038</t>
  </si>
  <si>
    <t>SO1009</t>
  </si>
  <si>
    <t>G2.0</t>
  </si>
  <si>
    <t>2MASS J05380097-0226079</t>
  </si>
  <si>
    <t>SO1362</t>
  </si>
  <si>
    <t>2MASS J05392677-0242583</t>
  </si>
  <si>
    <t>SO1057</t>
  </si>
  <si>
    <t>2MASS J05392935-0227209</t>
  </si>
  <si>
    <t>SO1075</t>
  </si>
  <si>
    <t>LOW</t>
  </si>
  <si>
    <t>2MASS J05384755-0227120</t>
  </si>
  <si>
    <t>SO728</t>
  </si>
  <si>
    <t>[W96] rJ053820-0234</t>
  </si>
  <si>
    <t>SO462</t>
  </si>
  <si>
    <t>M4e</t>
  </si>
  <si>
    <t>Added SIMBAD spectral type (Zapatero Osorio 2002)</t>
  </si>
  <si>
    <t>2MASS J05384053-0233275</t>
  </si>
  <si>
    <t>SO663</t>
  </si>
  <si>
    <t>2MASS J05394318-0232433</t>
  </si>
  <si>
    <t>SO1182</t>
  </si>
  <si>
    <t>2MASS J05400101-0219597</t>
  </si>
  <si>
    <t>SO1323</t>
  </si>
  <si>
    <t>[BNM2013] 93.03 29</t>
  </si>
  <si>
    <t>SO598</t>
  </si>
  <si>
    <t>M2.0</t>
  </si>
  <si>
    <t>2MASS J05381778-0240500</t>
  </si>
  <si>
    <t>SO435</t>
  </si>
  <si>
    <t>2MASS J05394944-0223459</t>
  </si>
  <si>
    <t>SO1230</t>
  </si>
  <si>
    <t>2MASS J05392633-0228376</t>
  </si>
  <si>
    <t>SO1050</t>
  </si>
  <si>
    <t>2MASS J05382307-0236493</t>
  </si>
  <si>
    <t>SO482</t>
  </si>
  <si>
    <t>2MASS J05390387-0220081</t>
  </si>
  <si>
    <t>SO866</t>
  </si>
  <si>
    <t>[KJN2005] 33</t>
  </si>
  <si>
    <t>SO917</t>
  </si>
  <si>
    <t>SIMBAD has spectral type (M5) but no citation</t>
  </si>
  <si>
    <t>[BNM2013] 90.02 146</t>
  </si>
  <si>
    <t>SO967</t>
  </si>
  <si>
    <t>M4.0</t>
  </si>
  <si>
    <t>spectral type (Hernandez 2014)</t>
  </si>
  <si>
    <t>V* V2725 Ori</t>
  </si>
  <si>
    <t>SO485</t>
  </si>
  <si>
    <t>Haro 5-36</t>
  </si>
  <si>
    <t>SO1327</t>
  </si>
  <si>
    <t>[BNM2013] 92.01 11</t>
  </si>
  <si>
    <t>SO759</t>
  </si>
  <si>
    <t>Kiso A-0976 329</t>
  </si>
  <si>
    <t>SO520</t>
  </si>
  <si>
    <t>[BNM2013] 92.01 24</t>
  </si>
  <si>
    <t>SO674</t>
  </si>
  <si>
    <t>2MASS J05390297-0241272</t>
  </si>
  <si>
    <t>SO859</t>
  </si>
  <si>
    <t>2MASS J05381824-0248143</t>
  </si>
  <si>
    <t>SO444</t>
  </si>
  <si>
    <t>SO299</t>
  </si>
  <si>
    <t>SIMBAD thinks same star as above (SO1362)</t>
  </si>
  <si>
    <t>ESO-HA 1693</t>
  </si>
  <si>
    <t>SO865</t>
  </si>
  <si>
    <t>Haro 5-18</t>
  </si>
  <si>
    <t>SO827</t>
  </si>
  <si>
    <t>[W96] rJ053831-0235</t>
  </si>
  <si>
    <t>SO563</t>
  </si>
  <si>
    <t>Haro 5-11</t>
  </si>
  <si>
    <t>SO562</t>
  </si>
  <si>
    <t>V* V595 Ori</t>
  </si>
  <si>
    <t>SO710</t>
  </si>
  <si>
    <t>V* V608 Ori</t>
  </si>
  <si>
    <t>SO1361</t>
  </si>
  <si>
    <t>[W96] 4771-1051</t>
  </si>
  <si>
    <t>SO697</t>
  </si>
  <si>
    <t>Haro 5-16</t>
  </si>
  <si>
    <t>SO844</t>
  </si>
  <si>
    <t>Kiso A-0904 67</t>
  </si>
  <si>
    <t>SO341</t>
  </si>
  <si>
    <t>2MASS J05390853-0251465</t>
  </si>
  <si>
    <t>SO905</t>
  </si>
  <si>
    <t>Haro 5-34</t>
  </si>
  <si>
    <t>SO1274</t>
  </si>
  <si>
    <t>K6.0</t>
  </si>
  <si>
    <t>Haro 5-20</t>
  </si>
  <si>
    <t>SO927</t>
  </si>
  <si>
    <t>V* BG Ori</t>
  </si>
  <si>
    <t>SO1036</t>
  </si>
  <si>
    <t>Haro 5-21</t>
  </si>
  <si>
    <t>SO984</t>
  </si>
  <si>
    <t>K7.0</t>
  </si>
  <si>
    <t>Haro 5-13</t>
  </si>
  <si>
    <t>SO662</t>
  </si>
  <si>
    <t>M0e</t>
  </si>
  <si>
    <t>V* RU Ori</t>
  </si>
  <si>
    <t>SO774</t>
  </si>
  <si>
    <t>Various Line Intensity</t>
  </si>
  <si>
    <t>Comeron 2003, Natta 2004, Rigliaco 2012</t>
  </si>
  <si>
    <t>Corrections published in 2019 Erratum paper; combined accretion rate from all lines</t>
  </si>
  <si>
    <t>test5</t>
  </si>
  <si>
    <t>test</t>
  </si>
  <si>
    <t>CASPAR Table of contents</t>
  </si>
  <si>
    <t>Name</t>
  </si>
  <si>
    <t>Format/Type</t>
  </si>
  <si>
    <t>Units</t>
  </si>
  <si>
    <t>Description</t>
  </si>
  <si>
    <t>string</t>
  </si>
  <si>
    <t>Object Name that can be used to query Simbad for information</t>
  </si>
  <si>
    <t>Object name that was taken directly from source</t>
  </si>
  <si>
    <t>flag 
COM - binary or planetary mass companiona</t>
  </si>
  <si>
    <t>float</t>
  </si>
  <si>
    <t>arcsec</t>
  </si>
  <si>
    <t>separation between system objects</t>
  </si>
  <si>
    <t>flag -- upper limit derived accretion rate</t>
  </si>
  <si>
    <t>flag -- type of object
P : planet
BD: brown dwarf
S: star</t>
  </si>
  <si>
    <t>Right ascension (J2000)</t>
  </si>
  <si>
    <t>Declination (J2000)</t>
  </si>
  <si>
    <t>Star forming region taken from papers</t>
  </si>
  <si>
    <t>(I-IV; EV?, U?)</t>
  </si>
  <si>
    <t>The disk classification based on its stage of development</t>
  </si>
  <si>
    <t>System Age</t>
  </si>
  <si>
    <t xml:space="preserve">Age of the SR region </t>
  </si>
  <si>
    <t>flat</t>
  </si>
  <si>
    <t>uncertainty on age of the SR region</t>
  </si>
  <si>
    <t>GAIA DR release</t>
  </si>
  <si>
    <t>int</t>
  </si>
  <si>
    <t>data release for gaia distance</t>
  </si>
  <si>
    <t>distance to each object: GAIA 2018 DR2</t>
  </si>
  <si>
    <t>RA Proper Motion</t>
  </si>
  <si>
    <t>proper motion in RA</t>
  </si>
  <si>
    <t>RA proper Motion err</t>
  </si>
  <si>
    <t>uncertainty on proper motion in RA</t>
  </si>
  <si>
    <t>Dec Proper motion</t>
  </si>
  <si>
    <t>proper motion in Dec</t>
  </si>
  <si>
    <t>Dec Proper motion err</t>
  </si>
  <si>
    <t>uncertainty on proper motion in Dec</t>
  </si>
  <si>
    <t>Radial Velocity</t>
  </si>
  <si>
    <t>Radial Velocity err</t>
  </si>
  <si>
    <t>uncertainty on radial velocity</t>
  </si>
  <si>
    <t>visual extinction</t>
  </si>
  <si>
    <t>uncertainty on visual extinction</t>
  </si>
  <si>
    <t>J band extinction</t>
  </si>
  <si>
    <t>A_J uncertainty</t>
  </si>
  <si>
    <t>uncertainty on J band extinction</t>
  </si>
  <si>
    <t>literature paper where A_V OR A_J was recorded</t>
  </si>
  <si>
    <t>Rmag</t>
  </si>
  <si>
    <t>R band magnitude</t>
  </si>
  <si>
    <t>uncertainty on R band magnitude</t>
  </si>
  <si>
    <t>J band magnitude</t>
  </si>
  <si>
    <t>uncertainty on J band magnitude</t>
  </si>
  <si>
    <t>K band magnitude</t>
  </si>
  <si>
    <t>uncertainty on K band magnitude</t>
  </si>
  <si>
    <t>Ha narrow band magnitude</t>
  </si>
  <si>
    <t>uncertainty on Ha narrow band magnitude</t>
  </si>
  <si>
    <t>literature paper</t>
  </si>
  <si>
    <t xml:space="preserve">telescope and instrument used </t>
  </si>
  <si>
    <t>string/float</t>
  </si>
  <si>
    <t>year of observation</t>
  </si>
  <si>
    <t>surface gravity</t>
  </si>
  <si>
    <t>distance used in paper</t>
  </si>
  <si>
    <t>uncertainty on distance used in paper</t>
  </si>
  <si>
    <t>spectral type</t>
  </si>
  <si>
    <t>uncertainty on spectral type</t>
  </si>
  <si>
    <t>temperature</t>
  </si>
  <si>
    <t>uncertainty in temperature</t>
  </si>
  <si>
    <t>masss</t>
  </si>
  <si>
    <t>uncertainty in mass</t>
  </si>
  <si>
    <t>luminosity (bolometric)</t>
  </si>
  <si>
    <t>uncertainty in luminosity</t>
  </si>
  <si>
    <t>radius</t>
  </si>
  <si>
    <t>uncertainty in radius</t>
  </si>
  <si>
    <t>tracer used for measuring accretion rate</t>
  </si>
  <si>
    <t>line/excess and method of measuring accretion rate</t>
  </si>
  <si>
    <t>equivalent width of Ha</t>
  </si>
  <si>
    <t>uncertainty in equivalent width of Ha</t>
  </si>
  <si>
    <t>line flux of Ha</t>
  </si>
  <si>
    <t>uncertainty in line flux of Ha</t>
  </si>
  <si>
    <t>equivalent width of Hb</t>
  </si>
  <si>
    <t>uncertainty in equivalent width of Hb</t>
  </si>
  <si>
    <t>line flux of Hb</t>
  </si>
  <si>
    <t>uncertainty in line flux of Hb</t>
  </si>
  <si>
    <t>equivalent width of Hgamma</t>
  </si>
  <si>
    <t>uncertainty in equivalent width of Hgamma</t>
  </si>
  <si>
    <t>line flux of Hgamma</t>
  </si>
  <si>
    <t>uncertainty in line flux of Hgamma</t>
  </si>
  <si>
    <t>equivalent width of Delta</t>
  </si>
  <si>
    <t>uncertainty in equivalent width of Delta</t>
  </si>
  <si>
    <t>line flux of Delta</t>
  </si>
  <si>
    <t>uncertainty in line flux of Delta</t>
  </si>
  <si>
    <t>equivalent width of Hepsilon</t>
  </si>
  <si>
    <t>uncertainty in equivalent width of Hepsilon</t>
  </si>
  <si>
    <t>line flux of Hepsilon</t>
  </si>
  <si>
    <t>uncertainty in line flux of Hepsilon</t>
  </si>
  <si>
    <t>equivalent width of H II</t>
  </si>
  <si>
    <t>uncertainty in equivalent width of H II</t>
  </si>
  <si>
    <t>line flux of H II</t>
  </si>
  <si>
    <t>uncertainty in line flux of H II</t>
  </si>
  <si>
    <t>equivalent width of PaB</t>
  </si>
  <si>
    <t>uncertainty in equivalent width of PaB</t>
  </si>
  <si>
    <t>line flux of PaB</t>
  </si>
  <si>
    <t>uncertainty in line flux of PaB</t>
  </si>
  <si>
    <t>equivalent width of PaG</t>
  </si>
  <si>
    <t>uncertainty in equivalent width of PaG</t>
  </si>
  <si>
    <t>line flux of PaG</t>
  </si>
  <si>
    <t>uncertainty in line flux of PaG</t>
  </si>
  <si>
    <t>equivalent width of Pa delta</t>
  </si>
  <si>
    <t>uncertainty in equivalent width of Pa delta</t>
  </si>
  <si>
    <t>line flux of Pa delta</t>
  </si>
  <si>
    <t>uncertainty in line flux of Pa delta</t>
  </si>
  <si>
    <t>equivalent width of BrG</t>
  </si>
  <si>
    <t>uncertainty in equivalent width of BrG</t>
  </si>
  <si>
    <t>line flux of BrG</t>
  </si>
  <si>
    <t>uncertainty in line flux of BrG</t>
  </si>
  <si>
    <t>equivalent width of PfB</t>
  </si>
  <si>
    <t>uncertainty in equivalent width of PfB</t>
  </si>
  <si>
    <t>line flux of PfB</t>
  </si>
  <si>
    <t>uncertainty in line flux of PfB</t>
  </si>
  <si>
    <t>equivalent width of HeI 587.6 nm</t>
  </si>
  <si>
    <t>uncertainty in equivalent width of HeI 587.6 nm</t>
  </si>
  <si>
    <t>line flux of HeI 587.6 nm</t>
  </si>
  <si>
    <t>uncertainty in line flux of HeI 587.6 nm</t>
  </si>
  <si>
    <t>equivalent width of HeI 667.8 nm</t>
  </si>
  <si>
    <t>uncertainty in equivalent width of HeI 667.8 nm</t>
  </si>
  <si>
    <t>line flux of HeI 667.8 nm</t>
  </si>
  <si>
    <t>uncertainty in line flux of HeI 667.8 nm</t>
  </si>
  <si>
    <t>equivalent width of HeI 706.5 nm</t>
  </si>
  <si>
    <t>uncertainty in equivalent width of HeI 706.5 nm</t>
  </si>
  <si>
    <t>line flux of HeI 706.5 nm</t>
  </si>
  <si>
    <t>uncertainty in line flux of HeI 706.5 nm</t>
  </si>
  <si>
    <t xml:space="preserve">equivalent width of CaII K </t>
  </si>
  <si>
    <t xml:space="preserve">uncertainty in equivalent width of CaII K </t>
  </si>
  <si>
    <t xml:space="preserve">line flux of CaII K </t>
  </si>
  <si>
    <t xml:space="preserve">uncertainty in line flux of CaII K </t>
  </si>
  <si>
    <t>equivalent width of CaII H</t>
  </si>
  <si>
    <t>uncertainty in equivalent width of CaII H</t>
  </si>
  <si>
    <t>line flux of CaII H</t>
  </si>
  <si>
    <t>uncertainty in line flux of CaII H</t>
  </si>
  <si>
    <t>equivalent width of CaII 866.2</t>
  </si>
  <si>
    <t>uncertainty in equivalent width of CaII 866.2</t>
  </si>
  <si>
    <t>Log line flux of CaII 866.2</t>
  </si>
  <si>
    <t>equivalent width of Li</t>
  </si>
  <si>
    <t>equivalent width of OI</t>
  </si>
  <si>
    <t>uncertainty in equivalent width of OI</t>
  </si>
  <si>
    <t>line flux of OI</t>
  </si>
  <si>
    <t>uncertainty in line flux of OI</t>
  </si>
  <si>
    <t>Log accretion luminosity</t>
  </si>
  <si>
    <t>uncertainty in log accretion luminosity</t>
  </si>
  <si>
    <t>accretion rate</t>
  </si>
  <si>
    <t>uncertainty in accretion rate</t>
  </si>
  <si>
    <t>scaling relation to go from line/excess to accretion luminosity-&gt;accretion rate</t>
  </si>
  <si>
    <t>evolutionary model used to calculate mass/temp/age</t>
  </si>
  <si>
    <t>notes</t>
  </si>
  <si>
    <t>New papers that need to be added to the database</t>
  </si>
  <si>
    <t>Wichittanakom 2020</t>
  </si>
  <si>
    <t>https://ui.adsabs.harvard.edu/abs/2020MNRAS.493..234W/abstract</t>
  </si>
  <si>
    <t>Fairlamb 2015</t>
  </si>
  <si>
    <t>https://ui.adsabs.harvard.edu/abs/2015MNRAS.453..976F/abstract</t>
  </si>
  <si>
    <t>https://ui.adsabs.harvard.edu/abs/2017MNRAS.464.4721F/abstract</t>
  </si>
  <si>
    <t>Random targets from accreting papers that have no accretion rate for various reasons</t>
  </si>
  <si>
    <t>Alternative Names</t>
  </si>
  <si>
    <t>FULLY FINISHED?</t>
  </si>
  <si>
    <t>Gaia DR</t>
  </si>
  <si>
    <t>GAIA distance</t>
  </si>
  <si>
    <t>J mag</t>
  </si>
  <si>
    <t>reference</t>
  </si>
  <si>
    <t>distance</t>
  </si>
  <si>
    <t>distance err</t>
  </si>
  <si>
    <t>Instrument</t>
  </si>
  <si>
    <t>CaII Line FLux</t>
  </si>
  <si>
    <t>Log Accretion Luminosity Err</t>
  </si>
  <si>
    <t>Evolutionary Model</t>
  </si>
  <si>
    <t>New Temp</t>
  </si>
  <si>
    <t>New Mass</t>
  </si>
  <si>
    <t>New Radius</t>
  </si>
  <si>
    <t>New Luminosity</t>
  </si>
  <si>
    <t>New Ha Accr Lum</t>
  </si>
  <si>
    <t>New Ha Accr Rate</t>
  </si>
  <si>
    <t>New PaB Accr Lum</t>
  </si>
  <si>
    <t>New PaB Accr Rate</t>
  </si>
  <si>
    <t>New BrG Accr Lum</t>
  </si>
  <si>
    <t>New BrG Accr Rate</t>
  </si>
  <si>
    <t>New Avg Accr Lum</t>
  </si>
  <si>
    <t>New Avg Accr Rate</t>
  </si>
  <si>
    <t>Y/N</t>
  </si>
  <si>
    <t>ST/BD/P</t>
  </si>
  <si>
    <t>W</t>
  </si>
  <si>
    <t>K7-M0</t>
  </si>
  <si>
    <t>FM Tau</t>
  </si>
  <si>
    <t>HBC 351</t>
  </si>
  <si>
    <t>LkCa 7</t>
  </si>
  <si>
    <t>RW Aur</t>
  </si>
  <si>
    <t>V819 Tau</t>
  </si>
  <si>
    <t>2MASS J11013205-7718249</t>
  </si>
  <si>
    <t>2M J11013205-7718249</t>
  </si>
  <si>
    <t>2MASS J11115400-7619311</t>
  </si>
  <si>
    <t>CHXR49NE</t>
  </si>
  <si>
    <t>V* UY Cha</t>
  </si>
  <si>
    <t>T23</t>
  </si>
  <si>
    <t>M4.25</t>
  </si>
  <si>
    <t>V* SX Cha</t>
  </si>
  <si>
    <t>T3E</t>
  </si>
  <si>
    <t>T3W</t>
  </si>
  <si>
    <t>2MASS J16260931-2434121</t>
  </si>
  <si>
    <t>ISO-Oph 016</t>
  </si>
  <si>
    <t>--</t>
  </si>
  <si>
    <t>2004 Spring</t>
  </si>
  <si>
    <t>SoFi and ISAAC</t>
  </si>
  <si>
    <t>PaB luminosity</t>
  </si>
  <si>
    <t>-</t>
  </si>
  <si>
    <t>ISO-Oph 035</t>
  </si>
  <si>
    <t>ISO-Oph 074</t>
  </si>
  <si>
    <t>2MASS J16265477-2427022</t>
  </si>
  <si>
    <t>ISO-Oph 079</t>
  </si>
  <si>
    <t>ISO-Oph 084</t>
  </si>
  <si>
    <t>&lt;-5.0</t>
  </si>
  <si>
    <t>ISO-Oph 085</t>
  </si>
  <si>
    <t>BrG luminosity</t>
  </si>
  <si>
    <t>&lt;-8.0</t>
  </si>
  <si>
    <t>ISO-Oph 091</t>
  </si>
  <si>
    <t>ISO-Oph 103</t>
  </si>
  <si>
    <t>ISO-Oph 107</t>
  </si>
  <si>
    <t>&lt;-1.3</t>
  </si>
  <si>
    <t>ISO-Oph 112</t>
  </si>
  <si>
    <t>ISO-Oph 113</t>
  </si>
  <si>
    <t>ISO-Oph 114</t>
  </si>
  <si>
    <t>ISO-Oph 118</t>
  </si>
  <si>
    <t>ISO-Oph 124</t>
  </si>
  <si>
    <t>&lt;-10.0</t>
  </si>
  <si>
    <t>ISO-Oph 129</t>
  </si>
  <si>
    <t>&lt;-30.0</t>
  </si>
  <si>
    <t>ISO-Oph 135</t>
  </si>
  <si>
    <t>ISO-Oph 169a</t>
  </si>
  <si>
    <t>positive EW(Pa B) so no Mdot</t>
  </si>
  <si>
    <t>ISO-Oph 171</t>
  </si>
  <si>
    <t>&lt;-4.0</t>
  </si>
  <si>
    <t>ISO-Oph 180</t>
  </si>
  <si>
    <t>A7</t>
  </si>
  <si>
    <t>ISO-Oph 181</t>
  </si>
  <si>
    <t>ISO-Oph 190</t>
  </si>
  <si>
    <t>V* V505 Ori</t>
  </si>
  <si>
    <t>SO518</t>
  </si>
  <si>
    <t>2008 - 2009</t>
  </si>
  <si>
    <t>FORS1/VLT</t>
  </si>
  <si>
    <t>Haro 5-9</t>
  </si>
  <si>
    <t>SO540</t>
  </si>
  <si>
    <t>V* TX Ori</t>
  </si>
  <si>
    <t>SO583</t>
  </si>
  <si>
    <t>`</t>
  </si>
  <si>
    <t>K4.5</t>
  </si>
  <si>
    <t>[W96] 4771-1147</t>
  </si>
  <si>
    <t>SO638</t>
  </si>
  <si>
    <t>NON</t>
  </si>
  <si>
    <t>K2.0</t>
  </si>
  <si>
    <t>SAT</t>
  </si>
  <si>
    <t>[W96] 4771-899</t>
  </si>
  <si>
    <t>SO736</t>
  </si>
  <si>
    <t>2MASS J05391807-0229284</t>
  </si>
  <si>
    <t>SO981</t>
  </si>
  <si>
    <t>G7.5</t>
  </si>
  <si>
    <t>V* RV Ori</t>
  </si>
  <si>
    <t>SO1156</t>
  </si>
  <si>
    <t>2MASS J18295820+0115216</t>
  </si>
  <si>
    <t>CK 4</t>
  </si>
  <si>
    <t>PfB line luminosity</t>
  </si>
  <si>
    <t>missing mass/radius</t>
  </si>
  <si>
    <t>[TS84] IRS 2</t>
  </si>
  <si>
    <t>CrA IRS 2</t>
  </si>
  <si>
    <t>Corona Australis</t>
  </si>
  <si>
    <t>DAr 24 E N in paper</t>
  </si>
  <si>
    <t>EC 90 N</t>
  </si>
  <si>
    <t>EC 90 S</t>
  </si>
  <si>
    <t>Elia 2-29</t>
  </si>
  <si>
    <t>Elias 29</t>
  </si>
  <si>
    <t>HD 325367</t>
  </si>
  <si>
    <t>HD  45677</t>
  </si>
  <si>
    <t>FS CMa</t>
  </si>
  <si>
    <t>V* FT Tau</t>
  </si>
  <si>
    <t>FT Tau</t>
  </si>
  <si>
    <t>Cont</t>
  </si>
  <si>
    <t>V* GV Tau A</t>
  </si>
  <si>
    <t>GV Tau S</t>
  </si>
  <si>
    <t>Haro 1-1</t>
  </si>
  <si>
    <t>K5-K7</t>
  </si>
  <si>
    <t>Haro 1-4</t>
  </si>
  <si>
    <t>K4-K6</t>
  </si>
  <si>
    <t>HD 143006</t>
  </si>
  <si>
    <t>HD 144965</t>
  </si>
  <si>
    <t>B5</t>
  </si>
  <si>
    <t>HD  37258</t>
  </si>
  <si>
    <t>HD 37258</t>
  </si>
  <si>
    <t>HD  37411</t>
  </si>
  <si>
    <t>HD 37411</t>
  </si>
  <si>
    <t>HD  50138</t>
  </si>
  <si>
    <t>HD 50138</t>
  </si>
  <si>
    <t>B6</t>
  </si>
  <si>
    <t>IM Lup</t>
  </si>
  <si>
    <t>V* V512 Per</t>
  </si>
  <si>
    <t>IRAS 03259+3105</t>
  </si>
  <si>
    <t>2MASS J03331284+3121241</t>
  </si>
  <si>
    <t>IRAS 03301+3111</t>
  </si>
  <si>
    <t>IRAS 03445+3242</t>
  </si>
  <si>
    <t>IRAS 04239+2436</t>
  </si>
  <si>
    <t>IRS 43</t>
  </si>
  <si>
    <t>IRS 44 E</t>
  </si>
  <si>
    <t>IRS 51</t>
  </si>
  <si>
    <t>IRS 60 S</t>
  </si>
  <si>
    <t>IRAS 16285-2355</t>
  </si>
  <si>
    <t>IRS 63</t>
  </si>
  <si>
    <t>EM* LkHA   25</t>
  </si>
  <si>
    <t>LkHa 25</t>
  </si>
  <si>
    <t>EM* LkHA  198</t>
  </si>
  <si>
    <t>LkHa 198</t>
  </si>
  <si>
    <t>EM* LkHA  220</t>
  </si>
  <si>
    <t>LkHa 220</t>
  </si>
  <si>
    <t>EM* LkHA  271</t>
  </si>
  <si>
    <t>LkHa 271</t>
  </si>
  <si>
    <t>K3-K5</t>
  </si>
  <si>
    <t>EM* LkHA  326</t>
  </si>
  <si>
    <t>LkHa 326</t>
  </si>
  <si>
    <t>G-M0</t>
  </si>
  <si>
    <t>EM* LkHA 327</t>
  </si>
  <si>
    <t>LkHa 327</t>
  </si>
  <si>
    <t>LkHa 327 NE in paper</t>
  </si>
  <si>
    <t>LkHa 327 SW in paper</t>
  </si>
  <si>
    <t>EM* LkHA  348</t>
  </si>
  <si>
    <t>LkHa 348</t>
  </si>
  <si>
    <t>IRAS 08448-4343</t>
  </si>
  <si>
    <t>LLN 17</t>
  </si>
  <si>
    <t>HD 259431</t>
  </si>
  <si>
    <t>MCW 442</t>
  </si>
  <si>
    <t>EM* MWC 1080</t>
  </si>
  <si>
    <t>MWC 1080</t>
  </si>
  <si>
    <t>B0</t>
  </si>
  <si>
    <t>RNO  19</t>
  </si>
  <si>
    <t>RNO 19</t>
  </si>
  <si>
    <t>HBC 650</t>
  </si>
  <si>
    <t>RNO 91</t>
  </si>
  <si>
    <t>ROXs 43A</t>
  </si>
  <si>
    <t>ROX 43A</t>
  </si>
  <si>
    <t>G0</t>
  </si>
  <si>
    <t>WRAY 15-1880</t>
  </si>
  <si>
    <t>RXJ1842.9-3532</t>
  </si>
  <si>
    <t>V* T CrA</t>
  </si>
  <si>
    <t>T CrA</t>
  </si>
  <si>
    <t>T Tau S</t>
  </si>
  <si>
    <t>V* TY CrA</t>
  </si>
  <si>
    <t>TY CrA</t>
  </si>
  <si>
    <t>UY Aur A</t>
  </si>
  <si>
    <t>UY Aur B</t>
  </si>
  <si>
    <t>VV CrA S</t>
  </si>
  <si>
    <t>VV CrA N</t>
  </si>
  <si>
    <t>BD+40  4124</t>
  </si>
  <si>
    <t>V1685 Cyg</t>
  </si>
  <si>
    <t>Hen 3-1258</t>
  </si>
  <si>
    <t>Wa Oph 6</t>
  </si>
  <si>
    <t>VSSG  30</t>
  </si>
  <si>
    <t>WL 12</t>
  </si>
  <si>
    <t>WL 22</t>
  </si>
  <si>
    <t>2MASS J02495436−0558015</t>
  </si>
  <si>
    <t>2MASS J0249−0557c</t>
  </si>
  <si>
    <t>Beta Pic</t>
  </si>
  <si>
    <t>Chinchilla 2020</t>
  </si>
  <si>
    <t>GTC/OSIRIS</t>
  </si>
  <si>
    <t>L3</t>
  </si>
  <si>
    <t xml:space="preserve">Ha EW </t>
  </si>
  <si>
    <t>do not actually measure an Mdot</t>
  </si>
  <si>
    <t>papers with non-detections or census:</t>
  </si>
  <si>
    <t>https://ui.adsabs.harvard.edu/abs/2004ApJ...617.1216L/abstract</t>
  </si>
  <si>
    <t>https://ui.adsabs.harvard.edu/abs/2004ApJ...616.1033L/abstract</t>
  </si>
  <si>
    <t>https://ui.adsabs.harvard.edu/abs/2003ApJ...592..266M/abstract</t>
  </si>
  <si>
    <t>https://iopscience.iop.org/article/10.3847/1538-4357/aadd04/pdf</t>
  </si>
  <si>
    <t>https://arxiv.org/pdf/1811.03477.pdf</t>
  </si>
  <si>
    <t>https://iopscience.iop.org/article/10.3847/1538-3881/ab2895/pdf</t>
  </si>
  <si>
    <t>https://ui.adsabs.harvard.edu/abs/2015ApJ...807L..13W/abstract</t>
  </si>
  <si>
    <t>Source (Original)</t>
  </si>
  <si>
    <t>SFR Age (Myr)</t>
  </si>
  <si>
    <t>COORDS</t>
  </si>
  <si>
    <t>Effective Temperature K</t>
  </si>
  <si>
    <t>Sp Type Err</t>
  </si>
  <si>
    <t>J Magnitude</t>
  </si>
  <si>
    <t>K Magnitude</t>
  </si>
  <si>
    <t>R Magnitude</t>
  </si>
  <si>
    <t>Method</t>
  </si>
  <si>
    <t>Wavelength Range</t>
  </si>
  <si>
    <t>Line Flux erg/s/cm^2</t>
  </si>
  <si>
    <t>Object Luminosity L_solar</t>
  </si>
  <si>
    <t>Object Luminosity Error</t>
  </si>
  <si>
    <t>Object Radius from L and T</t>
  </si>
  <si>
    <t>R_err from L and T</t>
  </si>
  <si>
    <t>Object Radius R_solar</t>
  </si>
  <si>
    <t>R_err</t>
  </si>
  <si>
    <t xml:space="preserve"> Scaling relation</t>
  </si>
  <si>
    <t>Accretion Rate M_solar yr-1</t>
  </si>
  <si>
    <t>Log Accretion Rate</t>
  </si>
  <si>
    <t>Object Mass Range M_solar</t>
  </si>
  <si>
    <t>Object Mass M_Solar</t>
  </si>
  <si>
    <t>Object Mass Err</t>
  </si>
  <si>
    <t>log object mass</t>
  </si>
  <si>
    <t>Accretion Luminosity (CGS)</t>
  </si>
  <si>
    <t>Log Accretion Luminosity (solar)</t>
  </si>
  <si>
    <t>Age range Myr</t>
  </si>
  <si>
    <t>System Age Myr</t>
  </si>
  <si>
    <t>Companion?</t>
  </si>
  <si>
    <t>A_V source</t>
  </si>
  <si>
    <t>Notes/Questions2</t>
  </si>
  <si>
    <t>Notes/Questions3</t>
  </si>
  <si>
    <t>84.81602 -2.61414</t>
  </si>
  <si>
    <t>84.70995 -2.44663</t>
  </si>
  <si>
    <t>84.67322 -2.50798</t>
  </si>
  <si>
    <t>84.61174 -2.64612</t>
  </si>
  <si>
    <t>84.64410 -2.68572</t>
  </si>
  <si>
    <t>84.93547 -2.41204</t>
  </si>
  <si>
    <t>84.70032 -2.48150</t>
  </si>
  <si>
    <t>84.80457 -2.63085</t>
  </si>
  <si>
    <t>84.86194 -2.61567</t>
  </si>
  <si>
    <t>converted from A_J McMahon 2013</t>
  </si>
  <si>
    <t>101.19176 0.32173</t>
  </si>
  <si>
    <t>R 2000 spectroscopy</t>
  </si>
  <si>
    <t>optical</t>
  </si>
  <si>
    <t>Robert Stobie Spectrograph/SALT</t>
  </si>
  <si>
    <t>Ha Line Strength</t>
  </si>
  <si>
    <t>2.8-4.8</t>
  </si>
  <si>
    <t>101.19643 0.22556</t>
  </si>
  <si>
    <t>0-2</t>
  </si>
  <si>
    <t xml:space="preserve">246.925 -24.5947      </t>
  </si>
  <si>
    <t>J K Spectra</t>
  </si>
  <si>
    <t>infrared</t>
  </si>
  <si>
    <t>PaB BrG luminosity</t>
  </si>
  <si>
    <t>246.925 -24.5939</t>
  </si>
  <si>
    <t>84.79183 -2.46993</t>
  </si>
  <si>
    <t>242.1167 -39.2194</t>
  </si>
  <si>
    <t>medium resolution spectra</t>
  </si>
  <si>
    <t>310-2500 nm</t>
  </si>
  <si>
    <t>VLT X-shooter</t>
  </si>
  <si>
    <t xml:space="preserve">Hydrogen lines Helium lines Calcium lines Sodium Lines Oxygen Lines </t>
  </si>
  <si>
    <t>166.8208 -77.5983</t>
  </si>
  <si>
    <t>Echelle Spectra</t>
  </si>
  <si>
    <t>3200 - 10000 A</t>
  </si>
  <si>
    <t>MIKE</t>
  </si>
  <si>
    <t>Natta+ 2004</t>
  </si>
  <si>
    <t>corrected coordinates from SIMBAD (original: 166.5708 -77.5981   )</t>
  </si>
  <si>
    <t>March to June 2003</t>
  </si>
  <si>
    <t>HIgh resolution spectra</t>
  </si>
  <si>
    <t>UVES/VLT</t>
  </si>
  <si>
    <t>167.1 -77.6583</t>
  </si>
  <si>
    <t>167.1208 -77.6556</t>
  </si>
  <si>
    <t>166.6583 -77.7192</t>
  </si>
  <si>
    <t>166.9292 -77.5664</t>
  </si>
  <si>
    <t>bad mass</t>
  </si>
  <si>
    <t>May 2002 - December 2003</t>
  </si>
  <si>
    <t>High Res spectra</t>
  </si>
  <si>
    <t>8662 A</t>
  </si>
  <si>
    <t>Ca II</t>
  </si>
  <si>
    <t>disk classification from Luhman et al. 2008 Accretion rate equation 1</t>
  </si>
  <si>
    <t>disk classification from Luhman et al. 2008 Accretion rate equation 3</t>
  </si>
  <si>
    <t>166.9708 -77.6156</t>
  </si>
  <si>
    <t>167.1083 -77.6961</t>
  </si>
  <si>
    <t>167.1667 -77.5811</t>
  </si>
  <si>
    <t xml:space="preserve">166.9083 -77.5919    </t>
  </si>
  <si>
    <t>84.68423 -2.67209</t>
  </si>
  <si>
    <t>84.66028 -2.58193</t>
  </si>
  <si>
    <t>84.70019 -2.45398</t>
  </si>
  <si>
    <t>84.58536 -2.56910</t>
  </si>
  <si>
    <t>84.63153 -2.58742</t>
  </si>
  <si>
    <t>84.6417 -2.6103</t>
  </si>
  <si>
    <t>2008-2009</t>
  </si>
  <si>
    <t>medium res</t>
  </si>
  <si>
    <t>300-2500 nm</t>
  </si>
  <si>
    <t>84.64184 -2.61037</t>
  </si>
  <si>
    <t xml:space="preserve">IC348 </t>
  </si>
  <si>
    <t>55.9792 32.1314</t>
  </si>
  <si>
    <t>HIRES</t>
  </si>
  <si>
    <t>56.0417 32.0681</t>
  </si>
  <si>
    <t>2000-2001</t>
  </si>
  <si>
    <t>R = 8000 Spectroscopy and R = 34000 spectriscopy</t>
  </si>
  <si>
    <t>3904 A to 11000 A</t>
  </si>
  <si>
    <t>ESI Keck II and HIRES Keck I</t>
  </si>
  <si>
    <t>56.1250 32.0153</t>
  </si>
  <si>
    <t>3905 A to 11000 A</t>
  </si>
  <si>
    <r>
      <rPr>
        <rFont val="Calibri"/>
        <color rgb="FF000000"/>
        <sz val="11.0"/>
      </rPr>
      <t xml:space="preserve">disk classification from Ruiz-Rodrigues 2018 </t>
    </r>
    <r>
      <rPr>
        <rFont val="Calibri"/>
        <b/>
        <color rgb="FF000000"/>
        <sz val="11.0"/>
      </rPr>
      <t>Accretion rate equation 1</t>
    </r>
  </si>
  <si>
    <t xml:space="preserve">63.54950971 28.19816947 </t>
  </si>
  <si>
    <t>Low resolution spectra</t>
  </si>
  <si>
    <t>3200-9000 A</t>
  </si>
  <si>
    <t>Herczeg+2008</t>
  </si>
  <si>
    <t>63.549505 28.198196</t>
  </si>
  <si>
    <t xml:space="preserve">64.4583 28.2256       </t>
  </si>
  <si>
    <t xml:space="preserve">64.6250 27.7225    </t>
  </si>
  <si>
    <t>64.7125 28.2425</t>
  </si>
  <si>
    <t>Zhang+2018</t>
  </si>
  <si>
    <t>64.7542 28.0467</t>
  </si>
  <si>
    <t>64.7542 28.0469</t>
  </si>
  <si>
    <t>KPNO 3</t>
  </si>
  <si>
    <t>66.6208 26.4039</t>
  </si>
  <si>
    <t xml:space="preserve">66.8667 26.2014       </t>
  </si>
  <si>
    <t>67.4417 26.5131</t>
  </si>
  <si>
    <t>67.5292 26.1392</t>
  </si>
  <si>
    <t>KPNO 7</t>
  </si>
  <si>
    <t>67.7375 25.9444</t>
  </si>
  <si>
    <t>68.1263829 17.52800969</t>
  </si>
  <si>
    <t>3200 - 5200 A</t>
  </si>
  <si>
    <t>68.2833 26.2686</t>
  </si>
  <si>
    <t>68.39192016 24.35474094</t>
  </si>
  <si>
    <t>68.39401116 24.35162626</t>
  </si>
  <si>
    <t>68.41400516 17.86452857</t>
  </si>
  <si>
    <t>69.1625 22.9700</t>
  </si>
  <si>
    <t>69.56192 26.194427</t>
  </si>
  <si>
    <t>69.76650163 25.74064917</t>
  </si>
  <si>
    <t>69.7665 25.740671</t>
  </si>
  <si>
    <t>69.9458 26.0281</t>
  </si>
  <si>
    <t>corrected coordinates as they incorrectly matched CFHT 3</t>
  </si>
  <si>
    <t>70.45105121 25.57515806</t>
  </si>
  <si>
    <t>70.45 25.5753</t>
  </si>
  <si>
    <t>71.11309237 25.20456639</t>
  </si>
  <si>
    <t>73.79575569 30.36649333</t>
  </si>
  <si>
    <t>73.94822 30.468815</t>
  </si>
  <si>
    <t>73.950053 30.468056</t>
  </si>
  <si>
    <t>84.50405        -02.43553</t>
  </si>
  <si>
    <t>84.50394 -2.43548</t>
  </si>
  <si>
    <t>84.5542 -2.4358</t>
  </si>
  <si>
    <t>84.55490 -2.43573</t>
  </si>
  <si>
    <t>84.57401 -2.68056</t>
  </si>
  <si>
    <t>84.57595 -2.80397</t>
  </si>
  <si>
    <t xml:space="preserve">84.59605 -2.61371       </t>
  </si>
  <si>
    <t>84.66254 -2.75888</t>
  </si>
  <si>
    <t>84.6625 -2.7589</t>
  </si>
  <si>
    <t xml:space="preserve">84.66563 -2.53893        </t>
  </si>
  <si>
    <t>84.66877 -2.55761</t>
  </si>
  <si>
    <t>84.68530 -2.67708</t>
  </si>
  <si>
    <t>84.69813 -2.45337</t>
  </si>
  <si>
    <t>84.70071 -2.73354</t>
  </si>
  <si>
    <t>84.71085 -2.71188</t>
  </si>
  <si>
    <t>84.74306 -2.26953</t>
  </si>
  <si>
    <t>84.7583 -2.5842</t>
  </si>
  <si>
    <t>84.75808 -2.58412</t>
  </si>
  <si>
    <t>84.76255 -2.69087</t>
  </si>
  <si>
    <t>84.76612 -2.33562</t>
  </si>
  <si>
    <t>84.78563 -2.86296</t>
  </si>
  <si>
    <t>84.78665 -2.51992</t>
  </si>
  <si>
    <t>84.82534 -2.49126</t>
  </si>
  <si>
    <t>84.84067 -2.73437</t>
  </si>
  <si>
    <t>G2</t>
  </si>
  <si>
    <t>84.85986 -2.47716</t>
  </si>
  <si>
    <t>84.86163 -2.71621</t>
  </si>
  <si>
    <t>84.87243 -2.45586</t>
  </si>
  <si>
    <t>84.92999 -2.54543</t>
  </si>
  <si>
    <t>84.95609 -2.39614</t>
  </si>
  <si>
    <t>84.97591 -2.45913</t>
  </si>
  <si>
    <t>84.9750 -2.4592</t>
  </si>
  <si>
    <t>85.00426 -2.33333</t>
  </si>
  <si>
    <t>101.13714 0.39851</t>
  </si>
  <si>
    <t>101.13726 0.18134</t>
  </si>
  <si>
    <t>2.5-4.5</t>
  </si>
  <si>
    <t>101.14755 0.31926</t>
  </si>
  <si>
    <t>4.6-6.6</t>
  </si>
  <si>
    <t>101.15343 0.27184</t>
  </si>
  <si>
    <t>4.5-6.5</t>
  </si>
  <si>
    <t>101.15784 0.36415</t>
  </si>
  <si>
    <t>2.9-4.9</t>
  </si>
  <si>
    <t>101.15947 0.32303</t>
  </si>
  <si>
    <t>9.9-11.9</t>
  </si>
  <si>
    <t>101.18734 0.32598</t>
  </si>
  <si>
    <t>2.3-4.3</t>
  </si>
  <si>
    <t>101.20568 0.34015</t>
  </si>
  <si>
    <t>3.3-5.3</t>
  </si>
  <si>
    <t>101.23239 0.22134</t>
  </si>
  <si>
    <t>1.7-3.7</t>
  </si>
  <si>
    <t>101.24322 0.23753</t>
  </si>
  <si>
    <t>101.25314 0.22656</t>
  </si>
  <si>
    <t>.5-2.5</t>
  </si>
  <si>
    <t>101.25868 0.32898</t>
  </si>
  <si>
    <t>3.1-5.1</t>
  </si>
  <si>
    <t>101.26143 0.30215</t>
  </si>
  <si>
    <t>8.5-10.5</t>
  </si>
  <si>
    <t>101.27839 0.23153</t>
  </si>
  <si>
    <t>101.29047 0.2367</t>
  </si>
  <si>
    <t>101.30493 0.30853</t>
  </si>
  <si>
    <t>8.3-10.3</t>
  </si>
  <si>
    <t>101.31734 0.37328</t>
  </si>
  <si>
    <t>13.8-15.8</t>
  </si>
  <si>
    <t>101.32089 0.36881</t>
  </si>
  <si>
    <t>6.5-8.5</t>
  </si>
  <si>
    <t>101.32197 0.39595</t>
  </si>
  <si>
    <t>101.32672 0.37192</t>
  </si>
  <si>
    <t>7.5-9.5</t>
  </si>
  <si>
    <t>101.35226 0.37912</t>
  </si>
  <si>
    <t>101.36559 0.26428</t>
  </si>
  <si>
    <t>164.068252 -76.514725</t>
  </si>
  <si>
    <t>164.524916 -77.19725</t>
  </si>
  <si>
    <t>165.330275 -77.543976</t>
  </si>
  <si>
    <t>165.3833 -77.3069</t>
  </si>
  <si>
    <t>165.5417 -34.5100</t>
  </si>
  <si>
    <t>Herczeg+2009</t>
  </si>
  <si>
    <t>166.763507 -76.182381</t>
  </si>
  <si>
    <t>166.851832 -77.730263</t>
  </si>
  <si>
    <t>166.999709 -77.258827</t>
  </si>
  <si>
    <t>167.009773 -76.676208</t>
  </si>
  <si>
    <t>ISO 217</t>
  </si>
  <si>
    <t>167.4667 -76.6536</t>
  </si>
  <si>
    <t>ISO 252</t>
  </si>
  <si>
    <t>167.6708 -77.3467</t>
  </si>
  <si>
    <t>167.9750083 -76.3253167</t>
  </si>
  <si>
    <t>169.408026 -76.772049</t>
  </si>
  <si>
    <t>181.88944842 -39.54833778</t>
  </si>
  <si>
    <t>181.8875 -39.5483</t>
  </si>
  <si>
    <t>corrected coordinates from 181.75 -39.533</t>
  </si>
  <si>
    <t>235.42003733 -33.75523944</t>
  </si>
  <si>
    <t>Nisini+2017</t>
  </si>
  <si>
    <t>Barraffe 15</t>
  </si>
  <si>
    <t>236.2417 -34.3942</t>
  </si>
  <si>
    <t>236.28697815 -34.29262805</t>
  </si>
  <si>
    <t>239.7958 -23.6333</t>
  </si>
  <si>
    <t>240.77288099 -40.30706293</t>
  </si>
  <si>
    <t>241.5167 -22.3250</t>
  </si>
  <si>
    <t>USco J160723.82221102.0</t>
  </si>
  <si>
    <t>241.85 -22.1839</t>
  </si>
  <si>
    <t>241.9083 -39.3608</t>
  </si>
  <si>
    <t>242.062406 -38.954041</t>
  </si>
  <si>
    <t>242.11863125 -23.25288333</t>
  </si>
  <si>
    <t>Medium-resolution spectroscopy</t>
  </si>
  <si>
    <t>300-2480 nm</t>
  </si>
  <si>
    <t>VLT X-Shooter</t>
  </si>
  <si>
    <t>Line Luminosity</t>
  </si>
  <si>
    <t>242.15555937 -39.38636833</t>
  </si>
  <si>
    <t>242.221844 -39.244492</t>
  </si>
  <si>
    <t>242.223903 -39.243553</t>
  </si>
  <si>
    <t>242.230378 -38.813377</t>
  </si>
  <si>
    <t>242.24804167 -38.94097222</t>
  </si>
  <si>
    <t>242.2542 -39.42</t>
  </si>
  <si>
    <t>242.4833 -38.9978</t>
  </si>
  <si>
    <t>242.505561 -39.112476</t>
  </si>
  <si>
    <t>243 -38.3942</t>
  </si>
  <si>
    <t>246.40307349 -24.26181351</t>
  </si>
  <si>
    <t>246.41492859 -24.44302485</t>
  </si>
  <si>
    <t>246.46052063 -24.65404667</t>
  </si>
  <si>
    <t>246.48402479 -24.34673313</t>
  </si>
  <si>
    <t>246.50569307 -24.42248331</t>
  </si>
  <si>
    <t>246.51374354 -24.2962612</t>
  </si>
  <si>
    <t>246.519074 -24.297634</t>
  </si>
  <si>
    <t>246.529345 -24.456718</t>
  </si>
  <si>
    <t>246.531832 -24.461491</t>
  </si>
  <si>
    <t>246.53884634 -24.57004911</t>
  </si>
  <si>
    <t>246.543048 -24.348562</t>
  </si>
  <si>
    <t>246.56590881 -24.32293085</t>
  </si>
  <si>
    <t>246.57024352 -24.37309837</t>
  </si>
  <si>
    <t>246.57114482 -24.33933182</t>
  </si>
  <si>
    <t>246.57865951 -24.47213835</t>
  </si>
  <si>
    <t>246.579093 -24.403961</t>
  </si>
  <si>
    <t>246.58762019 -24.26152426</t>
  </si>
  <si>
    <t>246.58974557 -24.43361126</t>
  </si>
  <si>
    <t>.1-1</t>
  </si>
  <si>
    <t>Gatti+2018, converted from A_j</t>
  </si>
  <si>
    <t>May 19 20 2005</t>
  </si>
  <si>
    <t>.06" spectra 750 - 860 R spectra</t>
  </si>
  <si>
    <t>4 - 2.4 um</t>
  </si>
  <si>
    <t>ISAAC/ESO-VLT UT1 telescope</t>
  </si>
  <si>
    <t>EW PaB  &amp; BrG</t>
  </si>
  <si>
    <t>246.925 -24.7792</t>
  </si>
  <si>
    <t>246.728212 -24.450624</t>
  </si>
  <si>
    <t>246.91095039 -24.64423075</t>
  </si>
  <si>
    <t>R 4350-6450 spectroscopy</t>
  </si>
  <si>
    <t>313 - 2500 nm</t>
  </si>
  <si>
    <t>X-Shooter</t>
  </si>
  <si>
    <t>6 - 2.4 um</t>
  </si>
  <si>
    <t>246.9125 -24.6442</t>
  </si>
  <si>
    <t>Natta+2002</t>
  </si>
  <si>
    <t>2MASS J16491530-1422087</t>
  </si>
  <si>
    <t>AS209</t>
  </si>
  <si>
    <t>Oph</t>
  </si>
  <si>
    <t>252.31376481 -14.36906723</t>
  </si>
  <si>
    <t>2001-2011</t>
  </si>
  <si>
    <t>R 25000 Spectroscopy</t>
  </si>
  <si>
    <t>4.6538 μm</t>
  </si>
  <si>
    <t>NIRSPEC/KeckII</t>
  </si>
  <si>
    <t>PfB</t>
  </si>
  <si>
    <t>285.38990396 -37.00846541</t>
  </si>
  <si>
    <t>2MASS J19014156-3658312</t>
  </si>
  <si>
    <t>CrAIRS2</t>
  </si>
  <si>
    <t>285.42317 -36.97533</t>
  </si>
  <si>
    <t>237.3 -35.6514</t>
  </si>
  <si>
    <t>CD-35 10525B</t>
  </si>
  <si>
    <t>237.300375 -35.651083</t>
  </si>
  <si>
    <t>optical broadband photometry</t>
  </si>
  <si>
    <t>Herczeg+ 2014</t>
  </si>
  <si>
    <t>Added SIMBAD spectral type (Neuhaeuser 2005)</t>
  </si>
  <si>
    <t>T R M meausred by Zhou</t>
  </si>
  <si>
    <t>600-1000</t>
  </si>
  <si>
    <t>MagAO</t>
  </si>
  <si>
    <t>T R M from prEVious literature</t>
  </si>
  <si>
    <t>167.59271262 -76.42051134</t>
  </si>
  <si>
    <t>166.63649529 -76.42251777</t>
  </si>
  <si>
    <t>68.46672686 22.84169271</t>
  </si>
  <si>
    <t>CK4</t>
  </si>
  <si>
    <t>277.49251546 1.25600096</t>
  </si>
  <si>
    <t>56.1458 32.1489</t>
  </si>
  <si>
    <t>3903 A to 11000 A</t>
  </si>
  <si>
    <t>Luhman 1998, converted from A_J</t>
  </si>
  <si>
    <t>56.1417 32.1158</t>
  </si>
  <si>
    <t>Luhman+2003, converted from A_J</t>
  </si>
  <si>
    <t>56.1333 32.0575</t>
  </si>
  <si>
    <t>3906 A to 11000 A</t>
  </si>
  <si>
    <t>56.1291 32.0456</t>
  </si>
  <si>
    <t>3908 A to 11000 A</t>
  </si>
  <si>
    <t>Flaherty+ 2013</t>
  </si>
  <si>
    <t>56.1250 32.1611</t>
  </si>
  <si>
    <t>3907 A to 11000 A</t>
  </si>
  <si>
    <t>168.11543856 -76.73952739</t>
  </si>
  <si>
    <t>64.39053396 28.3463361</t>
  </si>
  <si>
    <t>65.48181096 27.91838451</t>
  </si>
  <si>
    <t>DENIS-P J160603.9-205644 (Herczeg 2009)</t>
  </si>
  <si>
    <t>241.5167 -20.9456</t>
  </si>
  <si>
    <t>241.51632714 -20.94567913</t>
  </si>
  <si>
    <t>66.76163228 25.70623788</t>
  </si>
  <si>
    <t>67.6843792 26.0234639</t>
  </si>
  <si>
    <t>68.86407343 24.24969688</t>
  </si>
  <si>
    <t>69.6208 26.1803</t>
  </si>
  <si>
    <t>71.72107377 17.00003759</t>
  </si>
  <si>
    <t>71.95248119 29.41977495</t>
  </si>
  <si>
    <t>69.8250 22.35094</t>
  </si>
  <si>
    <t>spectroscopy</t>
  </si>
  <si>
    <t>300 nm to 2.2 μm</t>
  </si>
  <si>
    <t>X-Shooter and VLT</t>
  </si>
  <si>
    <t>246.7458 -24.7603</t>
  </si>
  <si>
    <t>246.7417 -24.7589</t>
  </si>
  <si>
    <t>84.76500 -2.77413</t>
  </si>
  <si>
    <t>84.63079 -2.60936</t>
  </si>
  <si>
    <t>84.66770 -2.50515</t>
  </si>
  <si>
    <t>84.75575 -2.30771</t>
  </si>
  <si>
    <t>84.74685 -2.56428</t>
  </si>
  <si>
    <t>84.78176 -2.54423</t>
  </si>
  <si>
    <t>84.79804 -2.51851</t>
  </si>
  <si>
    <t>84.82854 -2.51480</t>
  </si>
  <si>
    <t>84.9750 -2.5619</t>
  </si>
  <si>
    <t>84.97346 -2.56191</t>
  </si>
  <si>
    <t>84.97777 -2.77618</t>
  </si>
  <si>
    <t>85.00816 -2.35904</t>
  </si>
  <si>
    <t xml:space="preserve">84.62143 -2.27104       </t>
  </si>
  <si>
    <t>CIDA14</t>
  </si>
  <si>
    <t>70.83427375 29.66834806</t>
  </si>
  <si>
    <t>3902 A to 11000 A</t>
  </si>
  <si>
    <t>66.23784312 27.19903974</t>
  </si>
  <si>
    <t>242.2042  -39.0942</t>
  </si>
  <si>
    <t xml:space="preserve">246.4042 -24.2617     </t>
  </si>
  <si>
    <t>2 - 2.4 um</t>
  </si>
  <si>
    <t>246.578419 -24.436256</t>
  </si>
  <si>
    <t>300 - 2500 nm</t>
  </si>
  <si>
    <t>246.59128482 -24.74436689</t>
  </si>
  <si>
    <t>Natta2004</t>
  </si>
  <si>
    <t>302 - 2500 nm</t>
  </si>
  <si>
    <t>GY 11</t>
  </si>
  <si>
    <t>246.592788 -24.401962</t>
  </si>
  <si>
    <t>1 - 2.4 um</t>
  </si>
  <si>
    <t>February 26 - March 30 2003</t>
  </si>
  <si>
    <t>R 260 long slit spectroscopy</t>
  </si>
  <si>
    <t>6000-10000 A</t>
  </si>
  <si>
    <t>0.02-0.04</t>
  </si>
  <si>
    <t>303 - 2500 nm</t>
  </si>
  <si>
    <t>246.595649 -24.479486</t>
  </si>
  <si>
    <t>246.59737289 -24.34988351</t>
  </si>
  <si>
    <t>246.598249 -24.410971</t>
  </si>
  <si>
    <t>8 - 2.4 um</t>
  </si>
  <si>
    <t>304 - 2500 nm</t>
  </si>
  <si>
    <t>246.59871301 -24.72052409</t>
  </si>
  <si>
    <t>246.60021719 -24.41336253</t>
  </si>
  <si>
    <t>246.60037336 -24.27040463</t>
  </si>
  <si>
    <t>246.605345 -24.412502</t>
  </si>
  <si>
    <t>246.614743 -24.698202</t>
  </si>
  <si>
    <t>246.618653 -24.261435</t>
  </si>
  <si>
    <t>246.626954 -24.38254</t>
  </si>
  <si>
    <t>246.62932 -24.518118</t>
  </si>
  <si>
    <t>246.65347787 -24.26440227</t>
  </si>
  <si>
    <t>246.657445 -24.383541</t>
  </si>
  <si>
    <t>246.661682 -24.389648</t>
  </si>
  <si>
    <t>246.67198282 -24.67162593</t>
  </si>
  <si>
    <t>246.675597 -24.517485</t>
  </si>
  <si>
    <t>246.678559 -24.341628</t>
  </si>
  <si>
    <t>246.67872 -24.383078</t>
  </si>
  <si>
    <t>246.68235578 -24.27591307</t>
  </si>
  <si>
    <t>246.68458901 -24.7205731</t>
  </si>
  <si>
    <t>246.68763398 -24.38550244</t>
  </si>
  <si>
    <t>246.69606222 -24.74160661</t>
  </si>
  <si>
    <t>246.7042 -24.6403</t>
  </si>
  <si>
    <t>246.70408391 -24.64031962</t>
  </si>
  <si>
    <t>305 - 2500 nm</t>
  </si>
  <si>
    <t>246.70513924 -24.33428029</t>
  </si>
  <si>
    <t>246.71296227 -24.34743136</t>
  </si>
  <si>
    <t>246.716546 -24.510971</t>
  </si>
  <si>
    <t>246.722789 -24.543402</t>
  </si>
  <si>
    <t>246.726849 -24.439089</t>
  </si>
  <si>
    <t>246.737166 -24.476965</t>
  </si>
  <si>
    <t>246.73660035 -24.23098416</t>
  </si>
  <si>
    <t>3 - 2.4 um</t>
  </si>
  <si>
    <t>246.738875 -24.594112</t>
  </si>
  <si>
    <t>246.742828 -24.628044</t>
  </si>
  <si>
    <t>246.743317 -24.358328</t>
  </si>
  <si>
    <t>246.744329 -24.309629</t>
  </si>
  <si>
    <t>306 - 2500 nm</t>
  </si>
  <si>
    <t>246.746041 -24.599133</t>
  </si>
  <si>
    <t>246.756744 -24.360289</t>
  </si>
  <si>
    <t>246.75973 -24.624231</t>
  </si>
  <si>
    <t>A0-F3</t>
  </si>
  <si>
    <t>246.76253 -24.437416</t>
  </si>
  <si>
    <t>246.764962 -24.334846</t>
  </si>
  <si>
    <t>307 - 2500 nm</t>
  </si>
  <si>
    <t>246.767112 -24.474976</t>
  </si>
  <si>
    <t>246.769061 -24.454351</t>
  </si>
  <si>
    <t>246.77746863 -24.69691214</t>
  </si>
  <si>
    <t>R=33000 spectra</t>
  </si>
  <si>
    <t>5 - 2.4 um</t>
  </si>
  <si>
    <t>308 - 2500 nm</t>
  </si>
  <si>
    <t>246.778234 -24.637499</t>
  </si>
  <si>
    <t>246.78795263 -24.56896969</t>
  </si>
  <si>
    <t>246.78783062 -24.20022577</t>
  </si>
  <si>
    <t>246.788972 -24.672897</t>
  </si>
  <si>
    <t>246.789293 -24.621881</t>
  </si>
  <si>
    <t>246.79282347 -24.32017238</t>
  </si>
  <si>
    <t>246.796583 -24.67963</t>
  </si>
  <si>
    <t>246.798676 -24.394993</t>
  </si>
  <si>
    <t>246.798809 -24.642239</t>
  </si>
  <si>
    <t>246.800547 -24.580317</t>
  </si>
  <si>
    <t>309 - 2500 nm</t>
  </si>
  <si>
    <t>246.80722209 -24.30468365</t>
  </si>
  <si>
    <t>246.8075869 -24.72545783</t>
  </si>
  <si>
    <t>310 - 2500 nm</t>
  </si>
  <si>
    <t>246.810438 -24.446135</t>
  </si>
  <si>
    <t>246.814393 -24.444389</t>
  </si>
  <si>
    <t>246.82327842 -24.08713892</t>
  </si>
  <si>
    <t>311 - 2500 nm</t>
  </si>
  <si>
    <t>246.823215 -24.482304</t>
  </si>
  <si>
    <t>246.82703 -24.484976</t>
  </si>
  <si>
    <t>246.830066 -24.478848</t>
  </si>
  <si>
    <t>246.839453 -24.695297</t>
  </si>
  <si>
    <t>246.84547627 -24.29928628</t>
  </si>
  <si>
    <t>246.859264 -24.323055</t>
  </si>
  <si>
    <t>246.859523 -24.712814</t>
  </si>
  <si>
    <t>246.860373 -24.65641</t>
  </si>
  <si>
    <t>246.86407958 -24.52124267</t>
  </si>
  <si>
    <t>246.868524 -24.455843</t>
  </si>
  <si>
    <t>246.875751 -24.462046</t>
  </si>
  <si>
    <t>246.87941035 -24.56757341</t>
  </si>
  <si>
    <t>246.87852615 -24.41558316</t>
  </si>
  <si>
    <t>246.886149 -24.556648</t>
  </si>
  <si>
    <t>246.886877 -24.543009</t>
  </si>
  <si>
    <t>246.8879828 -24.68757255</t>
  </si>
  <si>
    <t>9 - 2.4 um</t>
  </si>
  <si>
    <t>246.89692667 -24.64262211</t>
  </si>
  <si>
    <t>246.89859296 -24.75903471</t>
  </si>
  <si>
    <t>246.90219296 -24.47592586</t>
  </si>
  <si>
    <t>246.90594683 -24.29859876</t>
  </si>
  <si>
    <t>312 - 2500 nm</t>
  </si>
  <si>
    <t>246.905206 -24.71056</t>
  </si>
  <si>
    <t>246.90967521 -24.61627826</t>
  </si>
  <si>
    <t>246.912269 -24.672409</t>
  </si>
  <si>
    <t>314 - 2500 nm</t>
  </si>
  <si>
    <t>246.91429046 -24.6543133</t>
  </si>
  <si>
    <t>7 - 2.4 um</t>
  </si>
  <si>
    <t>246.91785767 -24.36781445</t>
  </si>
  <si>
    <t>246.923376 -24.779095</t>
  </si>
  <si>
    <t>246.92397 -24.726694</t>
  </si>
  <si>
    <t>246.92792478 -24.64739468</t>
  </si>
  <si>
    <t>246.940778 -24.748295</t>
  </si>
  <si>
    <t>246.94288263 -24.52812907</t>
  </si>
  <si>
    <t>315 - 2500 nm</t>
  </si>
  <si>
    <t>246.946229 -24.759741</t>
  </si>
  <si>
    <t>246.95745475 -24.42275858</t>
  </si>
  <si>
    <t>246.95820389 -24.73804605</t>
  </si>
  <si>
    <t>246.95782076 -24.42784383</t>
  </si>
  <si>
    <t>246.96044017 -24.65085566</t>
  </si>
  <si>
    <t>246.96623314 -24.77500153</t>
  </si>
  <si>
    <t>246.980229 -24.477655</t>
  </si>
  <si>
    <t>246.98189 -24.747473</t>
  </si>
  <si>
    <t>246.98158796 -24.43834147</t>
  </si>
  <si>
    <t>246.991145 -24.600615</t>
  </si>
  <si>
    <t>247.014815 -24.577393</t>
  </si>
  <si>
    <t>247.024071 -24.565275</t>
  </si>
  <si>
    <t>247.05301552 -24.1932566</t>
  </si>
  <si>
    <t>316 - 2500 nm</t>
  </si>
  <si>
    <t>247.05747878 -24.54707842</t>
  </si>
  <si>
    <t>247.06973635 -24.08734419</t>
  </si>
  <si>
    <t>247.06880485 -24.61612719</t>
  </si>
  <si>
    <t>247.090441 -24.713091</t>
  </si>
  <si>
    <t>247.13619877 -24.37916933</t>
  </si>
  <si>
    <t>247.18864729 -24.47189729</t>
  </si>
  <si>
    <t>84.52801 -2.50627</t>
  </si>
  <si>
    <t>84.61455 -2.58446</t>
  </si>
  <si>
    <t>84.97643 -2.62190</t>
  </si>
  <si>
    <t>84.62065 -2.81309</t>
  </si>
  <si>
    <t>68.06693976 18.21288431</t>
  </si>
  <si>
    <t>3900 A to 11000 A</t>
  </si>
  <si>
    <t>68.09212753 18.46184673</t>
  </si>
  <si>
    <t>3901 A to 11000 A</t>
  </si>
  <si>
    <t>240.1875 -41.9253</t>
  </si>
  <si>
    <t>245.47771 -20.71884</t>
  </si>
  <si>
    <t>242.1792 -39.1042</t>
  </si>
  <si>
    <t>238.9583 -38.0261</t>
  </si>
  <si>
    <t>238.9594 -38.0256</t>
  </si>
  <si>
    <t>242.7125 -38.8869</t>
  </si>
  <si>
    <t>165.46627262 -34.70473099</t>
  </si>
  <si>
    <t>246.8162 -24.64539</t>
  </si>
  <si>
    <t>Oph 11A</t>
  </si>
  <si>
    <t>OPH J1622-2405A, Oph J162225-240515A</t>
  </si>
  <si>
    <t>245.6042 -24.0872</t>
  </si>
  <si>
    <t>Oph 11B</t>
  </si>
  <si>
    <t>OphJ162225-240515B</t>
  </si>
  <si>
    <t>Oph 11B, OPH J1622-2405B</t>
  </si>
  <si>
    <t>245.6042 -24.0878</t>
  </si>
  <si>
    <t>212.04231047 -41.39793796</t>
  </si>
  <si>
    <t>656nm</t>
  </si>
  <si>
    <t>MagAO Magellan</t>
  </si>
  <si>
    <t>R=1740 - 3450 spectroscopy</t>
  </si>
  <si>
    <t>480-930nm</t>
  </si>
  <si>
    <t>MUSE VLT</t>
  </si>
  <si>
    <t>10% width Ha</t>
  </si>
  <si>
    <t xml:space="preserve">PDS 70 b </t>
  </si>
  <si>
    <t>narrowed down from Haffert and Wagner</t>
  </si>
  <si>
    <t>239.00874658 -36.92452068</t>
  </si>
  <si>
    <t>239.8708 -40.3642</t>
  </si>
  <si>
    <t>236.32715007 -34.35682337</t>
  </si>
  <si>
    <t>239.85514534 -42.58515954</t>
  </si>
  <si>
    <t>240.00251065 -42.36578362</t>
  </si>
  <si>
    <t>240.00983193 -42.37072091</t>
  </si>
  <si>
    <t>240.10883485 -41.89871701</t>
  </si>
  <si>
    <t>241.76596229 -39.18657754</t>
  </si>
  <si>
    <t>242.12791341 -38.47412417</t>
  </si>
  <si>
    <t>242.15 -39.3842</t>
  </si>
  <si>
    <t>242.3623958 -38.6074778</t>
  </si>
  <si>
    <t>242.57736819 -38.60349952</t>
  </si>
  <si>
    <t>242.58264139 -38.60182811</t>
  </si>
  <si>
    <t>242.6231304 -39.37068223</t>
  </si>
  <si>
    <t>243.18229175 -38.25085441</t>
  </si>
  <si>
    <t>243.43375286 -37.61285033</t>
  </si>
  <si>
    <t>242.10735491 -39.10033907</t>
  </si>
  <si>
    <t>242.12612094 -39.1031041</t>
  </si>
  <si>
    <t>242.12839542 -39.09690023</t>
  </si>
  <si>
    <t>242.16566634 -39.10703349</t>
  </si>
  <si>
    <t>242.21487275 -39.05491827</t>
  </si>
  <si>
    <t>242.22785305 -39.62865152</t>
  </si>
  <si>
    <t>242.2313718 -39.04276106</t>
  </si>
  <si>
    <t>242.24084719 -39.039681</t>
  </si>
  <si>
    <t>242.25770353 -39.08678228</t>
  </si>
  <si>
    <t>242.2758902 -39.14774196</t>
  </si>
  <si>
    <t>242.43483685 -39.22504646</t>
  </si>
  <si>
    <t>242.45273223 -39.18801279</t>
  </si>
  <si>
    <t>239.81863109 -41.95286119</t>
  </si>
  <si>
    <t>240.12932289 -41.72694197</t>
  </si>
  <si>
    <t>240.20597286 -41.50108859</t>
  </si>
  <si>
    <t>234.86571555 -34.77144696</t>
  </si>
  <si>
    <t>234.86784791 -34.7716907</t>
  </si>
  <si>
    <t>236.30361257 -34.29184637</t>
  </si>
  <si>
    <t>236.32254983 -34.30785917</t>
  </si>
  <si>
    <t>236.68637198 -34.50991035</t>
  </si>
  <si>
    <t>236.96095442 -35.47650125</t>
  </si>
  <si>
    <t>236.98726393 -35.2429994</t>
  </si>
  <si>
    <t>237.02173123 -35.26480421</t>
  </si>
  <si>
    <t>237.37806439 -35.83094953</t>
  </si>
  <si>
    <t>237.94565801 -35.94558694</t>
  </si>
  <si>
    <t>239.17629581 -37.82096485</t>
  </si>
  <si>
    <t>239.51050505 -37.60075925</t>
  </si>
  <si>
    <t>241.79195563 -39.18423846</t>
  </si>
  <si>
    <t>241.79828173 -39.06319191</t>
  </si>
  <si>
    <t>241.96796376 -38.96835894</t>
  </si>
  <si>
    <t>242.05262774 -39.14263044</t>
  </si>
  <si>
    <t>242.09084976 -39.07263599</t>
  </si>
  <si>
    <t>242.09372293 -39.07956329</t>
  </si>
  <si>
    <t>242.10017517 -39.09706504</t>
  </si>
  <si>
    <t>239.0383613 -37.93503504</t>
  </si>
  <si>
    <t>242.7125 -38.8875</t>
  </si>
  <si>
    <t>167.6167 -37.5311</t>
  </si>
  <si>
    <t>240.1125 -20.9422</t>
  </si>
  <si>
    <t>AATau</t>
  </si>
  <si>
    <t>68.73092612 24.48139952</t>
  </si>
  <si>
    <t>ABAur</t>
  </si>
  <si>
    <t>73.94102499 30.55119258</t>
  </si>
  <si>
    <t>BFOri</t>
  </si>
  <si>
    <t>84.30525987 -6.58349039</t>
  </si>
  <si>
    <t>A5 F6</t>
  </si>
  <si>
    <t xml:space="preserve">84.85511 -2.63945        </t>
  </si>
  <si>
    <t>BPTau</t>
  </si>
  <si>
    <t>64.81597624 29.1074804</t>
  </si>
  <si>
    <t>241.7542 -39.0386</t>
  </si>
  <si>
    <t>241.7542 -39.0383</t>
  </si>
  <si>
    <t>84.71678 -2.77881</t>
  </si>
  <si>
    <t>84.91740 -2.34667</t>
  </si>
  <si>
    <t>164 -77.4111</t>
  </si>
  <si>
    <t>84.64026 -2.73726</t>
  </si>
  <si>
    <t>84.64941 -2.73083</t>
  </si>
  <si>
    <t>UYAur</t>
  </si>
  <si>
    <t>72.94745851 30.78709784</t>
  </si>
  <si>
    <t>166.7458 -77.3150</t>
  </si>
  <si>
    <t>84.59714 -2.42627</t>
  </si>
  <si>
    <t>84.6 -2.3464</t>
  </si>
  <si>
    <t>84.59823 -2.34652</t>
  </si>
  <si>
    <t>84.6042 -2.7114</t>
  </si>
  <si>
    <t>84.60588 -2.71143</t>
  </si>
  <si>
    <t>84.70535 -2.39936</t>
  </si>
  <si>
    <t>84.61349 -2.75263</t>
  </si>
  <si>
    <t>84.68900 -2.69983</t>
  </si>
  <si>
    <t>85.03713 -2.55938</t>
  </si>
  <si>
    <t>AS205N</t>
  </si>
  <si>
    <t>242.88084 -18.64015</t>
  </si>
  <si>
    <t>AS205S</t>
  </si>
  <si>
    <t>242.88083 -18.64056</t>
  </si>
  <si>
    <t>246.8154 -24.64539</t>
  </si>
  <si>
    <t>246.6917 -24.2</t>
  </si>
  <si>
    <t>5650-9350A</t>
  </si>
  <si>
    <t>Line strength and width</t>
  </si>
  <si>
    <t>67.423583 26.549028</t>
  </si>
  <si>
    <t>0.011-0.014</t>
  </si>
  <si>
    <t>Ha 10% Width</t>
  </si>
  <si>
    <t>246.8333 -24.5831</t>
  </si>
  <si>
    <t>Santamaria-Miranda 2017/2019</t>
  </si>
  <si>
    <t>R 3890 VISspectroscopy R 5400 UVBspectroscopy</t>
  </si>
  <si>
    <t>UBV-NIR</t>
  </si>
  <si>
    <t>0.13 +/- 0.07</t>
  </si>
  <si>
    <t>Hb Emission</t>
  </si>
  <si>
    <t>HII Emission</t>
  </si>
  <si>
    <t>Hy Emission</t>
  </si>
  <si>
    <t>OI Emission</t>
  </si>
  <si>
    <t>Chamaeleon</t>
  </si>
  <si>
    <t>Excess Ha</t>
  </si>
  <si>
    <t>14-24MJup</t>
  </si>
  <si>
    <t>242.000 -39.0167</t>
  </si>
  <si>
    <t>Source</t>
  </si>
  <si>
    <t>Ha EW (Å)</t>
  </si>
  <si>
    <t>PaB EW (Å)</t>
  </si>
  <si>
    <t>BrG EW (Å)</t>
  </si>
  <si>
    <t>Ha Line Flux (erg/(s*cm^2)</t>
  </si>
  <si>
    <t>Hb Line Flux (erg/(s*cm^2)</t>
  </si>
  <si>
    <t>Hgamma Line Flux (erg/(s*cm^2)</t>
  </si>
  <si>
    <t>PaB Line Flux (erg/(s*cm^2)</t>
  </si>
  <si>
    <t>PaG Line Flux (erg/(s*cm^2)</t>
  </si>
  <si>
    <t>BrG Line Flux (erg/(s*cm^2)</t>
  </si>
  <si>
    <t>He I 587.6 Line Flux (erg/(s*cm^2)</t>
  </si>
  <si>
    <t>He I 667.8 Line Flux (erg/(s*cm^2)</t>
  </si>
  <si>
    <t>Ca II K Line Flux (erg/(s*cm^2)</t>
  </si>
  <si>
    <t>Ca II H Line Flux (erg/(s*cm^2)</t>
  </si>
  <si>
    <t>Comments</t>
  </si>
  <si>
    <t>Accretion rate not listed</t>
  </si>
  <si>
    <t>Mdot, not flux, marked as UL</t>
  </si>
  <si>
    <t>Accretion rate not calculated (listed as ...)</t>
  </si>
  <si>
    <t>Data recalibrated from Haffert (2019)</t>
  </si>
  <si>
    <t>Can delete this sheet; looks like we pasted values in master sheet</t>
  </si>
  <si>
    <t>Simbad Name</t>
  </si>
  <si>
    <t>Right Ascension</t>
  </si>
  <si>
    <t>Right Ascension Error</t>
  </si>
  <si>
    <t>Declination</t>
  </si>
  <si>
    <t>Declination Error</t>
  </si>
  <si>
    <t>Parallax Angle</t>
  </si>
  <si>
    <t>Parallax Angle Error</t>
  </si>
  <si>
    <t>RA Proper Motion Error</t>
  </si>
  <si>
    <t>Dec. Proper Motion</t>
  </si>
  <si>
    <t>Dec. Proper Motion Error</t>
  </si>
  <si>
    <t>Duplicate? (0=n,1=y)</t>
  </si>
  <si>
    <t>Radial Velocity Error</t>
  </si>
  <si>
    <t>Effective Temperature</t>
  </si>
  <si>
    <t>G-band Extinction</t>
  </si>
  <si>
    <t>Reddening</t>
  </si>
  <si>
    <t>84.81596401133001</t>
  </si>
  <si>
    <t>0.0794</t>
  </si>
  <si>
    <t>-2.61410218761</t>
  </si>
  <si>
    <t>0.0842</t>
  </si>
  <si>
    <t>2.6226</t>
  </si>
  <si>
    <t>0.1057</t>
  </si>
  <si>
    <t>1.805</t>
  </si>
  <si>
    <t>0.159</t>
  </si>
  <si>
    <t>-0.405</t>
  </si>
  <si>
    <t>0.139</t>
  </si>
  <si>
    <t>0</t>
  </si>
  <si>
    <t>3732.18</t>
  </si>
  <si>
    <t>0.6</t>
  </si>
  <si>
    <t>0.064</t>
  </si>
  <si>
    <t>84.70992902921999</t>
  </si>
  <si>
    <t>0.3731</t>
  </si>
  <si>
    <t>-2.4465810567900004</t>
  </si>
  <si>
    <t>0.3938</t>
  </si>
  <si>
    <t>2.9825</t>
  </si>
  <si>
    <t>0.479</t>
  </si>
  <si>
    <t>-2.8110000000000004</t>
  </si>
  <si>
    <t>0.738</t>
  </si>
  <si>
    <t>4.958</t>
  </si>
  <si>
    <t>0.643</t>
  </si>
  <si>
    <t>1</t>
  </si>
  <si>
    <t>3660.0</t>
  </si>
  <si>
    <t>84.67333104034999</t>
  </si>
  <si>
    <t>0.0648</t>
  </si>
  <si>
    <t>-2.5080375152200003</t>
  </si>
  <si>
    <t>0.071</t>
  </si>
  <si>
    <t>2.5751</t>
  </si>
  <si>
    <t>1.183</t>
  </si>
  <si>
    <t>0.128</t>
  </si>
  <si>
    <t>-0.691</t>
  </si>
  <si>
    <t>0.11599999999999999</t>
  </si>
  <si>
    <t>3453.0</t>
  </si>
  <si>
    <t>0.9847</t>
  </si>
  <si>
    <t>0.5685</t>
  </si>
  <si>
    <t>1.01</t>
  </si>
  <si>
    <t>0.132</t>
  </si>
  <si>
    <t>84.61184879996999</t>
  </si>
  <si>
    <t>0.1224</t>
  </si>
  <si>
    <t>-2.64614636691</t>
  </si>
  <si>
    <t>0.12</t>
  </si>
  <si>
    <t>2.835</t>
  </si>
  <si>
    <t>0.141</t>
  </si>
  <si>
    <t>1.107</t>
  </si>
  <si>
    <t>0.251</t>
  </si>
  <si>
    <t>-1.2990000000000002</t>
  </si>
  <si>
    <t>0.21899999999999997</t>
  </si>
  <si>
    <t>84.64418964719</t>
  </si>
  <si>
    <t>0.0905</t>
  </si>
  <si>
    <t>-2.6857882746499997</t>
  </si>
  <si>
    <t>0.0833</t>
  </si>
  <si>
    <t>2.4897</t>
  </si>
  <si>
    <t>0.0951</t>
  </si>
  <si>
    <t>1.135</t>
  </si>
  <si>
    <t>0.172</t>
  </si>
  <si>
    <t>-0.6990000000000001</t>
  </si>
  <si>
    <t>0.138</t>
  </si>
  <si>
    <t>3681.0</t>
  </si>
  <si>
    <t>0.76</t>
  </si>
  <si>
    <t>0.095</t>
  </si>
  <si>
    <t>84.93544849515</t>
  </si>
  <si>
    <t>0.1467</t>
  </si>
  <si>
    <t>-2.41201389119</t>
  </si>
  <si>
    <t>0.1739</t>
  </si>
  <si>
    <t>2.4195</t>
  </si>
  <si>
    <t>0.2166</t>
  </si>
  <si>
    <t>1.983</t>
  </si>
  <si>
    <t>0.273</t>
  </si>
  <si>
    <t>-0.385</t>
  </si>
  <si>
    <t>0.261</t>
  </si>
  <si>
    <t>84.70041812941</t>
  </si>
  <si>
    <t>0.1539</t>
  </si>
  <si>
    <t>-2.48158095798</t>
  </si>
  <si>
    <t>0.1672</t>
  </si>
  <si>
    <t>2.7477</t>
  </si>
  <si>
    <t>0.2095</t>
  </si>
  <si>
    <t>1.281</t>
  </si>
  <si>
    <t>0.309</t>
  </si>
  <si>
    <t>-0.715</t>
  </si>
  <si>
    <t>0.275</t>
  </si>
  <si>
    <t>84.80453151803</t>
  </si>
  <si>
    <t>0.368</t>
  </si>
  <si>
    <t>-2.63082765181</t>
  </si>
  <si>
    <t>0.3631</t>
  </si>
  <si>
    <t>2.9523</t>
  </si>
  <si>
    <t>0.4972</t>
  </si>
  <si>
    <t>2.292</t>
  </si>
  <si>
    <t>0.855</t>
  </si>
  <si>
    <t>-0.537</t>
  </si>
  <si>
    <t>0.735</t>
  </si>
  <si>
    <t>84.86191122763</t>
  </si>
  <si>
    <t>0.8185</t>
  </si>
  <si>
    <t>-2.61562172316</t>
  </si>
  <si>
    <t>0.8327</t>
  </si>
  <si>
    <t>101.19642925918001</t>
  </si>
  <si>
    <t>0.2079</t>
  </si>
  <si>
    <t>0.22547777239</t>
  </si>
  <si>
    <t>0.2281</t>
  </si>
  <si>
    <t>-0.3915</t>
  </si>
  <si>
    <t>0.3056</t>
  </si>
  <si>
    <t>-1.3880000000000001</t>
  </si>
  <si>
    <t>0.43200000000000005</t>
  </si>
  <si>
    <t>-0.59</t>
  </si>
  <si>
    <t>0.48700000000000004</t>
  </si>
  <si>
    <t>84.7918482187</t>
  </si>
  <si>
    <t>0.1468</t>
  </si>
  <si>
    <t>-2.46984515713</t>
  </si>
  <si>
    <t>0.1732</t>
  </si>
  <si>
    <t>4.1785</t>
  </si>
  <si>
    <t>0.1981</t>
  </si>
  <si>
    <t>28.943</t>
  </si>
  <si>
    <t>0.282</t>
  </si>
  <si>
    <t>10.012</t>
  </si>
  <si>
    <t>0.267</t>
  </si>
  <si>
    <t>242.11709654999</t>
  </si>
  <si>
    <t>0.168</t>
  </si>
  <si>
    <t>-39.21947454473</t>
  </si>
  <si>
    <t>0.0653</t>
  </si>
  <si>
    <t>5.706</t>
  </si>
  <si>
    <t>0.2077</t>
  </si>
  <si>
    <t>-14.859000000000002</t>
  </si>
  <si>
    <t>0.335</t>
  </si>
  <si>
    <t>-20.544</t>
  </si>
  <si>
    <t>166.81900619682</t>
  </si>
  <si>
    <t>0.1217</t>
  </si>
  <si>
    <t>-77.59811310276</t>
  </si>
  <si>
    <t>0.1497</t>
  </si>
  <si>
    <t>5.0812</t>
  </si>
  <si>
    <t>0.1537</t>
  </si>
  <si>
    <t>-22.448</t>
  </si>
  <si>
    <t>0.26</t>
  </si>
  <si>
    <t>1.006</t>
  </si>
  <si>
    <t>0.244</t>
  </si>
  <si>
    <t>167.09977716872</t>
  </si>
  <si>
    <t>0.2309</t>
  </si>
  <si>
    <t>-77.6583469193</t>
  </si>
  <si>
    <t>0.2227</t>
  </si>
  <si>
    <t>5.1343</t>
  </si>
  <si>
    <t>0.2173</t>
  </si>
  <si>
    <t>-22.89</t>
  </si>
  <si>
    <t>0.46299999999999997</t>
  </si>
  <si>
    <t>-0.253</t>
  </si>
  <si>
    <t>0.41200000000000003</t>
  </si>
  <si>
    <t>167.12142964872</t>
  </si>
  <si>
    <t>0.2872</t>
  </si>
  <si>
    <t>-77.65548785348001</t>
  </si>
  <si>
    <t>0.2788</t>
  </si>
  <si>
    <t>5.2741</t>
  </si>
  <si>
    <t>0.3044</t>
  </si>
  <si>
    <t>-23.914</t>
  </si>
  <si>
    <t>0.556</t>
  </si>
  <si>
    <t>1.7519999999999998</t>
  </si>
  <si>
    <t>0.495</t>
  </si>
  <si>
    <t>166.65771525865</t>
  </si>
  <si>
    <t>0.1208</t>
  </si>
  <si>
    <t>-77.71919431599</t>
  </si>
  <si>
    <t>0.1305</t>
  </si>
  <si>
    <t>5.3038</t>
  </si>
  <si>
    <t>0.1413</t>
  </si>
  <si>
    <t>-23.208000000000002</t>
  </si>
  <si>
    <t>0.23</t>
  </si>
  <si>
    <t>0.991</t>
  </si>
  <si>
    <t>0.22699999999999998</t>
  </si>
  <si>
    <t>166.92643370348998</t>
  </si>
  <si>
    <t>2.2822</t>
  </si>
  <si>
    <t>-77.56649498688</t>
  </si>
  <si>
    <t>3.2181</t>
  </si>
  <si>
    <t>3385.5</t>
  </si>
  <si>
    <t>166.96727355152</t>
  </si>
  <si>
    <t>0.1041</t>
  </si>
  <si>
    <t>-77.61583979849</t>
  </si>
  <si>
    <t>0.1155</t>
  </si>
  <si>
    <t>5.0856</t>
  </si>
  <si>
    <t>0.1245</t>
  </si>
  <si>
    <t>-23.142</t>
  </si>
  <si>
    <t>0.195</t>
  </si>
  <si>
    <t>1.4380000000000002</t>
  </si>
  <si>
    <t>0.187</t>
  </si>
  <si>
    <t>3342.33</t>
  </si>
  <si>
    <t>2.243</t>
  </si>
  <si>
    <t>1.272</t>
  </si>
  <si>
    <t>167.10002779126998</t>
  </si>
  <si>
    <t>0.1132</t>
  </si>
  <si>
    <t>-77.69650904186999</t>
  </si>
  <si>
    <t>0.1158</t>
  </si>
  <si>
    <t>5.0815</t>
  </si>
  <si>
    <t>0.1272</t>
  </si>
  <si>
    <t>-22.959</t>
  </si>
  <si>
    <t>0.204</t>
  </si>
  <si>
    <t>0.5710000000000001</t>
  </si>
  <si>
    <t>0.201</t>
  </si>
  <si>
    <t>3344.0</t>
  </si>
  <si>
    <t>167.16412557669</t>
  </si>
  <si>
    <t>0.1146</t>
  </si>
  <si>
    <t>-77.57131248089</t>
  </si>
  <si>
    <t>0.1409</t>
  </si>
  <si>
    <t>5.5765</t>
  </si>
  <si>
    <t>0.1322</t>
  </si>
  <si>
    <t>-23.233</t>
  </si>
  <si>
    <t>0.23199999999999998</t>
  </si>
  <si>
    <t>1.443</t>
  </si>
  <si>
    <t>0.237</t>
  </si>
  <si>
    <t>3336.67</t>
  </si>
  <si>
    <t>2.033</t>
  </si>
  <si>
    <t>1.2287</t>
  </si>
  <si>
    <t>166.90679186595</t>
  </si>
  <si>
    <t>0.2197</t>
  </si>
  <si>
    <t>-77.59188282503</t>
  </si>
  <si>
    <t>0.2877</t>
  </si>
  <si>
    <t>5.4277</t>
  </si>
  <si>
    <t>0.2498</t>
  </si>
  <si>
    <t>-22.803</t>
  </si>
  <si>
    <t>0.49</t>
  </si>
  <si>
    <t>1.298</t>
  </si>
  <si>
    <t>0.499</t>
  </si>
  <si>
    <t>84.68431685463</t>
  </si>
  <si>
    <t>0.0196</t>
  </si>
  <si>
    <t>-2.6721631531599996</t>
  </si>
  <si>
    <t>0.0201</t>
  </si>
  <si>
    <t>2.4952</t>
  </si>
  <si>
    <t>0.0238</t>
  </si>
  <si>
    <t>1.517</t>
  </si>
  <si>
    <t>0.039</t>
  </si>
  <si>
    <t>-0.9890000000000001</t>
  </si>
  <si>
    <t>0.038</t>
  </si>
  <si>
    <t>4218.22</t>
  </si>
  <si>
    <t>2.4975</t>
  </si>
  <si>
    <t>1.268</t>
  </si>
  <si>
    <t>1.69</t>
  </si>
  <si>
    <t>0.8109999999999999</t>
  </si>
  <si>
    <t>84.66038077498</t>
  </si>
  <si>
    <t>0.0319</t>
  </si>
  <si>
    <t>-2.5819710652000003</t>
  </si>
  <si>
    <t>0.0343</t>
  </si>
  <si>
    <t>2.4196</t>
  </si>
  <si>
    <t>0.0372</t>
  </si>
  <si>
    <t>0.85</t>
  </si>
  <si>
    <t>0.063</t>
  </si>
  <si>
    <t>-0.22</t>
  </si>
  <si>
    <t>0.061</t>
  </si>
  <si>
    <t>4324.09</t>
  </si>
  <si>
    <t>3.12</t>
  </si>
  <si>
    <t>3.0610000000000004</t>
  </si>
  <si>
    <t>84.70016042021</t>
  </si>
  <si>
    <t>0.8035</t>
  </si>
  <si>
    <t>-2.4539368361</t>
  </si>
  <si>
    <t>0.7527</t>
  </si>
  <si>
    <t>4019.67</t>
  </si>
  <si>
    <t>84.58543521045</t>
  </si>
  <si>
    <t>0.1417</t>
  </si>
  <si>
    <t>-2.56916238656</t>
  </si>
  <si>
    <t>0.1297</t>
  </si>
  <si>
    <t>2.9181</t>
  </si>
  <si>
    <t>0.165</t>
  </si>
  <si>
    <t>1.204</t>
  </si>
  <si>
    <t>0.276</t>
  </si>
  <si>
    <t>-0.488</t>
  </si>
  <si>
    <t>0.226</t>
  </si>
  <si>
    <t>84.63162785212</t>
  </si>
  <si>
    <t>0.9202</t>
  </si>
  <si>
    <t>-2.58749580812</t>
  </si>
  <si>
    <t>0.8588</t>
  </si>
  <si>
    <t>3659.0</t>
  </si>
  <si>
    <t>84.64192171144</t>
  </si>
  <si>
    <t>0.1842</t>
  </si>
  <si>
    <t>-2.61043801395</t>
  </si>
  <si>
    <t>0.1791</t>
  </si>
  <si>
    <t>2.5997</t>
  </si>
  <si>
    <t>0.215</t>
  </si>
  <si>
    <t>-0.327</t>
  </si>
  <si>
    <t>0.37</t>
  </si>
  <si>
    <t>1.114</t>
  </si>
  <si>
    <t>0.331</t>
  </si>
  <si>
    <t>4307.99</t>
  </si>
  <si>
    <t>2.688</t>
  </si>
  <si>
    <t>1.3582</t>
  </si>
  <si>
    <t>0.64</t>
  </si>
  <si>
    <t>0.127</t>
  </si>
  <si>
    <t>55.98031611204001</t>
  </si>
  <si>
    <t>0.3302</t>
  </si>
  <si>
    <t>32.13144863698</t>
  </si>
  <si>
    <t>0.1273</t>
  </si>
  <si>
    <t>2.5621</t>
  </si>
  <si>
    <t>0.3198</t>
  </si>
  <si>
    <t>4.194</t>
  </si>
  <si>
    <t>0.591</t>
  </si>
  <si>
    <t>-7.207999999999999</t>
  </si>
  <si>
    <t>0.327</t>
  </si>
  <si>
    <t>56.04218451588</t>
  </si>
  <si>
    <t>1.938</t>
  </si>
  <si>
    <t>32.06789947079</t>
  </si>
  <si>
    <t>0.8839</t>
  </si>
  <si>
    <t>56.12419231082</t>
  </si>
  <si>
    <t>0.4299</t>
  </si>
  <si>
    <t>32.01513414239</t>
  </si>
  <si>
    <t>0.1907</t>
  </si>
  <si>
    <t>2.039</t>
  </si>
  <si>
    <t>0.3952</t>
  </si>
  <si>
    <t>3.016</t>
  </si>
  <si>
    <t>0.94</t>
  </si>
  <si>
    <t>-7.614</t>
  </si>
  <si>
    <t>0.501</t>
  </si>
  <si>
    <t>63.54955404774999</t>
  </si>
  <si>
    <t>0.156</t>
  </si>
  <si>
    <t>28.198066642990003</t>
  </si>
  <si>
    <t>0.0671</t>
  </si>
  <si>
    <t>7.6285</t>
  </si>
  <si>
    <t>0.1661</t>
  </si>
  <si>
    <t>9.077</t>
  </si>
  <si>
    <t>0.42100000000000004</t>
  </si>
  <si>
    <t>-23.889</t>
  </si>
  <si>
    <t>0.21100000000000002</t>
  </si>
  <si>
    <t>64.45652921192</t>
  </si>
  <si>
    <t>0.1095</t>
  </si>
  <si>
    <t>28.225383194549998</t>
  </si>
  <si>
    <t>0.0582</t>
  </si>
  <si>
    <t>7.2796</t>
  </si>
  <si>
    <t>0.1166</t>
  </si>
  <si>
    <t>8.81</t>
  </si>
  <si>
    <t>0.23800000000000002</t>
  </si>
  <si>
    <t>-25.219</t>
  </si>
  <si>
    <t>0.188</t>
  </si>
  <si>
    <t>4673.06</t>
  </si>
  <si>
    <t>64.62630140648001</t>
  </si>
  <si>
    <t>0.0882</t>
  </si>
  <si>
    <t>27.722289610909996</t>
  </si>
  <si>
    <t>0.0458</t>
  </si>
  <si>
    <t>7.6986</t>
  </si>
  <si>
    <t>0.0939</t>
  </si>
  <si>
    <t>8.732999999999999</t>
  </si>
  <si>
    <t>0.196</t>
  </si>
  <si>
    <t>-26.265</t>
  </si>
  <si>
    <t>0.145</t>
  </si>
  <si>
    <t>3470.67</t>
  </si>
  <si>
    <t>64.71317637007</t>
  </si>
  <si>
    <t>0.2731</t>
  </si>
  <si>
    <t>28.242476307540002</t>
  </si>
  <si>
    <t>0.1336</t>
  </si>
  <si>
    <t>7.9582</t>
  </si>
  <si>
    <t>0.3064</t>
  </si>
  <si>
    <t>8.613999999999999</t>
  </si>
  <si>
    <t>0.626</t>
  </si>
  <si>
    <t>-24.653000000000002</t>
  </si>
  <si>
    <t>0.369</t>
  </si>
  <si>
    <t>64.75533699347</t>
  </si>
  <si>
    <t>12.6839</t>
  </si>
  <si>
    <t>28.0467072173</t>
  </si>
  <si>
    <t>2.8609</t>
  </si>
  <si>
    <t>66.62251143632</t>
  </si>
  <si>
    <t>0.1951</t>
  </si>
  <si>
    <t>26.403734799400002</t>
  </si>
  <si>
    <t>0.1226</t>
  </si>
  <si>
    <t>6.4152</t>
  </si>
  <si>
    <t>0.2272</t>
  </si>
  <si>
    <t>10.898</t>
  </si>
  <si>
    <t>0.364</t>
  </si>
  <si>
    <t>-17.854</t>
  </si>
  <si>
    <t>0.289</t>
  </si>
  <si>
    <t>66.86667415169</t>
  </si>
  <si>
    <t>1.165</t>
  </si>
  <si>
    <t>26.20131514855</t>
  </si>
  <si>
    <t>0.8729</t>
  </si>
  <si>
    <t>7.4243</t>
  </si>
  <si>
    <t>1.2143</t>
  </si>
  <si>
    <t>2.4330000000000003</t>
  </si>
  <si>
    <t>-23.448</t>
  </si>
  <si>
    <t>2.3280000000000003</t>
  </si>
  <si>
    <t>67.44033869879</t>
  </si>
  <si>
    <t>0.1836</t>
  </si>
  <si>
    <t>26.51284292194</t>
  </si>
  <si>
    <t>0.1113</t>
  </si>
  <si>
    <t>7.7986</t>
  </si>
  <si>
    <t>0.2073</t>
  </si>
  <si>
    <t>6.867999999999999</t>
  </si>
  <si>
    <t>0.386</t>
  </si>
  <si>
    <t>-20.967</t>
  </si>
  <si>
    <t>0.252</t>
  </si>
  <si>
    <t>3296.0</t>
  </si>
  <si>
    <t>67.53021460560001</t>
  </si>
  <si>
    <t>0.5217</t>
  </si>
  <si>
    <t>26.13898846192</t>
  </si>
  <si>
    <t>0.357</t>
  </si>
  <si>
    <t>8.6163</t>
  </si>
  <si>
    <t>0.533</t>
  </si>
  <si>
    <t>2.667</t>
  </si>
  <si>
    <t>1.193</t>
  </si>
  <si>
    <t>-21.925</t>
  </si>
  <si>
    <t>0.86</t>
  </si>
  <si>
    <t>67.73837490937</t>
  </si>
  <si>
    <t>0.433</t>
  </si>
  <si>
    <t>25.94422311506</t>
  </si>
  <si>
    <t>0.268</t>
  </si>
  <si>
    <t>8.1419</t>
  </si>
  <si>
    <t>0.46</t>
  </si>
  <si>
    <t>5.4239999999999995</t>
  </si>
  <si>
    <t>0.8859999999999999</t>
  </si>
  <si>
    <t>-23.019000000000002</t>
  </si>
  <si>
    <t>0.596</t>
  </si>
  <si>
    <t>68.06699905353001</t>
  </si>
  <si>
    <t>0.0884</t>
  </si>
  <si>
    <t>18.212808676170003</t>
  </si>
  <si>
    <t>0.0427</t>
  </si>
  <si>
    <t>6.9146</t>
  </si>
  <si>
    <t>0.0954</t>
  </si>
  <si>
    <t>13.081</t>
  </si>
  <si>
    <t>0.20199999999999999</t>
  </si>
  <si>
    <t>-17.566</t>
  </si>
  <si>
    <t>0.114</t>
  </si>
  <si>
    <t>3803.88</t>
  </si>
  <si>
    <t>2.186</t>
  </si>
  <si>
    <t>1.263</t>
  </si>
  <si>
    <t>68.12651341096999</t>
  </si>
  <si>
    <t>0.8594</t>
  </si>
  <si>
    <t>17.527839126529997</t>
  </si>
  <si>
    <t>0.7949</t>
  </si>
  <si>
    <t>-6.6525</t>
  </si>
  <si>
    <t>1.0694</t>
  </si>
  <si>
    <t>28.905</t>
  </si>
  <si>
    <t>2.151</t>
  </si>
  <si>
    <t>-39.615</t>
  </si>
  <si>
    <t>1.976</t>
  </si>
  <si>
    <t>3753.4</t>
  </si>
  <si>
    <t>68.28257873281</t>
  </si>
  <si>
    <t>0.185</t>
  </si>
  <si>
    <t>26.26841510605</t>
  </si>
  <si>
    <t>0.1227</t>
  </si>
  <si>
    <t>6.5681</t>
  </si>
  <si>
    <t>0.2119</t>
  </si>
  <si>
    <t>7.167999999999999</t>
  </si>
  <si>
    <t>0.504</t>
  </si>
  <si>
    <t>-17.312</t>
  </si>
  <si>
    <t>0.316</t>
  </si>
  <si>
    <t>68.39194796116</t>
  </si>
  <si>
    <t>0.0469</t>
  </si>
  <si>
    <t>24.354652459</t>
  </si>
  <si>
    <t>0.0309</t>
  </si>
  <si>
    <t>7.6626</t>
  </si>
  <si>
    <t>0.046</t>
  </si>
  <si>
    <t>5.882999999999999</t>
  </si>
  <si>
    <t>0.10800000000000001</t>
  </si>
  <si>
    <t>-20.551</t>
  </si>
  <si>
    <t>0.076</t>
  </si>
  <si>
    <t>3486.0</t>
  </si>
  <si>
    <t>2.586</t>
  </si>
  <si>
    <t>1.294</t>
  </si>
  <si>
    <t>1.38</t>
  </si>
  <si>
    <t>0.253</t>
  </si>
  <si>
    <t>68.39404779763001</t>
  </si>
  <si>
    <t>0.0423</t>
  </si>
  <si>
    <t>24.351538070209997</t>
  </si>
  <si>
    <t>0.0284</t>
  </si>
  <si>
    <t>7.7362</t>
  </si>
  <si>
    <t>0.0435</t>
  </si>
  <si>
    <t>7.752999999999999</t>
  </si>
  <si>
    <t>-20.483</t>
  </si>
  <si>
    <t>0.07</t>
  </si>
  <si>
    <t>3898.01</t>
  </si>
  <si>
    <t>3.0187</t>
  </si>
  <si>
    <t>1.538</t>
  </si>
  <si>
    <t>0.39399999999999996</t>
  </si>
  <si>
    <t>68.41406470707</t>
  </si>
  <si>
    <t>0.1438</t>
  </si>
  <si>
    <t>17.8644484278</t>
  </si>
  <si>
    <t>0.0761</t>
  </si>
  <si>
    <t>7.322</t>
  </si>
  <si>
    <t>0.1578</t>
  </si>
  <si>
    <t>13.163</t>
  </si>
  <si>
    <t>0.348</t>
  </si>
  <si>
    <t>-18.613</t>
  </si>
  <si>
    <t>0.198</t>
  </si>
  <si>
    <t>4250.0</t>
  </si>
  <si>
    <t>0.1427</t>
  </si>
  <si>
    <t>0.54</t>
  </si>
  <si>
    <t>0.085</t>
  </si>
  <si>
    <t>69.16224820872</t>
  </si>
  <si>
    <t>0.288</t>
  </si>
  <si>
    <t>22.96988841448</t>
  </si>
  <si>
    <t>0.1619</t>
  </si>
  <si>
    <t>5.4375</t>
  </si>
  <si>
    <t>0.3327</t>
  </si>
  <si>
    <t>9.548</t>
  </si>
  <si>
    <t>0.731</t>
  </si>
  <si>
    <t>-15.974</t>
  </si>
  <si>
    <t>0.37200000000000005</t>
  </si>
  <si>
    <t>69.56203313645</t>
  </si>
  <si>
    <t>0.6109</t>
  </si>
  <si>
    <t>26.19433685804</t>
  </si>
  <si>
    <t>0.4281</t>
  </si>
  <si>
    <t>6.8771</t>
  </si>
  <si>
    <t>0.6942</t>
  </si>
  <si>
    <t>4.013999999999999</t>
  </si>
  <si>
    <t>1.365</t>
  </si>
  <si>
    <t>-23.168000000000003</t>
  </si>
  <si>
    <t>1.0070000000000001</t>
  </si>
  <si>
    <t>69.76653526707</t>
  </si>
  <si>
    <t>0.186</t>
  </si>
  <si>
    <t>25.740560672470004</t>
  </si>
  <si>
    <t>0.115</t>
  </si>
  <si>
    <t>6.945</t>
  </si>
  <si>
    <t>0.2107</t>
  </si>
  <si>
    <t>7.037000000000001</t>
  </si>
  <si>
    <t>0.36200000000000004</t>
  </si>
  <si>
    <t>-20.605999999999998</t>
  </si>
  <si>
    <t>0.249</t>
  </si>
  <si>
    <t>69.94787355129</t>
  </si>
  <si>
    <t>0.221</t>
  </si>
  <si>
    <t>26.02787631047</t>
  </si>
  <si>
    <t>0.1366</t>
  </si>
  <si>
    <t>6.7966</t>
  </si>
  <si>
    <t>0.2372</t>
  </si>
  <si>
    <t>6.627999999999999</t>
  </si>
  <si>
    <t>0.483</t>
  </si>
  <si>
    <t>-21.865</t>
  </si>
  <si>
    <t>70.45107273714001</t>
  </si>
  <si>
    <t>0.1762</t>
  </si>
  <si>
    <t>25.57507367388</t>
  </si>
  <si>
    <t>0.1118</t>
  </si>
  <si>
    <t>7.3442</t>
  </si>
  <si>
    <t>0.2017</t>
  </si>
  <si>
    <t>4.511</t>
  </si>
  <si>
    <t>0.4</t>
  </si>
  <si>
    <t>-19.605</t>
  </si>
  <si>
    <t>71.11312309552</t>
  </si>
  <si>
    <t>0.1209</t>
  </si>
  <si>
    <t>25.204479828389996</t>
  </si>
  <si>
    <t>0.067</t>
  </si>
  <si>
    <t>7.0915</t>
  </si>
  <si>
    <t>0.1363</t>
  </si>
  <si>
    <t>6.452999999999999</t>
  </si>
  <si>
    <t>-20.154</t>
  </si>
  <si>
    <t>0.107</t>
  </si>
  <si>
    <t>3711.19</t>
  </si>
  <si>
    <t>2.1657</t>
  </si>
  <si>
    <t>1.2675</t>
  </si>
  <si>
    <t>73.79577514913</t>
  </si>
  <si>
    <t>0.0743</t>
  </si>
  <si>
    <t>30.36638805305</t>
  </si>
  <si>
    <t>0.0419</t>
  </si>
  <si>
    <t>6.2642</t>
  </si>
  <si>
    <t>0.0829</t>
  </si>
  <si>
    <t>3.8989999999999996</t>
  </si>
  <si>
    <t>0.14800000000000002</t>
  </si>
  <si>
    <t>-24.451</t>
  </si>
  <si>
    <t>0.07200000000000001</t>
  </si>
  <si>
    <t>4339.0</t>
  </si>
  <si>
    <t>1.31</t>
  </si>
  <si>
    <t>0.546</t>
  </si>
  <si>
    <t>73.9482567293</t>
  </si>
  <si>
    <t>0.1177</t>
  </si>
  <si>
    <t>30.46866446242</t>
  </si>
  <si>
    <t>0.0759</t>
  </si>
  <si>
    <t>6.3801</t>
  </si>
  <si>
    <t>0.1518</t>
  </si>
  <si>
    <t>3.477</t>
  </si>
  <si>
    <t>0.223</t>
  </si>
  <si>
    <t>-23.996</t>
  </si>
  <si>
    <t>0.13</t>
  </si>
  <si>
    <t>4139.72</t>
  </si>
  <si>
    <t>1.555</t>
  </si>
  <si>
    <t>0.8417</t>
  </si>
  <si>
    <t>73.95011464468</t>
  </si>
  <si>
    <t>0.1369</t>
  </si>
  <si>
    <t>30.4679078957</t>
  </si>
  <si>
    <t>0.0866</t>
  </si>
  <si>
    <t>6.0669</t>
  </si>
  <si>
    <t>0.1754</t>
  </si>
  <si>
    <t>4.602</t>
  </si>
  <si>
    <t>0.254</t>
  </si>
  <si>
    <t>-23.697</t>
  </si>
  <si>
    <t>0.149</t>
  </si>
  <si>
    <t>84.50406373109999</t>
  </si>
  <si>
    <t>0.0527</t>
  </si>
  <si>
    <t>-2.43554293091</t>
  </si>
  <si>
    <t>0.048</t>
  </si>
  <si>
    <t>2.8637</t>
  </si>
  <si>
    <t>0.0552</t>
  </si>
  <si>
    <t>1.749</t>
  </si>
  <si>
    <t>0.105</t>
  </si>
  <si>
    <t>-1.328</t>
  </si>
  <si>
    <t>0.08800000000000001</t>
  </si>
  <si>
    <t>3435.0</t>
  </si>
  <si>
    <t>84.55498861871</t>
  </si>
  <si>
    <t>1.1031</t>
  </si>
  <si>
    <t>-2.43573769993</t>
  </si>
  <si>
    <t>0.8687</t>
  </si>
  <si>
    <t>3668.05</t>
  </si>
  <si>
    <t>84.57602302779999</t>
  </si>
  <si>
    <t>0.0645</t>
  </si>
  <si>
    <t>-2.80400173814</t>
  </si>
  <si>
    <t>0.0614</t>
  </si>
  <si>
    <t>2.4818</t>
  </si>
  <si>
    <t>0.0792</t>
  </si>
  <si>
    <t>1.3430000000000002</t>
  </si>
  <si>
    <t>0.12300000000000001</t>
  </si>
  <si>
    <t>0.109</t>
  </si>
  <si>
    <t>3458.75</t>
  </si>
  <si>
    <t>1.15</t>
  </si>
  <si>
    <t>0.16899999999999998</t>
  </si>
  <si>
    <t>84.59641873319</t>
  </si>
  <si>
    <t>5.0158</t>
  </si>
  <si>
    <t>-2.61368282818</t>
  </si>
  <si>
    <t>5.6051</t>
  </si>
  <si>
    <t>84.66263690648</t>
  </si>
  <si>
    <t>0.0805</t>
  </si>
  <si>
    <t>-2.75895162787</t>
  </si>
  <si>
    <t>0.0719</t>
  </si>
  <si>
    <t>2.3346</t>
  </si>
  <si>
    <t>0.0822</t>
  </si>
  <si>
    <t>1.155</t>
  </si>
  <si>
    <t>-0.45399999999999996</t>
  </si>
  <si>
    <t>3668.98</t>
  </si>
  <si>
    <t>1.917</t>
  </si>
  <si>
    <t>0.962</t>
  </si>
  <si>
    <t>0.9</t>
  </si>
  <si>
    <t>84.66569584524</t>
  </si>
  <si>
    <t>1.7348</t>
  </si>
  <si>
    <t>-2.5390001533</t>
  </si>
  <si>
    <t>1.902</t>
  </si>
  <si>
    <t>84.66891102567</t>
  </si>
  <si>
    <t>0.0888</t>
  </si>
  <si>
    <t>-2.55766846949</t>
  </si>
  <si>
    <t>0.0911</t>
  </si>
  <si>
    <t>2.6874</t>
  </si>
  <si>
    <t>0.1036</t>
  </si>
  <si>
    <t>0.7440000000000001</t>
  </si>
  <si>
    <t>0.0</t>
  </si>
  <si>
    <t>4598.21</t>
  </si>
  <si>
    <t>84.68538235292</t>
  </si>
  <si>
    <t>0.3286</t>
  </si>
  <si>
    <t>-2.67715072367</t>
  </si>
  <si>
    <t>0.3136</t>
  </si>
  <si>
    <t>3.1761</t>
  </si>
  <si>
    <t>0.397</t>
  </si>
  <si>
    <t>1.179</t>
  </si>
  <si>
    <t>0.68</t>
  </si>
  <si>
    <t>-0.39</t>
  </si>
  <si>
    <t>0.679</t>
  </si>
  <si>
    <t>84.69811271748</t>
  </si>
  <si>
    <t>0.0796</t>
  </si>
  <si>
    <t>-2.45334465109</t>
  </si>
  <si>
    <t>0.0847</t>
  </si>
  <si>
    <t>2.6269</t>
  </si>
  <si>
    <t>0.1012</t>
  </si>
  <si>
    <t>1.339</t>
  </si>
  <si>
    <t>0.16</t>
  </si>
  <si>
    <t>-0.585</t>
  </si>
  <si>
    <t>0.14300000000000002</t>
  </si>
  <si>
    <t>4083.52</t>
  </si>
  <si>
    <t>0.09</t>
  </si>
  <si>
    <t>84.70079898640999</t>
  </si>
  <si>
    <t>0.1775</t>
  </si>
  <si>
    <t>-2.73357629847</t>
  </si>
  <si>
    <t>0.157</t>
  </si>
  <si>
    <t>2.3393</t>
  </si>
  <si>
    <t>0.181</t>
  </si>
  <si>
    <t>1.067</t>
  </si>
  <si>
    <t>-1.199</t>
  </si>
  <si>
    <t>0.287</t>
  </si>
  <si>
    <t>84.71087501513</t>
  </si>
  <si>
    <t>0.1182</t>
  </si>
  <si>
    <t>-2.7119372843900003</t>
  </si>
  <si>
    <t>0.1153</t>
  </si>
  <si>
    <t>2.5072</t>
  </si>
  <si>
    <t>0.1412</t>
  </si>
  <si>
    <t>1.131</t>
  </si>
  <si>
    <t>0.247</t>
  </si>
  <si>
    <t>0.207</t>
  </si>
  <si>
    <t>84.7430013902</t>
  </si>
  <si>
    <t>0.0335</t>
  </si>
  <si>
    <t>-2.26947968211</t>
  </si>
  <si>
    <t>0.0374</t>
  </si>
  <si>
    <t>2.5082</t>
  </si>
  <si>
    <t>0.0408</t>
  </si>
  <si>
    <t>0.665</t>
  </si>
  <si>
    <t>0.45799999999999996</t>
  </si>
  <si>
    <t>0.057</t>
  </si>
  <si>
    <t>3967.89</t>
  </si>
  <si>
    <t>2.273</t>
  </si>
  <si>
    <t>1.138</t>
  </si>
  <si>
    <t>1.21</t>
  </si>
  <si>
    <t>0.326</t>
  </si>
  <si>
    <t>84.75808708865</t>
  </si>
  <si>
    <t>0.1632</t>
  </si>
  <si>
    <t>-2.58414134593</t>
  </si>
  <si>
    <t>0.1757</t>
  </si>
  <si>
    <t>2.9774</t>
  </si>
  <si>
    <t>0.2068</t>
  </si>
  <si>
    <t>1.9180000000000001</t>
  </si>
  <si>
    <t>0.33</t>
  </si>
  <si>
    <t>-0.348</t>
  </si>
  <si>
    <t>84.76241792436</t>
  </si>
  <si>
    <t>-2.6908822162299995</t>
  </si>
  <si>
    <t>0.0712</t>
  </si>
  <si>
    <t>2.4378</t>
  </si>
  <si>
    <t>0.0856</t>
  </si>
  <si>
    <t>1.367</t>
  </si>
  <si>
    <t>-0.67</t>
  </si>
  <si>
    <t>0.11199999999999999</t>
  </si>
  <si>
    <t>3844.01</t>
  </si>
  <si>
    <t>84.76613906287</t>
  </si>
  <si>
    <t>0.1087</t>
  </si>
  <si>
    <t>-2.33558804873</t>
  </si>
  <si>
    <t>0.1246</t>
  </si>
  <si>
    <t>2.8797</t>
  </si>
  <si>
    <t>0.1471</t>
  </si>
  <si>
    <t>1.8630000000000002</t>
  </si>
  <si>
    <t>0.19399999999999998</t>
  </si>
  <si>
    <t>0.006999999999999999</t>
  </si>
  <si>
    <t>0.184</t>
  </si>
  <si>
    <t>3955.02</t>
  </si>
  <si>
    <t>84.78554205754001</t>
  </si>
  <si>
    <t>-2.86294475754</t>
  </si>
  <si>
    <t>0.1147</t>
  </si>
  <si>
    <t>2.326</t>
  </si>
  <si>
    <t>0.1256</t>
  </si>
  <si>
    <t>3.1519999999999997</t>
  </si>
  <si>
    <t>0.255</t>
  </si>
  <si>
    <t>-1.632</t>
  </si>
  <si>
    <t>0.213</t>
  </si>
  <si>
    <t>3682.05</t>
  </si>
  <si>
    <t>0.475</t>
  </si>
  <si>
    <t>84.78659306337</t>
  </si>
  <si>
    <t>0.093</t>
  </si>
  <si>
    <t>-2.51988507575</t>
  </si>
  <si>
    <t>2.9821</t>
  </si>
  <si>
    <t>0.133</t>
  </si>
  <si>
    <t>1.095</t>
  </si>
  <si>
    <t>-0.09300000000000001</t>
  </si>
  <si>
    <t>3607.28</t>
  </si>
  <si>
    <t>0.63</t>
  </si>
  <si>
    <t>84.82531439533001</t>
  </si>
  <si>
    <t>0.0354</t>
  </si>
  <si>
    <t>-2.49126134398</t>
  </si>
  <si>
    <t>0.0398</t>
  </si>
  <si>
    <t>2.6776</t>
  </si>
  <si>
    <t>0.0451</t>
  </si>
  <si>
    <t>2.072</t>
  </si>
  <si>
    <t>0.069</t>
  </si>
  <si>
    <t>-1.369</t>
  </si>
  <si>
    <t>24.6</t>
  </si>
  <si>
    <t>5.31</t>
  </si>
  <si>
    <t>4885.0</t>
  </si>
  <si>
    <t>1.451</t>
  </si>
  <si>
    <t>0.7198</t>
  </si>
  <si>
    <t>1.66</t>
  </si>
  <si>
    <t>1.42</t>
  </si>
  <si>
    <t>84.84062104656</t>
  </si>
  <si>
    <t>0.0262</t>
  </si>
  <si>
    <t>-2.73442714482</t>
  </si>
  <si>
    <t>0.0272</t>
  </si>
  <si>
    <t>0.5023</t>
  </si>
  <si>
    <t>0.0303</t>
  </si>
  <si>
    <t>0.8590000000000001</t>
  </si>
  <si>
    <t>0.052000000000000005</t>
  </si>
  <si>
    <t>-2.7060000000000004</t>
  </si>
  <si>
    <t>0.045</t>
  </si>
  <si>
    <t>58.43</t>
  </si>
  <si>
    <t>2.93</t>
  </si>
  <si>
    <t>3879.5</t>
  </si>
  <si>
    <t>1.3525</t>
  </si>
  <si>
    <t>0.6577</t>
  </si>
  <si>
    <t>10.28</t>
  </si>
  <si>
    <t>21.548000000000002</t>
  </si>
  <si>
    <t>84.85974424943001</t>
  </si>
  <si>
    <t>0.1016</t>
  </si>
  <si>
    <t>-2.4771440923</t>
  </si>
  <si>
    <t>0.1203</t>
  </si>
  <si>
    <t>2.7001</t>
  </si>
  <si>
    <t>0.1387</t>
  </si>
  <si>
    <t>1.524</t>
  </si>
  <si>
    <t>-0.843</t>
  </si>
  <si>
    <t>0.177</t>
  </si>
  <si>
    <t>4344.07</t>
  </si>
  <si>
    <t>84.86156509849</t>
  </si>
  <si>
    <t>-2.71621458723</t>
  </si>
  <si>
    <t>0.0813</t>
  </si>
  <si>
    <t>2.3865</t>
  </si>
  <si>
    <t>0.0898</t>
  </si>
  <si>
    <t>1.869</t>
  </si>
  <si>
    <t>-0.7809999999999999</t>
  </si>
  <si>
    <t>3804.01</t>
  </si>
  <si>
    <t>0.086</t>
  </si>
  <si>
    <t>84.87231083614</t>
  </si>
  <si>
    <t>0.0539</t>
  </si>
  <si>
    <t>-2.45584468874</t>
  </si>
  <si>
    <t>0.0577</t>
  </si>
  <si>
    <t>2.5824</t>
  </si>
  <si>
    <t>0.0686</t>
  </si>
  <si>
    <t>1.651</t>
  </si>
  <si>
    <t>0.10300000000000001</t>
  </si>
  <si>
    <t>-0.251</t>
  </si>
  <si>
    <t>0.099</t>
  </si>
  <si>
    <t>4060.0</t>
  </si>
  <si>
    <t>0.53</t>
  </si>
  <si>
    <t>0.068</t>
  </si>
  <si>
    <t>84.92994193059</t>
  </si>
  <si>
    <t>0.0747</t>
  </si>
  <si>
    <t>-2.54538361493</t>
  </si>
  <si>
    <t>0.0845</t>
  </si>
  <si>
    <t>2.7562</t>
  </si>
  <si>
    <t>0.1003</t>
  </si>
  <si>
    <t>1.8230000000000002</t>
  </si>
  <si>
    <t>0.14</t>
  </si>
  <si>
    <t>-0.344</t>
  </si>
  <si>
    <t>4630.13</t>
  </si>
  <si>
    <t>84.95602612001</t>
  </si>
  <si>
    <t>0.0851</t>
  </si>
  <si>
    <t>-2.3961012867400004</t>
  </si>
  <si>
    <t>0.0957</t>
  </si>
  <si>
    <t>2.2915</t>
  </si>
  <si>
    <t>0.1181</t>
  </si>
  <si>
    <t>2.387</t>
  </si>
  <si>
    <t>-0.021</t>
  </si>
  <si>
    <t>0.152</t>
  </si>
  <si>
    <t>4386.98</t>
  </si>
  <si>
    <t>84.97586141986</t>
  </si>
  <si>
    <t>0.1065</t>
  </si>
  <si>
    <t>-2.45909274907</t>
  </si>
  <si>
    <t>0.1231</t>
  </si>
  <si>
    <t>2.6194</t>
  </si>
  <si>
    <t>0.1424</t>
  </si>
  <si>
    <t>1.87</t>
  </si>
  <si>
    <t>-0.49</t>
  </si>
  <si>
    <t>0.182</t>
  </si>
  <si>
    <t>4283.86</t>
  </si>
  <si>
    <t>0.8935</t>
  </si>
  <si>
    <t>0.4727</t>
  </si>
  <si>
    <t>85.00423860586</t>
  </si>
  <si>
    <t>0.0912</t>
  </si>
  <si>
    <t>-2.3332893233700003</t>
  </si>
  <si>
    <t>0.1007</t>
  </si>
  <si>
    <t>2.4791</t>
  </si>
  <si>
    <t>0.1294</t>
  </si>
  <si>
    <t>2.201</t>
  </si>
  <si>
    <t>0.171</t>
  </si>
  <si>
    <t>-0.4</t>
  </si>
  <si>
    <t>0.17300000000000001</t>
  </si>
  <si>
    <t>4247.11</t>
  </si>
  <si>
    <t>1.406</t>
  </si>
  <si>
    <t>0.826</t>
  </si>
  <si>
    <t>101.13728852433</t>
  </si>
  <si>
    <t>1.4093</t>
  </si>
  <si>
    <t>0.39850979853</t>
  </si>
  <si>
    <t>1.0902</t>
  </si>
  <si>
    <t>101.13741445021</t>
  </si>
  <si>
    <t>2.9464</t>
  </si>
  <si>
    <t>0.18143219702</t>
  </si>
  <si>
    <t>3.2498</t>
  </si>
  <si>
    <t>101.14752237923</t>
  </si>
  <si>
    <t>0.1258</t>
  </si>
  <si>
    <t>0.3192384803</t>
  </si>
  <si>
    <t>0.1253</t>
  </si>
  <si>
    <t>0.1877</t>
  </si>
  <si>
    <t>0.1486</t>
  </si>
  <si>
    <t>-0.457</t>
  </si>
  <si>
    <t>0.265</t>
  </si>
  <si>
    <t>0.077</t>
  </si>
  <si>
    <t>0.264</t>
  </si>
  <si>
    <t>101.15341854149</t>
  </si>
  <si>
    <t>0.0699</t>
  </si>
  <si>
    <t>0.27182923112</t>
  </si>
  <si>
    <t>0.3417</t>
  </si>
  <si>
    <t>0.0823</t>
  </si>
  <si>
    <t>-0.529</t>
  </si>
  <si>
    <t>0.15</t>
  </si>
  <si>
    <t>0.044000000000000004</t>
  </si>
  <si>
    <t>0.14400000000000002</t>
  </si>
  <si>
    <t>4709.75</t>
  </si>
  <si>
    <t>101.15785312948</t>
  </si>
  <si>
    <t>0.0557</t>
  </si>
  <si>
    <t>0.3641741426199999</t>
  </si>
  <si>
    <t>0.053</t>
  </si>
  <si>
    <t>0.1507</t>
  </si>
  <si>
    <t>0.0623</t>
  </si>
  <si>
    <t>-0.341</t>
  </si>
  <si>
    <t>0.424</t>
  </si>
  <si>
    <t>0.124</t>
  </si>
  <si>
    <t>3823.0</t>
  </si>
  <si>
    <t>1.459</t>
  </si>
  <si>
    <t>0.7123</t>
  </si>
  <si>
    <t>101.15943700333</t>
  </si>
  <si>
    <t>0.1002</t>
  </si>
  <si>
    <t>0.32304470297</t>
  </si>
  <si>
    <t>0.0978</t>
  </si>
  <si>
    <t>0.377</t>
  </si>
  <si>
    <t>0.1052</t>
  </si>
  <si>
    <t>-0.777</t>
  </si>
  <si>
    <t>0.21</t>
  </si>
  <si>
    <t>0.9259999999999999</t>
  </si>
  <si>
    <t>0.20800000000000002</t>
  </si>
  <si>
    <t>101.18735502445</t>
  </si>
  <si>
    <t>0.1021</t>
  </si>
  <si>
    <t>0.32597221253</t>
  </si>
  <si>
    <t>0.0976</t>
  </si>
  <si>
    <t>-0.0509</t>
  </si>
  <si>
    <t>0.1185</t>
  </si>
  <si>
    <t>-0.38799999999999996</t>
  </si>
  <si>
    <t>0.233</t>
  </si>
  <si>
    <t>0.043</t>
  </si>
  <si>
    <t>0.231</t>
  </si>
  <si>
    <t>101.20588844424</t>
  </si>
  <si>
    <t>0.1797</t>
  </si>
  <si>
    <t>0.34019835123000003</t>
  </si>
  <si>
    <t>0.1658</t>
  </si>
  <si>
    <t>0.2613</t>
  </si>
  <si>
    <t>0.239</t>
  </si>
  <si>
    <t>-0.354</t>
  </si>
  <si>
    <t>0.805</t>
  </si>
  <si>
    <t>0.601</t>
  </si>
  <si>
    <t>101.23239643209</t>
  </si>
  <si>
    <t>0.035</t>
  </si>
  <si>
    <t>0.22132517658000003</t>
  </si>
  <si>
    <t>0.0364</t>
  </si>
  <si>
    <t>0.19</t>
  </si>
  <si>
    <t>-0.43799999999999994</t>
  </si>
  <si>
    <t>0.078</t>
  </si>
  <si>
    <t>5349.0</t>
  </si>
  <si>
    <t>101.24320775648</t>
  </si>
  <si>
    <t>0.0615</t>
  </si>
  <si>
    <t>0.23753326661</t>
  </si>
  <si>
    <t>0.0626</t>
  </si>
  <si>
    <t>0.0785</t>
  </si>
  <si>
    <t>-0.266</t>
  </si>
  <si>
    <t>0.135</t>
  </si>
  <si>
    <t>0.158</t>
  </si>
  <si>
    <t>4365.66</t>
  </si>
  <si>
    <t>101.2531266478</t>
  </si>
  <si>
    <t>0.3214</t>
  </si>
  <si>
    <t>0.22653851093000002</t>
  </si>
  <si>
    <t>0.3178</t>
  </si>
  <si>
    <t>-0.3975</t>
  </si>
  <si>
    <t>0.4215</t>
  </si>
  <si>
    <t>-0.607</t>
  </si>
  <si>
    <t>0.7290000000000001</t>
  </si>
  <si>
    <t>0.8809999999999999</t>
  </si>
  <si>
    <t>101.25867499663</t>
  </si>
  <si>
    <t>0.32896744143</t>
  </si>
  <si>
    <t>0.0789</t>
  </si>
  <si>
    <t>0.1172</t>
  </si>
  <si>
    <t>0.0846</t>
  </si>
  <si>
    <t>-0.358</t>
  </si>
  <si>
    <t>0.32799999999999996</t>
  </si>
  <si>
    <t>4371.37</t>
  </si>
  <si>
    <t>101.26145533853001</t>
  </si>
  <si>
    <t>0.2198</t>
  </si>
  <si>
    <t>0.30213582034</t>
  </si>
  <si>
    <t>0.2055</t>
  </si>
  <si>
    <t>-0.1538</t>
  </si>
  <si>
    <t>-0.401</t>
  </si>
  <si>
    <t>1.618</t>
  </si>
  <si>
    <t>0.49200000000000005</t>
  </si>
  <si>
    <t>101.27839451902</t>
  </si>
  <si>
    <t>0.23153528226</t>
  </si>
  <si>
    <t>0.0589</t>
  </si>
  <si>
    <t>0.0579</t>
  </si>
  <si>
    <t>0.0903</t>
  </si>
  <si>
    <t>-0.17600000000000002</t>
  </si>
  <si>
    <t>0.183</t>
  </si>
  <si>
    <t>-0.162</t>
  </si>
  <si>
    <t>4137.0</t>
  </si>
  <si>
    <t>0.972</t>
  </si>
  <si>
    <t>0.5005</t>
  </si>
  <si>
    <t>101.29044485611999</t>
  </si>
  <si>
    <t>0.0403</t>
  </si>
  <si>
    <t>0.2367011162</t>
  </si>
  <si>
    <t>0.0362</t>
  </si>
  <si>
    <t>0.1805</t>
  </si>
  <si>
    <t>0.0533</t>
  </si>
  <si>
    <t>-0.28300000000000003</t>
  </si>
  <si>
    <t>0.256</t>
  </si>
  <si>
    <t>4435.81</t>
  </si>
  <si>
    <t>101.30503835278</t>
  </si>
  <si>
    <t>0.8481</t>
  </si>
  <si>
    <t>0.30854122208</t>
  </si>
  <si>
    <t>0.8539</t>
  </si>
  <si>
    <t>101.31732898788</t>
  </si>
  <si>
    <t>0.4944</t>
  </si>
  <si>
    <t>0.37333953923</t>
  </si>
  <si>
    <t>-0.6786</t>
  </si>
  <si>
    <t>0.5844</t>
  </si>
  <si>
    <t>-2.531</t>
  </si>
  <si>
    <t>1.055</t>
  </si>
  <si>
    <t>-5.029</t>
  </si>
  <si>
    <t>1.175</t>
  </si>
  <si>
    <t>101.32088221946998</t>
  </si>
  <si>
    <t>0.0919</t>
  </si>
  <si>
    <t>0.36881298731</t>
  </si>
  <si>
    <t>0.0931</t>
  </si>
  <si>
    <t>0.2975</t>
  </si>
  <si>
    <t>0.1082</t>
  </si>
  <si>
    <t>-0.295</t>
  </si>
  <si>
    <t>0.17800000000000002</t>
  </si>
  <si>
    <t>101.3220584654</t>
  </si>
  <si>
    <t>0.2084</t>
  </si>
  <si>
    <t>0.39644629356</t>
  </si>
  <si>
    <t>0.2086</t>
  </si>
  <si>
    <t>0.6052</t>
  </si>
  <si>
    <t>0.44</t>
  </si>
  <si>
    <t>1.8090000000000002</t>
  </si>
  <si>
    <t>0.486</t>
  </si>
  <si>
    <t>101.32674369576</t>
  </si>
  <si>
    <t>0.1856</t>
  </si>
  <si>
    <t>0.37172567698</t>
  </si>
  <si>
    <t>0.1723</t>
  </si>
  <si>
    <t>0.6762</t>
  </si>
  <si>
    <t>0.2887</t>
  </si>
  <si>
    <t>-3.6210000000000004</t>
  </si>
  <si>
    <t>0.473</t>
  </si>
  <si>
    <t>0.6920000000000001</t>
  </si>
  <si>
    <t>101.35226695466999</t>
  </si>
  <si>
    <t>0.4605</t>
  </si>
  <si>
    <t>0.37910899545000004</t>
  </si>
  <si>
    <t>0.484</t>
  </si>
  <si>
    <t>3.0649</t>
  </si>
  <si>
    <t>0.6261</t>
  </si>
  <si>
    <t>2.983</t>
  </si>
  <si>
    <t>0.9009999999999999</t>
  </si>
  <si>
    <t>2.318</t>
  </si>
  <si>
    <t>0.7909999999999999</t>
  </si>
  <si>
    <t>101.36557082323</t>
  </si>
  <si>
    <t>0.5443</t>
  </si>
  <si>
    <t>0.2644174304</t>
  </si>
  <si>
    <t>0.5647</t>
  </si>
  <si>
    <t>0.2756</t>
  </si>
  <si>
    <t>0.6289</t>
  </si>
  <si>
    <t>1.807</t>
  </si>
  <si>
    <t>1.0290000000000001</t>
  </si>
  <si>
    <t>164.06781628846</t>
  </si>
  <si>
    <t>-76.51475034484</t>
  </si>
  <si>
    <t>0.096</t>
  </si>
  <si>
    <t>5.0895</t>
  </si>
  <si>
    <t>0.1055</t>
  </si>
  <si>
    <t>-22.712</t>
  </si>
  <si>
    <t>0.18</t>
  </si>
  <si>
    <t>1.275</t>
  </si>
  <si>
    <t>3295.75</t>
  </si>
  <si>
    <t>164.52443474708</t>
  </si>
  <si>
    <t>0.1121</t>
  </si>
  <si>
    <t>-77.19725969273</t>
  </si>
  <si>
    <t>0.0967</t>
  </si>
  <si>
    <t>5.3599</t>
  </si>
  <si>
    <t>0.1045</t>
  </si>
  <si>
    <t>-23.199</t>
  </si>
  <si>
    <t>2.441</t>
  </si>
  <si>
    <t>165.32953876285</t>
  </si>
  <si>
    <t>0.1827</t>
  </si>
  <si>
    <t>-77.54409115461</t>
  </si>
  <si>
    <t>0.1953</t>
  </si>
  <si>
    <t>5.4081</t>
  </si>
  <si>
    <t>-22.653000000000002</t>
  </si>
  <si>
    <t>0.435</t>
  </si>
  <si>
    <t>2.062</t>
  </si>
  <si>
    <t>165.38302105313</t>
  </si>
  <si>
    <t>0.307</t>
  </si>
  <si>
    <t>-77.30695815086</t>
  </si>
  <si>
    <t>0.2791</t>
  </si>
  <si>
    <t>5.776</t>
  </si>
  <si>
    <t>0.3009</t>
  </si>
  <si>
    <t>-24.715</t>
  </si>
  <si>
    <t>0.578</t>
  </si>
  <si>
    <t>1.682</t>
  </si>
  <si>
    <t>0.515</t>
  </si>
  <si>
    <t>165.5406281171</t>
  </si>
  <si>
    <t>-34.509940862609994</t>
  </si>
  <si>
    <t>0.1199</t>
  </si>
  <si>
    <t>16.731</t>
  </si>
  <si>
    <t>0.2121</t>
  </si>
  <si>
    <t>-68.979</t>
  </si>
  <si>
    <t>-13.805</t>
  </si>
  <si>
    <t>0.285</t>
  </si>
  <si>
    <t>166.76310865731</t>
  </si>
  <si>
    <t>0.1536</t>
  </si>
  <si>
    <t>-76.18240541028001</t>
  </si>
  <si>
    <t>0.1362</t>
  </si>
  <si>
    <t>4.9541</t>
  </si>
  <si>
    <t>0.1495</t>
  </si>
  <si>
    <t>-21.874000000000002</t>
  </si>
  <si>
    <t>0.272</t>
  </si>
  <si>
    <t>166.85127403201</t>
  </si>
  <si>
    <t>0.2025</t>
  </si>
  <si>
    <t>-77.73023419745</t>
  </si>
  <si>
    <t>0.2316</t>
  </si>
  <si>
    <t>5.1731</t>
  </si>
  <si>
    <t>0.2291</t>
  </si>
  <si>
    <t>-23.11</t>
  </si>
  <si>
    <t>0.379</t>
  </si>
  <si>
    <t>-0.289</t>
  </si>
  <si>
    <t>166.99910205809</t>
  </si>
  <si>
    <t>0.1353</t>
  </si>
  <si>
    <t>-77.25881902801</t>
  </si>
  <si>
    <t>5.1485</t>
  </si>
  <si>
    <t>0.142</t>
  </si>
  <si>
    <t>-21.936</t>
  </si>
  <si>
    <t>0.27699999999999997</t>
  </si>
  <si>
    <t>0.121</t>
  </si>
  <si>
    <t>3293.0</t>
  </si>
  <si>
    <t>2.128</t>
  </si>
  <si>
    <t>1.3162</t>
  </si>
  <si>
    <t>167.00933794003998</t>
  </si>
  <si>
    <t>0.1013</t>
  </si>
  <si>
    <t>-76.67620912609999</t>
  </si>
  <si>
    <t>0.1072</t>
  </si>
  <si>
    <t>5.1737</t>
  </si>
  <si>
    <t>0.1104</t>
  </si>
  <si>
    <t>-22.213</t>
  </si>
  <si>
    <t>0.892</t>
  </si>
  <si>
    <t>0.2</t>
  </si>
  <si>
    <t>167.46683598122</t>
  </si>
  <si>
    <t>0.1948</t>
  </si>
  <si>
    <t>-76.65357967906999</t>
  </si>
  <si>
    <t>0.2064</t>
  </si>
  <si>
    <t>4.1642</t>
  </si>
  <si>
    <t>0.2203</t>
  </si>
  <si>
    <t>-21.546</t>
  </si>
  <si>
    <t>0.442</t>
  </si>
  <si>
    <t>-0.434</t>
  </si>
  <si>
    <t>167.67200715174</t>
  </si>
  <si>
    <t>-77.34665421292</t>
  </si>
  <si>
    <t>0.2526</t>
  </si>
  <si>
    <t>4.8966</t>
  </si>
  <si>
    <t>0.286</t>
  </si>
  <si>
    <t>-21.623</t>
  </si>
  <si>
    <t>0.614</t>
  </si>
  <si>
    <t>0.485</t>
  </si>
  <si>
    <t>0.465</t>
  </si>
  <si>
    <t>169.40757550566002</t>
  </si>
  <si>
    <t>0.2072</t>
  </si>
  <si>
    <t>-76.77203594173001</t>
  </si>
  <si>
    <t>6.2364</t>
  </si>
  <si>
    <t>0.1933</t>
  </si>
  <si>
    <t>-22.988000000000003</t>
  </si>
  <si>
    <t>0.35</t>
  </si>
  <si>
    <t>1.3869999999999998</t>
  </si>
  <si>
    <t>181.88909057554</t>
  </si>
  <si>
    <t>0.1288</t>
  </si>
  <si>
    <t>-39.54843991802</t>
  </si>
  <si>
    <t>0.0836</t>
  </si>
  <si>
    <t>15.5242</t>
  </si>
  <si>
    <t>0.1561</t>
  </si>
  <si>
    <t>-64.083</t>
  </si>
  <si>
    <t>-23.72</t>
  </si>
  <si>
    <t>235.41993844292003</t>
  </si>
  <si>
    <t>0.2795</t>
  </si>
  <si>
    <t>-33.7553303731</t>
  </si>
  <si>
    <t>0.1973</t>
  </si>
  <si>
    <t>6.6964</t>
  </si>
  <si>
    <t>0.3486</t>
  </si>
  <si>
    <t>-19.095</t>
  </si>
  <si>
    <t>0.575</t>
  </si>
  <si>
    <t>-21.107</t>
  </si>
  <si>
    <t>0.405</t>
  </si>
  <si>
    <t>236.24111882717997</t>
  </si>
  <si>
    <t>-34.394363285420006</t>
  </si>
  <si>
    <t>0.08</t>
  </si>
  <si>
    <t>6.5405</t>
  </si>
  <si>
    <t>0.1374</t>
  </si>
  <si>
    <t>-19.049</t>
  </si>
  <si>
    <t>0.263</t>
  </si>
  <si>
    <t>-22.13</t>
  </si>
  <si>
    <t>0.222</t>
  </si>
  <si>
    <t>4053.06</t>
  </si>
  <si>
    <t>1.3623</t>
  </si>
  <si>
    <t>0.846</t>
  </si>
  <si>
    <t>236.28689693385</t>
  </si>
  <si>
    <t>0.1833</t>
  </si>
  <si>
    <t>-34.29272194387</t>
  </si>
  <si>
    <t>0.1008</t>
  </si>
  <si>
    <t>6.4533</t>
  </si>
  <si>
    <t>0.2012</t>
  </si>
  <si>
    <t>-15.585</t>
  </si>
  <si>
    <t>0.39</t>
  </si>
  <si>
    <t>-21.808000000000003</t>
  </si>
  <si>
    <t>0.278</t>
  </si>
  <si>
    <t>239.79724356136</t>
  </si>
  <si>
    <t>0.3423</t>
  </si>
  <si>
    <t>-23.63354283923</t>
  </si>
  <si>
    <t>7.1459</t>
  </si>
  <si>
    <t>0.3587</t>
  </si>
  <si>
    <t>-12.811</t>
  </si>
  <si>
    <t>0.6459999999999999</t>
  </si>
  <si>
    <t>-25.735</t>
  </si>
  <si>
    <t>0.358</t>
  </si>
  <si>
    <t>240.77282399456</t>
  </si>
  <si>
    <t>0.0328</t>
  </si>
  <si>
    <t>-40.30715995775999</t>
  </si>
  <si>
    <t>0.0174</t>
  </si>
  <si>
    <t>6.3413</t>
  </si>
  <si>
    <t>0.0376</t>
  </si>
  <si>
    <t>-10.095</t>
  </si>
  <si>
    <t>0.075</t>
  </si>
  <si>
    <t>-22.535999999999998</t>
  </si>
  <si>
    <t>3969.5</t>
  </si>
  <si>
    <t>1.33</t>
  </si>
  <si>
    <t>241.5156037277</t>
  </si>
  <si>
    <t>2.6947</t>
  </si>
  <si>
    <t>-22.32507294108</t>
  </si>
  <si>
    <t>0.8428</t>
  </si>
  <si>
    <t>241.84922265945</t>
  </si>
  <si>
    <t>1.1995</t>
  </si>
  <si>
    <t>-22.183958282210003</t>
  </si>
  <si>
    <t>0.4597</t>
  </si>
  <si>
    <t>8.3818</t>
  </si>
  <si>
    <t>1.243</t>
  </si>
  <si>
    <t>-17.958</t>
  </si>
  <si>
    <t>2.804</t>
  </si>
  <si>
    <t>-21.801</t>
  </si>
  <si>
    <t>241.90716161606002</t>
  </si>
  <si>
    <t>0.1261</t>
  </si>
  <si>
    <t>-39.36086286979</t>
  </si>
  <si>
    <t>0.0549</t>
  </si>
  <si>
    <t>5.7341</t>
  </si>
  <si>
    <t>0.1546</t>
  </si>
  <si>
    <t>-11.264000000000001</t>
  </si>
  <si>
    <t>0.39799999999999996</t>
  </si>
  <si>
    <t>-22.99</t>
  </si>
  <si>
    <t>0.20600000000000002</t>
  </si>
  <si>
    <t>242.06233961617997</t>
  </si>
  <si>
    <t>0.7451</t>
  </si>
  <si>
    <t>-38.95412331636</t>
  </si>
  <si>
    <t>0.2853</t>
  </si>
  <si>
    <t>6.8639</t>
  </si>
  <si>
    <t>0.8982</t>
  </si>
  <si>
    <t>-18.468</t>
  </si>
  <si>
    <t>1.652</t>
  </si>
  <si>
    <t>-25.943</t>
  </si>
  <si>
    <t>0.887</t>
  </si>
  <si>
    <t>242.15548996810003</t>
  </si>
  <si>
    <t>0.7415</t>
  </si>
  <si>
    <t>-39.38647185371</t>
  </si>
  <si>
    <t>0.2288</t>
  </si>
  <si>
    <t>5.3478</t>
  </si>
  <si>
    <t>0.874</t>
  </si>
  <si>
    <t>-12.46</t>
  </si>
  <si>
    <t>1.798</t>
  </si>
  <si>
    <t>-24.016</t>
  </si>
  <si>
    <t>0.873</t>
  </si>
  <si>
    <t>242.22178358481003</t>
  </si>
  <si>
    <t>0.0781</t>
  </si>
  <si>
    <t>-39.24459143931</t>
  </si>
  <si>
    <t>0.031</t>
  </si>
  <si>
    <t>5.9628</t>
  </si>
  <si>
    <t>-10.127</t>
  </si>
  <si>
    <t>0.16699999999999998</t>
  </si>
  <si>
    <t>-23.458000000000002</t>
  </si>
  <si>
    <t>0.102</t>
  </si>
  <si>
    <t>3803.4</t>
  </si>
  <si>
    <t>242.22384284977997</t>
  </si>
  <si>
    <t>1.9243</t>
  </si>
  <si>
    <t>-39.243650396670006</t>
  </si>
  <si>
    <t>0.6001</t>
  </si>
  <si>
    <t>7.4799</t>
  </si>
  <si>
    <t>2.4513</t>
  </si>
  <si>
    <t>-6.875</t>
  </si>
  <si>
    <t>3.468</t>
  </si>
  <si>
    <t>-20.115</t>
  </si>
  <si>
    <t>1.775</t>
  </si>
  <si>
    <t>242.23031452819</t>
  </si>
  <si>
    <t>-38.81348341013</t>
  </si>
  <si>
    <t>0.044</t>
  </si>
  <si>
    <t>6.3486</t>
  </si>
  <si>
    <t>-11.322000000000001</t>
  </si>
  <si>
    <t>0.258</t>
  </si>
  <si>
    <t>-23.643</t>
  </si>
  <si>
    <t>3499.0</t>
  </si>
  <si>
    <t>242.24802607952998</t>
  </si>
  <si>
    <t>0.2324</t>
  </si>
  <si>
    <t>-38.94110029411</t>
  </si>
  <si>
    <t>0.0891</t>
  </si>
  <si>
    <t>6.6565</t>
  </si>
  <si>
    <t>0.2796</t>
  </si>
  <si>
    <t>-9.872</t>
  </si>
  <si>
    <t>-23.526</t>
  </si>
  <si>
    <t>0.3</t>
  </si>
  <si>
    <t>242.25584044999002</t>
  </si>
  <si>
    <t>0.0654</t>
  </si>
  <si>
    <t>-39.4200811813</t>
  </si>
  <si>
    <t>0.0237</t>
  </si>
  <si>
    <t>6.0861</t>
  </si>
  <si>
    <t>0.0831</t>
  </si>
  <si>
    <t>-9.845</t>
  </si>
  <si>
    <t>-23.796</t>
  </si>
  <si>
    <t>4639.47</t>
  </si>
  <si>
    <t>242.48481910540002</t>
  </si>
  <si>
    <t>0.4025</t>
  </si>
  <si>
    <t>-38.99816256242</t>
  </si>
  <si>
    <t>0.1371</t>
  </si>
  <si>
    <t>0.4543</t>
  </si>
  <si>
    <t>0.4407</t>
  </si>
  <si>
    <t>-4.7219999999999995</t>
  </si>
  <si>
    <t>0.963</t>
  </si>
  <si>
    <t>-1.182</t>
  </si>
  <si>
    <t>0.525</t>
  </si>
  <si>
    <t>242.50549389525003</t>
  </si>
  <si>
    <t>0.1528</t>
  </si>
  <si>
    <t>-39.11255212252</t>
  </si>
  <si>
    <t>0.0584</t>
  </si>
  <si>
    <t>5.1932</t>
  </si>
  <si>
    <t>0.1755</t>
  </si>
  <si>
    <t>-9.356</t>
  </si>
  <si>
    <t>0.35200000000000004</t>
  </si>
  <si>
    <t>-23.405</t>
  </si>
  <si>
    <t>0.209</t>
  </si>
  <si>
    <t>3299.0</t>
  </si>
  <si>
    <t>2.2125</t>
  </si>
  <si>
    <t>1.3467</t>
  </si>
  <si>
    <t>242.99909643725</t>
  </si>
  <si>
    <t>0.0998</t>
  </si>
  <si>
    <t>-38.39409075186</t>
  </si>
  <si>
    <t>0.0384</t>
  </si>
  <si>
    <t>6.0777</t>
  </si>
  <si>
    <t>0.1269</t>
  </si>
  <si>
    <t>-9.115</t>
  </si>
  <si>
    <t>-22.656</t>
  </si>
  <si>
    <t>3676.26</t>
  </si>
  <si>
    <t>246.40305075376</t>
  </si>
  <si>
    <t>0.1123</t>
  </si>
  <si>
    <t>-24.26193064672</t>
  </si>
  <si>
    <t>0.054</t>
  </si>
  <si>
    <t>6.9994</t>
  </si>
  <si>
    <t>0.1086</t>
  </si>
  <si>
    <t>-4.814</t>
  </si>
  <si>
    <t>0.28600000000000003</t>
  </si>
  <si>
    <t>-27.205</t>
  </si>
  <si>
    <t>0.175</t>
  </si>
  <si>
    <t>3701.44</t>
  </si>
  <si>
    <t>2.044</t>
  </si>
  <si>
    <t>1.1432</t>
  </si>
  <si>
    <t>246.41508585742997</t>
  </si>
  <si>
    <t>32.7253</t>
  </si>
  <si>
    <t>-24.4432377391</t>
  </si>
  <si>
    <t>18.7167</t>
  </si>
  <si>
    <t>246.4605000353</t>
  </si>
  <si>
    <t>0.0588</t>
  </si>
  <si>
    <t>-24.65414618513</t>
  </si>
  <si>
    <t>0.0288</t>
  </si>
  <si>
    <t>7.0365</t>
  </si>
  <si>
    <t>0.0628</t>
  </si>
  <si>
    <t>-4.3469999999999995</t>
  </si>
  <si>
    <t>0.125</t>
  </si>
  <si>
    <t>-23.113000000000003</t>
  </si>
  <si>
    <t>0.08900000000000001</t>
  </si>
  <si>
    <t>-4.23</t>
  </si>
  <si>
    <t>8.22</t>
  </si>
  <si>
    <t>4188.98</t>
  </si>
  <si>
    <t>0.51</t>
  </si>
  <si>
    <t>0.073</t>
  </si>
  <si>
    <t>246.48398943808</t>
  </si>
  <si>
    <t>0.0488</t>
  </si>
  <si>
    <t>-24.34684772185</t>
  </si>
  <si>
    <t>0.0231</t>
  </si>
  <si>
    <t>7.4296</t>
  </si>
  <si>
    <t>0.0455</t>
  </si>
  <si>
    <t>-7.48</t>
  </si>
  <si>
    <t>-26.615</t>
  </si>
  <si>
    <t>0.083</t>
  </si>
  <si>
    <t>3611.0</t>
  </si>
  <si>
    <t>2.85</t>
  </si>
  <si>
    <t>1.4577</t>
  </si>
  <si>
    <t>1.84</t>
  </si>
  <si>
    <t>0.52</t>
  </si>
  <si>
    <t>246.50569306877003</t>
  </si>
  <si>
    <t>2.3017</t>
  </si>
  <si>
    <t>-24.42248331275</t>
  </si>
  <si>
    <t>0.9745</t>
  </si>
  <si>
    <t>246.51370456201</t>
  </si>
  <si>
    <t>0.0656</t>
  </si>
  <si>
    <t>-24.29638249092</t>
  </si>
  <si>
    <t>0.0315</t>
  </si>
  <si>
    <t>7.3981</t>
  </si>
  <si>
    <t>0.0745</t>
  </si>
  <si>
    <t>-8.251</t>
  </si>
  <si>
    <t>-28.171</t>
  </si>
  <si>
    <t>0.10099999999999999</t>
  </si>
  <si>
    <t>3883.58</t>
  </si>
  <si>
    <t>1.728</t>
  </si>
  <si>
    <t>0.966</t>
  </si>
  <si>
    <t>246.53881160124</t>
  </si>
  <si>
    <t>0.0723</t>
  </si>
  <si>
    <t>-24.570167331820002</t>
  </si>
  <si>
    <t>0.0359</t>
  </si>
  <si>
    <t>7.0581</t>
  </si>
  <si>
    <t>0.0726</t>
  </si>
  <si>
    <t>-7.337000000000001</t>
  </si>
  <si>
    <t>-27.456999999999997</t>
  </si>
  <si>
    <t>0.11900000000000001</t>
  </si>
  <si>
    <t>3976.58</t>
  </si>
  <si>
    <t>2.6213</t>
  </si>
  <si>
    <t>1.321</t>
  </si>
  <si>
    <t>2.15</t>
  </si>
  <si>
    <t>1.042</t>
  </si>
  <si>
    <t>246.56590880781002</t>
  </si>
  <si>
    <t>2.4638</t>
  </si>
  <si>
    <t>-24.32293084874</t>
  </si>
  <si>
    <t>0.9494</t>
  </si>
  <si>
    <t>246.57020147216</t>
  </si>
  <si>
    <t>-24.37321447848</t>
  </si>
  <si>
    <t>0.0611</t>
  </si>
  <si>
    <t>7.237</t>
  </si>
  <si>
    <t>0.1457</t>
  </si>
  <si>
    <t>-8.896</t>
  </si>
  <si>
    <t>0.34299999999999997</t>
  </si>
  <si>
    <t>-26.968000000000004</t>
  </si>
  <si>
    <t>0.205</t>
  </si>
  <si>
    <t>3294.0</t>
  </si>
  <si>
    <t>2.091</t>
  </si>
  <si>
    <t>1.322</t>
  </si>
  <si>
    <t>246.57111365161</t>
  </si>
  <si>
    <t>0.0568</t>
  </si>
  <si>
    <t>-24.33944831321</t>
  </si>
  <si>
    <t>0.0269</t>
  </si>
  <si>
    <t>7.4475</t>
  </si>
  <si>
    <t>0.0592</t>
  </si>
  <si>
    <t>-6.596</t>
  </si>
  <si>
    <t>-27.057</t>
  </si>
  <si>
    <t>3316.0</t>
  </si>
  <si>
    <t>1.47</t>
  </si>
  <si>
    <t>0.235</t>
  </si>
  <si>
    <t>246.57861697092002</t>
  </si>
  <si>
    <t>-24.47225607433</t>
  </si>
  <si>
    <t>7.2243</t>
  </si>
  <si>
    <t>0.2273</t>
  </si>
  <si>
    <t>-8.993</t>
  </si>
  <si>
    <t>-27.342</t>
  </si>
  <si>
    <t>246.58760206137</t>
  </si>
  <si>
    <t>0.4725</t>
  </si>
  <si>
    <t>-24.261535793270003</t>
  </si>
  <si>
    <t>0.2251</t>
  </si>
  <si>
    <t>0.7367</t>
  </si>
  <si>
    <t>0.5418</t>
  </si>
  <si>
    <t>-3.839</t>
  </si>
  <si>
    <t>1.168</t>
  </si>
  <si>
    <t>-2.678</t>
  </si>
  <si>
    <t>0.7509999999999999</t>
  </si>
  <si>
    <t>246.58970277037002</t>
  </si>
  <si>
    <t>0.1652</t>
  </si>
  <si>
    <t>-24.43372013257</t>
  </si>
  <si>
    <t>0.0786</t>
  </si>
  <si>
    <t>7.321</t>
  </si>
  <si>
    <t>0.1942</t>
  </si>
  <si>
    <t>-9.05</t>
  </si>
  <si>
    <t>0.40299999999999997</t>
  </si>
  <si>
    <t>-25.287</t>
  </si>
  <si>
    <t>0.25</t>
  </si>
  <si>
    <t>2MASS J16270659-2441488</t>
  </si>
  <si>
    <t>246.77744165029</t>
  </si>
  <si>
    <t>0.126</t>
  </si>
  <si>
    <t>-24.697019908260003</t>
  </si>
  <si>
    <t>0.0631</t>
  </si>
  <si>
    <t>7.0362</t>
  </si>
  <si>
    <t>0.1327</t>
  </si>
  <si>
    <t>-5.694</t>
  </si>
  <si>
    <t>0.29100000000000004</t>
  </si>
  <si>
    <t>-25.03</t>
  </si>
  <si>
    <t>0.19699999999999998</t>
  </si>
  <si>
    <t>3295.25</t>
  </si>
  <si>
    <t>246.91091767988</t>
  </si>
  <si>
    <t>0.4583</t>
  </si>
  <si>
    <t>-24.644336867129997</t>
  </si>
  <si>
    <t>0.2457</t>
  </si>
  <si>
    <t>7.0095</t>
  </si>
  <si>
    <t>0.4997</t>
  </si>
  <si>
    <t>-6.904</t>
  </si>
  <si>
    <t>1.0859999999999999</t>
  </si>
  <si>
    <t>-24.646</t>
  </si>
  <si>
    <t>0.7190000000000001</t>
  </si>
  <si>
    <t>2MASS J16274629-2431411</t>
  </si>
  <si>
    <t>246.94284337854</t>
  </si>
  <si>
    <t>0.6415</t>
  </si>
  <si>
    <t>-24.528236285349998</t>
  </si>
  <si>
    <t>0.3773</t>
  </si>
  <si>
    <t>7.1967</t>
  </si>
  <si>
    <t>0.7053</t>
  </si>
  <si>
    <t>-8.295</t>
  </si>
  <si>
    <t>1.389</t>
  </si>
  <si>
    <t>-24.901999999999997</t>
  </si>
  <si>
    <t>1.018</t>
  </si>
  <si>
    <t>2MASS J16281271-2411355</t>
  </si>
  <si>
    <t>247.05298679365</t>
  </si>
  <si>
    <t>0.4858</t>
  </si>
  <si>
    <t>-24.193370303729996</t>
  </si>
  <si>
    <t>0.2721</t>
  </si>
  <si>
    <t>6.5901</t>
  </si>
  <si>
    <t>0.5742</t>
  </si>
  <si>
    <t>-6.087000000000001</t>
  </si>
  <si>
    <t>1.051</t>
  </si>
  <si>
    <t>-26.409000000000002</t>
  </si>
  <si>
    <t>252.31373184506</t>
  </si>
  <si>
    <t>-14.369169409889999</t>
  </si>
  <si>
    <t>0.0352</t>
  </si>
  <si>
    <t>8.2655</t>
  </si>
  <si>
    <t>0.0619</t>
  </si>
  <si>
    <t>-7.417000000000001</t>
  </si>
  <si>
    <t>0.11699999999999999</t>
  </si>
  <si>
    <t>-23.733</t>
  </si>
  <si>
    <t>0.065</t>
  </si>
  <si>
    <t>4023.16</t>
  </si>
  <si>
    <t>1.77</t>
  </si>
  <si>
    <t>0.74</t>
  </si>
  <si>
    <t>285.38992803981</t>
  </si>
  <si>
    <t>0.3524</t>
  </si>
  <si>
    <t>-37.00857763021</t>
  </si>
  <si>
    <t>0.3488</t>
  </si>
  <si>
    <t>6.7776</t>
  </si>
  <si>
    <t>0.3819</t>
  </si>
  <si>
    <t>4.467</t>
  </si>
  <si>
    <t>0.71</t>
  </si>
  <si>
    <t>-26.064</t>
  </si>
  <si>
    <t>0.617</t>
  </si>
  <si>
    <t>237.30036427968997</t>
  </si>
  <si>
    <t>0.0383</t>
  </si>
  <si>
    <t>-35.65150548032</t>
  </si>
  <si>
    <t>0.0228</t>
  </si>
  <si>
    <t>6.5868</t>
  </si>
  <si>
    <t>0.0473</t>
  </si>
  <si>
    <t>-14.257</t>
  </si>
  <si>
    <t>0.09699999999999999</t>
  </si>
  <si>
    <t>-23.596</t>
  </si>
  <si>
    <t>0.066</t>
  </si>
  <si>
    <t>4092.57</t>
  </si>
  <si>
    <t>2.7645</t>
  </si>
  <si>
    <t>1.4023</t>
  </si>
  <si>
    <t>1.83</t>
  </si>
  <si>
    <t>167.5923176348</t>
  </si>
  <si>
    <t>0.1405</t>
  </si>
  <si>
    <t>-76.42051373019</t>
  </si>
  <si>
    <t>0.1623</t>
  </si>
  <si>
    <t>5.2587</t>
  </si>
  <si>
    <t>0.1609</t>
  </si>
  <si>
    <t>-21.54</t>
  </si>
  <si>
    <t>-0.5539999999999999</t>
  </si>
  <si>
    <t>0.305</t>
  </si>
  <si>
    <t>166.63610929796002</t>
  </si>
  <si>
    <t>0.1765</t>
  </si>
  <si>
    <t>-76.42251839818</t>
  </si>
  <si>
    <t>5.3437</t>
  </si>
  <si>
    <t>0.2035</t>
  </si>
  <si>
    <t>-21.046</t>
  </si>
  <si>
    <t>-0.146</t>
  </si>
  <si>
    <t>68.4667684561</t>
  </si>
  <si>
    <t>0.0436</t>
  </si>
  <si>
    <t>22.84161922193</t>
  </si>
  <si>
    <t>0.0305</t>
  </si>
  <si>
    <t>6.3008</t>
  </si>
  <si>
    <t>8.904</t>
  </si>
  <si>
    <t>-17.067</t>
  </si>
  <si>
    <t>3635.0</t>
  </si>
  <si>
    <t>2.8652</t>
  </si>
  <si>
    <t>1.463</t>
  </si>
  <si>
    <t>1.88</t>
  </si>
  <si>
    <t>277.49252310339</t>
  </si>
  <si>
    <t>0.2052</t>
  </si>
  <si>
    <t>1.2559643579000002</t>
  </si>
  <si>
    <t>0.2085</t>
  </si>
  <si>
    <t>2.4212</t>
  </si>
  <si>
    <t>0.2322</t>
  </si>
  <si>
    <t>0.40399999999999997</t>
  </si>
  <si>
    <t>-8.501</t>
  </si>
  <si>
    <t>0.384</t>
  </si>
  <si>
    <t>56.147739727799994</t>
  </si>
  <si>
    <t>0.4357</t>
  </si>
  <si>
    <t>32.1489625279</t>
  </si>
  <si>
    <t>0.1986</t>
  </si>
  <si>
    <t>3.1121</t>
  </si>
  <si>
    <t>0.4978</t>
  </si>
  <si>
    <t>6.912999999999999</t>
  </si>
  <si>
    <t>0.905</t>
  </si>
  <si>
    <t>-8.647</t>
  </si>
  <si>
    <t>0.539</t>
  </si>
  <si>
    <t>56.14185764668</t>
  </si>
  <si>
    <t>32.1158301387</t>
  </si>
  <si>
    <t>0.2106</t>
  </si>
  <si>
    <t>4.2564</t>
  </si>
  <si>
    <t>0.526</t>
  </si>
  <si>
    <t>5.071000000000001</t>
  </si>
  <si>
    <t>0.894</t>
  </si>
  <si>
    <t>-7.546</t>
  </si>
  <si>
    <t>0.56</t>
  </si>
  <si>
    <t>56.134879541969994</t>
  </si>
  <si>
    <t>0.6371</t>
  </si>
  <si>
    <t>32.05760065181</t>
  </si>
  <si>
    <t>0.2718</t>
  </si>
  <si>
    <t>4.0217</t>
  </si>
  <si>
    <t>0.6621</t>
  </si>
  <si>
    <t>5.405</t>
  </si>
  <si>
    <t>1.305</t>
  </si>
  <si>
    <t>-7.426</t>
  </si>
  <si>
    <t>0.6709999999999999</t>
  </si>
  <si>
    <t>56.12897751792</t>
  </si>
  <si>
    <t>2.0344</t>
  </si>
  <si>
    <t>32.04559254336</t>
  </si>
  <si>
    <t>0.8373</t>
  </si>
  <si>
    <t>56.12487348143001</t>
  </si>
  <si>
    <t>1.2624</t>
  </si>
  <si>
    <t>32.16093531504</t>
  </si>
  <si>
    <t>0.4385</t>
  </si>
  <si>
    <t>2.3926</t>
  </si>
  <si>
    <t>1.5947</t>
  </si>
  <si>
    <t>3.938</t>
  </si>
  <si>
    <t>1.984</t>
  </si>
  <si>
    <t>-6.117999999999999</t>
  </si>
  <si>
    <t>1.3019999999999998</t>
  </si>
  <si>
    <t>168.11503359433001</t>
  </si>
  <si>
    <t>0.0248</t>
  </si>
  <si>
    <t>-76.73953190216999</t>
  </si>
  <si>
    <t>5.1749</t>
  </si>
  <si>
    <t>0.0263</t>
  </si>
  <si>
    <t>-21.575</t>
  </si>
  <si>
    <t>0.047</t>
  </si>
  <si>
    <t>-1.048</t>
  </si>
  <si>
    <t>4411.0</t>
  </si>
  <si>
    <t>2.65</t>
  </si>
  <si>
    <t>64.39057887623</t>
  </si>
  <si>
    <t>0.0416</t>
  </si>
  <si>
    <t>28.34622610351</t>
  </si>
  <si>
    <t>0.0219</t>
  </si>
  <si>
    <t>7.7591</t>
  </si>
  <si>
    <t>0.0438</t>
  </si>
  <si>
    <t>9.18</t>
  </si>
  <si>
    <t>-25.548000000000002</t>
  </si>
  <si>
    <t>4067.99</t>
  </si>
  <si>
    <t>0.91</t>
  </si>
  <si>
    <t>0.203</t>
  </si>
  <si>
    <t>65.48186336029</t>
  </si>
  <si>
    <t>0.0635</t>
  </si>
  <si>
    <t>27.9182673023</t>
  </si>
  <si>
    <t>0.0255</t>
  </si>
  <si>
    <t>7.8512</t>
  </si>
  <si>
    <t>0.0657</t>
  </si>
  <si>
    <t>10.755</t>
  </si>
  <si>
    <t>0.174</t>
  </si>
  <si>
    <t>-27.221</t>
  </si>
  <si>
    <t>3853.26</t>
  </si>
  <si>
    <t>2.704</t>
  </si>
  <si>
    <t>1.361</t>
  </si>
  <si>
    <t>1.39</t>
  </si>
  <si>
    <t>0.382</t>
  </si>
  <si>
    <t>241.51626632753997</t>
  </si>
  <si>
    <t>-20.94577374616</t>
  </si>
  <si>
    <t>7.2913</t>
  </si>
  <si>
    <t>0.2675</t>
  </si>
  <si>
    <t>-13.190999999999999</t>
  </si>
  <si>
    <t>0.547</t>
  </si>
  <si>
    <t>-21.976</t>
  </si>
  <si>
    <t>0.27399999999999997</t>
  </si>
  <si>
    <t>66.76164902845001</t>
  </si>
  <si>
    <t>0.3534</t>
  </si>
  <si>
    <t>25.7061231339</t>
  </si>
  <si>
    <t>0.2962</t>
  </si>
  <si>
    <t>8.0415</t>
  </si>
  <si>
    <t>0.4213</t>
  </si>
  <si>
    <t>3.5039999999999996</t>
  </si>
  <si>
    <t>0.7929999999999999</t>
  </si>
  <si>
    <t>-26.65</t>
  </si>
  <si>
    <t>0.685</t>
  </si>
  <si>
    <t>3665.57</t>
  </si>
  <si>
    <t>2.39</t>
  </si>
  <si>
    <t>0.9329999999999999</t>
  </si>
  <si>
    <t>67.68436728638001</t>
  </si>
  <si>
    <t>26.023444930220002</t>
  </si>
  <si>
    <t>0.0345</t>
  </si>
  <si>
    <t>7.781</t>
  </si>
  <si>
    <t>6.244</t>
  </si>
  <si>
    <t>0.10400000000000001</t>
  </si>
  <si>
    <t>-21.203000000000003</t>
  </si>
  <si>
    <t>0.079</t>
  </si>
  <si>
    <t>3854.67</t>
  </si>
  <si>
    <t>68.86410202472</t>
  </si>
  <si>
    <t>0.0544</t>
  </si>
  <si>
    <t>24.24960744611</t>
  </si>
  <si>
    <t>0.0361</t>
  </si>
  <si>
    <t>7.7991</t>
  </si>
  <si>
    <t>6.055</t>
  </si>
  <si>
    <t>0.131</t>
  </si>
  <si>
    <t>-20.771</t>
  </si>
  <si>
    <t>0.087</t>
  </si>
  <si>
    <t>3964.0</t>
  </si>
  <si>
    <t>2.2527</t>
  </si>
  <si>
    <t>1.145</t>
  </si>
  <si>
    <t>1.55</t>
  </si>
  <si>
    <t>0.534</t>
  </si>
  <si>
    <t>69.61914697103</t>
  </si>
  <si>
    <t>0.0534</t>
  </si>
  <si>
    <t>26.180317029110004</t>
  </si>
  <si>
    <t>0.0411</t>
  </si>
  <si>
    <t>7.1746</t>
  </si>
  <si>
    <t>0.0525</t>
  </si>
  <si>
    <t>6.127999999999999</t>
  </si>
  <si>
    <t>-21.34</t>
  </si>
  <si>
    <t>0.091</t>
  </si>
  <si>
    <t>3755.22</t>
  </si>
  <si>
    <t>1.32</t>
  </si>
  <si>
    <t>0.313</t>
  </si>
  <si>
    <t>71.72109510439</t>
  </si>
  <si>
    <t>16.99998052171</t>
  </si>
  <si>
    <t>0.0324</t>
  </si>
  <si>
    <t>5.0646</t>
  </si>
  <si>
    <t>0.0518</t>
  </si>
  <si>
    <t>4.74</t>
  </si>
  <si>
    <t>0.129</t>
  </si>
  <si>
    <t>-13.254000000000001</t>
  </si>
  <si>
    <t>0.055999999999999994</t>
  </si>
  <si>
    <t>4238.0</t>
  </si>
  <si>
    <t>2.6395</t>
  </si>
  <si>
    <t>1.3395</t>
  </si>
  <si>
    <t>0.426</t>
  </si>
  <si>
    <t>71.95250611129</t>
  </si>
  <si>
    <t>0.0395</t>
  </si>
  <si>
    <t>29.419670175179995</t>
  </si>
  <si>
    <t>0.0247</t>
  </si>
  <si>
    <t>6.2865</t>
  </si>
  <si>
    <t>0.0442</t>
  </si>
  <si>
    <t>5.043</t>
  </si>
  <si>
    <t>-24.334</t>
  </si>
  <si>
    <t>0.04</t>
  </si>
  <si>
    <t>4040.93</t>
  </si>
  <si>
    <t>1.34</t>
  </si>
  <si>
    <t>0.431</t>
  </si>
  <si>
    <t>EM* SR 24</t>
  </si>
  <si>
    <t>246.74377790392003</t>
  </si>
  <si>
    <t>-24.76033098239</t>
  </si>
  <si>
    <t>8.7394</t>
  </si>
  <si>
    <t>0.3466</t>
  </si>
  <si>
    <t>3.498</t>
  </si>
  <si>
    <t>1.0190000000000001</t>
  </si>
  <si>
    <t>-31.822</t>
  </si>
  <si>
    <t>3729.02</t>
  </si>
  <si>
    <t>84.76491556968</t>
  </si>
  <si>
    <t>0.097</t>
  </si>
  <si>
    <t>-2.7741858225700002</t>
  </si>
  <si>
    <t>0.0883</t>
  </si>
  <si>
    <t>2.6975</t>
  </si>
  <si>
    <t>0.0904</t>
  </si>
  <si>
    <t>2.187</t>
  </si>
  <si>
    <t>-1.3119999999999998</t>
  </si>
  <si>
    <t>0.161</t>
  </si>
  <si>
    <t>4372.88</t>
  </si>
  <si>
    <t>GSC 06214-00210</t>
  </si>
  <si>
    <t>245.47769209926003</t>
  </si>
  <si>
    <t>0.0434</t>
  </si>
  <si>
    <t>-20.71933978411</t>
  </si>
  <si>
    <t>0.0227</t>
  </si>
  <si>
    <t>9.188</t>
  </si>
  <si>
    <t>-19.379</t>
  </si>
  <si>
    <t>-31.248</t>
  </si>
  <si>
    <t>-4.59</t>
  </si>
  <si>
    <t>0.88</t>
  </si>
  <si>
    <t>4513.73</t>
  </si>
  <si>
    <t>1.174</t>
  </si>
  <si>
    <t>0.567</t>
  </si>
  <si>
    <t>84.63093333981</t>
  </si>
  <si>
    <t>1.6493</t>
  </si>
  <si>
    <t>-2.60941530711</t>
  </si>
  <si>
    <t>1.5998</t>
  </si>
  <si>
    <t>3591.0</t>
  </si>
  <si>
    <t>84.66780998524</t>
  </si>
  <si>
    <t>0.0286</t>
  </si>
  <si>
    <t>-2.50515781068</t>
  </si>
  <si>
    <t>0.0301</t>
  </si>
  <si>
    <t>2.6265</t>
  </si>
  <si>
    <t>0.0353</t>
  </si>
  <si>
    <t>0.897</t>
  </si>
  <si>
    <t>0.051</t>
  </si>
  <si>
    <t>4001.95</t>
  </si>
  <si>
    <t>1.37</t>
  </si>
  <si>
    <t>84.75572004578</t>
  </si>
  <si>
    <t>0.0294</t>
  </si>
  <si>
    <t>-2.3076270774200003</t>
  </si>
  <si>
    <t>0.0331</t>
  </si>
  <si>
    <t>2.3785</t>
  </si>
  <si>
    <t>0.055</t>
  </si>
  <si>
    <t>-0.115</t>
  </si>
  <si>
    <t>3884.6</t>
  </si>
  <si>
    <t>2.871</t>
  </si>
  <si>
    <t>1.461</t>
  </si>
  <si>
    <t>1.52</t>
  </si>
  <si>
    <t>0.47200000000000003</t>
  </si>
  <si>
    <t>84.74678749803</t>
  </si>
  <si>
    <t>0.0555</t>
  </si>
  <si>
    <t>-2.56428503651</t>
  </si>
  <si>
    <t>2.525</t>
  </si>
  <si>
    <t>0.0767</t>
  </si>
  <si>
    <t>1.7819999999999998</t>
  </si>
  <si>
    <t>0.111</t>
  </si>
  <si>
    <t>-0.565</t>
  </si>
  <si>
    <t>3730.28</t>
  </si>
  <si>
    <t>0.72</t>
  </si>
  <si>
    <t>84.78169415376</t>
  </si>
  <si>
    <t>0.0261</t>
  </si>
  <si>
    <t>-2.5442242211200004</t>
  </si>
  <si>
    <t>0.0287</t>
  </si>
  <si>
    <t>2.4943</t>
  </si>
  <si>
    <t>0.0341</t>
  </si>
  <si>
    <t>1.9240000000000002</t>
  </si>
  <si>
    <t>-1.508</t>
  </si>
  <si>
    <t>3993.77</t>
  </si>
  <si>
    <t>0.654</t>
  </si>
  <si>
    <t>84.79799921213001</t>
  </si>
  <si>
    <t>-2.5184958236900004</t>
  </si>
  <si>
    <t>0.0338</t>
  </si>
  <si>
    <t>2.4349</t>
  </si>
  <si>
    <t>0.0404</t>
  </si>
  <si>
    <t>1.8730000000000002</t>
  </si>
  <si>
    <t>0.059000000000000004</t>
  </si>
  <si>
    <t>-0.33899999999999997</t>
  </si>
  <si>
    <t>3837.42</t>
  </si>
  <si>
    <t>1.36</t>
  </si>
  <si>
    <t>0.359</t>
  </si>
  <si>
    <t>84.82849115635</t>
  </si>
  <si>
    <t>0.0356</t>
  </si>
  <si>
    <t>-2.5147867242900004</t>
  </si>
  <si>
    <t>2.486</t>
  </si>
  <si>
    <t>0.0571</t>
  </si>
  <si>
    <t>1.751</t>
  </si>
  <si>
    <t>-0.5429999999999999</t>
  </si>
  <si>
    <t>3835.0</t>
  </si>
  <si>
    <t>2.8185</t>
  </si>
  <si>
    <t>0.66</t>
  </si>
  <si>
    <t>84.9734280898</t>
  </si>
  <si>
    <t>0.0576</t>
  </si>
  <si>
    <t>-2.5618692388900004</t>
  </si>
  <si>
    <t>0.0587</t>
  </si>
  <si>
    <t>2.5795</t>
  </si>
  <si>
    <t>0.0694</t>
  </si>
  <si>
    <t>2.4</t>
  </si>
  <si>
    <t>-0.314</t>
  </si>
  <si>
    <t>3598.0</t>
  </si>
  <si>
    <t>84.97774187581</t>
  </si>
  <si>
    <t>0.0267</t>
  </si>
  <si>
    <t>-2.77614995111</t>
  </si>
  <si>
    <t>0.0297</t>
  </si>
  <si>
    <t>2.4585</t>
  </si>
  <si>
    <t>2.123</t>
  </si>
  <si>
    <t>-0.725</t>
  </si>
  <si>
    <t>4149.0</t>
  </si>
  <si>
    <t>0.733</t>
  </si>
  <si>
    <t>85.00815934559</t>
  </si>
  <si>
    <t>-2.3590648907799996</t>
  </si>
  <si>
    <t>0.0691</t>
  </si>
  <si>
    <t>2.6834</t>
  </si>
  <si>
    <t>0.0838</t>
  </si>
  <si>
    <t>2.419</t>
  </si>
  <si>
    <t>0.016</t>
  </si>
  <si>
    <t>3560.0</t>
  </si>
  <si>
    <t>0.87</t>
  </si>
  <si>
    <t>84.62150370305001</t>
  </si>
  <si>
    <t>-2.2710444370400005</t>
  </si>
  <si>
    <t>2.412</t>
  </si>
  <si>
    <t>0.0355</t>
  </si>
  <si>
    <t>0.345</t>
  </si>
  <si>
    <t>0.769</t>
  </si>
  <si>
    <t>0.042</t>
  </si>
  <si>
    <t>4170.67</t>
  </si>
  <si>
    <t>2.0105</t>
  </si>
  <si>
    <t>1.022</t>
  </si>
  <si>
    <t>0.478</t>
  </si>
  <si>
    <t>70.83428665405</t>
  </si>
  <si>
    <t>0.1042</t>
  </si>
  <si>
    <t>29.66825311713</t>
  </si>
  <si>
    <t>0.0701</t>
  </si>
  <si>
    <t>5.8422</t>
  </si>
  <si>
    <t>2.6069999999999998</t>
  </si>
  <si>
    <t>0.24600000000000002</t>
  </si>
  <si>
    <t>-22.061999999999998</t>
  </si>
  <si>
    <t>0.11800000000000001</t>
  </si>
  <si>
    <t>3423.0</t>
  </si>
  <si>
    <t>1.04</t>
  </si>
  <si>
    <t>0.134</t>
  </si>
  <si>
    <t>66.23788357920999</t>
  </si>
  <si>
    <t>0.0445</t>
  </si>
  <si>
    <t>27.19892457741</t>
  </si>
  <si>
    <t>0.029</t>
  </si>
  <si>
    <t>7.6585</t>
  </si>
  <si>
    <t>0.0421</t>
  </si>
  <si>
    <t>8.359</t>
  </si>
  <si>
    <t>0.11</t>
  </si>
  <si>
    <t>-26.747</t>
  </si>
  <si>
    <t>3825.5</t>
  </si>
  <si>
    <t>246.40883847413</t>
  </si>
  <si>
    <t>0.4294</t>
  </si>
  <si>
    <t>-24.376830322199996</t>
  </si>
  <si>
    <t>0.1985</t>
  </si>
  <si>
    <t>6.9591</t>
  </si>
  <si>
    <t>-5.497000000000001</t>
  </si>
  <si>
    <t>-25.176</t>
  </si>
  <si>
    <t>0.7709999999999999</t>
  </si>
  <si>
    <t>246.59124582209998</t>
  </si>
  <si>
    <t>0.2135</t>
  </si>
  <si>
    <t>-24.744475192059998</t>
  </si>
  <si>
    <t>6.6112</t>
  </si>
  <si>
    <t>0.2065</t>
  </si>
  <si>
    <t>-8.227</t>
  </si>
  <si>
    <t>0.457</t>
  </si>
  <si>
    <t>-25.155</t>
  </si>
  <si>
    <t>0.34700000000000003</t>
  </si>
  <si>
    <t>246.59734048147004</t>
  </si>
  <si>
    <t>0.0782</t>
  </si>
  <si>
    <t>-24.34999740229</t>
  </si>
  <si>
    <t>7.2538</t>
  </si>
  <si>
    <t>-6.858</t>
  </si>
  <si>
    <t>0.225</t>
  </si>
  <si>
    <t>-26.451</t>
  </si>
  <si>
    <t>-7.5</t>
  </si>
  <si>
    <t>3894.04</t>
  </si>
  <si>
    <t>246.59867589452003</t>
  </si>
  <si>
    <t>-24.720637300960004</t>
  </si>
  <si>
    <t>0.0459</t>
  </si>
  <si>
    <t>7.2221</t>
  </si>
  <si>
    <t>0.0763</t>
  </si>
  <si>
    <t>-7.83</t>
  </si>
  <si>
    <t>-26.295</t>
  </si>
  <si>
    <t>-12.64</t>
  </si>
  <si>
    <t>5.75</t>
  </si>
  <si>
    <t>3479.0</t>
  </si>
  <si>
    <t>2.757</t>
  </si>
  <si>
    <t>1.3963</t>
  </si>
  <si>
    <t>246.60017156593</t>
  </si>
  <si>
    <t>-24.41346877354</t>
  </si>
  <si>
    <t>0.0713</t>
  </si>
  <si>
    <t>7.2533</t>
  </si>
  <si>
    <t>0.1646</t>
  </si>
  <si>
    <t>-9.649</t>
  </si>
  <si>
    <t>-24.676</t>
  </si>
  <si>
    <t>3287.25</t>
  </si>
  <si>
    <t>1.997</t>
  </si>
  <si>
    <t>1.2988</t>
  </si>
  <si>
    <t>246.6003316596</t>
  </si>
  <si>
    <t>0.101</t>
  </si>
  <si>
    <t>-24.270508844499997</t>
  </si>
  <si>
    <t>0.0478</t>
  </si>
  <si>
    <t>7.3409</t>
  </si>
  <si>
    <t>-8.83</t>
  </si>
  <si>
    <t>0.248</t>
  </si>
  <si>
    <t>-24.204</t>
  </si>
  <si>
    <t>3335.0</t>
  </si>
  <si>
    <t>246.65345344497996</t>
  </si>
  <si>
    <t>0.1531</t>
  </si>
  <si>
    <t>-24.26452051738</t>
  </si>
  <si>
    <t>0.0735</t>
  </si>
  <si>
    <t>7.347</t>
  </si>
  <si>
    <t>0.1727</t>
  </si>
  <si>
    <t>-5.172999999999999</t>
  </si>
  <si>
    <t>0.376</t>
  </si>
  <si>
    <t>-27.464000000000002</t>
  </si>
  <si>
    <t>246.67191978492</t>
  </si>
  <si>
    <t>0.3877</t>
  </si>
  <si>
    <t>-24.67175056309</t>
  </si>
  <si>
    <t>0.1879</t>
  </si>
  <si>
    <t>5.9622</t>
  </si>
  <si>
    <t>0.3896</t>
  </si>
  <si>
    <t>-13.305</t>
  </si>
  <si>
    <t>1.025</t>
  </si>
  <si>
    <t>-28.947</t>
  </si>
  <si>
    <t>3286.0</t>
  </si>
  <si>
    <t>246.67892077592003</t>
  </si>
  <si>
    <t>0.3864</t>
  </si>
  <si>
    <t>-24.34164459581</t>
  </si>
  <si>
    <t>7.6262</t>
  </si>
  <si>
    <t>0.3873</t>
  </si>
  <si>
    <t>-0.426</t>
  </si>
  <si>
    <t>1.015</t>
  </si>
  <si>
    <t>-29.941</t>
  </si>
  <si>
    <t>0.701</t>
  </si>
  <si>
    <t>246.68230977674</t>
  </si>
  <si>
    <t>0.4437</t>
  </si>
  <si>
    <t>-24.27601972818</t>
  </si>
  <si>
    <t>0.2033</t>
  </si>
  <si>
    <t>6.6366</t>
  </si>
  <si>
    <t>0.4986</t>
  </si>
  <si>
    <t>-9.741</t>
  </si>
  <si>
    <t>1.1059999999999999</t>
  </si>
  <si>
    <t>-24.773000000000003</t>
  </si>
  <si>
    <t>0.693</t>
  </si>
  <si>
    <t>246.68455579002003</t>
  </si>
  <si>
    <t>0.0871</t>
  </si>
  <si>
    <t>-24.720685072989998</t>
  </si>
  <si>
    <t>7.1368</t>
  </si>
  <si>
    <t>0.0819</t>
  </si>
  <si>
    <t>-7.0089999999999995</t>
  </si>
  <si>
    <t>-26.008000000000003</t>
  </si>
  <si>
    <t>3479.7</t>
  </si>
  <si>
    <t>2.1695</t>
  </si>
  <si>
    <t>1.2507</t>
  </si>
  <si>
    <t>246.68759517882003</t>
  </si>
  <si>
    <t>-24.38561992139</t>
  </si>
  <si>
    <t>0.4371</t>
  </si>
  <si>
    <t>8.6298</t>
  </si>
  <si>
    <t>0.9755</t>
  </si>
  <si>
    <t>-8.208</t>
  </si>
  <si>
    <t>2.885</t>
  </si>
  <si>
    <t>-27.285999999999998</t>
  </si>
  <si>
    <t>1.735</t>
  </si>
  <si>
    <t>246.69604064584</t>
  </si>
  <si>
    <t>-24.741721987720002</t>
  </si>
  <si>
    <t>0.0757</t>
  </si>
  <si>
    <t>6.867</t>
  </si>
  <si>
    <t>0.1477</t>
  </si>
  <si>
    <t>-4.551</t>
  </si>
  <si>
    <t>-26.796999999999997</t>
  </si>
  <si>
    <t>0.22399999999999998</t>
  </si>
  <si>
    <t>2.066</t>
  </si>
  <si>
    <t>1.3233</t>
  </si>
  <si>
    <t>246.70406440432998</t>
  </si>
  <si>
    <t>0.4915</t>
  </si>
  <si>
    <t>-24.64042905342</t>
  </si>
  <si>
    <t>0.2421</t>
  </si>
  <si>
    <t>7.5432</t>
  </si>
  <si>
    <t>-4.118</t>
  </si>
  <si>
    <t>1.311</t>
  </si>
  <si>
    <t>-25.416999999999998</t>
  </si>
  <si>
    <t>0.8490000000000001</t>
  </si>
  <si>
    <t>246.70513924412003</t>
  </si>
  <si>
    <t>1.7361</t>
  </si>
  <si>
    <t>-24.334280287989998</t>
  </si>
  <si>
    <t>0.7369</t>
  </si>
  <si>
    <t>246.71296227082001</t>
  </si>
  <si>
    <t>1.9621</t>
  </si>
  <si>
    <t>-24.34743135598</t>
  </si>
  <si>
    <t>0.8094</t>
  </si>
  <si>
    <t>246.73655099262996</t>
  </si>
  <si>
    <t>0.1873</t>
  </si>
  <si>
    <t>-24.231091096420002</t>
  </si>
  <si>
    <t>7.4685</t>
  </si>
  <si>
    <t>0.2118</t>
  </si>
  <si>
    <t>-10.454</t>
  </si>
  <si>
    <t>0.45399999999999996</t>
  </si>
  <si>
    <t>-24.836</t>
  </si>
  <si>
    <t>0.299</t>
  </si>
  <si>
    <t>246.78790864131</t>
  </si>
  <si>
    <t>-24.56908021474</t>
  </si>
  <si>
    <t>0.2392</t>
  </si>
  <si>
    <t>7.6512</t>
  </si>
  <si>
    <t>0.4723</t>
  </si>
  <si>
    <t>-9.291</t>
  </si>
  <si>
    <t>1.026</t>
  </si>
  <si>
    <t>-25.671</t>
  </si>
  <si>
    <t>0.741</t>
  </si>
  <si>
    <t>246.78779787616</t>
  </si>
  <si>
    <t>0.1904</t>
  </si>
  <si>
    <t>-24.20032831585</t>
  </si>
  <si>
    <t>0.0879</t>
  </si>
  <si>
    <t>7.0787</t>
  </si>
  <si>
    <t>0.2126</t>
  </si>
  <si>
    <t>-6.937</t>
  </si>
  <si>
    <t>0.47100000000000003</t>
  </si>
  <si>
    <t>-23.818</t>
  </si>
  <si>
    <t>246.79279694947002</t>
  </si>
  <si>
    <t>0.0521</t>
  </si>
  <si>
    <t>-24.32029758646</t>
  </si>
  <si>
    <t>0.0259</t>
  </si>
  <si>
    <t>7.2254</t>
  </si>
  <si>
    <t>0.0566</t>
  </si>
  <si>
    <t>-5.6129999999999995</t>
  </si>
  <si>
    <t>0.136</t>
  </si>
  <si>
    <t>-29.081</t>
  </si>
  <si>
    <t>0.092</t>
  </si>
  <si>
    <t>-7.33</t>
  </si>
  <si>
    <t>1.64</t>
  </si>
  <si>
    <t>4619.04</t>
  </si>
  <si>
    <t>246.80718614547996</t>
  </si>
  <si>
    <t>0.2059</t>
  </si>
  <si>
    <t>-24.30480158987</t>
  </si>
  <si>
    <t>0.0999</t>
  </si>
  <si>
    <t>7.3211</t>
  </si>
  <si>
    <t>0.2338</t>
  </si>
  <si>
    <t>-7.608</t>
  </si>
  <si>
    <t>0.512</t>
  </si>
  <si>
    <t>-27.392</t>
  </si>
  <si>
    <t>0.33399999999999996</t>
  </si>
  <si>
    <t>246.8075554225</t>
  </si>
  <si>
    <t>0.4122</t>
  </si>
  <si>
    <t>-24.7255618402</t>
  </si>
  <si>
    <t>0.2193</t>
  </si>
  <si>
    <t>6.8752</t>
  </si>
  <si>
    <t>-6.64</t>
  </si>
  <si>
    <t>0.987</t>
  </si>
  <si>
    <t>-24.156999999999996</t>
  </si>
  <si>
    <t>246.82324064852997</t>
  </si>
  <si>
    <t>0.1279</t>
  </si>
  <si>
    <t>-24.087253973470002</t>
  </si>
  <si>
    <t>0.0612</t>
  </si>
  <si>
    <t>7.3215</t>
  </si>
  <si>
    <t>0.1418</t>
  </si>
  <si>
    <t>-8.009</t>
  </si>
  <si>
    <t>0.321</t>
  </si>
  <si>
    <t>-26.721999999999998</t>
  </si>
  <si>
    <t>246.84549892232002</t>
  </si>
  <si>
    <t>0.9298</t>
  </si>
  <si>
    <t>-24.29937447534</t>
  </si>
  <si>
    <t>0.4717</t>
  </si>
  <si>
    <t>6.0372</t>
  </si>
  <si>
    <t>1.0546</t>
  </si>
  <si>
    <t>4.795</t>
  </si>
  <si>
    <t>2.464</t>
  </si>
  <si>
    <t>-20.485</t>
  </si>
  <si>
    <t>1.5519999999999998</t>
  </si>
  <si>
    <t>246.86404515063998</t>
  </si>
  <si>
    <t>0.4963</t>
  </si>
  <si>
    <t>-24.52135843045</t>
  </si>
  <si>
    <t>0.2634</t>
  </si>
  <si>
    <t>5.4473</t>
  </si>
  <si>
    <t>0.5539</t>
  </si>
  <si>
    <t>-7.276</t>
  </si>
  <si>
    <t>1.14</t>
  </si>
  <si>
    <t>-26.885</t>
  </si>
  <si>
    <t>0.79</t>
  </si>
  <si>
    <t>246.87938340858997</t>
  </si>
  <si>
    <t>0.5378</t>
  </si>
  <si>
    <t>-24.56767956146</t>
  </si>
  <si>
    <t>0.3075</t>
  </si>
  <si>
    <t>6.8208</t>
  </si>
  <si>
    <t>0.5817</t>
  </si>
  <si>
    <t>-5.691</t>
  </si>
  <si>
    <t>1.239</t>
  </si>
  <si>
    <t>-24.654</t>
  </si>
  <si>
    <t>0.932</t>
  </si>
  <si>
    <t>246.87850037453998</t>
  </si>
  <si>
    <t>0.1939</t>
  </si>
  <si>
    <t>-24.41569802755</t>
  </si>
  <si>
    <t>0.1023</t>
  </si>
  <si>
    <t>7.0952</t>
  </si>
  <si>
    <t>0.2148</t>
  </si>
  <si>
    <t>-5.45</t>
  </si>
  <si>
    <t>0.419</t>
  </si>
  <si>
    <t>-26.678</t>
  </si>
  <si>
    <t>0.304</t>
  </si>
  <si>
    <t>246.88794106327003</t>
  </si>
  <si>
    <t>0.1764</t>
  </si>
  <si>
    <t>-24.68768328106</t>
  </si>
  <si>
    <t>0.0892</t>
  </si>
  <si>
    <t>7.254</t>
  </si>
  <si>
    <t>-8.807</t>
  </si>
  <si>
    <t>0.451</t>
  </si>
  <si>
    <t>-25.717</t>
  </si>
  <si>
    <t>0.284</t>
  </si>
  <si>
    <t>246.89689602109</t>
  </si>
  <si>
    <t>0.1066</t>
  </si>
  <si>
    <t>-24.642728331929998</t>
  </si>
  <si>
    <t>0.0532</t>
  </si>
  <si>
    <t>6.949</t>
  </si>
  <si>
    <t>-6.47</t>
  </si>
  <si>
    <t>-24.671</t>
  </si>
  <si>
    <t>0.162</t>
  </si>
  <si>
    <t>246.89855515867995</t>
  </si>
  <si>
    <t>0.1952</t>
  </si>
  <si>
    <t>-24.759149828680002</t>
  </si>
  <si>
    <t>6.9798</t>
  </si>
  <si>
    <t>0.2114</t>
  </si>
  <si>
    <t>-7.973</t>
  </si>
  <si>
    <t>-26.738000000000003</t>
  </si>
  <si>
    <t>246.90248613277</t>
  </si>
  <si>
    <t>0.0418</t>
  </si>
  <si>
    <t>-24.47597332646</t>
  </si>
  <si>
    <t>0.022</t>
  </si>
  <si>
    <t>10.4354</t>
  </si>
  <si>
    <t>61.973</t>
  </si>
  <si>
    <t>0.09300000000000001</t>
  </si>
  <si>
    <t>-11.024000000000001</t>
  </si>
  <si>
    <t>3713.24</t>
  </si>
  <si>
    <t>0.2443</t>
  </si>
  <si>
    <t>0.1382</t>
  </si>
  <si>
    <t>246.90592466488</t>
  </si>
  <si>
    <t>0.8118</t>
  </si>
  <si>
    <t>-24.29871206033</t>
  </si>
  <si>
    <t>0.4522</t>
  </si>
  <si>
    <t>7.0079</t>
  </si>
  <si>
    <t>0.9044</t>
  </si>
  <si>
    <t>-4.6930000000000005</t>
  </si>
  <si>
    <t>-26.314</t>
  </si>
  <si>
    <t>1.903</t>
  </si>
  <si>
    <t>246.90963972097</t>
  </si>
  <si>
    <t>0.1517</t>
  </si>
  <si>
    <t>-24.61638476761</t>
  </si>
  <si>
    <t>0.0777</t>
  </si>
  <si>
    <t>7.4308</t>
  </si>
  <si>
    <t>-7.492999999999999</t>
  </si>
  <si>
    <t>0.34600000000000003</t>
  </si>
  <si>
    <t>-24.737</t>
  </si>
  <si>
    <t>246.91426055651002</t>
  </si>
  <si>
    <t>0.0861</t>
  </si>
  <si>
    <t>-24.65442233967</t>
  </si>
  <si>
    <t>7.2983</t>
  </si>
  <si>
    <t>0.0924</t>
  </si>
  <si>
    <t>-6.312</t>
  </si>
  <si>
    <t>-25.326</t>
  </si>
  <si>
    <t>3726.26</t>
  </si>
  <si>
    <t>1.8707</t>
  </si>
  <si>
    <t>1.113</t>
  </si>
  <si>
    <t>246.91781698737998</t>
  </si>
  <si>
    <t>-24.367933479130002</t>
  </si>
  <si>
    <t>0.0234</t>
  </si>
  <si>
    <t>7.6654</t>
  </si>
  <si>
    <t>0.0417</t>
  </si>
  <si>
    <t>-8.607000000000001</t>
  </si>
  <si>
    <t>0.1</t>
  </si>
  <si>
    <t>-27.646</t>
  </si>
  <si>
    <t>0.07400000000000001</t>
  </si>
  <si>
    <t>3926.34</t>
  </si>
  <si>
    <t>2.05</t>
  </si>
  <si>
    <t>0.904</t>
  </si>
  <si>
    <t>246.92789641772004</t>
  </si>
  <si>
    <t>0.3956</t>
  </si>
  <si>
    <t>-24.64751327936</t>
  </si>
  <si>
    <t>0.214</t>
  </si>
  <si>
    <t>6.6004</t>
  </si>
  <si>
    <t>0.4618</t>
  </si>
  <si>
    <t>-5.987</t>
  </si>
  <si>
    <t>0.8759999999999999</t>
  </si>
  <si>
    <t>-27.545</t>
  </si>
  <si>
    <t>0.586</t>
  </si>
  <si>
    <t>246.95740966916</t>
  </si>
  <si>
    <t>-24.42285016158</t>
  </si>
  <si>
    <t>0.3141</t>
  </si>
  <si>
    <t>4.8541</t>
  </si>
  <si>
    <t>0.5211</t>
  </si>
  <si>
    <t>-9.533999999999999</t>
  </si>
  <si>
    <t>1.061</t>
  </si>
  <si>
    <t>-21.269000000000002</t>
  </si>
  <si>
    <t>0.84</t>
  </si>
  <si>
    <t>246.95816551593998</t>
  </si>
  <si>
    <t>1.0982</t>
  </si>
  <si>
    <t>-24.738167277259997</t>
  </si>
  <si>
    <t>0.6515</t>
  </si>
  <si>
    <t>7.8538</t>
  </si>
  <si>
    <t>1.1317</t>
  </si>
  <si>
    <t>-8.094</t>
  </si>
  <si>
    <t>2.867</t>
  </si>
  <si>
    <t>-28.156</t>
  </si>
  <si>
    <t>2.002</t>
  </si>
  <si>
    <t>246.95776294361</t>
  </si>
  <si>
    <t>0.0583</t>
  </si>
  <si>
    <t>-24.42794877726</t>
  </si>
  <si>
    <t>0.0304</t>
  </si>
  <si>
    <t>7.0424</t>
  </si>
  <si>
    <t>0.0622</t>
  </si>
  <si>
    <t>-12.225999999999999</t>
  </si>
  <si>
    <t>-24.374000000000002</t>
  </si>
  <si>
    <t>4510.56</t>
  </si>
  <si>
    <t>246.96044669746001</t>
  </si>
  <si>
    <t>0.8624</t>
  </si>
  <si>
    <t>-24.65085296031</t>
  </si>
  <si>
    <t>0.5011</t>
  </si>
  <si>
    <t>2.0122</t>
  </si>
  <si>
    <t>0.9148</t>
  </si>
  <si>
    <t>1.3780000000000001</t>
  </si>
  <si>
    <t>2.019</t>
  </si>
  <si>
    <t>1.411</t>
  </si>
  <si>
    <t>246.96623314302002</t>
  </si>
  <si>
    <t>8.0753</t>
  </si>
  <si>
    <t>-24.77500153307</t>
  </si>
  <si>
    <t>5.5738</t>
  </si>
  <si>
    <t>246.98180262707996</t>
  </si>
  <si>
    <t>0.4224</t>
  </si>
  <si>
    <t>-24.747516586029995</t>
  </si>
  <si>
    <t>0.2538</t>
  </si>
  <si>
    <t>6.0763</t>
  </si>
  <si>
    <t>0.4826</t>
  </si>
  <si>
    <t>-6.281000000000001</t>
  </si>
  <si>
    <t>0.986</t>
  </si>
  <si>
    <t>-24.721</t>
  </si>
  <si>
    <t>246.9815448436</t>
  </si>
  <si>
    <t>0.0396</t>
  </si>
  <si>
    <t>-24.43845519557</t>
  </si>
  <si>
    <t>7.5123</t>
  </si>
  <si>
    <t>-9.117</t>
  </si>
  <si>
    <t>-26.414</t>
  </si>
  <si>
    <t>3531.67</t>
  </si>
  <si>
    <t>1.11</t>
  </si>
  <si>
    <t>247.05744655384999</t>
  </si>
  <si>
    <t>0.1869</t>
  </si>
  <si>
    <t>-24.547182144759997</t>
  </si>
  <si>
    <t>0.1028</t>
  </si>
  <si>
    <t>7.036</t>
  </si>
  <si>
    <t>0.212</t>
  </si>
  <si>
    <t>-6.808</t>
  </si>
  <si>
    <t>0.434</t>
  </si>
  <si>
    <t>-24.09</t>
  </si>
  <si>
    <t>247.06970239781003</t>
  </si>
  <si>
    <t>-24.0874502123</t>
  </si>
  <si>
    <t>7.2205</t>
  </si>
  <si>
    <t>-7.2</t>
  </si>
  <si>
    <t>-24.625</t>
  </si>
  <si>
    <t>3490.07</t>
  </si>
  <si>
    <t>247.06877102491</t>
  </si>
  <si>
    <t>0.1219</t>
  </si>
  <si>
    <t>-24.616238412090002</t>
  </si>
  <si>
    <t>7.2948</t>
  </si>
  <si>
    <t>0.1365</t>
  </si>
  <si>
    <t>-7.141</t>
  </si>
  <si>
    <t>0.28300000000000003</t>
  </si>
  <si>
    <t>-25.833000000000002</t>
  </si>
  <si>
    <t>3334.25</t>
  </si>
  <si>
    <t>2.161</t>
  </si>
  <si>
    <t>1.312</t>
  </si>
  <si>
    <t>247.13615402035</t>
  </si>
  <si>
    <t>0.0574</t>
  </si>
  <si>
    <t>-24.37929012816</t>
  </si>
  <si>
    <t>0.0334</t>
  </si>
  <si>
    <t>7.3527</t>
  </si>
  <si>
    <t>-9.467</t>
  </si>
  <si>
    <t>-28.057</t>
  </si>
  <si>
    <t>4255.98</t>
  </si>
  <si>
    <t>0.8</t>
  </si>
  <si>
    <t>247.18861043968997</t>
  </si>
  <si>
    <t>0.7909</t>
  </si>
  <si>
    <t>-24.472046024639997</t>
  </si>
  <si>
    <t>0.7538</t>
  </si>
  <si>
    <t>12.1961</t>
  </si>
  <si>
    <t>0.9432</t>
  </si>
  <si>
    <t>-7.79</t>
  </si>
  <si>
    <t>1.952</t>
  </si>
  <si>
    <t>-34.545</t>
  </si>
  <si>
    <t>1.847</t>
  </si>
  <si>
    <t>3494.5</t>
  </si>
  <si>
    <t>1.1</t>
  </si>
  <si>
    <t>84.52811154198001</t>
  </si>
  <si>
    <t>-2.50632046252</t>
  </si>
  <si>
    <t>0.0347</t>
  </si>
  <si>
    <t>2.3539</t>
  </si>
  <si>
    <t>0.0424</t>
  </si>
  <si>
    <t>1.035</t>
  </si>
  <si>
    <t>-0.38299999999999995</t>
  </si>
  <si>
    <t>3669.0</t>
  </si>
  <si>
    <t>84.61463530578</t>
  </si>
  <si>
    <t>0.0595</t>
  </si>
  <si>
    <t>-2.58450957665</t>
  </si>
  <si>
    <t>0.0572</t>
  </si>
  <si>
    <t>2.4787</t>
  </si>
  <si>
    <t>0.0678</t>
  </si>
  <si>
    <t>1.266</t>
  </si>
  <si>
    <t>-0.319</t>
  </si>
  <si>
    <t>3665.0</t>
  </si>
  <si>
    <t>84.97635517403</t>
  </si>
  <si>
    <t>0.3431</t>
  </si>
  <si>
    <t>-2.6219415879</t>
  </si>
  <si>
    <t>0.3581</t>
  </si>
  <si>
    <t>2.3001</t>
  </si>
  <si>
    <t>0.3895</t>
  </si>
  <si>
    <t>2.542</t>
  </si>
  <si>
    <t>-1.48</t>
  </si>
  <si>
    <t>0.677</t>
  </si>
  <si>
    <t>84.62032929267</t>
  </si>
  <si>
    <t>19.4467</t>
  </si>
  <si>
    <t>-2.8133046483599995</t>
  </si>
  <si>
    <t>17.6753</t>
  </si>
  <si>
    <t>68.09218107498</t>
  </si>
  <si>
    <t>0.0832</t>
  </si>
  <si>
    <t>18.461766661989998</t>
  </si>
  <si>
    <t>7.0463</t>
  </si>
  <si>
    <t>11.796</t>
  </si>
  <si>
    <t>-18.596</t>
  </si>
  <si>
    <t>0.113</t>
  </si>
  <si>
    <t>3922.82</t>
  </si>
  <si>
    <t>240.18543359797997</t>
  </si>
  <si>
    <t>-41.925359520309996</t>
  </si>
  <si>
    <t>6.3863</t>
  </si>
  <si>
    <t>0.0475</t>
  </si>
  <si>
    <t>-11.429</t>
  </si>
  <si>
    <t>-23.399</t>
  </si>
  <si>
    <t>-2.86</t>
  </si>
  <si>
    <t>4.38</t>
  </si>
  <si>
    <t>4412.5</t>
  </si>
  <si>
    <t>1.898</t>
  </si>
  <si>
    <t>0.955</t>
  </si>
  <si>
    <t>1.6</t>
  </si>
  <si>
    <t>0.879</t>
  </si>
  <si>
    <t>245.60496095316003</t>
  </si>
  <si>
    <t>-24.08722187485</t>
  </si>
  <si>
    <t>0.1756</t>
  </si>
  <si>
    <t>7.344</t>
  </si>
  <si>
    <t>0.406</t>
  </si>
  <si>
    <t>-15.79</t>
  </si>
  <si>
    <t>0.698</t>
  </si>
  <si>
    <t>-23.236</t>
  </si>
  <si>
    <t>239.00868378317</t>
  </si>
  <si>
    <t>-36.9246175675</t>
  </si>
  <si>
    <t>0.0163</t>
  </si>
  <si>
    <t>6.3287</t>
  </si>
  <si>
    <t>0.0367</t>
  </si>
  <si>
    <t>-11.66</t>
  </si>
  <si>
    <t>-22.503</t>
  </si>
  <si>
    <t>3973.22</t>
  </si>
  <si>
    <t>0.228</t>
  </si>
  <si>
    <t>239.86821511494998</t>
  </si>
  <si>
    <t>-40.36433168222</t>
  </si>
  <si>
    <t>6.2854</t>
  </si>
  <si>
    <t>0.0703</t>
  </si>
  <si>
    <t>-10.046</t>
  </si>
  <si>
    <t>-21.854</t>
  </si>
  <si>
    <t>0.094</t>
  </si>
  <si>
    <t>4720.55</t>
  </si>
  <si>
    <t>1.72</t>
  </si>
  <si>
    <t>0.8473</t>
  </si>
  <si>
    <t>1.4</t>
  </si>
  <si>
    <t>0.878</t>
  </si>
  <si>
    <t>236.32707108547</t>
  </si>
  <si>
    <t>0.1595</t>
  </si>
  <si>
    <t>-34.356917098850005</t>
  </si>
  <si>
    <t>6.5891</t>
  </si>
  <si>
    <t>0.1831</t>
  </si>
  <si>
    <t>-15.144</t>
  </si>
  <si>
    <t>-21.77</t>
  </si>
  <si>
    <t>2.03</t>
  </si>
  <si>
    <t>1.23</t>
  </si>
  <si>
    <t>239.85504110102002</t>
  </si>
  <si>
    <t>-42.5852732133</t>
  </si>
  <si>
    <t>0.0449</t>
  </si>
  <si>
    <t>6.7926</t>
  </si>
  <si>
    <t>0.1034</t>
  </si>
  <si>
    <t>-17.826</t>
  </si>
  <si>
    <t>0.19899999999999998</t>
  </si>
  <si>
    <t>-26.401999999999997</t>
  </si>
  <si>
    <t>0.146</t>
  </si>
  <si>
    <t>3955.58</t>
  </si>
  <si>
    <t>240.00244164025003</t>
  </si>
  <si>
    <t>-42.36588571422</t>
  </si>
  <si>
    <t>0.0317</t>
  </si>
  <si>
    <t>6.2033</t>
  </si>
  <si>
    <t>0.0751</t>
  </si>
  <si>
    <t>-11.842</t>
  </si>
  <si>
    <t>-23.713</t>
  </si>
  <si>
    <t>3974.12</t>
  </si>
  <si>
    <t>240.00975949315</t>
  </si>
  <si>
    <t>-42.37082221726</t>
  </si>
  <si>
    <t>6.0912</t>
  </si>
  <si>
    <t>0.0784</t>
  </si>
  <si>
    <t>-12.43</t>
  </si>
  <si>
    <t>-23.53</t>
  </si>
  <si>
    <t>4620.34</t>
  </si>
  <si>
    <t>240.10877567205003</t>
  </si>
  <si>
    <t>-41.89881418107</t>
  </si>
  <si>
    <t>6.0852</t>
  </si>
  <si>
    <t>0.0948</t>
  </si>
  <si>
    <t>-10.231</t>
  </si>
  <si>
    <t>0.179</t>
  </si>
  <si>
    <t>-22.568</t>
  </si>
  <si>
    <t>3476.0</t>
  </si>
  <si>
    <t>0.034</t>
  </si>
  <si>
    <t>241.76596229447998</t>
  </si>
  <si>
    <t>-39.186577541270005</t>
  </si>
  <si>
    <t>0.5823</t>
  </si>
  <si>
    <t>242.12785984707</t>
  </si>
  <si>
    <t>-38.47423282248</t>
  </si>
  <si>
    <t>0.0158</t>
  </si>
  <si>
    <t>6.4055</t>
  </si>
  <si>
    <t>0.0394</t>
  </si>
  <si>
    <t>-9.74</t>
  </si>
  <si>
    <t>-25.235</t>
  </si>
  <si>
    <t>4802.62</t>
  </si>
  <si>
    <t>1.2515</t>
  </si>
  <si>
    <t>0.6507</t>
  </si>
  <si>
    <t>1.54</t>
  </si>
  <si>
    <t>1.1340000000000001</t>
  </si>
  <si>
    <t>242.15068277167998</t>
  </si>
  <si>
    <t>-39.38411814966</t>
  </si>
  <si>
    <t>0.0159</t>
  </si>
  <si>
    <t>6.5086</t>
  </si>
  <si>
    <t>0.0452</t>
  </si>
  <si>
    <t>-9.83</t>
  </si>
  <si>
    <t>-23.435</t>
  </si>
  <si>
    <t>2.69</t>
  </si>
  <si>
    <t>4.1</t>
  </si>
  <si>
    <t>3778.9</t>
  </si>
  <si>
    <t>2.488</t>
  </si>
  <si>
    <t>1.221</t>
  </si>
  <si>
    <t>0.324</t>
  </si>
  <si>
    <t>242.36236400174</t>
  </si>
  <si>
    <t>0.0872</t>
  </si>
  <si>
    <t>-38.60758037285</t>
  </si>
  <si>
    <t>0.0313</t>
  </si>
  <si>
    <t>6.2753</t>
  </si>
  <si>
    <t>0.0942</t>
  </si>
  <si>
    <t>-9.511000000000001</t>
  </si>
  <si>
    <t>0.18899999999999997</t>
  </si>
  <si>
    <t>-22.9</t>
  </si>
  <si>
    <t>4267.03</t>
  </si>
  <si>
    <t>242.57731593473</t>
  </si>
  <si>
    <t>-38.60360808362</t>
  </si>
  <si>
    <t>6.2972</t>
  </si>
  <si>
    <t>0.0929</t>
  </si>
  <si>
    <t>-9.485</t>
  </si>
  <si>
    <t>-25.214000000000002</t>
  </si>
  <si>
    <t>3924.89</t>
  </si>
  <si>
    <t>242.58258957855</t>
  </si>
  <si>
    <t>-38.60193816839</t>
  </si>
  <si>
    <t>0.0484</t>
  </si>
  <si>
    <t>6.3061</t>
  </si>
  <si>
    <t>0.1359</t>
  </si>
  <si>
    <t>-9.404</t>
  </si>
  <si>
    <t>-25.563000000000002</t>
  </si>
  <si>
    <t>242.62308052413</t>
  </si>
  <si>
    <t>-39.3707869574</t>
  </si>
  <si>
    <t>0.03</t>
  </si>
  <si>
    <t>6.1262</t>
  </si>
  <si>
    <t>0.084</t>
  </si>
  <si>
    <t>-8.955</t>
  </si>
  <si>
    <t>-24.325</t>
  </si>
  <si>
    <t>3864.0</t>
  </si>
  <si>
    <t>243.18224481012</t>
  </si>
  <si>
    <t>-38.25095081275</t>
  </si>
  <si>
    <t>0.0188</t>
  </si>
  <si>
    <t>6.2573</t>
  </si>
  <si>
    <t>0.0482</t>
  </si>
  <si>
    <t>-8.562000000000001</t>
  </si>
  <si>
    <t>-22.391</t>
  </si>
  <si>
    <t>4075.09</t>
  </si>
  <si>
    <t>0.82</t>
  </si>
  <si>
    <t>243.43368010375</t>
  </si>
  <si>
    <t>-37.61295086443</t>
  </si>
  <si>
    <t>0.0412</t>
  </si>
  <si>
    <t>6.25</t>
  </si>
  <si>
    <t>0.0854</t>
  </si>
  <si>
    <t>-13.386</t>
  </si>
  <si>
    <t>-23.349</t>
  </si>
  <si>
    <t>3894.41</t>
  </si>
  <si>
    <t>0.844</t>
  </si>
  <si>
    <t>242.10729046992995</t>
  </si>
  <si>
    <t>0.1408</t>
  </si>
  <si>
    <t>-39.10044177284001</t>
  </si>
  <si>
    <t>7.3025</t>
  </si>
  <si>
    <t>0.1702</t>
  </si>
  <si>
    <t>-11.614</t>
  </si>
  <si>
    <t>0.29</t>
  </si>
  <si>
    <t>-23.853</t>
  </si>
  <si>
    <t>0.17</t>
  </si>
  <si>
    <t>4065.0</t>
  </si>
  <si>
    <t>1.1903</t>
  </si>
  <si>
    <t>0.678</t>
  </si>
  <si>
    <t>242.12606891567998</t>
  </si>
  <si>
    <t>0.0876</t>
  </si>
  <si>
    <t>-39.1032047579</t>
  </si>
  <si>
    <t>0.0306</t>
  </si>
  <si>
    <t>6.2696</t>
  </si>
  <si>
    <t>0.1061</t>
  </si>
  <si>
    <t>-9.377</t>
  </si>
  <si>
    <t>-23.378</t>
  </si>
  <si>
    <t>4360.8</t>
  </si>
  <si>
    <t>1.3717</t>
  </si>
  <si>
    <t>0.7787</t>
  </si>
  <si>
    <t>242.12834301362003</t>
  </si>
  <si>
    <t>0.0811</t>
  </si>
  <si>
    <t>-39.097004459690005</t>
  </si>
  <si>
    <t>6.0437</t>
  </si>
  <si>
    <t>0.0858</t>
  </si>
  <si>
    <t>-9.447000000000001</t>
  </si>
  <si>
    <t>-24.209</t>
  </si>
  <si>
    <t>0.106</t>
  </si>
  <si>
    <t>4155.53</t>
  </si>
  <si>
    <t>242.16560450246</t>
  </si>
  <si>
    <t>-39.107135071959995</t>
  </si>
  <si>
    <t>0.0184</t>
  </si>
  <si>
    <t>6.1855</t>
  </si>
  <si>
    <t>-11.145</t>
  </si>
  <si>
    <t>-23.593000000000004</t>
  </si>
  <si>
    <t>3434.0</t>
  </si>
  <si>
    <t>0.057999999999999996</t>
  </si>
  <si>
    <t>Sz108</t>
  </si>
  <si>
    <t>242.17802387302999</t>
  </si>
  <si>
    <t>-39.10519864237</t>
  </si>
  <si>
    <t>0.0189</t>
  </si>
  <si>
    <t>6.6079</t>
  </si>
  <si>
    <t>0.0543</t>
  </si>
  <si>
    <t>-11.3</t>
  </si>
  <si>
    <t>-26.723000000000003</t>
  </si>
  <si>
    <t>-1.54</t>
  </si>
  <si>
    <t>3928.51</t>
  </si>
  <si>
    <t>2.9343</t>
  </si>
  <si>
    <t>1.508</t>
  </si>
  <si>
    <t>1.29</t>
  </si>
  <si>
    <t>0.35600000000000004</t>
  </si>
  <si>
    <t>242.21481964459</t>
  </si>
  <si>
    <t>-39.05501896771</t>
  </si>
  <si>
    <t>0.0144</t>
  </si>
  <si>
    <t>6.2693</t>
  </si>
  <si>
    <t>-9.579</t>
  </si>
  <si>
    <t>-23.389</t>
  </si>
  <si>
    <t>3715.83</t>
  </si>
  <si>
    <t>242.22779978354</t>
  </si>
  <si>
    <t>0.0281</t>
  </si>
  <si>
    <t>-39.62874900765</t>
  </si>
  <si>
    <t>0.0102</t>
  </si>
  <si>
    <t>6.3159</t>
  </si>
  <si>
    <t>-9.527999999999999</t>
  </si>
  <si>
    <t>-22.643</t>
  </si>
  <si>
    <t>3833.06</t>
  </si>
  <si>
    <t>2.227</t>
  </si>
  <si>
    <t>1.0942</t>
  </si>
  <si>
    <t>0.93</t>
  </si>
  <si>
    <t>0.166</t>
  </si>
  <si>
    <t>242.23131467080003</t>
  </si>
  <si>
    <t>-39.042865782</t>
  </si>
  <si>
    <t>0.0253</t>
  </si>
  <si>
    <t>6.2393</t>
  </si>
  <si>
    <t>0.0755</t>
  </si>
  <si>
    <t>-10.306</t>
  </si>
  <si>
    <t>0.147</t>
  </si>
  <si>
    <t>-24.324</t>
  </si>
  <si>
    <t>4277.86</t>
  </si>
  <si>
    <t>1.327</t>
  </si>
  <si>
    <t>0.751</t>
  </si>
  <si>
    <t>242.24079041152</t>
  </si>
  <si>
    <t>-39.03978156721</t>
  </si>
  <si>
    <t>0.0251</t>
  </si>
  <si>
    <t>6.1261</t>
  </si>
  <si>
    <t>-10.243</t>
  </si>
  <si>
    <t>-23.358</t>
  </si>
  <si>
    <t>3786.36</t>
  </si>
  <si>
    <t>242.25764996778</t>
  </si>
  <si>
    <t>-39.08688532073</t>
  </si>
  <si>
    <t>0.0187</t>
  </si>
  <si>
    <t>6.1633</t>
  </si>
  <si>
    <t>0.0531</t>
  </si>
  <si>
    <t>-9.656</t>
  </si>
  <si>
    <t>-23.930999999999997</t>
  </si>
  <si>
    <t>3687.31</t>
  </si>
  <si>
    <t>0.92</t>
  </si>
  <si>
    <t>242.27582837628998</t>
  </si>
  <si>
    <t>-39.14784629947</t>
  </si>
  <si>
    <t>0.0276</t>
  </si>
  <si>
    <t>6.3329</t>
  </si>
  <si>
    <t>-11.137</t>
  </si>
  <si>
    <t>-24.233</t>
  </si>
  <si>
    <t>1.4633</t>
  </si>
  <si>
    <t>0.8313</t>
  </si>
  <si>
    <t>242.43479101114</t>
  </si>
  <si>
    <t>0.0385</t>
  </si>
  <si>
    <t>-39.225151738529995</t>
  </si>
  <si>
    <t>0.0146</t>
  </si>
  <si>
    <t>6.3067</t>
  </si>
  <si>
    <t>0.0461</t>
  </si>
  <si>
    <t>-8.248</t>
  </si>
  <si>
    <t>3544.0</t>
  </si>
  <si>
    <t>0.96</t>
  </si>
  <si>
    <t>242.45267558855</t>
  </si>
  <si>
    <t>0.0407</t>
  </si>
  <si>
    <t>-39.188114633270004</t>
  </si>
  <si>
    <t>0.0153</t>
  </si>
  <si>
    <t>6.1011</t>
  </si>
  <si>
    <t>0.0471</t>
  </si>
  <si>
    <t>-10.196</t>
  </si>
  <si>
    <t>-23.655</t>
  </si>
  <si>
    <t>3620.5</t>
  </si>
  <si>
    <t>0.95</t>
  </si>
  <si>
    <t>239.81857051582</t>
  </si>
  <si>
    <t>0.0414</t>
  </si>
  <si>
    <t>-41.95296070976</t>
  </si>
  <si>
    <t>0.0205</t>
  </si>
  <si>
    <t>6.185</t>
  </si>
  <si>
    <t>0.0505</t>
  </si>
  <si>
    <t>-10.463</t>
  </si>
  <si>
    <t>-23.114</t>
  </si>
  <si>
    <t>0.06</t>
  </si>
  <si>
    <t>3934.0</t>
  </si>
  <si>
    <t>240.12926021753998</t>
  </si>
  <si>
    <t>0.0332</t>
  </si>
  <si>
    <t>-41.7270417105</t>
  </si>
  <si>
    <t>0.0178</t>
  </si>
  <si>
    <t>6.2395</t>
  </si>
  <si>
    <t>0.0391</t>
  </si>
  <si>
    <t>-10.863</t>
  </si>
  <si>
    <t>-23.165</t>
  </si>
  <si>
    <t>3705.68</t>
  </si>
  <si>
    <t>240.20590859227002</t>
  </si>
  <si>
    <t>-41.501190486940004</t>
  </si>
  <si>
    <t>6.238</t>
  </si>
  <si>
    <t>0.0528</t>
  </si>
  <si>
    <t>-11.179</t>
  </si>
  <si>
    <t>-23.666</t>
  </si>
  <si>
    <t>3894.16</t>
  </si>
  <si>
    <t>234.86564598812</t>
  </si>
  <si>
    <t>-34.77154272702</t>
  </si>
  <si>
    <t>0.0256</t>
  </si>
  <si>
    <t>6.4394</t>
  </si>
  <si>
    <t>0.0517</t>
  </si>
  <si>
    <t>-13.270999999999999</t>
  </si>
  <si>
    <t>-22.241999999999997</t>
  </si>
  <si>
    <t>-5.11</t>
  </si>
  <si>
    <t>3.33</t>
  </si>
  <si>
    <t>0.647</t>
  </si>
  <si>
    <t>234.86777661078997</t>
  </si>
  <si>
    <t>-34.771783554</t>
  </si>
  <si>
    <t>0.0433</t>
  </si>
  <si>
    <t>6.3557</t>
  </si>
  <si>
    <t>0.0849</t>
  </si>
  <si>
    <t>-13.602</t>
  </si>
  <si>
    <t>-21.565</t>
  </si>
  <si>
    <t>4330.52</t>
  </si>
  <si>
    <t>236.30354156349</t>
  </si>
  <si>
    <t>-34.2919393866</t>
  </si>
  <si>
    <t>0.0268</t>
  </si>
  <si>
    <t>6.4853</t>
  </si>
  <si>
    <t>0.0605</t>
  </si>
  <si>
    <t>-13.625</t>
  </si>
  <si>
    <t>-21.605</t>
  </si>
  <si>
    <t>0.081</t>
  </si>
  <si>
    <t>4246.66</t>
  </si>
  <si>
    <t>3.31</t>
  </si>
  <si>
    <t>3.202</t>
  </si>
  <si>
    <t>236.3224713875</t>
  </si>
  <si>
    <t>0.072</t>
  </si>
  <si>
    <t>-34.30795452177</t>
  </si>
  <si>
    <t>0.0392</t>
  </si>
  <si>
    <t>6.4705</t>
  </si>
  <si>
    <t>0.0818</t>
  </si>
  <si>
    <t>-15.05</t>
  </si>
  <si>
    <t>0.155</t>
  </si>
  <si>
    <t>-22.146</t>
  </si>
  <si>
    <t>4618.94</t>
  </si>
  <si>
    <t>236.68629868897997</t>
  </si>
  <si>
    <t>0.0453</t>
  </si>
  <si>
    <t>-34.51001092616</t>
  </si>
  <si>
    <t>0.025</t>
  </si>
  <si>
    <t>6.4147</t>
  </si>
  <si>
    <t>0.0551</t>
  </si>
  <si>
    <t>-14.027999999999999</t>
  </si>
  <si>
    <t>-23.361</t>
  </si>
  <si>
    <t>3791.0</t>
  </si>
  <si>
    <t>2.5385</t>
  </si>
  <si>
    <t>1.2775</t>
  </si>
  <si>
    <t>236.96087901343998</t>
  </si>
  <si>
    <t>-35.47660096683</t>
  </si>
  <si>
    <t>0.0232</t>
  </si>
  <si>
    <t>6.4148</t>
  </si>
  <si>
    <t>-14.263</t>
  </si>
  <si>
    <t>-23.16</t>
  </si>
  <si>
    <t>3436.0</t>
  </si>
  <si>
    <t>1.19</t>
  </si>
  <si>
    <t>236.98718906132999</t>
  </si>
  <si>
    <t>0.0476</t>
  </si>
  <si>
    <t>-35.24309526055</t>
  </si>
  <si>
    <t>6.3784</t>
  </si>
  <si>
    <t>0.0545</t>
  </si>
  <si>
    <t>-14.203</t>
  </si>
  <si>
    <t>-22.264</t>
  </si>
  <si>
    <t>237.02173123203</t>
  </si>
  <si>
    <t>-35.2648042119</t>
  </si>
  <si>
    <t>0.6039</t>
  </si>
  <si>
    <t>237.37799658633998</t>
  </si>
  <si>
    <t>-35.83105015191</t>
  </si>
  <si>
    <t>6.2681</t>
  </si>
  <si>
    <t>0.0508</t>
  </si>
  <si>
    <t>-12.767000000000001</t>
  </si>
  <si>
    <t>-23.37</t>
  </si>
  <si>
    <t>3556.75</t>
  </si>
  <si>
    <t>237.94559196313</t>
  </si>
  <si>
    <t>-35.94569095753</t>
  </si>
  <si>
    <t>6.459</t>
  </si>
  <si>
    <t>0.0519</t>
  </si>
  <si>
    <t>-12.418</t>
  </si>
  <si>
    <t>-24.158</t>
  </si>
  <si>
    <t>-4.07</t>
  </si>
  <si>
    <t>2.21</t>
  </si>
  <si>
    <t>3942.0</t>
  </si>
  <si>
    <t>1.9005</t>
  </si>
  <si>
    <t>0.941</t>
  </si>
  <si>
    <t>1.62</t>
  </si>
  <si>
    <t>0.5720000000000001</t>
  </si>
  <si>
    <t>239.17623287741</t>
  </si>
  <si>
    <t>-37.82106488929001</t>
  </si>
  <si>
    <t>6.2667</t>
  </si>
  <si>
    <t>0.0673</t>
  </si>
  <si>
    <t>-11.546</t>
  </si>
  <si>
    <t>-23.234</t>
  </si>
  <si>
    <t>4688.32</t>
  </si>
  <si>
    <t>1.65</t>
  </si>
  <si>
    <t>1.182</t>
  </si>
  <si>
    <t>239.51043318947998</t>
  </si>
  <si>
    <t>-37.60085743292</t>
  </si>
  <si>
    <t>0.0446</t>
  </si>
  <si>
    <t>6.5512</t>
  </si>
  <si>
    <t>-13.224</t>
  </si>
  <si>
    <t>-22.804000000000002</t>
  </si>
  <si>
    <t>4039.84</t>
  </si>
  <si>
    <t>1.4055</t>
  </si>
  <si>
    <t>0.7895</t>
  </si>
  <si>
    <t>241.79190408686</t>
  </si>
  <si>
    <t>-39.18434797134</t>
  </si>
  <si>
    <t>0.0168</t>
  </si>
  <si>
    <t>6.2344</t>
  </si>
  <si>
    <t>-9.279</t>
  </si>
  <si>
    <t>-25.434</t>
  </si>
  <si>
    <t>3451.0</t>
  </si>
  <si>
    <t>241.79822516749002</t>
  </si>
  <si>
    <t>-39.0632902972</t>
  </si>
  <si>
    <t>0.0225</t>
  </si>
  <si>
    <t>6.2869</t>
  </si>
  <si>
    <t>0.0646</t>
  </si>
  <si>
    <t>-10.201</t>
  </si>
  <si>
    <t>-22.851</t>
  </si>
  <si>
    <t>3920.38</t>
  </si>
  <si>
    <t>241.96790366632004</t>
  </si>
  <si>
    <t>0.0625</t>
  </si>
  <si>
    <t>-38.96845963703</t>
  </si>
  <si>
    <t>0.0246</t>
  </si>
  <si>
    <t>6.3222</t>
  </si>
  <si>
    <t>-10.850999999999999</t>
  </si>
  <si>
    <t>-23.386999999999997</t>
  </si>
  <si>
    <t>3874.41</t>
  </si>
  <si>
    <t>242.05257169722</t>
  </si>
  <si>
    <t>0.0429</t>
  </si>
  <si>
    <t>-39.14273124184</t>
  </si>
  <si>
    <t>0.0179</t>
  </si>
  <si>
    <t>6.3877</t>
  </si>
  <si>
    <t>-23.412</t>
  </si>
  <si>
    <t>3549.33</t>
  </si>
  <si>
    <t>1.43</t>
  </si>
  <si>
    <t>0.292</t>
  </si>
  <si>
    <t>242.09079904542003</t>
  </si>
  <si>
    <t>-39.07273992501</t>
  </si>
  <si>
    <t>6.339</t>
  </si>
  <si>
    <t>0.0687</t>
  </si>
  <si>
    <t>-9.144</t>
  </si>
  <si>
    <t>-24.139</t>
  </si>
  <si>
    <t>4049.05</t>
  </si>
  <si>
    <t>242.0936697171</t>
  </si>
  <si>
    <t>-39.079668663490004</t>
  </si>
  <si>
    <t>6.4013</t>
  </si>
  <si>
    <t>0.0502</t>
  </si>
  <si>
    <t>-9.594</t>
  </si>
  <si>
    <t>-24.475</t>
  </si>
  <si>
    <t>4094.56</t>
  </si>
  <si>
    <t>0.35700000000000004</t>
  </si>
  <si>
    <t>242.10012524487004</t>
  </si>
  <si>
    <t>0.0722</t>
  </si>
  <si>
    <t>-39.09716668596</t>
  </si>
  <si>
    <t>6.2881</t>
  </si>
  <si>
    <t>-8.999</t>
  </si>
  <si>
    <t>-23.609</t>
  </si>
  <si>
    <t>4189.38</t>
  </si>
  <si>
    <t>THA 15-10</t>
  </si>
  <si>
    <t>238.95944340826</t>
  </si>
  <si>
    <t>0.0516</t>
  </si>
  <si>
    <t>-38.02612573539</t>
  </si>
  <si>
    <t>0.0275</t>
  </si>
  <si>
    <t>6.2554</t>
  </si>
  <si>
    <t>-11.659</t>
  </si>
  <si>
    <t>-22.951</t>
  </si>
  <si>
    <t>4011.2</t>
  </si>
  <si>
    <t>239.03829529287998</t>
  </si>
  <si>
    <t>-37.93513716402</t>
  </si>
  <si>
    <t>0.026</t>
  </si>
  <si>
    <t>6.3113</t>
  </si>
  <si>
    <t>0.0535</t>
  </si>
  <si>
    <t>-12.091</t>
  </si>
  <si>
    <t>-23.718000000000004</t>
  </si>
  <si>
    <t>4057.18</t>
  </si>
  <si>
    <t>2.06</t>
  </si>
  <si>
    <t>1.037</t>
  </si>
  <si>
    <t>242.71488773113998</t>
  </si>
  <si>
    <t>0.0431</t>
  </si>
  <si>
    <t>-38.88725839603</t>
  </si>
  <si>
    <t>0.0181</t>
  </si>
  <si>
    <t>6.1419</t>
  </si>
  <si>
    <t>0.0463</t>
  </si>
  <si>
    <t>-9.082</t>
  </si>
  <si>
    <t>3907.78</t>
  </si>
  <si>
    <t>0.57</t>
  </si>
  <si>
    <t>165.46591445018</t>
  </si>
  <si>
    <t>0.0229</t>
  </si>
  <si>
    <t>-34.704791332359996</t>
  </si>
  <si>
    <t>0.0223</t>
  </si>
  <si>
    <t>16.6428</t>
  </si>
  <si>
    <t>-68.389</t>
  </si>
  <si>
    <t>0.054000000000000006</t>
  </si>
  <si>
    <t>-14.015999999999998</t>
  </si>
  <si>
    <t>4236.0</t>
  </si>
  <si>
    <t>TWA 3</t>
  </si>
  <si>
    <t>167.61567341494</t>
  </si>
  <si>
    <t>0.0765</t>
  </si>
  <si>
    <t>-37.531054930020005</t>
  </si>
  <si>
    <t>0.0797</t>
  </si>
  <si>
    <t>27.3058</t>
  </si>
  <si>
    <t>0.117</t>
  </si>
  <si>
    <t>-115.221</t>
  </si>
  <si>
    <t>-17.324</t>
  </si>
  <si>
    <t>3959.5</t>
  </si>
  <si>
    <t>240.11121287383997</t>
  </si>
  <si>
    <t>0.1444</t>
  </si>
  <si>
    <t>-20.94219138582</t>
  </si>
  <si>
    <t>0.1018</t>
  </si>
  <si>
    <t>6.1617</t>
  </si>
  <si>
    <t>0.2008</t>
  </si>
  <si>
    <t>-10.546</t>
  </si>
  <si>
    <t>0.48100000000000004</t>
  </si>
  <si>
    <t>-17.225</t>
  </si>
  <si>
    <t>0.32299999999999995</t>
  </si>
  <si>
    <t>68.73094259500999</t>
  </si>
  <si>
    <t>24.48130916098</t>
  </si>
  <si>
    <t>0.0837</t>
  </si>
  <si>
    <t>7.2888</t>
  </si>
  <si>
    <t>0.1295</t>
  </si>
  <si>
    <t>3.483</t>
  </si>
  <si>
    <t>0.354</t>
  </si>
  <si>
    <t>-20.987</t>
  </si>
  <si>
    <t>0.192</t>
  </si>
  <si>
    <t>73.94104462031</t>
  </si>
  <si>
    <t>0.0491</t>
  </si>
  <si>
    <t>30.551088764170004</t>
  </si>
  <si>
    <t>6.14</t>
  </si>
  <si>
    <t>3.926</t>
  </si>
  <si>
    <t>-24.112</t>
  </si>
  <si>
    <t>8615.5</t>
  </si>
  <si>
    <t>84.30526368664</t>
  </si>
  <si>
    <t>-6.58348839967</t>
  </si>
  <si>
    <t>2.5702</t>
  </si>
  <si>
    <t>6984.85</t>
  </si>
  <si>
    <t>1.1947</t>
  </si>
  <si>
    <t>0.6013</t>
  </si>
  <si>
    <t>1.93</t>
  </si>
  <si>
    <t>7.949</t>
  </si>
  <si>
    <t>64.81601875455999</t>
  </si>
  <si>
    <t>0.0542</t>
  </si>
  <si>
    <t>29.10736769915</t>
  </si>
  <si>
    <t>7.7474</t>
  </si>
  <si>
    <t>0.0578</t>
  </si>
  <si>
    <t>8.627</t>
  </si>
  <si>
    <t>-26.177</t>
  </si>
  <si>
    <t>4320.0</t>
  </si>
  <si>
    <t>0.456</t>
  </si>
  <si>
    <t>V* HO Lup</t>
  </si>
  <si>
    <t>241.75243653992996</t>
  </si>
  <si>
    <t>0.0405</t>
  </si>
  <si>
    <t>-39.03885359137</t>
  </si>
  <si>
    <t>0.0183</t>
  </si>
  <si>
    <t>6.3119</t>
  </si>
  <si>
    <t>0.0489</t>
  </si>
  <si>
    <t>-11.165999999999999</t>
  </si>
  <si>
    <t>-22.953000000000003</t>
  </si>
  <si>
    <t>0.062</t>
  </si>
  <si>
    <t>4397.36</t>
  </si>
  <si>
    <t>0.83</t>
  </si>
  <si>
    <t>84.71671177771</t>
  </si>
  <si>
    <t>-2.77881575777</t>
  </si>
  <si>
    <t>0.0271</t>
  </si>
  <si>
    <t>2.4709</t>
  </si>
  <si>
    <t>0.0296</t>
  </si>
  <si>
    <t>1.63</t>
  </si>
  <si>
    <t>-1.011</t>
  </si>
  <si>
    <t>4184.48</t>
  </si>
  <si>
    <t>1.7105</t>
  </si>
  <si>
    <t>1.41</t>
  </si>
  <si>
    <t>0.551</t>
  </si>
  <si>
    <t>84.91737936845</t>
  </si>
  <si>
    <t>0.021</t>
  </si>
  <si>
    <t>-2.34667694435</t>
  </si>
  <si>
    <t>0.024</t>
  </si>
  <si>
    <t>2.5133</t>
  </si>
  <si>
    <t>2.405</t>
  </si>
  <si>
    <t>-0.16699999999999998</t>
  </si>
  <si>
    <t>0.040999999999999995</t>
  </si>
  <si>
    <t>4297.06</t>
  </si>
  <si>
    <t>1.713</t>
  </si>
  <si>
    <t>0.856</t>
  </si>
  <si>
    <t>163.99870109578998</t>
  </si>
  <si>
    <t>0.0299</t>
  </si>
  <si>
    <t>-77.41114629596998</t>
  </si>
  <si>
    <t>5.403</t>
  </si>
  <si>
    <t>0.0312</t>
  </si>
  <si>
    <t>-23.813000000000002</t>
  </si>
  <si>
    <t>2.193</t>
  </si>
  <si>
    <t>3728.92</t>
  </si>
  <si>
    <t>0.69</t>
  </si>
  <si>
    <t>84.6403707853</t>
  </si>
  <si>
    <t>0.2416</t>
  </si>
  <si>
    <t>-2.7372706619700002</t>
  </si>
  <si>
    <t>0.2163</t>
  </si>
  <si>
    <t>1.7486</t>
  </si>
  <si>
    <t>0.2591</t>
  </si>
  <si>
    <t>-1.29</t>
  </si>
  <si>
    <t>0.461</t>
  </si>
  <si>
    <t>-2.701</t>
  </si>
  <si>
    <t>4018.64</t>
  </si>
  <si>
    <t>4.3</t>
  </si>
  <si>
    <t>4.353</t>
  </si>
  <si>
    <t>84.64949062964001</t>
  </si>
  <si>
    <t>-2.7308984938300003</t>
  </si>
  <si>
    <t>2.431</t>
  </si>
  <si>
    <t>0.041</t>
  </si>
  <si>
    <t>1.4469999999999998</t>
  </si>
  <si>
    <t>-0.5760000000000001</t>
  </si>
  <si>
    <t>4474.36</t>
  </si>
  <si>
    <t>1.256</t>
  </si>
  <si>
    <t>72.94748045502</t>
  </si>
  <si>
    <t>0.0554</t>
  </si>
  <si>
    <t>30.786986013570004</t>
  </si>
  <si>
    <t>6.4264</t>
  </si>
  <si>
    <t>0.0591</t>
  </si>
  <si>
    <t>4.379</t>
  </si>
  <si>
    <t>-25.971999999999998</t>
  </si>
  <si>
    <t>3849.14</t>
  </si>
  <si>
    <t>2.984</t>
  </si>
  <si>
    <t>1.4773</t>
  </si>
  <si>
    <t>0.6990000000000001</t>
  </si>
  <si>
    <t>166.7454841256</t>
  </si>
  <si>
    <t>-77.31482771806999</t>
  </si>
  <si>
    <t>0.0536</t>
  </si>
  <si>
    <t>5.2538</t>
  </si>
  <si>
    <t>-23.319000000000003</t>
  </si>
  <si>
    <t>1.714</t>
  </si>
  <si>
    <t>3805.43</t>
  </si>
  <si>
    <t>84.59724373079</t>
  </si>
  <si>
    <t>0.0981</t>
  </si>
  <si>
    <t>-2.4262850932099997</t>
  </si>
  <si>
    <t>0.0985</t>
  </si>
  <si>
    <t>2.6476</t>
  </si>
  <si>
    <t>1.693</t>
  </si>
  <si>
    <t>3770.14</t>
  </si>
  <si>
    <t>84.59829442636999</t>
  </si>
  <si>
    <t>1.1307</t>
  </si>
  <si>
    <t>-2.34656737003</t>
  </si>
  <si>
    <t>1.0345</t>
  </si>
  <si>
    <t>84.60599298768001</t>
  </si>
  <si>
    <t>0.3875</t>
  </si>
  <si>
    <t>-2.7114667859400003</t>
  </si>
  <si>
    <t>0.3372</t>
  </si>
  <si>
    <t>2.9507</t>
  </si>
  <si>
    <t>0.3527</t>
  </si>
  <si>
    <t>1.9669999999999999</t>
  </si>
  <si>
    <t>0.8290000000000001</t>
  </si>
  <si>
    <t>-1.2</t>
  </si>
  <si>
    <t>84.70535143159</t>
  </si>
  <si>
    <t>0.1863</t>
  </si>
  <si>
    <t>-2.3993410127200003</t>
  </si>
  <si>
    <t>0.2468</t>
  </si>
  <si>
    <t>2.4287</t>
  </si>
  <si>
    <t>0.3065</t>
  </si>
  <si>
    <t>1.206</t>
  </si>
  <si>
    <t>0.322</t>
  </si>
  <si>
    <t>-0.23800000000000002</t>
  </si>
  <si>
    <t>84.61357197978</t>
  </si>
  <si>
    <t>-2.75269989123</t>
  </si>
  <si>
    <t>2.5164</t>
  </si>
  <si>
    <t>0.0386</t>
  </si>
  <si>
    <t>1.129</t>
  </si>
  <si>
    <t>-0.675</t>
  </si>
  <si>
    <t>3904.67</t>
  </si>
  <si>
    <t>1.22</t>
  </si>
  <si>
    <t>0.311</t>
  </si>
  <si>
    <t>V* V595 Ori A or</t>
  </si>
  <si>
    <t>84.68913633876</t>
  </si>
  <si>
    <t>0.1883</t>
  </si>
  <si>
    <t>-2.69982590907</t>
  </si>
  <si>
    <t>0.1804</t>
  </si>
  <si>
    <t>4.7093</t>
  </si>
  <si>
    <t>0.2424</t>
  </si>
  <si>
    <t>2.332</t>
  </si>
  <si>
    <t>0.47600000000000003</t>
  </si>
  <si>
    <t>3755.67</t>
  </si>
  <si>
    <t>0.62</t>
  </si>
  <si>
    <t>85.03703539297</t>
  </si>
  <si>
    <t>0.0291</t>
  </si>
  <si>
    <t>-2.5593852941299997</t>
  </si>
  <si>
    <t>0.0298</t>
  </si>
  <si>
    <t>2.4816</t>
  </si>
  <si>
    <t>2.217</t>
  </si>
  <si>
    <t>-0.22899999999999998</t>
  </si>
  <si>
    <t>3862.0</t>
  </si>
  <si>
    <t>1.46</t>
  </si>
  <si>
    <t>V* V866 Sco</t>
  </si>
  <si>
    <t>242.88063697537999</t>
  </si>
  <si>
    <t>-18.64060907865</t>
  </si>
  <si>
    <t>7.817</t>
  </si>
  <si>
    <t>0.0977</t>
  </si>
  <si>
    <t>-7.45</t>
  </si>
  <si>
    <t>-26.891</t>
  </si>
  <si>
    <t>5143.45</t>
  </si>
  <si>
    <t>WL 18</t>
  </si>
  <si>
    <t>246.69345337063</t>
  </si>
  <si>
    <t>0.4933</t>
  </si>
  <si>
    <t>-24.200120474400002</t>
  </si>
  <si>
    <t>0.2507</t>
  </si>
  <si>
    <t>9.1294</t>
  </si>
  <si>
    <t>0.5733</t>
  </si>
  <si>
    <t>-2.7</t>
  </si>
  <si>
    <t>-25.318</t>
  </si>
  <si>
    <t>0.748</t>
  </si>
  <si>
    <t>4216.69</t>
  </si>
  <si>
    <t>Mass Used</t>
  </si>
  <si>
    <t>Object Radius</t>
  </si>
  <si>
    <t>Old Accr Rate</t>
  </si>
  <si>
    <t>Ha Accr Lum</t>
  </si>
  <si>
    <t>PaB Accr Lum</t>
  </si>
  <si>
    <t>BrG Accr Lum</t>
  </si>
  <si>
    <t>Avg Accr Lum</t>
  </si>
  <si>
    <t>Ha Accr Rate</t>
  </si>
  <si>
    <t>PaB Accr Rate</t>
  </si>
  <si>
    <t>BrG Accr Rate</t>
  </si>
  <si>
    <t>Avg Accr Rate</t>
  </si>
  <si>
    <t>Re-est. masses</t>
  </si>
  <si>
    <t>Re-est. radii</t>
  </si>
  <si>
    <t>2MASS J01033563-5515561</t>
  </si>
  <si>
    <t>2MASS J12073347-3932540</t>
  </si>
  <si>
    <t>2MASSJ16085953-3856275</t>
  </si>
  <si>
    <t>CT Cha B</t>
  </si>
  <si>
    <t>GQ Lup  b</t>
  </si>
  <si>
    <t>IC348  382</t>
  </si>
  <si>
    <t>IC348  415</t>
  </si>
  <si>
    <t>OTS 44</t>
  </si>
  <si>
    <t>SSPM J1102-3431</t>
  </si>
  <si>
    <t>USco J1608-2315</t>
  </si>
  <si>
    <t>upper limit</t>
  </si>
  <si>
    <t>Follette Lab AccDB</t>
  </si>
  <si>
    <t>YES</t>
  </si>
  <si>
    <r>
      <rPr>
        <rFont val="Calibri"/>
        <color rgb="FF000000"/>
        <sz val="11.0"/>
      </rPr>
      <t xml:space="preserve">disk classification from Ruiz-Rodrigues 2018 </t>
    </r>
    <r>
      <rPr>
        <rFont val="Calibri"/>
        <b/>
        <color rgb="FF000000"/>
        <sz val="11.0"/>
      </rPr>
      <t>Accretion rate equation 1</t>
    </r>
  </si>
  <si>
    <t>lower 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</si>
</sst>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##0.0"/>
    <numFmt numFmtId="165" formatCode="#,##0.0000"/>
    <numFmt numFmtId="166" formatCode="yyyy-mm-dd h:mm:ss"/>
    <numFmt numFmtId="167" formatCode="m/yyyy"/>
    <numFmt numFmtId="168" formatCode="0.000"/>
    <numFmt numFmtId="169" formatCode="0.000E+00"/>
    <numFmt numFmtId="170" formatCode="0.0000"/>
    <numFmt numFmtId="171" formatCode="mmmm yyyy"/>
    <numFmt numFmtId="172" formatCode="m-d"/>
    <numFmt numFmtId="173" formatCode="mmmm d, yyyy"/>
    <numFmt numFmtId="174" formatCode="0.000E+000"/>
    <numFmt numFmtId="175" formatCode="yyyy-mm-dd"/>
    <numFmt numFmtId="176" formatCode="d mmmm yyyy"/>
  </numFmts>
  <fonts count="69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1.0"/>
      <color theme="1"/>
      <name val="Arial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sz val="10.0"/>
      <color rgb="FF010101"/>
      <name val="Arial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Arial"/>
    </font>
    <font>
      <u/>
      <sz val="10.0"/>
      <color rgb="FF1155CC"/>
    </font>
    <font>
      <sz val="10.0"/>
      <color rgb="FFB7B7B7"/>
      <name val="Arial"/>
    </font>
    <font>
      <b/>
      <sz val="10.0"/>
      <color theme="1"/>
      <name val="Arial"/>
    </font>
    <font>
      <b/>
      <u/>
      <sz val="10.0"/>
      <color rgb="FF1155CC"/>
    </font>
    <font>
      <b/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Arial"/>
    </font>
    <font>
      <b/>
      <u/>
      <sz val="10.0"/>
      <color rgb="FF1155CC"/>
    </font>
    <font>
      <u/>
      <sz val="10.0"/>
      <color rgb="FF1155CC"/>
    </font>
    <font>
      <u/>
      <sz val="10.0"/>
      <color rgb="FF1155CC"/>
    </font>
    <font>
      <sz val="10.0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8.0"/>
      <color theme="1"/>
      <name val="Arial"/>
    </font>
    <font/>
    <font>
      <b/>
      <sz val="14.0"/>
      <color theme="1"/>
      <name val="Arial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>
      <u/>
      <color rgb="FF0000FF"/>
    </font>
    <font>
      <b/>
      <color theme="1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b/>
      <color rgb="FF000000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sz val="10.0"/>
      <color rgb="FF1155CC"/>
      <name val="Arial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  <font>
      <color rgb="FF000000"/>
      <name val="Roboto"/>
    </font>
    <font>
      <color theme="1"/>
      <name val="Georgia"/>
    </font>
    <font>
      <sz val="11.0"/>
      <color rgb="FF1A3438"/>
      <name val="Docs-Calibri"/>
    </font>
    <font>
      <sz val="11.0"/>
      <color theme="1"/>
      <name val="Arial"/>
    </font>
    <font>
      <sz val="11.0"/>
      <color rgb="FF1155CC"/>
      <name val="Inconsolata"/>
    </font>
    <font>
      <sz val="11.0"/>
      <color rgb="FF00000A"/>
      <name val="Calibri"/>
    </font>
    <font>
      <color theme="1"/>
      <name val="&quot;Times New Roman&quot;"/>
    </font>
    <font>
      <sz val="12.0"/>
      <color rgb="FF000000"/>
      <name val="Calibri"/>
    </font>
    <font>
      <sz val="11.0"/>
      <color rgb="FF000000"/>
      <name val="Arial"/>
    </font>
  </fonts>
  <fills count="4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FFD4A9"/>
        <bgColor rgb="FFFFD4A9"/>
      </patternFill>
    </fill>
    <fill>
      <patternFill patternType="solid">
        <fgColor rgb="FFFFC890"/>
        <bgColor rgb="FFFFC890"/>
      </patternFill>
    </fill>
    <fill>
      <patternFill patternType="solid">
        <fgColor rgb="FFFFB870"/>
        <bgColor rgb="FFFFB870"/>
      </patternFill>
    </fill>
    <fill>
      <patternFill patternType="solid">
        <fgColor rgb="FFFFB05F"/>
        <bgColor rgb="FFFFB05F"/>
      </patternFill>
    </fill>
    <fill>
      <patternFill patternType="solid">
        <fgColor rgb="FFFFA03F"/>
        <bgColor rgb="FFFFA03F"/>
      </patternFill>
    </fill>
    <fill>
      <patternFill patternType="solid">
        <fgColor rgb="FFFDE7AA"/>
        <bgColor rgb="FFFDE7AA"/>
      </patternFill>
    </fill>
    <fill>
      <patternFill patternType="solid">
        <fgColor rgb="FFFDDA7A"/>
        <bgColor rgb="FFFDDA7A"/>
      </patternFill>
    </fill>
    <fill>
      <patternFill patternType="solid">
        <fgColor rgb="FFFCCD4A"/>
        <bgColor rgb="FFFCCD4A"/>
      </patternFill>
    </fill>
    <fill>
      <patternFill patternType="solid">
        <fgColor rgb="FF927400"/>
        <bgColor rgb="FF927400"/>
      </patternFill>
    </fill>
    <fill>
      <patternFill patternType="solid">
        <fgColor rgb="FF90FFED"/>
        <bgColor rgb="FF90FFED"/>
      </patternFill>
    </fill>
    <fill>
      <patternFill patternType="solid">
        <fgColor rgb="FF00CCAB"/>
        <bgColor rgb="FF00CCAB"/>
      </patternFill>
    </fill>
    <fill>
      <patternFill patternType="solid">
        <fgColor rgb="FF009B82"/>
        <bgColor rgb="FF009B82"/>
      </patternFill>
    </fill>
    <fill>
      <patternFill patternType="solid">
        <fgColor rgb="FFFFBB37"/>
        <bgColor rgb="FFFFBB37"/>
      </patternFill>
    </fill>
    <fill>
      <patternFill patternType="solid">
        <fgColor rgb="FFFFAA06"/>
        <bgColor rgb="FFFFAA06"/>
      </patternFill>
    </fill>
    <fill>
      <patternFill patternType="solid">
        <fgColor rgb="FFD48C00"/>
        <bgColor rgb="FFD48C00"/>
      </patternFill>
    </fill>
    <fill>
      <patternFill patternType="solid">
        <fgColor rgb="FF3D85C6"/>
        <bgColor rgb="FF3D85C6"/>
      </patternFill>
    </fill>
    <fill>
      <patternFill patternType="solid">
        <fgColor rgb="FFDDF2F0"/>
        <bgColor rgb="FFDDF2F0"/>
      </patternFill>
    </fill>
    <fill>
      <patternFill patternType="solid">
        <fgColor rgb="FFBDBDBD"/>
        <bgColor rgb="FFBDBDBD"/>
      </patternFill>
    </fill>
    <fill>
      <patternFill patternType="solid">
        <fgColor rgb="FFF7CB4D"/>
        <bgColor rgb="FFF7CB4D"/>
      </patternFill>
    </fill>
    <fill>
      <patternFill patternType="solid">
        <fgColor rgb="FFF3F3F3"/>
        <bgColor rgb="FFF3F3F3"/>
      </patternFill>
    </fill>
    <fill>
      <patternFill patternType="solid">
        <fgColor rgb="FFFEF8E3"/>
        <bgColor rgb="FFFEF8E3"/>
      </patternFill>
    </fill>
    <fill>
      <patternFill patternType="solid">
        <fgColor rgb="FFFFFFF7"/>
        <bgColor rgb="FFFFFFF7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</fills>
  <borders count="17">
    <border/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vertical="bottom"/>
    </xf>
    <xf borderId="0" fillId="4" fontId="1" numFmtId="4" xfId="0" applyAlignment="1" applyFont="1" applyNumberFormat="1">
      <alignment vertical="bottom"/>
    </xf>
    <xf borderId="0" fillId="4" fontId="1" numFmtId="165" xfId="0" applyAlignment="1" applyFont="1" applyNumberForma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readingOrder="0" vertical="bottom"/>
    </xf>
    <xf borderId="0" fillId="4" fontId="2" numFmtId="4" xfId="0" applyAlignment="1" applyFont="1" applyNumberFormat="1">
      <alignment vertical="bottom"/>
    </xf>
    <xf borderId="0" fillId="4" fontId="2" numFmtId="165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2" numFmtId="165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2" fillId="2" fontId="4" numFmtId="0" xfId="0" applyAlignment="1" applyBorder="1" applyFont="1">
      <alignment readingOrder="0" vertical="bottom"/>
    </xf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readingOrder="0" vertical="bottom"/>
    </xf>
    <xf borderId="2" fillId="4" fontId="4" numFmtId="0" xfId="0" applyAlignment="1" applyBorder="1" applyFont="1">
      <alignment vertical="bottom"/>
    </xf>
    <xf borderId="2" fillId="4" fontId="4" numFmtId="164" xfId="0" applyAlignment="1" applyBorder="1" applyFont="1" applyNumberFormat="1">
      <alignment vertical="bottom"/>
    </xf>
    <xf borderId="2" fillId="4" fontId="4" numFmtId="0" xfId="0" applyAlignment="1" applyBorder="1" applyFont="1">
      <alignment vertical="bottom"/>
    </xf>
    <xf borderId="2" fillId="4" fontId="4" numFmtId="4" xfId="0" applyAlignment="1" applyBorder="1" applyFont="1" applyNumberFormat="1">
      <alignment vertical="bottom"/>
    </xf>
    <xf borderId="2" fillId="4" fontId="4" numFmtId="165" xfId="0" applyAlignment="1" applyBorder="1" applyFont="1" applyNumberFormat="1">
      <alignment vertical="bottom"/>
    </xf>
    <xf borderId="2" fillId="5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2" fillId="5" fontId="4" numFmtId="0" xfId="0" applyAlignment="1" applyBorder="1" applyFont="1">
      <alignment readingOrder="0" vertical="bottom"/>
    </xf>
    <xf borderId="2" fillId="4" fontId="4" numFmtId="165" xfId="0" applyAlignment="1" applyBorder="1" applyFont="1" applyNumberFormat="1">
      <alignment readingOrder="0" vertical="bottom"/>
    </xf>
    <xf borderId="2" fillId="4" fontId="4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0" xfId="0" applyFont="1"/>
    <xf borderId="0" fillId="4" fontId="1" numFmtId="4" xfId="0" applyAlignment="1" applyFont="1" applyNumberFormat="1">
      <alignment horizontal="right" readingOrder="0" vertical="bottom"/>
    </xf>
    <xf borderId="0" fillId="4" fontId="1" numFmtId="165" xfId="0" applyAlignment="1" applyFont="1" applyNumberFormat="1">
      <alignment horizontal="right" readingOrder="0" vertical="bottom"/>
    </xf>
    <xf borderId="0" fillId="5" fontId="1" numFmtId="0" xfId="0" applyAlignment="1" applyFont="1">
      <alignment readingOrder="0" vertical="bottom"/>
    </xf>
    <xf borderId="0" fillId="5" fontId="1" numFmtId="11" xfId="0" applyAlignment="1" applyFont="1" applyNumberFormat="1">
      <alignment vertical="bottom"/>
    </xf>
    <xf borderId="0" fillId="4" fontId="1" numFmtId="0" xfId="0" applyAlignment="1" applyFont="1">
      <alignment horizontal="right" readingOrder="0" vertical="bottom"/>
    </xf>
    <xf borderId="0" fillId="4" fontId="1" numFmtId="11" xfId="0" applyAlignment="1" applyFont="1" applyNumberFormat="1">
      <alignment horizontal="right" readingOrder="0" vertical="bottom"/>
    </xf>
    <xf borderId="0" fillId="4" fontId="1" numFmtId="0" xfId="0" applyAlignment="1" applyFont="1">
      <alignment readingOrder="0" shrinkToFit="0" vertical="bottom" wrapText="0"/>
    </xf>
    <xf borderId="0" fillId="4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3" fontId="7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4" fontId="1" numFmtId="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0" fillId="5" fontId="1" numFmtId="11" xfId="0" applyAlignment="1" applyFont="1" applyNumberFormat="1">
      <alignment readingOrder="0" vertical="bottom"/>
    </xf>
    <xf borderId="0" fillId="4" fontId="1" numFmtId="11" xfId="0" applyAlignment="1" applyFont="1" applyNumberFormat="1">
      <alignment horizontal="right" vertical="bottom"/>
    </xf>
    <xf borderId="0" fillId="4" fontId="1" numFmtId="0" xfId="0" applyAlignment="1" applyFont="1">
      <alignment shrinkToFit="0" vertical="bottom" wrapText="0"/>
    </xf>
    <xf borderId="0" fillId="3" fontId="9" numFmtId="0" xfId="0" applyAlignment="1" applyFont="1">
      <alignment readingOrder="0" vertical="bottom"/>
    </xf>
    <xf borderId="0" fillId="5" fontId="1" numFmtId="4" xfId="0" applyAlignment="1" applyFont="1" applyNumberFormat="1">
      <alignment readingOrder="0" vertical="bottom"/>
    </xf>
    <xf borderId="0" fillId="4" fontId="1" numFmtId="0" xfId="0" applyAlignment="1" applyFont="1">
      <alignment shrinkToFit="0" vertical="bottom" wrapText="0"/>
    </xf>
    <xf borderId="0" fillId="5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4" fontId="1" numFmtId="11" xfId="0" applyAlignment="1" applyFont="1" applyNumberFormat="1">
      <alignment shrinkToFit="0" vertical="bottom" wrapText="0"/>
    </xf>
    <xf borderId="0" fillId="5" fontId="1" numFmtId="0" xfId="0" applyAlignment="1" applyFont="1">
      <alignment horizontal="right" readingOrder="0" vertical="bottom"/>
    </xf>
    <xf borderId="0" fillId="5" fontId="1" numFmtId="4" xfId="0" applyAlignment="1" applyFont="1" applyNumberFormat="1">
      <alignment horizontal="right" readingOrder="0" vertical="bottom"/>
    </xf>
    <xf borderId="0" fillId="4" fontId="1" numFmtId="11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5" fontId="1" numFmtId="4" xfId="0" applyAlignment="1" applyFont="1" applyNumberFormat="1">
      <alignment horizontal="right" vertical="bottom"/>
    </xf>
    <xf borderId="0" fillId="5" fontId="1" numFmtId="11" xfId="0" applyAlignment="1" applyFont="1" applyNumberFormat="1">
      <alignment horizontal="right" readingOrder="0" vertical="bottom"/>
    </xf>
    <xf borderId="0" fillId="3" fontId="1" numFmtId="166" xfId="0" applyAlignment="1" applyFont="1" applyNumberFormat="1">
      <alignment vertical="bottom"/>
    </xf>
    <xf borderId="0" fillId="4" fontId="1" numFmtId="0" xfId="0" applyAlignment="1" applyFont="1">
      <alignment horizontal="right" vertical="bottom"/>
    </xf>
    <xf borderId="0" fillId="4" fontId="1" numFmtId="165" xfId="0" applyAlignment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5" fontId="1" numFmtId="1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4" fontId="1" numFmtId="16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readingOrder="0" vertical="bottom"/>
    </xf>
    <xf borderId="0" fillId="5" fontId="1" numFmtId="0" xfId="0" applyAlignment="1" applyFont="1">
      <alignment horizontal="right" vertical="bottom"/>
    </xf>
    <xf borderId="0" fillId="5" fontId="1" numFmtId="11" xfId="0" applyAlignment="1" applyFont="1" applyNumberFormat="1">
      <alignment horizontal="right" vertical="bottom"/>
    </xf>
    <xf borderId="0" fillId="3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wrapText="0"/>
    </xf>
    <xf borderId="1" fillId="0" fontId="14" numFmtId="0" xfId="0" applyAlignment="1" applyBorder="1" applyFont="1">
      <alignment readingOrder="0" vertical="bottom"/>
    </xf>
    <xf borderId="0" fillId="3" fontId="15" numFmtId="0" xfId="0" applyAlignment="1" applyFont="1">
      <alignment shrinkToFit="0" vertical="bottom" wrapText="0"/>
    </xf>
    <xf borderId="0" fillId="4" fontId="1" numFmtId="165" xfId="0" applyAlignment="1" applyFont="1" applyNumberFormat="1">
      <alignment horizontal="right" vertical="bottom"/>
    </xf>
    <xf borderId="0" fillId="5" fontId="1" numFmtId="0" xfId="0" applyAlignment="1" applyFont="1">
      <alignment shrinkToFit="0" vertical="bottom" wrapText="0"/>
    </xf>
    <xf borderId="0" fillId="5" fontId="1" numFmtId="0" xfId="0" applyAlignment="1" applyFont="1">
      <alignment horizontal="right" vertical="bottom"/>
    </xf>
    <xf borderId="1" fillId="0" fontId="1" numFmtId="0" xfId="0" applyAlignment="1" applyBorder="1" applyFont="1">
      <alignment readingOrder="0"/>
    </xf>
    <xf borderId="0" fillId="4" fontId="1" numFmtId="11" xfId="0" applyAlignment="1" applyFont="1" applyNumberFormat="1">
      <alignment readingOrder="0" vertical="bottom"/>
    </xf>
    <xf borderId="0" fillId="3" fontId="1" numFmtId="0" xfId="0" applyAlignment="1" applyFont="1">
      <alignment shrinkToFit="0" vertical="bottom" wrapText="0"/>
    </xf>
    <xf borderId="0" fillId="4" fontId="1" numFmtId="4" xfId="0" applyAlignment="1" applyFont="1" applyNumberFormat="1">
      <alignment readingOrder="0" vertical="bottom"/>
    </xf>
    <xf borderId="0" fillId="4" fontId="1" numFmtId="167" xfId="0" applyAlignment="1" applyFont="1" applyNumberFormat="1">
      <alignment horizontal="right" readingOrder="0" vertical="bottom"/>
    </xf>
    <xf borderId="0" fillId="5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3" fontId="16" numFmtId="0" xfId="0" applyAlignment="1" applyFont="1">
      <alignment vertical="bottom"/>
    </xf>
    <xf borderId="0" fillId="4" fontId="17" numFmtId="0" xfId="0" applyAlignment="1" applyFont="1">
      <alignment readingOrder="0" shrinkToFit="0" vertical="bottom" wrapText="0"/>
    </xf>
    <xf borderId="0" fillId="4" fontId="1" numFmtId="167" xfId="0" applyAlignment="1" applyFont="1" applyNumberFormat="1">
      <alignment readingOrder="0" vertical="bottom"/>
    </xf>
    <xf borderId="1" fillId="0" fontId="0" numFmtId="0" xfId="0" applyAlignment="1" applyBorder="1" applyFont="1">
      <alignment horizontal="left" vertical="bottom"/>
    </xf>
    <xf borderId="0" fillId="2" fontId="18" numFmtId="0" xfId="0" applyAlignment="1" applyFont="1">
      <alignment vertical="bottom"/>
    </xf>
    <xf borderId="0" fillId="4" fontId="18" numFmtId="11" xfId="0" applyAlignment="1" applyFont="1" applyNumberFormat="1">
      <alignment vertical="bottom"/>
    </xf>
    <xf borderId="0" fillId="5" fontId="0" numFmtId="0" xfId="0" applyAlignment="1" applyFont="1">
      <alignment horizontal="right" readingOrder="0" vertical="bottom"/>
    </xf>
    <xf borderId="0" fillId="5" fontId="0" numFmtId="11" xfId="0" applyAlignment="1" applyFont="1" applyNumberFormat="1">
      <alignment horizontal="right" vertical="bottom"/>
    </xf>
    <xf borderId="0" fillId="5" fontId="18" numFmtId="11" xfId="0" applyAlignment="1" applyFont="1" applyNumberFormat="1">
      <alignment vertical="bottom"/>
    </xf>
    <xf borderId="0" fillId="4" fontId="18" numFmtId="0" xfId="0" applyAlignment="1" applyFont="1">
      <alignment vertical="bottom"/>
    </xf>
    <xf borderId="0" fillId="4" fontId="18" numFmtId="0" xfId="0" applyAlignment="1" applyFont="1">
      <alignment vertical="bottom"/>
    </xf>
    <xf borderId="0" fillId="3" fontId="1" numFmtId="11" xfId="0" applyAlignment="1" applyFont="1" applyNumberFormat="1">
      <alignment vertical="bottom"/>
    </xf>
    <xf borderId="0" fillId="0" fontId="19" numFmtId="0" xfId="0" applyAlignment="1" applyFont="1">
      <alignment vertical="bottom"/>
    </xf>
    <xf borderId="1" fillId="0" fontId="19" numFmtId="0" xfId="0" applyAlignment="1" applyBorder="1" applyFont="1">
      <alignment vertical="bottom"/>
    </xf>
    <xf borderId="0" fillId="2" fontId="19" numFmtId="0" xfId="0" applyAlignment="1" applyFont="1">
      <alignment vertical="bottom"/>
    </xf>
    <xf borderId="0" fillId="2" fontId="19" numFmtId="0" xfId="0" applyAlignment="1" applyFont="1">
      <alignment vertical="bottom"/>
    </xf>
    <xf borderId="0" fillId="2" fontId="19" numFmtId="0" xfId="0" applyAlignment="1" applyFont="1">
      <alignment readingOrder="0" vertical="bottom"/>
    </xf>
    <xf borderId="0" fillId="3" fontId="19" numFmtId="0" xfId="0" applyAlignment="1" applyFont="1">
      <alignment horizontal="right" readingOrder="0" vertical="bottom"/>
    </xf>
    <xf borderId="0" fillId="3" fontId="19" numFmtId="0" xfId="0" applyAlignment="1" applyFont="1">
      <alignment vertical="bottom"/>
    </xf>
    <xf borderId="0" fillId="3" fontId="19" numFmtId="0" xfId="0" applyAlignment="1" applyFont="1">
      <alignment horizontal="right" vertical="bottom"/>
    </xf>
    <xf borderId="0" fillId="3" fontId="19" numFmtId="0" xfId="0" applyAlignment="1" applyFont="1">
      <alignment vertical="bottom"/>
    </xf>
    <xf borderId="0" fillId="3" fontId="19" numFmtId="0" xfId="0" applyAlignment="1" applyFont="1">
      <alignment horizontal="right" vertical="bottom"/>
    </xf>
    <xf borderId="0" fillId="3" fontId="19" numFmtId="0" xfId="0" applyAlignment="1" applyFont="1">
      <alignment readingOrder="0" vertical="bottom"/>
    </xf>
    <xf borderId="0" fillId="3" fontId="20" numFmtId="0" xfId="0" applyAlignment="1" applyFont="1">
      <alignment vertical="bottom"/>
    </xf>
    <xf borderId="0" fillId="4" fontId="21" numFmtId="0" xfId="0" applyAlignment="1" applyFont="1">
      <alignment vertical="bottom"/>
    </xf>
    <xf borderId="0" fillId="4" fontId="19" numFmtId="0" xfId="0" applyAlignment="1" applyFont="1">
      <alignment readingOrder="0" vertical="bottom"/>
    </xf>
    <xf borderId="0" fillId="4" fontId="19" numFmtId="0" xfId="0" applyAlignment="1" applyFont="1">
      <alignment horizontal="right" vertical="bottom"/>
    </xf>
    <xf borderId="0" fillId="4" fontId="19" numFmtId="0" xfId="0" applyAlignment="1" applyFont="1">
      <alignment vertical="bottom"/>
    </xf>
    <xf borderId="0" fillId="4" fontId="19" numFmtId="164" xfId="0" applyAlignment="1" applyFont="1" applyNumberFormat="1">
      <alignment horizontal="right" vertical="bottom"/>
    </xf>
    <xf borderId="0" fillId="4" fontId="19" numFmtId="4" xfId="0" applyAlignment="1" applyFont="1" applyNumberFormat="1">
      <alignment horizontal="right" readingOrder="0" vertical="bottom"/>
    </xf>
    <xf borderId="0" fillId="4" fontId="19" numFmtId="0" xfId="0" applyAlignment="1" applyFont="1">
      <alignment horizontal="right" vertical="bottom"/>
    </xf>
    <xf borderId="0" fillId="4" fontId="19" numFmtId="165" xfId="0" applyAlignment="1" applyFont="1" applyNumberFormat="1">
      <alignment horizontal="right" readingOrder="0" vertical="bottom"/>
    </xf>
    <xf borderId="0" fillId="4" fontId="19" numFmtId="0" xfId="0" applyAlignment="1" applyFont="1">
      <alignment vertical="bottom"/>
    </xf>
    <xf borderId="0" fillId="5" fontId="19" numFmtId="0" xfId="0" applyAlignment="1" applyFont="1">
      <alignment vertical="bottom"/>
    </xf>
    <xf borderId="0" fillId="5" fontId="19" numFmtId="0" xfId="0" applyAlignment="1" applyFont="1">
      <alignment readingOrder="0" vertical="bottom"/>
    </xf>
    <xf borderId="0" fillId="5" fontId="19" numFmtId="0" xfId="0" applyAlignment="1" applyFont="1">
      <alignment horizontal="right" readingOrder="0" vertical="bottom"/>
    </xf>
    <xf borderId="0" fillId="5" fontId="19" numFmtId="11" xfId="0" applyAlignment="1" applyFont="1" applyNumberFormat="1">
      <alignment vertical="bottom"/>
    </xf>
    <xf borderId="0" fillId="4" fontId="19" numFmtId="165" xfId="0" applyAlignment="1" applyFont="1" applyNumberFormat="1">
      <alignment vertical="bottom"/>
    </xf>
    <xf borderId="0" fillId="4" fontId="19" numFmtId="11" xfId="0" applyAlignment="1" applyFont="1" applyNumberFormat="1">
      <alignment readingOrder="0" vertical="bottom"/>
    </xf>
    <xf borderId="0" fillId="4" fontId="19" numFmtId="11" xfId="0" applyAlignment="1" applyFont="1" applyNumberFormat="1">
      <alignment horizontal="right" vertical="bottom"/>
    </xf>
    <xf borderId="0" fillId="4" fontId="19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vertical="bottom"/>
    </xf>
    <xf borderId="0" fillId="3" fontId="22" numFmtId="11" xfId="0" applyAlignment="1" applyFont="1" applyNumberFormat="1">
      <alignment readingOrder="0" vertical="bottom"/>
    </xf>
    <xf borderId="0" fillId="4" fontId="23" numFmtId="11" xfId="0" applyAlignment="1" applyFont="1" applyNumberFormat="1">
      <alignment readingOrder="0" vertical="bottom"/>
    </xf>
    <xf borderId="0" fillId="3" fontId="1" numFmtId="0" xfId="0" applyFont="1"/>
    <xf borderId="0" fillId="3" fontId="24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1"/>
    </xf>
    <xf borderId="0" fillId="4" fontId="1" numFmtId="166" xfId="0" applyAlignment="1" applyFont="1" applyNumberFormat="1">
      <alignment horizontal="right" vertical="bottom"/>
    </xf>
    <xf borderId="0" fillId="0" fontId="0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bottom"/>
    </xf>
    <xf borderId="0" fillId="4" fontId="0" numFmtId="0" xfId="0" applyAlignment="1" applyFont="1">
      <alignment readingOrder="0" vertical="bottom"/>
    </xf>
    <xf borderId="0" fillId="4" fontId="0" numFmtId="11" xfId="0" applyAlignment="1" applyFont="1" applyNumberFormat="1">
      <alignment readingOrder="0" vertical="bottom"/>
    </xf>
    <xf borderId="0" fillId="5" fontId="0" numFmtId="11" xfId="0" applyAlignment="1" applyFont="1" applyNumberFormat="1">
      <alignment horizontal="right" readingOrder="0" vertical="bottom"/>
    </xf>
    <xf borderId="0" fillId="5" fontId="19" numFmtId="0" xfId="0" applyAlignment="1" applyFont="1">
      <alignment vertical="bottom"/>
    </xf>
    <xf borderId="0" fillId="5" fontId="19" numFmtId="11" xfId="0" applyAlignment="1" applyFont="1" applyNumberFormat="1">
      <alignment horizontal="right" vertical="bottom"/>
    </xf>
    <xf borderId="0" fillId="3" fontId="25" numFmtId="0" xfId="0" applyAlignment="1" applyFont="1">
      <alignment vertical="bottom"/>
    </xf>
    <xf borderId="0" fillId="4" fontId="19" numFmtId="164" xfId="0" applyAlignment="1" applyFont="1" applyNumberFormat="1">
      <alignment vertical="bottom"/>
    </xf>
    <xf borderId="0" fillId="4" fontId="19" numFmtId="0" xfId="0" applyAlignment="1" applyFont="1">
      <alignment horizontal="right" readingOrder="0" vertical="bottom"/>
    </xf>
    <xf borderId="0" fillId="4" fontId="19" numFmtId="11" xfId="0" applyAlignment="1" applyFont="1" applyNumberFormat="1">
      <alignment horizontal="right" readingOrder="0" vertical="bottom"/>
    </xf>
    <xf borderId="0" fillId="4" fontId="19" numFmtId="0" xfId="0" applyAlignment="1" applyFont="1">
      <alignment shrinkToFit="0" vertical="bottom" wrapText="0"/>
    </xf>
    <xf borderId="0" fillId="3" fontId="0" numFmtId="0" xfId="0" applyAlignment="1" applyFont="1">
      <alignment horizontal="right" readingOrder="0" vertical="bottom"/>
    </xf>
    <xf borderId="0" fillId="4" fontId="18" numFmtId="164" xfId="0" applyAlignment="1" applyFont="1" applyNumberFormat="1">
      <alignment vertical="bottom"/>
    </xf>
    <xf borderId="0" fillId="4" fontId="18" numFmtId="0" xfId="0" applyAlignment="1" applyFont="1">
      <alignment readingOrder="0" vertical="bottom"/>
    </xf>
    <xf borderId="0" fillId="5" fontId="18" numFmtId="0" xfId="0" applyAlignment="1" applyFont="1">
      <alignment vertical="bottom"/>
    </xf>
    <xf borderId="0" fillId="3" fontId="0" numFmtId="0" xfId="0" applyAlignment="1" applyFont="1">
      <alignment readingOrder="0"/>
    </xf>
    <xf borderId="4" fillId="3" fontId="26" numFmtId="0" xfId="0" applyAlignment="1" applyBorder="1" applyFont="1">
      <alignment vertical="bottom"/>
    </xf>
    <xf borderId="4" fillId="3" fontId="27" numFmtId="0" xfId="0" applyAlignment="1" applyBorder="1" applyFont="1">
      <alignment readingOrder="0" vertical="bottom"/>
    </xf>
    <xf borderId="0" fillId="0" fontId="0" numFmtId="0" xfId="0" applyAlignment="1" applyFont="1">
      <alignment shrinkToFit="0" vertical="bottom" wrapText="1"/>
    </xf>
    <xf borderId="0" fillId="4" fontId="1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1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3" fontId="0" numFmtId="0" xfId="0" applyAlignment="1" applyFont="1">
      <alignment horizontal="right" vertical="bottom"/>
    </xf>
    <xf borderId="0" fillId="6" fontId="0" numFmtId="11" xfId="0" applyAlignment="1" applyFill="1" applyFont="1" applyNumberFormat="1">
      <alignment shrinkToFit="0" vertical="bottom" wrapText="1"/>
    </xf>
    <xf borderId="0" fillId="6" fontId="0" numFmtId="0" xfId="0" applyAlignment="1" applyFont="1">
      <alignment horizontal="left" shrinkToFit="0" vertical="bottom" wrapText="1"/>
    </xf>
    <xf borderId="0" fillId="5" fontId="0" numFmtId="0" xfId="0" applyAlignment="1" applyFont="1">
      <alignment vertical="bottom"/>
    </xf>
    <xf borderId="0" fillId="4" fontId="0" numFmtId="11" xfId="0" applyAlignment="1" applyFont="1" applyNumberFormat="1">
      <alignment horizontal="right" readingOrder="0" vertical="bottom"/>
    </xf>
    <xf borderId="0" fillId="5" fontId="18" numFmtId="0" xfId="0" applyAlignment="1" applyFont="1">
      <alignment readingOrder="0" vertical="bottom"/>
    </xf>
    <xf borderId="0" fillId="0" fontId="28" numFmtId="0" xfId="0" applyAlignment="1" applyFont="1">
      <alignment readingOrder="0" vertical="bottom"/>
    </xf>
    <xf borderId="0" fillId="2" fontId="28" numFmtId="0" xfId="0" applyAlignment="1" applyFont="1">
      <alignment readingOrder="0" vertical="bottom"/>
    </xf>
    <xf borderId="0" fillId="3" fontId="29" numFmtId="11" xfId="0" applyAlignment="1" applyFont="1" applyNumberFormat="1">
      <alignment readingOrder="0" vertical="bottom"/>
    </xf>
    <xf borderId="0" fillId="4" fontId="30" numFmtId="11" xfId="0" applyAlignment="1" applyFont="1" applyNumberFormat="1">
      <alignment readingOrder="0" vertical="bottom"/>
    </xf>
    <xf borderId="5" fillId="7" fontId="31" numFmtId="0" xfId="0" applyAlignment="1" applyBorder="1" applyFill="1" applyFont="1">
      <alignment horizontal="center" readingOrder="0" shrinkToFit="0" wrapText="1"/>
    </xf>
    <xf borderId="6" fillId="0" fontId="32" numFmtId="0" xfId="0" applyBorder="1" applyFont="1"/>
    <xf borderId="7" fillId="0" fontId="32" numFmtId="0" xfId="0" applyBorder="1" applyFont="1"/>
    <xf borderId="8" fillId="8" fontId="33" numFmtId="0" xfId="0" applyAlignment="1" applyBorder="1" applyFill="1" applyFont="1">
      <alignment horizontal="left" readingOrder="0" shrinkToFit="0" wrapText="1"/>
    </xf>
    <xf borderId="9" fillId="8" fontId="33" numFmtId="0" xfId="0" applyAlignment="1" applyBorder="1" applyFont="1">
      <alignment horizontal="left" readingOrder="0" shrinkToFit="0" wrapText="1"/>
    </xf>
    <xf borderId="10" fillId="8" fontId="33" numFmtId="0" xfId="0" applyAlignment="1" applyBorder="1" applyFont="1">
      <alignment horizontal="left" readingOrder="0" shrinkToFit="0" wrapText="1"/>
    </xf>
    <xf borderId="11" fillId="0" fontId="34" numFmtId="0" xfId="0" applyAlignment="1" applyBorder="1" applyFont="1">
      <alignment horizontal="left" readingOrder="0" shrinkToFit="0" vertical="bottom" wrapText="1"/>
    </xf>
    <xf borderId="12" fillId="0" fontId="35" numFmtId="0" xfId="0" applyAlignment="1" applyBorder="1" applyFont="1">
      <alignment readingOrder="0" shrinkToFit="0" wrapText="1"/>
    </xf>
    <xf borderId="13" fillId="0" fontId="35" numFmtId="0" xfId="0" applyAlignment="1" applyBorder="1" applyFont="1">
      <alignment readingOrder="0" shrinkToFit="0" wrapText="1"/>
    </xf>
    <xf borderId="14" fillId="0" fontId="34" numFmtId="0" xfId="0" applyAlignment="1" applyBorder="1" applyFont="1">
      <alignment horizontal="left" readingOrder="0" shrinkToFit="0" vertical="bottom" wrapText="1"/>
    </xf>
    <xf borderId="15" fillId="0" fontId="35" numFmtId="0" xfId="0" applyAlignment="1" applyBorder="1" applyFont="1">
      <alignment readingOrder="0" shrinkToFit="0" wrapText="1"/>
    </xf>
    <xf borderId="16" fillId="0" fontId="35" numFmtId="0" xfId="0" applyAlignment="1" applyBorder="1" applyFont="1">
      <alignment readingOrder="0" shrinkToFit="0" wrapText="1"/>
    </xf>
    <xf borderId="15" fillId="0" fontId="34" numFmtId="0" xfId="0" applyAlignment="1" applyBorder="1" applyFont="1">
      <alignment horizontal="left" readingOrder="0" shrinkToFit="0" vertical="bottom" wrapText="1"/>
    </xf>
    <xf borderId="16" fillId="0" fontId="34" numFmtId="0" xfId="0" applyAlignment="1" applyBorder="1" applyFont="1">
      <alignment horizontal="left" readingOrder="0" shrinkToFit="0" vertical="bottom" wrapText="1"/>
    </xf>
    <xf borderId="14" fillId="0" fontId="34" numFmtId="0" xfId="0" applyAlignment="1" applyBorder="1" applyFont="1">
      <alignment horizontal="left" shrinkToFit="0" vertical="bottom" wrapText="1"/>
    </xf>
    <xf borderId="16" fillId="0" fontId="36" numFmtId="0" xfId="0" applyAlignment="1" applyBorder="1" applyFont="1">
      <alignment horizontal="left" readingOrder="0"/>
    </xf>
    <xf borderId="14" fillId="0" fontId="34" numFmtId="2" xfId="0" applyAlignment="1" applyBorder="1" applyFont="1" applyNumberFormat="1">
      <alignment horizontal="left" readingOrder="0" shrinkToFit="0" vertical="bottom" wrapText="1"/>
    </xf>
    <xf borderId="16" fillId="0" fontId="34" numFmtId="2" xfId="0" applyAlignment="1" applyBorder="1" applyFont="1" applyNumberFormat="1">
      <alignment horizontal="left" readingOrder="0" shrinkToFit="0" vertical="bottom" wrapText="1"/>
    </xf>
    <xf borderId="15" fillId="0" fontId="35" numFmtId="2" xfId="0" applyAlignment="1" applyBorder="1" applyFont="1" applyNumberFormat="1">
      <alignment shrinkToFit="0" vertical="bottom" wrapText="1"/>
    </xf>
    <xf borderId="15" fillId="0" fontId="34" numFmtId="0" xfId="0" applyAlignment="1" applyBorder="1" applyFont="1">
      <alignment shrinkToFit="0" vertical="bottom" wrapText="1"/>
    </xf>
    <xf borderId="15" fillId="0" fontId="35" numFmtId="0" xfId="0" applyAlignment="1" applyBorder="1" applyFont="1">
      <alignment shrinkToFit="0" vertical="bottom" wrapText="1"/>
    </xf>
    <xf borderId="15" fillId="0" fontId="35" numFmtId="0" xfId="0" applyAlignment="1" applyBorder="1" applyFont="1">
      <alignment shrinkToFit="0" vertical="bottom" wrapText="1"/>
    </xf>
    <xf borderId="16" fillId="0" fontId="34" numFmtId="0" xfId="0" applyAlignment="1" applyBorder="1" applyFont="1">
      <alignment horizontal="left" shrinkToFit="0" vertical="bottom" wrapText="1"/>
    </xf>
    <xf borderId="15" fillId="0" fontId="34" numFmtId="0" xfId="0" applyAlignment="1" applyBorder="1" applyFont="1">
      <alignment shrinkToFit="0" vertical="bottom" wrapText="1"/>
    </xf>
    <xf borderId="16" fillId="0" fontId="34" numFmtId="11" xfId="0" applyAlignment="1" applyBorder="1" applyFont="1" applyNumberFormat="1">
      <alignment horizontal="left" shrinkToFit="0" vertical="bottom" wrapText="1"/>
    </xf>
    <xf borderId="16" fillId="0" fontId="34" numFmtId="11" xfId="0" applyAlignment="1" applyBorder="1" applyFont="1" applyNumberFormat="1">
      <alignment horizontal="left" readingOrder="0" shrinkToFit="0" vertical="bottom" wrapText="1"/>
    </xf>
    <xf borderId="15" fillId="0" fontId="34" numFmtId="168" xfId="0" applyAlignment="1" applyBorder="1" applyFont="1" applyNumberFormat="1">
      <alignment horizontal="left" readingOrder="0" shrinkToFit="0" vertical="bottom" wrapText="1"/>
    </xf>
    <xf borderId="16" fillId="0" fontId="34" numFmtId="168" xfId="0" applyAlignment="1" applyBorder="1" applyFont="1" applyNumberFormat="1">
      <alignment horizontal="left" readingOrder="0" shrinkToFit="0" vertical="bottom" wrapText="1"/>
    </xf>
    <xf borderId="14" fillId="0" fontId="34" numFmtId="4" xfId="0" applyAlignment="1" applyBorder="1" applyFont="1" applyNumberFormat="1">
      <alignment horizontal="left" readingOrder="0" shrinkToFit="0" vertical="bottom" wrapText="1"/>
    </xf>
    <xf borderId="16" fillId="0" fontId="35" numFmtId="0" xfId="0" applyAlignment="1" applyBorder="1" applyFont="1">
      <alignment readingOrder="0"/>
    </xf>
    <xf borderId="14" fillId="0" fontId="35" numFmtId="0" xfId="0" applyAlignment="1" applyBorder="1" applyFont="1">
      <alignment readingOrder="0" vertical="bottom"/>
    </xf>
    <xf borderId="14" fillId="0" fontId="35" numFmtId="0" xfId="0" applyAlignment="1" applyBorder="1" applyFont="1">
      <alignment vertical="bottom"/>
    </xf>
    <xf borderId="14" fillId="0" fontId="35" numFmtId="164" xfId="0" applyAlignment="1" applyBorder="1" applyFont="1" applyNumberFormat="1">
      <alignment readingOrder="0" vertical="bottom"/>
    </xf>
    <xf borderId="16" fillId="0" fontId="35" numFmtId="164" xfId="0" applyAlignment="1" applyBorder="1" applyFont="1" applyNumberFormat="1">
      <alignment vertical="bottom"/>
    </xf>
    <xf borderId="16" fillId="0" fontId="35" numFmtId="0" xfId="0" applyAlignment="1" applyBorder="1" applyFont="1">
      <alignment vertical="bottom"/>
    </xf>
    <xf borderId="15" fillId="0" fontId="35" numFmtId="0" xfId="0" applyAlignment="1" applyBorder="1" applyFont="1">
      <alignment readingOrder="0"/>
    </xf>
    <xf borderId="16" fillId="0" fontId="35" numFmtId="0" xfId="0" applyAlignment="1" applyBorder="1" applyFont="1">
      <alignment vertical="bottom"/>
    </xf>
    <xf borderId="14" fillId="0" fontId="35" numFmtId="4" xfId="0" applyAlignment="1" applyBorder="1" applyFont="1" applyNumberFormat="1">
      <alignment vertical="bottom"/>
    </xf>
    <xf borderId="16" fillId="0" fontId="35" numFmtId="4" xfId="0" applyAlignment="1" applyBorder="1" applyFont="1" applyNumberFormat="1">
      <alignment vertical="bottom"/>
    </xf>
    <xf borderId="14" fillId="0" fontId="35" numFmtId="165" xfId="0" applyAlignment="1" applyBorder="1" applyFont="1" applyNumberFormat="1">
      <alignment vertical="bottom"/>
    </xf>
    <xf borderId="16" fillId="0" fontId="35" numFmtId="165" xfId="0" applyAlignment="1" applyBorder="1" applyFont="1" applyNumberFormat="1">
      <alignment vertical="bottom"/>
    </xf>
    <xf borderId="14" fillId="0" fontId="35" numFmtId="0" xfId="0" applyAlignment="1" applyBorder="1" applyFont="1">
      <alignment vertical="bottom"/>
    </xf>
    <xf borderId="16" fillId="6" fontId="34" numFmtId="0" xfId="0" applyAlignment="1" applyBorder="1" applyFont="1">
      <alignment horizontal="left" readingOrder="0"/>
    </xf>
    <xf borderId="16" fillId="6" fontId="34" numFmtId="4" xfId="0" applyAlignment="1" applyBorder="1" applyFont="1" applyNumberFormat="1">
      <alignment horizontal="left" readingOrder="0"/>
    </xf>
    <xf borderId="16" fillId="0" fontId="34" numFmtId="4" xfId="0" applyAlignment="1" applyBorder="1" applyFont="1" applyNumberFormat="1">
      <alignment horizontal="left" readingOrder="0" shrinkToFit="0" vertical="bottom" wrapText="1"/>
    </xf>
    <xf borderId="14" fillId="0" fontId="34" numFmtId="0" xfId="0" applyAlignment="1" applyBorder="1" applyFont="1">
      <alignment vertical="bottom"/>
    </xf>
    <xf borderId="14" fillId="0" fontId="34" numFmtId="0" xfId="0" applyAlignment="1" applyBorder="1" applyFont="1">
      <alignment vertical="bottom"/>
    </xf>
    <xf borderId="16" fillId="0" fontId="35" numFmtId="0" xfId="0" applyAlignment="1" applyBorder="1" applyFont="1">
      <alignment readingOrder="0" vertical="bottom"/>
    </xf>
    <xf borderId="14" fillId="0" fontId="34" numFmtId="0" xfId="0" applyAlignment="1" applyBorder="1" applyFont="1">
      <alignment readingOrder="0" vertical="bottom"/>
    </xf>
    <xf borderId="16" fillId="0" fontId="35" numFmtId="0" xfId="0" applyAlignment="1" applyBorder="1" applyFont="1">
      <alignment horizontal="left" readingOrder="0" shrinkToFit="0" wrapText="1"/>
    </xf>
    <xf borderId="14" fillId="0" fontId="35" numFmtId="165" xfId="0" applyAlignment="1" applyBorder="1" applyFont="1" applyNumberFormat="1">
      <alignment readingOrder="0" vertical="bottom"/>
    </xf>
    <xf borderId="16" fillId="0" fontId="35" numFmtId="165" xfId="0" applyAlignment="1" applyBorder="1" applyFont="1" applyNumberFormat="1">
      <alignment readingOrder="0" vertical="bottom"/>
    </xf>
    <xf borderId="0" fillId="0" fontId="35" numFmtId="0" xfId="0" applyAlignment="1" applyFont="1">
      <alignment readingOrder="0"/>
    </xf>
    <xf borderId="0" fillId="0" fontId="35" numFmtId="0" xfId="0" applyFont="1"/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5" numFmtId="0" xfId="0" applyAlignment="1" applyFont="1">
      <alignment vertical="bottom"/>
    </xf>
    <xf borderId="1" fillId="0" fontId="34" numFmtId="0" xfId="0" applyAlignment="1" applyBorder="1" applyFont="1">
      <alignment vertical="bottom"/>
    </xf>
    <xf borderId="0" fillId="9" fontId="35" numFmtId="0" xfId="0" applyAlignment="1" applyFill="1" applyFont="1">
      <alignment vertical="bottom"/>
    </xf>
    <xf borderId="0" fillId="2" fontId="35" numFmtId="0" xfId="0" applyAlignment="1" applyFont="1">
      <alignment vertical="bottom"/>
    </xf>
    <xf borderId="0" fillId="2" fontId="34" numFmtId="0" xfId="0" applyAlignment="1" applyFont="1">
      <alignment vertical="bottom"/>
    </xf>
    <xf borderId="0" fillId="3" fontId="34" numFmtId="0" xfId="0" applyAlignment="1" applyFont="1">
      <alignment vertical="bottom"/>
    </xf>
    <xf borderId="0" fillId="3" fontId="34" numFmtId="0" xfId="0" applyAlignment="1" applyFont="1">
      <alignment vertical="bottom"/>
    </xf>
    <xf borderId="0" fillId="3" fontId="35" numFmtId="0" xfId="0" applyAlignment="1" applyFont="1">
      <alignment vertical="bottom"/>
    </xf>
    <xf borderId="0" fillId="3" fontId="35" numFmtId="0" xfId="0" applyAlignment="1" applyFont="1">
      <alignment vertical="bottom"/>
    </xf>
    <xf borderId="0" fillId="4" fontId="35" numFmtId="0" xfId="0" applyAlignment="1" applyFont="1">
      <alignment vertical="bottom"/>
    </xf>
    <xf borderId="0" fillId="4" fontId="35" numFmtId="4" xfId="0" applyAlignment="1" applyFont="1" applyNumberFormat="1">
      <alignment vertical="bottom"/>
    </xf>
    <xf borderId="0" fillId="4" fontId="35" numFmtId="0" xfId="0" applyAlignment="1" applyFont="1">
      <alignment vertical="bottom"/>
    </xf>
    <xf borderId="0" fillId="10" fontId="34" numFmtId="0" xfId="0" applyAlignment="1" applyFill="1" applyFont="1">
      <alignment vertical="bottom"/>
    </xf>
    <xf borderId="0" fillId="10" fontId="34" numFmtId="0" xfId="0" applyAlignment="1" applyFont="1">
      <alignment vertical="bottom"/>
    </xf>
    <xf borderId="0" fillId="11" fontId="34" numFmtId="0" xfId="0" applyAlignment="1" applyFill="1" applyFont="1">
      <alignment vertical="bottom"/>
    </xf>
    <xf borderId="0" fillId="11" fontId="34" numFmtId="0" xfId="0" applyAlignment="1" applyFont="1">
      <alignment vertical="bottom"/>
    </xf>
    <xf borderId="0" fillId="12" fontId="34" numFmtId="0" xfId="0" applyAlignment="1" applyFill="1" applyFont="1">
      <alignment vertical="bottom"/>
    </xf>
    <xf borderId="0" fillId="13" fontId="34" numFmtId="0" xfId="0" applyAlignment="1" applyFill="1" applyFont="1">
      <alignment vertical="bottom"/>
    </xf>
    <xf borderId="0" fillId="13" fontId="34" numFmtId="0" xfId="0" applyAlignment="1" applyFont="1">
      <alignment readingOrder="0" vertical="bottom"/>
    </xf>
    <xf borderId="0" fillId="10" fontId="34" numFmtId="0" xfId="0" applyAlignment="1" applyFont="1">
      <alignment readingOrder="0" vertical="bottom"/>
    </xf>
    <xf borderId="0" fillId="4" fontId="34" numFmtId="0" xfId="0" applyAlignment="1" applyFont="1">
      <alignment vertical="bottom"/>
    </xf>
    <xf borderId="0" fillId="4" fontId="35" numFmtId="165" xfId="0" applyAlignment="1" applyFont="1" applyNumberFormat="1">
      <alignment vertical="bottom"/>
    </xf>
    <xf borderId="0" fillId="4" fontId="34" numFmtId="0" xfId="0" applyAlignment="1" applyFont="1">
      <alignment vertical="bottom"/>
    </xf>
    <xf borderId="0" fillId="4" fontId="34" numFmtId="0" xfId="0" applyAlignment="1" applyFont="1">
      <alignment readingOrder="0" vertical="bottom"/>
    </xf>
    <xf borderId="0" fillId="7" fontId="35" numFmtId="0" xfId="0" applyAlignment="1" applyFont="1">
      <alignment vertical="bottom"/>
    </xf>
    <xf borderId="0" fillId="7" fontId="35" numFmtId="0" xfId="0" applyAlignment="1" applyFont="1">
      <alignment shrinkToFit="0" vertical="bottom" wrapText="0"/>
    </xf>
    <xf borderId="2" fillId="0" fontId="35" numFmtId="0" xfId="0" applyAlignment="1" applyBorder="1" applyFont="1">
      <alignment vertical="bottom"/>
    </xf>
    <xf borderId="3" fillId="0" fontId="35" numFmtId="0" xfId="0" applyAlignment="1" applyBorder="1" applyFont="1">
      <alignment vertical="bottom"/>
    </xf>
    <xf borderId="2" fillId="9" fontId="35" numFmtId="0" xfId="0" applyAlignment="1" applyBorder="1" applyFont="1">
      <alignment vertical="bottom"/>
    </xf>
    <xf borderId="2" fillId="2" fontId="35" numFmtId="0" xfId="0" applyAlignment="1" applyBorder="1" applyFont="1">
      <alignment vertical="bottom"/>
    </xf>
    <xf borderId="2" fillId="3" fontId="35" numFmtId="0" xfId="0" applyAlignment="1" applyBorder="1" applyFont="1">
      <alignment vertical="bottom"/>
    </xf>
    <xf borderId="2" fillId="3" fontId="35" numFmtId="0" xfId="0" applyAlignment="1" applyBorder="1" applyFont="1">
      <alignment vertical="bottom"/>
    </xf>
    <xf borderId="2" fillId="4" fontId="35" numFmtId="0" xfId="0" applyAlignment="1" applyBorder="1" applyFont="1">
      <alignment vertical="bottom"/>
    </xf>
    <xf borderId="2" fillId="4" fontId="35" numFmtId="0" xfId="0" applyAlignment="1" applyBorder="1" applyFont="1">
      <alignment vertical="bottom"/>
    </xf>
    <xf borderId="2" fillId="4" fontId="35" numFmtId="4" xfId="0" applyAlignment="1" applyBorder="1" applyFont="1" applyNumberFormat="1">
      <alignment vertical="bottom"/>
    </xf>
    <xf borderId="2" fillId="10" fontId="35" numFmtId="0" xfId="0" applyAlignment="1" applyBorder="1" applyFont="1">
      <alignment vertical="bottom"/>
    </xf>
    <xf borderId="2" fillId="10" fontId="35" numFmtId="0" xfId="0" applyAlignment="1" applyBorder="1" applyFont="1">
      <alignment vertical="bottom"/>
    </xf>
    <xf borderId="2" fillId="11" fontId="35" numFmtId="0" xfId="0" applyAlignment="1" applyBorder="1" applyFont="1">
      <alignment vertical="bottom"/>
    </xf>
    <xf borderId="2" fillId="12" fontId="35" numFmtId="0" xfId="0" applyAlignment="1" applyBorder="1" applyFont="1">
      <alignment vertical="bottom"/>
    </xf>
    <xf borderId="2" fillId="13" fontId="35" numFmtId="0" xfId="0" applyAlignment="1" applyBorder="1" applyFont="1">
      <alignment vertical="bottom"/>
    </xf>
    <xf borderId="2" fillId="10" fontId="35" numFmtId="0" xfId="0" applyAlignment="1" applyBorder="1" applyFont="1">
      <alignment readingOrder="0" vertical="bottom"/>
    </xf>
    <xf borderId="2" fillId="4" fontId="35" numFmtId="165" xfId="0" applyAlignment="1" applyBorder="1" applyFont="1" applyNumberFormat="1">
      <alignment vertical="bottom"/>
    </xf>
    <xf borderId="2" fillId="7" fontId="35" numFmtId="0" xfId="0" applyAlignment="1" applyBorder="1" applyFont="1">
      <alignment vertical="bottom"/>
    </xf>
    <xf borderId="0" fillId="0" fontId="35" numFmtId="0" xfId="0" applyAlignment="1" applyFont="1">
      <alignment vertical="bottom"/>
    </xf>
    <xf borderId="1" fillId="0" fontId="35" numFmtId="0" xfId="0" applyAlignment="1" applyBorder="1" applyFont="1">
      <alignment readingOrder="0" vertical="bottom"/>
    </xf>
    <xf borderId="0" fillId="9" fontId="35" numFmtId="0" xfId="0" applyAlignment="1" applyFont="1">
      <alignment vertical="bottom"/>
    </xf>
    <xf borderId="0" fillId="2" fontId="35" numFmtId="0" xfId="0" applyAlignment="1" applyFont="1">
      <alignment vertical="bottom"/>
    </xf>
    <xf borderId="0" fillId="3" fontId="35" numFmtId="0" xfId="0" applyAlignment="1" applyFont="1">
      <alignment horizontal="right" vertical="bottom"/>
    </xf>
    <xf borderId="0" fillId="3" fontId="35" numFmtId="0" xfId="0" applyAlignment="1" applyFont="1">
      <alignment readingOrder="0" vertical="bottom"/>
    </xf>
    <xf borderId="0" fillId="3" fontId="35" numFmtId="0" xfId="0" applyAlignment="1" applyFont="1">
      <alignment horizontal="right" vertical="bottom"/>
    </xf>
    <xf borderId="0" fillId="3" fontId="35" numFmtId="166" xfId="0" applyAlignment="1" applyFont="1" applyNumberFormat="1">
      <alignment vertical="bottom"/>
    </xf>
    <xf borderId="0" fillId="4" fontId="39" numFmtId="0" xfId="0" applyAlignment="1" applyFont="1">
      <alignment readingOrder="0" vertical="bottom"/>
    </xf>
    <xf borderId="0" fillId="4" fontId="35" numFmtId="166" xfId="0" applyAlignment="1" applyFont="1" applyNumberFormat="1">
      <alignment horizontal="right" vertical="bottom"/>
    </xf>
    <xf borderId="0" fillId="4" fontId="35" numFmtId="0" xfId="0" applyAlignment="1" applyFont="1">
      <alignment readingOrder="0" vertical="bottom"/>
    </xf>
    <xf borderId="0" fillId="4" fontId="35" numFmtId="4" xfId="0" applyAlignment="1" applyFont="1" applyNumberFormat="1">
      <alignment horizontal="right" vertical="bottom"/>
    </xf>
    <xf borderId="0" fillId="4" fontId="35" numFmtId="0" xfId="0" applyAlignment="1" applyFont="1">
      <alignment horizontal="right" vertical="bottom"/>
    </xf>
    <xf borderId="0" fillId="10" fontId="35" numFmtId="0" xfId="0" applyAlignment="1" applyFont="1">
      <alignment vertical="bottom"/>
    </xf>
    <xf borderId="0" fillId="10" fontId="35" numFmtId="0" xfId="0" applyAlignment="1" applyFont="1">
      <alignment readingOrder="0" vertical="bottom"/>
    </xf>
    <xf borderId="0" fillId="10" fontId="35" numFmtId="11" xfId="0" applyAlignment="1" applyFont="1" applyNumberFormat="1">
      <alignment readingOrder="0" vertical="bottom"/>
    </xf>
    <xf borderId="0" fillId="11" fontId="35" numFmtId="0" xfId="0" applyAlignment="1" applyFont="1">
      <alignment vertical="bottom"/>
    </xf>
    <xf borderId="0" fillId="12" fontId="35" numFmtId="0" xfId="0" applyAlignment="1" applyFont="1">
      <alignment vertical="bottom"/>
    </xf>
    <xf borderId="0" fillId="13" fontId="35" numFmtId="0" xfId="0" applyAlignment="1" applyFont="1">
      <alignment vertical="bottom"/>
    </xf>
    <xf borderId="0" fillId="10" fontId="35" numFmtId="0" xfId="0" applyAlignment="1" applyFont="1">
      <alignment vertical="bottom"/>
    </xf>
    <xf borderId="0" fillId="10" fontId="35" numFmtId="11" xfId="0" applyAlignment="1" applyFont="1" applyNumberFormat="1">
      <alignment vertical="bottom"/>
    </xf>
    <xf borderId="0" fillId="4" fontId="35" numFmtId="11" xfId="0" applyAlignment="1" applyFont="1" applyNumberFormat="1">
      <alignment horizontal="right" vertical="bottom"/>
    </xf>
    <xf borderId="0" fillId="0" fontId="35" numFmtId="0" xfId="0" applyAlignment="1" applyFont="1">
      <alignment readingOrder="0" vertical="bottom"/>
    </xf>
    <xf borderId="1" fillId="0" fontId="35" numFmtId="0" xfId="0" applyAlignment="1" applyBorder="1" applyFont="1">
      <alignment vertical="bottom"/>
    </xf>
    <xf borderId="0" fillId="3" fontId="35" numFmtId="0" xfId="0" applyAlignment="1" applyFont="1">
      <alignment shrinkToFit="0" vertical="bottom" wrapText="0"/>
    </xf>
    <xf borderId="0" fillId="4" fontId="40" numFmtId="0" xfId="0" applyAlignment="1" applyFont="1">
      <alignment vertical="bottom"/>
    </xf>
    <xf borderId="0" fillId="4" fontId="35" numFmtId="0" xfId="0" applyAlignment="1" applyFont="1">
      <alignment horizontal="right" vertical="bottom"/>
    </xf>
    <xf borderId="0" fillId="4" fontId="35" numFmtId="165" xfId="0" applyAlignment="1" applyFont="1" applyNumberFormat="1">
      <alignment horizontal="right" vertical="bottom"/>
    </xf>
    <xf borderId="0" fillId="4" fontId="35" numFmtId="164" xfId="0" applyAlignment="1" applyFont="1" applyNumberFormat="1">
      <alignment vertical="bottom"/>
    </xf>
    <xf borderId="0" fillId="14" fontId="35" numFmtId="11" xfId="0" applyAlignment="1" applyFill="1" applyFont="1" applyNumberFormat="1">
      <alignment readingOrder="0" vertical="bottom"/>
    </xf>
    <xf borderId="0" fillId="14" fontId="35" numFmtId="0" xfId="0" applyAlignment="1" applyFont="1">
      <alignment vertical="bottom"/>
    </xf>
    <xf borderId="0" fillId="15" fontId="35" numFmtId="0" xfId="0" applyAlignment="1" applyFill="1" applyFont="1">
      <alignment vertical="bottom"/>
    </xf>
    <xf borderId="0" fillId="16" fontId="35" numFmtId="0" xfId="0" applyAlignment="1" applyFill="1" applyFont="1">
      <alignment vertical="bottom"/>
    </xf>
    <xf borderId="0" fillId="17" fontId="35" numFmtId="0" xfId="0" applyAlignment="1" applyFill="1" applyFont="1">
      <alignment vertical="bottom"/>
    </xf>
    <xf borderId="0" fillId="18" fontId="35" numFmtId="0" xfId="0" applyAlignment="1" applyFill="1" applyFont="1">
      <alignment vertical="bottom"/>
    </xf>
    <xf borderId="0" fillId="19" fontId="35" numFmtId="0" xfId="0" applyAlignment="1" applyFill="1" applyFont="1">
      <alignment vertical="bottom"/>
    </xf>
    <xf borderId="0" fillId="20" fontId="35" numFmtId="0" xfId="0" applyAlignment="1" applyFill="1" applyFont="1">
      <alignment vertical="bottom"/>
    </xf>
    <xf borderId="0" fillId="21" fontId="35" numFmtId="0" xfId="0" applyAlignment="1" applyFill="1" applyFont="1">
      <alignment vertical="bottom"/>
    </xf>
    <xf borderId="0" fillId="22" fontId="35" numFmtId="0" xfId="0" applyAlignment="1" applyFill="1" applyFont="1">
      <alignment vertical="bottom"/>
    </xf>
    <xf borderId="0" fillId="23" fontId="35" numFmtId="0" xfId="0" applyAlignment="1" applyFill="1" applyFont="1">
      <alignment vertical="bottom"/>
    </xf>
    <xf borderId="0" fillId="24" fontId="35" numFmtId="0" xfId="0" applyAlignment="1" applyFill="1" applyFont="1">
      <alignment vertical="bottom"/>
    </xf>
    <xf borderId="0" fillId="25" fontId="35" numFmtId="0" xfId="0" applyAlignment="1" applyFill="1" applyFont="1">
      <alignment vertical="bottom"/>
    </xf>
    <xf borderId="0" fillId="26" fontId="35" numFmtId="0" xfId="0" applyAlignment="1" applyFill="1" applyFont="1">
      <alignment vertical="bottom"/>
    </xf>
    <xf borderId="0" fillId="27" fontId="35" numFmtId="0" xfId="0" applyAlignment="1" applyFill="1" applyFont="1">
      <alignment vertical="bottom"/>
    </xf>
    <xf borderId="0" fillId="28" fontId="35" numFmtId="11" xfId="0" applyAlignment="1" applyFill="1" applyFont="1" applyNumberFormat="1">
      <alignment vertical="bottom"/>
    </xf>
    <xf borderId="0" fillId="7" fontId="35" numFmtId="0" xfId="0" applyAlignment="1" applyFont="1">
      <alignment horizontal="right" vertical="bottom"/>
    </xf>
    <xf borderId="1" fillId="0" fontId="35" numFmtId="0" xfId="0" applyAlignment="1" applyBorder="1" applyFont="1">
      <alignment vertical="bottom"/>
    </xf>
    <xf borderId="0" fillId="14" fontId="35" numFmtId="0" xfId="0" applyAlignment="1" applyFont="1">
      <alignment readingOrder="0" vertical="bottom"/>
    </xf>
    <xf borderId="0" fillId="28" fontId="35" numFmtId="0" xfId="0" applyAlignment="1" applyFont="1">
      <alignment vertical="bottom"/>
    </xf>
    <xf borderId="0" fillId="4" fontId="35" numFmtId="0" xfId="0" applyAlignment="1" applyFont="1">
      <alignment shrinkToFit="0" vertical="bottom" wrapText="0"/>
    </xf>
    <xf borderId="0" fillId="7" fontId="35" numFmtId="0" xfId="0" applyAlignment="1" applyFont="1">
      <alignment vertical="bottom"/>
    </xf>
    <xf borderId="0" fillId="3" fontId="35" numFmtId="0" xfId="0" applyAlignment="1" applyFont="1">
      <alignment horizontal="right" readingOrder="0" vertical="bottom"/>
    </xf>
    <xf borderId="0" fillId="4" fontId="35" numFmtId="4" xfId="0" applyAlignment="1" applyFont="1" applyNumberFormat="1">
      <alignment readingOrder="0" vertical="bottom"/>
    </xf>
    <xf borderId="0" fillId="4" fontId="35" numFmtId="165" xfId="0" applyAlignment="1" applyFont="1" applyNumberFormat="1">
      <alignment horizontal="right" readingOrder="0" vertical="bottom"/>
    </xf>
    <xf borderId="0" fillId="27" fontId="35" numFmtId="0" xfId="0" applyAlignment="1" applyFont="1">
      <alignment vertical="bottom"/>
    </xf>
    <xf borderId="0" fillId="4" fontId="35" numFmtId="4" xfId="0" applyAlignment="1" applyFont="1" applyNumberFormat="1">
      <alignment horizontal="right" readingOrder="0" vertical="bottom"/>
    </xf>
    <xf borderId="0" fillId="4" fontId="35" numFmtId="165" xfId="0" applyAlignment="1" applyFont="1" applyNumberFormat="1">
      <alignment readingOrder="0" vertical="bottom"/>
    </xf>
    <xf borderId="0" fillId="19" fontId="35" numFmtId="0" xfId="0" applyAlignment="1" applyFont="1">
      <alignment readingOrder="0" vertical="bottom"/>
    </xf>
    <xf borderId="0" fillId="28" fontId="35" numFmtId="0" xfId="0" applyAlignment="1" applyFont="1">
      <alignment vertical="bottom"/>
    </xf>
    <xf borderId="0" fillId="22" fontId="35" numFmtId="0" xfId="0" applyAlignment="1" applyFont="1">
      <alignment readingOrder="0" vertical="bottom"/>
    </xf>
    <xf borderId="0" fillId="3" fontId="41" numFmtId="0" xfId="0" applyAlignment="1" applyFont="1">
      <alignment vertical="bottom"/>
    </xf>
    <xf borderId="0" fillId="4" fontId="42" numFmtId="0" xfId="0" applyAlignment="1" applyFont="1">
      <alignment vertical="bottom"/>
    </xf>
    <xf borderId="4" fillId="4" fontId="35" numFmtId="0" xfId="0" applyAlignment="1" applyBorder="1" applyFont="1">
      <alignment shrinkToFit="0" vertical="bottom" wrapText="0"/>
    </xf>
    <xf borderId="4" fillId="7" fontId="35" numFmtId="0" xfId="0" applyAlignment="1" applyBorder="1" applyFont="1">
      <alignment vertical="bottom"/>
    </xf>
    <xf borderId="0" fillId="19" fontId="35" numFmtId="0" xfId="0" applyAlignment="1" applyFont="1">
      <alignment horizontal="right" vertical="bottom"/>
    </xf>
    <xf borderId="4" fillId="3" fontId="43" numFmtId="0" xfId="0" applyAlignment="1" applyBorder="1" applyFont="1">
      <alignment vertical="bottom"/>
    </xf>
    <xf borderId="0" fillId="4" fontId="35" numFmtId="164" xfId="0" applyAlignment="1" applyFont="1" applyNumberFormat="1">
      <alignment horizontal="right" vertical="bottom"/>
    </xf>
    <xf borderId="0" fillId="19" fontId="35" numFmtId="0" xfId="0" applyAlignment="1" applyFont="1">
      <alignment vertical="bottom"/>
    </xf>
    <xf borderId="0" fillId="27" fontId="35" numFmtId="11" xfId="0" applyAlignment="1" applyFont="1" applyNumberFormat="1">
      <alignment vertical="bottom"/>
    </xf>
    <xf borderId="4" fillId="3" fontId="44" numFmtId="0" xfId="0" applyAlignment="1" applyBorder="1" applyFont="1">
      <alignment shrinkToFit="0" vertical="bottom" wrapText="0"/>
    </xf>
    <xf borderId="0" fillId="0" fontId="36" numFmtId="0" xfId="0" applyAlignment="1" applyFont="1">
      <alignment shrinkToFit="0" vertical="bottom" wrapText="1"/>
    </xf>
    <xf borderId="0" fillId="3" fontId="45" numFmtId="0" xfId="0" applyAlignment="1" applyFont="1">
      <alignment readingOrder="0" vertical="bottom"/>
    </xf>
    <xf borderId="0" fillId="4" fontId="46" numFmtId="0" xfId="0" applyAlignment="1" applyFont="1">
      <alignment readingOrder="0" vertical="bottom"/>
    </xf>
    <xf borderId="0" fillId="4" fontId="35" numFmtId="164" xfId="0" applyAlignment="1" applyFont="1" applyNumberFormat="1">
      <alignment readingOrder="0" vertical="bottom"/>
    </xf>
    <xf borderId="0" fillId="29" fontId="35" numFmtId="0" xfId="0" applyAlignment="1" applyFill="1" applyFont="1">
      <alignment readingOrder="0" vertical="bottom"/>
    </xf>
    <xf borderId="0" fillId="29" fontId="35" numFmtId="0" xfId="0" applyAlignment="1" applyFont="1">
      <alignment vertical="bottom"/>
    </xf>
    <xf borderId="0" fillId="4" fontId="35" numFmtId="0" xfId="0" applyAlignment="1" applyFont="1">
      <alignment horizontal="right" readingOrder="0" vertical="bottom"/>
    </xf>
    <xf borderId="0" fillId="4" fontId="35" numFmtId="11" xfId="0" applyAlignment="1" applyFont="1" applyNumberFormat="1">
      <alignment readingOrder="0" vertical="bottom"/>
    </xf>
    <xf borderId="0" fillId="4" fontId="35" numFmtId="0" xfId="0" applyAlignment="1" applyFont="1">
      <alignment readingOrder="0" vertical="bottom"/>
    </xf>
    <xf borderId="0" fillId="0" fontId="36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vertical="bottom" wrapText="1"/>
    </xf>
    <xf borderId="0" fillId="9" fontId="35" numFmtId="0" xfId="0" applyAlignment="1" applyFont="1">
      <alignment readingOrder="0" vertical="bottom"/>
    </xf>
    <xf borderId="0" fillId="2" fontId="35" numFmtId="0" xfId="0" applyAlignment="1" applyFont="1">
      <alignment readingOrder="0" vertical="bottom"/>
    </xf>
    <xf borderId="0" fillId="4" fontId="35" numFmtId="11" xfId="0" applyAlignment="1" applyFont="1" applyNumberFormat="1">
      <alignment horizontal="right" readingOrder="0" vertical="bottom"/>
    </xf>
    <xf borderId="0" fillId="4" fontId="35" numFmtId="0" xfId="0" applyAlignment="1" applyFont="1">
      <alignment readingOrder="0" shrinkToFit="0" vertical="bottom" wrapText="0"/>
    </xf>
    <xf borderId="0" fillId="4" fontId="35" numFmtId="0" xfId="0" applyAlignment="1" applyFont="1">
      <alignment shrinkToFit="0" vertical="bottom" wrapText="0"/>
    </xf>
    <xf borderId="0" fillId="4" fontId="36" numFmtId="0" xfId="0" applyAlignment="1" applyFont="1">
      <alignment readingOrder="0" shrinkToFit="0" vertical="bottom" wrapText="1"/>
    </xf>
    <xf borderId="0" fillId="3" fontId="47" numFmtId="0" xfId="0" applyAlignment="1" applyFont="1">
      <alignment vertical="bottom"/>
    </xf>
    <xf borderId="0" fillId="4" fontId="48" numFmtId="0" xfId="0" applyAlignment="1" applyFont="1">
      <alignment vertical="bottom"/>
    </xf>
    <xf borderId="0" fillId="14" fontId="35" numFmtId="0" xfId="0" applyAlignment="1" applyFont="1">
      <alignment vertical="bottom"/>
    </xf>
    <xf borderId="0" fillId="29" fontId="35" numFmtId="0" xfId="0" applyAlignment="1" applyFont="1">
      <alignment horizontal="right" vertical="bottom"/>
    </xf>
    <xf borderId="0" fillId="4" fontId="35" numFmtId="11" xfId="0" applyAlignment="1" applyFont="1" applyNumberFormat="1">
      <alignment vertical="bottom"/>
    </xf>
    <xf borderId="0" fillId="3" fontId="49" numFmtId="0" xfId="0" applyAlignment="1" applyFont="1">
      <alignment readingOrder="0" vertical="bottom"/>
    </xf>
    <xf borderId="0" fillId="4" fontId="50" numFmtId="0" xfId="0" applyAlignment="1" applyFont="1">
      <alignment readingOrder="0" vertical="bottom"/>
    </xf>
    <xf borderId="0" fillId="5" fontId="35" numFmtId="0" xfId="0" applyAlignment="1" applyFont="1">
      <alignment readingOrder="0" vertical="bottom"/>
    </xf>
    <xf borderId="0" fillId="5" fontId="35" numFmtId="0" xfId="0" applyAlignment="1" applyFont="1">
      <alignment vertical="bottom"/>
    </xf>
    <xf borderId="0" fillId="5" fontId="35" numFmtId="0" xfId="0" applyAlignment="1" applyFont="1">
      <alignment vertical="bottom"/>
    </xf>
    <xf borderId="0" fillId="5" fontId="35" numFmtId="11" xfId="0" applyAlignment="1" applyFont="1" applyNumberFormat="1">
      <alignment vertical="bottom"/>
    </xf>
    <xf borderId="0" fillId="0" fontId="51" numFmtId="0" xfId="0" applyAlignment="1" applyFont="1">
      <alignment shrinkToFit="0" vertical="bottom" wrapText="1"/>
    </xf>
    <xf borderId="0" fillId="3" fontId="38" numFmtId="0" xfId="0" applyAlignment="1" applyFont="1">
      <alignment horizontal="right" vertical="bottom"/>
    </xf>
    <xf borderId="0" fillId="3" fontId="52" numFmtId="0" xfId="0" applyAlignment="1" applyFont="1">
      <alignment vertical="bottom"/>
    </xf>
    <xf borderId="0" fillId="4" fontId="53" numFmtId="0" xfId="0" applyAlignment="1" applyFont="1">
      <alignment vertical="bottom"/>
    </xf>
    <xf borderId="0" fillId="4" fontId="38" numFmtId="0" xfId="0" applyAlignment="1" applyFont="1">
      <alignment horizontal="right" vertical="bottom"/>
    </xf>
    <xf borderId="0" fillId="4" fontId="38" numFmtId="164" xfId="0" applyAlignment="1" applyFont="1" applyNumberFormat="1">
      <alignment horizontal="right" vertical="bottom"/>
    </xf>
    <xf borderId="0" fillId="4" fontId="38" numFmtId="0" xfId="0" applyAlignment="1" applyFont="1">
      <alignment vertical="bottom"/>
    </xf>
    <xf borderId="0" fillId="29" fontId="38" numFmtId="0" xfId="0" applyAlignment="1" applyFont="1">
      <alignment horizontal="right" vertical="bottom"/>
    </xf>
    <xf borderId="0" fillId="0" fontId="38" numFmtId="0" xfId="0" applyAlignment="1" applyFont="1">
      <alignment vertical="bottom"/>
    </xf>
    <xf borderId="0" fillId="3" fontId="38" numFmtId="0" xfId="0" applyAlignment="1" applyFont="1">
      <alignment vertical="bottom"/>
    </xf>
    <xf borderId="0" fillId="3" fontId="54" numFmtId="0" xfId="0" applyAlignment="1" applyFont="1">
      <alignment vertical="bottom"/>
    </xf>
    <xf borderId="0" fillId="4" fontId="55" numFmtId="0" xfId="0" applyAlignment="1" applyFont="1">
      <alignment vertical="bottom"/>
    </xf>
    <xf borderId="0" fillId="4" fontId="38" numFmtId="0" xfId="0" applyAlignment="1" applyFont="1">
      <alignment vertical="bottom"/>
    </xf>
    <xf borderId="0" fillId="4" fontId="38" numFmtId="4" xfId="0" applyAlignment="1" applyFont="1" applyNumberFormat="1">
      <alignment horizontal="right" vertical="bottom"/>
    </xf>
    <xf borderId="0" fillId="4" fontId="38" numFmtId="165" xfId="0" applyAlignment="1" applyFont="1" applyNumberFormat="1">
      <alignment horizontal="right" vertical="bottom"/>
    </xf>
    <xf borderId="0" fillId="19" fontId="38" numFmtId="0" xfId="0" applyAlignment="1" applyFont="1">
      <alignment horizontal="right" vertical="bottom"/>
    </xf>
    <xf borderId="0" fillId="4" fontId="56" numFmtId="0" xfId="0" applyAlignment="1" applyFont="1">
      <alignment vertical="bottom"/>
    </xf>
    <xf borderId="0" fillId="30" fontId="34" numFmtId="0" xfId="0" applyAlignment="1" applyFill="1" applyFont="1">
      <alignment horizontal="right" readingOrder="0" shrinkToFit="0" vertical="bottom" wrapText="1"/>
    </xf>
    <xf borderId="0" fillId="30" fontId="34" numFmtId="0" xfId="0" applyAlignment="1" applyFont="1">
      <alignment shrinkToFit="0" vertical="bottom" wrapText="1"/>
    </xf>
    <xf borderId="0" fillId="30" fontId="34" numFmtId="0" xfId="0" applyAlignment="1" applyFont="1">
      <alignment readingOrder="0" shrinkToFit="0" vertical="bottom" wrapText="1"/>
    </xf>
    <xf borderId="0" fillId="30" fontId="34" numFmtId="4" xfId="0" applyAlignment="1" applyFont="1" applyNumberFormat="1">
      <alignment readingOrder="0" shrinkToFit="0" vertical="bottom" wrapText="1"/>
    </xf>
    <xf borderId="0" fillId="30" fontId="34" numFmtId="11" xfId="0" applyAlignment="1" applyFont="1" applyNumberFormat="1">
      <alignment shrinkToFit="0" vertical="bottom" wrapText="1"/>
    </xf>
    <xf borderId="0" fillId="30" fontId="34" numFmtId="168" xfId="0" applyAlignment="1" applyFont="1" applyNumberFormat="1">
      <alignment readingOrder="0" shrinkToFit="0" vertical="bottom" wrapText="1"/>
    </xf>
    <xf borderId="0" fillId="30" fontId="34" numFmtId="2" xfId="0" applyAlignment="1" applyFont="1" applyNumberFormat="1">
      <alignment readingOrder="0" shrinkToFit="0" vertical="bottom" wrapText="1"/>
    </xf>
    <xf borderId="0" fillId="30" fontId="34" numFmtId="0" xfId="0" applyAlignment="1" applyFont="1">
      <alignment shrinkToFit="0" vertical="bottom" wrapText="1"/>
    </xf>
    <xf borderId="0" fillId="30" fontId="57" numFmtId="0" xfId="0" applyAlignment="1" applyFont="1">
      <alignment readingOrder="0" shrinkToFit="0" vertical="bottom" wrapText="1"/>
    </xf>
    <xf borderId="0" fillId="30" fontId="34" numFmtId="11" xfId="0" applyAlignment="1" applyFont="1" applyNumberFormat="1">
      <alignment readingOrder="0" shrinkToFit="0" vertical="bottom" wrapText="1"/>
    </xf>
    <xf borderId="0" fillId="30" fontId="34" numFmtId="4" xfId="0" applyAlignment="1" applyFont="1" applyNumberFormat="1">
      <alignment shrinkToFit="0" vertical="bottom" wrapText="1"/>
    </xf>
    <xf borderId="0" fillId="30" fontId="34" numFmtId="169" xfId="0" applyAlignment="1" applyFont="1" applyNumberFormat="1">
      <alignment shrinkToFit="0" vertical="bottom" wrapText="1"/>
    </xf>
    <xf borderId="0" fillId="30" fontId="57" numFmtId="170" xfId="0" applyAlignment="1" applyFont="1" applyNumberFormat="1">
      <alignment readingOrder="0" shrinkToFit="0" vertical="bottom" wrapText="1"/>
    </xf>
    <xf borderId="0" fillId="0" fontId="35" numFmtId="0" xfId="0" applyAlignment="1" applyFont="1">
      <alignment readingOrder="0" shrinkToFit="0" wrapText="1"/>
    </xf>
    <xf borderId="0" fillId="31" fontId="35" numFmtId="0" xfId="0" applyAlignment="1" applyFill="1" applyFont="1">
      <alignment shrinkToFit="0" vertical="bottom" wrapText="1"/>
    </xf>
    <xf borderId="0" fillId="32" fontId="34" numFmtId="0" xfId="0" applyAlignment="1" applyFill="1" applyFont="1">
      <alignment readingOrder="0" vertical="bottom"/>
    </xf>
    <xf borderId="0" fillId="30" fontId="34" numFmtId="11" xfId="0" applyAlignment="1" applyFont="1" applyNumberFormat="1">
      <alignment horizontal="right" readingOrder="0" shrinkToFit="0" vertical="bottom" wrapText="1"/>
    </xf>
    <xf borderId="0" fillId="30" fontId="34" numFmtId="0" xfId="0" applyAlignment="1" applyFont="1">
      <alignment horizontal="right" shrinkToFit="0" vertical="bottom" wrapText="1"/>
    </xf>
    <xf borderId="0" fillId="30" fontId="34" numFmtId="0" xfId="0" applyAlignment="1" applyFont="1">
      <alignment horizontal="right" vertical="bottom"/>
    </xf>
    <xf borderId="0" fillId="30" fontId="34" numFmtId="0" xfId="0" applyAlignment="1" applyFont="1">
      <alignment vertical="bottom"/>
    </xf>
    <xf borderId="0" fillId="30" fontId="34" numFmtId="4" xfId="0" applyAlignment="1" applyFont="1" applyNumberFormat="1">
      <alignment horizontal="right" shrinkToFit="0" vertical="bottom" wrapText="1"/>
    </xf>
    <xf borderId="0" fillId="30" fontId="34" numFmtId="11" xfId="0" applyAlignment="1" applyFont="1" applyNumberFormat="1">
      <alignment vertical="bottom"/>
    </xf>
    <xf borderId="0" fillId="30" fontId="34" numFmtId="168" xfId="0" applyAlignment="1" applyFont="1" applyNumberFormat="1">
      <alignment readingOrder="0" vertical="bottom"/>
    </xf>
    <xf borderId="0" fillId="30" fontId="34" numFmtId="2" xfId="0" applyAlignment="1" applyFont="1" applyNumberFormat="1">
      <alignment vertical="bottom"/>
    </xf>
    <xf borderId="0" fillId="30" fontId="34" numFmtId="0" xfId="0" applyAlignment="1" applyFont="1">
      <alignment vertical="bottom"/>
    </xf>
    <xf borderId="0" fillId="30" fontId="34" numFmtId="4" xfId="0" applyAlignment="1" applyFont="1" applyNumberFormat="1">
      <alignment horizontal="right" vertical="bottom"/>
    </xf>
    <xf borderId="0" fillId="30" fontId="34" numFmtId="169" xfId="0" applyAlignment="1" applyFont="1" applyNumberFormat="1">
      <alignment horizontal="right" vertical="bottom"/>
    </xf>
    <xf borderId="0" fillId="30" fontId="34" numFmtId="170" xfId="0" applyFont="1" applyNumberFormat="1"/>
    <xf borderId="0" fillId="30" fontId="34" numFmtId="0" xfId="0" applyAlignment="1" applyFont="1">
      <alignment horizontal="right" readingOrder="0" vertical="bottom"/>
    </xf>
    <xf borderId="0" fillId="0" fontId="35" numFmtId="0" xfId="0" applyFont="1"/>
    <xf borderId="0" fillId="33" fontId="35" numFmtId="0" xfId="0" applyAlignment="1" applyFill="1" applyFont="1">
      <alignment vertical="bottom"/>
    </xf>
    <xf borderId="0" fillId="6" fontId="34" numFmtId="0" xfId="0" applyAlignment="1" applyFont="1">
      <alignment horizontal="right" vertical="bottom"/>
    </xf>
    <xf borderId="0" fillId="30" fontId="34" numFmtId="11" xfId="0" applyAlignment="1" applyFont="1" applyNumberFormat="1">
      <alignment horizontal="right" shrinkToFit="0" vertical="bottom" wrapText="1"/>
    </xf>
    <xf borderId="0" fillId="6" fontId="35" numFmtId="0" xfId="0" applyAlignment="1" applyFont="1">
      <alignment vertical="bottom"/>
    </xf>
    <xf borderId="0" fillId="30" fontId="34" numFmtId="4" xfId="0" applyAlignment="1" applyFont="1" applyNumberFormat="1">
      <alignment vertical="bottom"/>
    </xf>
    <xf borderId="0" fillId="30" fontId="34" numFmtId="0" xfId="0" applyAlignment="1" applyFont="1">
      <alignment readingOrder="0" vertical="bottom"/>
    </xf>
    <xf borderId="0" fillId="0" fontId="35" numFmtId="0" xfId="0" applyAlignment="1" applyFont="1">
      <alignment readingOrder="0"/>
    </xf>
    <xf borderId="0" fillId="30" fontId="34" numFmtId="171" xfId="0" applyAlignment="1" applyFont="1" applyNumberFormat="1">
      <alignment horizontal="right" shrinkToFit="0" vertical="bottom" wrapText="1"/>
    </xf>
    <xf borderId="0" fillId="30" fontId="34" numFmtId="4" xfId="0" applyAlignment="1" applyFont="1" applyNumberFormat="1">
      <alignment horizontal="right" readingOrder="0" shrinkToFit="0" vertical="bottom" wrapText="1"/>
    </xf>
    <xf borderId="0" fillId="30" fontId="34" numFmtId="168" xfId="0" applyAlignment="1" applyFont="1" applyNumberFormat="1">
      <alignment vertical="bottom"/>
    </xf>
    <xf borderId="0" fillId="30" fontId="34" numFmtId="169" xfId="0" applyAlignment="1" applyFont="1" applyNumberFormat="1">
      <alignment horizontal="right" shrinkToFit="0" vertical="bottom" wrapText="1"/>
    </xf>
    <xf borderId="0" fillId="30" fontId="34" numFmtId="11" xfId="0" applyAlignment="1" applyFont="1" applyNumberFormat="1">
      <alignment horizontal="right" vertical="bottom"/>
    </xf>
    <xf borderId="0" fillId="30" fontId="34" numFmtId="4" xfId="0" applyAlignment="1" applyFont="1" applyNumberFormat="1">
      <alignment horizontal="right" readingOrder="0" vertical="bottom"/>
    </xf>
    <xf borderId="0" fillId="30" fontId="34" numFmtId="11" xfId="0" applyAlignment="1" applyFont="1" applyNumberFormat="1">
      <alignment readingOrder="0" vertical="bottom"/>
    </xf>
    <xf borderId="0" fillId="30" fontId="34" numFmtId="168" xfId="0" applyAlignment="1" applyFont="1" applyNumberFormat="1">
      <alignment horizontal="right" vertical="bottom"/>
    </xf>
    <xf borderId="0" fillId="30" fontId="34" numFmtId="2" xfId="0" applyAlignment="1" applyFont="1" applyNumberFormat="1">
      <alignment horizontal="right" vertical="bottom"/>
    </xf>
    <xf borderId="0" fillId="30" fontId="34" numFmtId="0" xfId="0" applyAlignment="1" applyFont="1">
      <alignment horizontal="right" vertical="bottom"/>
    </xf>
    <xf borderId="0" fillId="30" fontId="34" numFmtId="172" xfId="0" applyAlignment="1" applyFont="1" applyNumberFormat="1">
      <alignment horizontal="right" shrinkToFit="0" vertical="bottom" wrapText="1"/>
    </xf>
    <xf borderId="0" fillId="30" fontId="34" numFmtId="173" xfId="0" applyAlignment="1" applyFont="1" applyNumberFormat="1">
      <alignment horizontal="right" shrinkToFit="0" vertical="bottom" wrapText="1"/>
    </xf>
    <xf borderId="0" fillId="30" fontId="34" numFmtId="168" xfId="0" applyAlignment="1" applyFont="1" applyNumberFormat="1">
      <alignment horizontal="right" shrinkToFit="0" vertical="bottom" wrapText="1"/>
    </xf>
    <xf borderId="0" fillId="30" fontId="34" numFmtId="2" xfId="0" applyAlignment="1" applyFont="1" applyNumberFormat="1">
      <alignment horizontal="right" shrinkToFit="0" vertical="bottom" wrapText="1"/>
    </xf>
    <xf borderId="0" fillId="30" fontId="34" numFmtId="0" xfId="0" applyAlignment="1" applyFont="1">
      <alignment horizontal="right" shrinkToFit="0" vertical="bottom" wrapText="1"/>
    </xf>
    <xf borderId="0" fillId="33" fontId="35" numFmtId="0" xfId="0" applyAlignment="1" applyFont="1">
      <alignment vertical="bottom"/>
    </xf>
    <xf borderId="0" fillId="6" fontId="35" numFmtId="0" xfId="0" applyAlignment="1" applyFont="1">
      <alignment vertical="bottom"/>
    </xf>
    <xf borderId="0" fillId="30" fontId="34" numFmtId="0" xfId="0" applyAlignment="1" applyFont="1">
      <alignment shrinkToFit="0" vertical="bottom" wrapText="0"/>
    </xf>
    <xf borderId="0" fillId="30" fontId="34" numFmtId="168" xfId="0" applyAlignment="1" applyFont="1" applyNumberFormat="1">
      <alignment horizontal="right" readingOrder="0" shrinkToFit="0" vertical="bottom" wrapText="1"/>
    </xf>
    <xf borderId="0" fillId="6" fontId="34" numFmtId="0" xfId="0" applyAlignment="1" applyFont="1">
      <alignment horizontal="right" shrinkToFit="0" vertical="bottom" wrapText="1"/>
    </xf>
    <xf borderId="0" fillId="34" fontId="34" numFmtId="0" xfId="0" applyAlignment="1" applyFill="1" applyFont="1">
      <alignment horizontal="right" shrinkToFit="0" vertical="bottom" wrapText="1"/>
    </xf>
    <xf borderId="0" fillId="0" fontId="34" numFmtId="0" xfId="0" applyAlignment="1" applyFont="1">
      <alignment readingOrder="0" shrinkToFit="0" wrapText="1"/>
    </xf>
    <xf borderId="0" fillId="35" fontId="58" numFmtId="0" xfId="0" applyAlignment="1" applyFill="1" applyFont="1">
      <alignment horizontal="right" readingOrder="0"/>
    </xf>
    <xf borderId="0" fillId="30" fontId="34" numFmtId="172" xfId="0" applyAlignment="1" applyFont="1" applyNumberFormat="1">
      <alignment readingOrder="0" vertical="bottom"/>
    </xf>
    <xf borderId="4" fillId="30" fontId="34" numFmtId="0" xfId="0" applyAlignment="1" applyBorder="1" applyFont="1">
      <alignment vertical="bottom"/>
    </xf>
    <xf borderId="0" fillId="35" fontId="58" numFmtId="0" xfId="0" applyAlignment="1" applyFont="1">
      <alignment horizontal="right" readingOrder="0" shrinkToFit="0" wrapText="1"/>
    </xf>
    <xf borderId="0" fillId="6" fontId="34" numFmtId="11" xfId="0" applyAlignment="1" applyFont="1" applyNumberFormat="1">
      <alignment vertical="bottom"/>
    </xf>
    <xf borderId="0" fillId="34" fontId="34" numFmtId="11" xfId="0" applyAlignment="1" applyFont="1" applyNumberFormat="1">
      <alignment horizontal="right" shrinkToFit="0" vertical="bottom" wrapText="1"/>
    </xf>
    <xf borderId="0" fillId="30" fontId="34" numFmtId="11" xfId="0" applyAlignment="1" applyFont="1" applyNumberFormat="1">
      <alignment horizontal="right" readingOrder="0" vertical="bottom"/>
    </xf>
    <xf borderId="0" fillId="0" fontId="59" numFmtId="174" xfId="0" applyAlignment="1" applyFont="1" applyNumberFormat="1">
      <alignment horizontal="right" readingOrder="0" shrinkToFit="0" wrapText="1"/>
    </xf>
    <xf borderId="0" fillId="0" fontId="59" numFmtId="174" xfId="0" applyAlignment="1" applyFont="1" applyNumberFormat="1">
      <alignment readingOrder="0" shrinkToFit="0" wrapText="1"/>
    </xf>
    <xf borderId="0" fillId="6" fontId="60" numFmtId="0" xfId="0" applyAlignment="1" applyFont="1">
      <alignment readingOrder="0" vertical="bottom"/>
    </xf>
    <xf borderId="0" fillId="6" fontId="61" numFmtId="175" xfId="0" applyAlignment="1" applyFont="1" applyNumberFormat="1">
      <alignment readingOrder="0" vertical="bottom"/>
    </xf>
    <xf borderId="0" fillId="6" fontId="34" numFmtId="0" xfId="0" applyAlignment="1" applyFont="1">
      <alignment horizontal="right" shrinkToFit="0" vertical="bottom" wrapText="1"/>
    </xf>
    <xf borderId="0" fillId="6" fontId="34" numFmtId="174" xfId="0" applyAlignment="1" applyFont="1" applyNumberFormat="1">
      <alignment horizontal="right" shrinkToFit="0" vertical="bottom" wrapText="1"/>
    </xf>
    <xf borderId="0" fillId="0" fontId="59" numFmtId="174" xfId="0" applyAlignment="1" applyFont="1" applyNumberFormat="1">
      <alignment shrinkToFit="0" wrapText="1"/>
    </xf>
    <xf borderId="0" fillId="6" fontId="34" numFmtId="174" xfId="0" applyAlignment="1" applyFont="1" applyNumberFormat="1">
      <alignment shrinkToFit="0" vertical="bottom" wrapText="1"/>
    </xf>
    <xf borderId="0" fillId="0" fontId="59" numFmtId="168" xfId="0" applyAlignment="1" applyFont="1" applyNumberFormat="1">
      <alignment shrinkToFit="0" wrapText="1"/>
    </xf>
    <xf borderId="0" fillId="0" fontId="59" numFmtId="0" xfId="0" applyAlignment="1" applyFont="1">
      <alignment readingOrder="0" shrinkToFit="0" wrapText="1"/>
    </xf>
    <xf borderId="0" fillId="0" fontId="34" numFmtId="174" xfId="0" applyAlignment="1" applyFont="1" applyNumberFormat="1">
      <alignment readingOrder="0" shrinkToFit="0" vertical="bottom" wrapText="1"/>
    </xf>
    <xf borderId="0" fillId="0" fontId="34" numFmtId="11" xfId="0" applyAlignment="1" applyFont="1" applyNumberFormat="1">
      <alignment readingOrder="0" shrinkToFit="0" vertical="bottom" wrapText="1"/>
    </xf>
    <xf borderId="0" fillId="0" fontId="59" numFmtId="4" xfId="0" applyAlignment="1" applyFont="1" applyNumberFormat="1">
      <alignment readingOrder="0" shrinkToFit="0" wrapText="1"/>
    </xf>
    <xf borderId="0" fillId="6" fontId="34" numFmtId="169" xfId="0" applyAlignment="1" applyFont="1" applyNumberFormat="1">
      <alignment horizontal="right" shrinkToFit="0" vertical="bottom" wrapText="1"/>
    </xf>
    <xf borderId="0" fillId="0" fontId="34" numFmtId="11" xfId="0" applyAlignment="1" applyFont="1" applyNumberFormat="1">
      <alignment shrinkToFit="0" wrapText="1"/>
    </xf>
    <xf borderId="0" fillId="36" fontId="62" numFmtId="174" xfId="0" applyAlignment="1" applyFill="1" applyFont="1" applyNumberFormat="1">
      <alignment horizontal="left" readingOrder="0"/>
    </xf>
    <xf borderId="0" fillId="6" fontId="61" numFmtId="0" xfId="0" applyAlignment="1" applyFont="1">
      <alignment readingOrder="0" vertical="bottom"/>
    </xf>
    <xf borderId="0" fillId="34" fontId="34" numFmtId="11" xfId="0" applyAlignment="1" applyFont="1" applyNumberFormat="1">
      <alignment vertical="bottom"/>
    </xf>
    <xf borderId="4" fillId="30" fontId="34" numFmtId="11" xfId="0" applyAlignment="1" applyBorder="1" applyFont="1" applyNumberFormat="1">
      <alignment vertical="bottom"/>
    </xf>
    <xf borderId="0" fillId="35" fontId="34" numFmtId="0" xfId="0" applyAlignment="1" applyFont="1">
      <alignment horizontal="right" readingOrder="0"/>
    </xf>
    <xf borderId="0" fillId="30" fontId="34" numFmtId="3" xfId="0" applyAlignment="1" applyFont="1" applyNumberFormat="1">
      <alignment horizontal="right" shrinkToFit="0" vertical="bottom" wrapText="1"/>
    </xf>
    <xf borderId="0" fillId="30" fontId="34" numFmtId="3" xfId="0" applyAlignment="1" applyFont="1" applyNumberFormat="1">
      <alignment vertical="bottom"/>
    </xf>
    <xf borderId="0" fillId="30" fontId="34" numFmtId="3" xfId="0" applyAlignment="1" applyFont="1" applyNumberFormat="1">
      <alignment shrinkToFit="0" vertical="bottom" wrapText="1"/>
    </xf>
    <xf borderId="0" fillId="30" fontId="58" numFmtId="0" xfId="0" applyAlignment="1" applyFont="1">
      <alignment horizontal="right" readingOrder="0"/>
    </xf>
    <xf borderId="0" fillId="6" fontId="58" numFmtId="0" xfId="0" applyAlignment="1" applyFont="1">
      <alignment horizontal="left" readingOrder="0"/>
    </xf>
    <xf borderId="0" fillId="34" fontId="58" numFmtId="0" xfId="0" applyAlignment="1" applyFont="1">
      <alignment horizontal="left" readingOrder="0"/>
    </xf>
    <xf borderId="0" fillId="34" fontId="34" numFmtId="0" xfId="0" applyAlignment="1" applyFont="1">
      <alignment horizontal="right" shrinkToFit="0" vertical="bottom" wrapText="1"/>
    </xf>
    <xf borderId="0" fillId="6" fontId="63" numFmtId="0" xfId="0" applyAlignment="1" applyFont="1">
      <alignment vertical="bottom"/>
    </xf>
    <xf borderId="0" fillId="35" fontId="58" numFmtId="0" xfId="0" applyAlignment="1" applyFont="1">
      <alignment horizontal="left" readingOrder="0"/>
    </xf>
    <xf borderId="0" fillId="30" fontId="34" numFmtId="168" xfId="0" applyAlignment="1" applyFont="1" applyNumberFormat="1">
      <alignment horizontal="right" readingOrder="0" vertical="bottom"/>
    </xf>
    <xf borderId="0" fillId="6" fontId="34" numFmtId="0" xfId="0" applyAlignment="1" applyFont="1">
      <alignment horizontal="right" readingOrder="0" vertical="bottom"/>
    </xf>
    <xf borderId="0" fillId="30" fontId="34" numFmtId="176" xfId="0" applyAlignment="1" applyFont="1" applyNumberFormat="1">
      <alignment horizontal="right" shrinkToFit="0" vertical="bottom" wrapText="1"/>
    </xf>
    <xf borderId="0" fillId="30" fontId="34" numFmtId="174" xfId="0" applyAlignment="1" applyFont="1" applyNumberFormat="1">
      <alignment horizontal="right" readingOrder="0" shrinkToFit="0" vertical="bottom" wrapText="1"/>
    </xf>
    <xf borderId="0" fillId="30" fontId="34" numFmtId="174" xfId="0" applyAlignment="1" applyFont="1" applyNumberFormat="1">
      <alignment vertical="bottom"/>
    </xf>
    <xf borderId="0" fillId="30" fontId="34" numFmtId="174" xfId="0" applyAlignment="1" applyFont="1" applyNumberFormat="1">
      <alignment readingOrder="0" vertical="bottom"/>
    </xf>
    <xf borderId="0" fillId="34" fontId="34" numFmtId="174" xfId="0" applyAlignment="1" applyFont="1" applyNumberFormat="1">
      <alignment vertical="bottom"/>
    </xf>
    <xf borderId="0" fillId="37" fontId="34" numFmtId="0" xfId="0" applyAlignment="1" applyFill="1" applyFont="1">
      <alignment horizontal="right" readingOrder="0" shrinkToFit="0" vertical="bottom" wrapText="1"/>
    </xf>
    <xf borderId="0" fillId="6" fontId="34" numFmtId="0" xfId="0" applyAlignment="1" applyFont="1">
      <alignment shrinkToFit="0" vertical="bottom" wrapText="1"/>
    </xf>
    <xf borderId="0" fillId="6" fontId="34" numFmtId="0" xfId="0" applyAlignment="1" applyFont="1">
      <alignment readingOrder="0" shrinkToFit="0" vertical="bottom" wrapText="1"/>
    </xf>
    <xf borderId="0" fillId="0" fontId="59" numFmtId="0" xfId="0" applyAlignment="1" applyFont="1">
      <alignment shrinkToFit="0" wrapText="1"/>
    </xf>
    <xf borderId="0" fillId="0" fontId="59" numFmtId="169" xfId="0" applyAlignment="1" applyFont="1" applyNumberFormat="1">
      <alignment readingOrder="0" shrinkToFit="0" wrapText="1"/>
    </xf>
    <xf borderId="0" fillId="6" fontId="34" numFmtId="174" xfId="0" applyAlignment="1" applyFont="1" applyNumberFormat="1">
      <alignment vertical="bottom"/>
    </xf>
    <xf borderId="16" fillId="30" fontId="34" numFmtId="0" xfId="0" applyAlignment="1" applyBorder="1" applyFont="1">
      <alignment vertical="bottom"/>
    </xf>
    <xf borderId="0" fillId="0" fontId="34" numFmtId="174" xfId="0" applyAlignment="1" applyFont="1" applyNumberFormat="1">
      <alignment readingOrder="0" shrinkToFit="0" vertical="bottom" wrapText="1"/>
    </xf>
    <xf borderId="0" fillId="0" fontId="59" numFmtId="168" xfId="0" applyAlignment="1" applyFont="1" applyNumberFormat="1">
      <alignment readingOrder="0" shrinkToFit="0" wrapText="1"/>
    </xf>
    <xf borderId="0" fillId="0" fontId="59" numFmtId="11" xfId="0" applyAlignment="1" applyFont="1" applyNumberFormat="1">
      <alignment readingOrder="0" shrinkToFit="0" wrapText="1"/>
    </xf>
    <xf borderId="0" fillId="0" fontId="59" numFmtId="4" xfId="0" applyAlignment="1" applyFont="1" applyNumberFormat="1">
      <alignment shrinkToFit="0" wrapText="1"/>
    </xf>
    <xf borderId="0" fillId="30" fontId="34" numFmtId="0" xfId="0" applyAlignment="1" applyFont="1">
      <alignment horizontal="right" readingOrder="0"/>
    </xf>
    <xf borderId="0" fillId="30" fontId="34" numFmtId="168" xfId="0" applyAlignment="1" applyFont="1" applyNumberFormat="1">
      <alignment shrinkToFit="0" vertical="bottom" wrapText="1"/>
    </xf>
    <xf borderId="0" fillId="30" fontId="34" numFmtId="2" xfId="0" applyAlignment="1" applyFont="1" applyNumberFormat="1">
      <alignment shrinkToFit="0" vertical="bottom" wrapText="1"/>
    </xf>
    <xf borderId="0" fillId="0" fontId="35" numFmtId="0" xfId="0" applyAlignment="1" applyFont="1">
      <alignment horizontal="right" readingOrder="0" shrinkToFit="0" wrapText="1"/>
    </xf>
    <xf borderId="0" fillId="6" fontId="34" numFmtId="174" xfId="0" applyAlignment="1" applyFont="1" applyNumberFormat="1">
      <alignment shrinkToFit="0" vertical="bottom" wrapText="0"/>
    </xf>
    <xf borderId="0" fillId="6" fontId="64" numFmtId="2" xfId="0" applyFont="1" applyNumberFormat="1"/>
    <xf borderId="0" fillId="33" fontId="35" numFmtId="0" xfId="0" applyAlignment="1" applyFont="1">
      <alignment readingOrder="0" vertical="bottom"/>
    </xf>
    <xf borderId="0" fillId="0" fontId="34" numFmtId="0" xfId="0" applyAlignment="1" applyFont="1">
      <alignment readingOrder="0" shrinkToFit="0" vertical="bottom" wrapText="1"/>
    </xf>
    <xf borderId="0" fillId="0" fontId="34" numFmtId="4" xfId="0" applyAlignment="1" applyFont="1" applyNumberFormat="1">
      <alignment readingOrder="0" shrinkToFit="0" vertical="bottom" wrapText="1"/>
    </xf>
    <xf borderId="0" fillId="0" fontId="34" numFmtId="169" xfId="0" applyAlignment="1" applyFont="1" applyNumberFormat="1">
      <alignment readingOrder="0" shrinkToFit="0" vertical="bottom" wrapText="1"/>
    </xf>
    <xf borderId="0" fillId="0" fontId="34" numFmtId="174" xfId="0" applyAlignment="1" applyFont="1" applyNumberFormat="1">
      <alignment readingOrder="0" shrinkToFit="0" wrapText="1"/>
    </xf>
    <xf borderId="0" fillId="6" fontId="62" numFmtId="174" xfId="0" applyAlignment="1" applyFont="1" applyNumberFormat="1">
      <alignment horizontal="left" readingOrder="0"/>
    </xf>
    <xf borderId="0" fillId="0" fontId="34" numFmtId="4" xfId="0" applyAlignment="1" applyFont="1" applyNumberFormat="1">
      <alignment readingOrder="0" shrinkToFit="0" wrapText="1"/>
    </xf>
    <xf borderId="0" fillId="0" fontId="65" numFmtId="174" xfId="0" applyAlignment="1" applyFont="1" applyNumberFormat="1">
      <alignment readingOrder="0" shrinkToFit="0" wrapText="1"/>
    </xf>
    <xf borderId="0" fillId="0" fontId="65" numFmtId="0" xfId="0" applyAlignment="1" applyFont="1">
      <alignment readingOrder="0" shrinkToFit="0" vertical="bottom" wrapText="1"/>
    </xf>
    <xf borderId="0" fillId="0" fontId="59" numFmtId="174" xfId="0" applyAlignment="1" applyFont="1" applyNumberFormat="1">
      <alignment readingOrder="0"/>
    </xf>
    <xf borderId="0" fillId="0" fontId="65" numFmtId="169" xfId="0" applyAlignment="1" applyFont="1" applyNumberFormat="1">
      <alignment readingOrder="0" shrinkToFit="0" vertical="bottom" wrapText="1"/>
    </xf>
    <xf borderId="0" fillId="0" fontId="65" numFmtId="4" xfId="0" applyAlignment="1" applyFont="1" applyNumberFormat="1">
      <alignment readingOrder="0" shrinkToFit="0" wrapText="1"/>
    </xf>
    <xf borderId="0" fillId="0" fontId="65" numFmtId="174" xfId="0" applyAlignment="1" applyFont="1" applyNumberFormat="1">
      <alignment readingOrder="0" shrinkToFit="0" vertical="bottom" wrapText="1"/>
    </xf>
    <xf borderId="0" fillId="0" fontId="63" numFmtId="0" xfId="0" applyFont="1"/>
    <xf borderId="0" fillId="6" fontId="58" numFmtId="0" xfId="0" applyAlignment="1" applyFont="1">
      <alignment horizontal="right" readingOrder="0"/>
    </xf>
    <xf borderId="0" fillId="6" fontId="34" numFmtId="11" xfId="0" applyAlignment="1" applyFont="1" applyNumberFormat="1">
      <alignment horizontal="right" shrinkToFit="0" vertical="bottom" wrapText="1"/>
    </xf>
    <xf borderId="0" fillId="0" fontId="35" numFmtId="174" xfId="0" applyAlignment="1" applyFont="1" applyNumberFormat="1">
      <alignment readingOrder="0"/>
    </xf>
    <xf borderId="0" fillId="36" fontId="59" numFmtId="4" xfId="0" applyAlignment="1" applyFont="1" applyNumberFormat="1">
      <alignment readingOrder="0" shrinkToFit="0" wrapText="1"/>
    </xf>
    <xf borderId="0" fillId="36" fontId="59" numFmtId="174" xfId="0" applyAlignment="1" applyFont="1" applyNumberFormat="1">
      <alignment horizontal="right" readingOrder="0" shrinkToFit="0" wrapText="1"/>
    </xf>
    <xf borderId="0" fillId="36" fontId="59" numFmtId="174" xfId="0" applyAlignment="1" applyFont="1" applyNumberFormat="1">
      <alignment readingOrder="0" shrinkToFit="0" wrapText="1"/>
    </xf>
    <xf borderId="0" fillId="36" fontId="34" numFmtId="174" xfId="0" applyAlignment="1" applyFont="1" applyNumberFormat="1">
      <alignment readingOrder="0" shrinkToFit="0" wrapText="1"/>
    </xf>
    <xf borderId="0" fillId="34" fontId="34" numFmtId="174" xfId="0" applyAlignment="1" applyFont="1" applyNumberFormat="1">
      <alignment horizontal="right" shrinkToFit="0" vertical="bottom" wrapText="1"/>
    </xf>
    <xf borderId="0" fillId="36" fontId="59" numFmtId="174" xfId="0" applyAlignment="1" applyFont="1" applyNumberFormat="1">
      <alignment shrinkToFit="0" wrapText="1"/>
    </xf>
    <xf borderId="0" fillId="36" fontId="59" numFmtId="168" xfId="0" applyAlignment="1" applyFont="1" applyNumberFormat="1">
      <alignment readingOrder="0" shrinkToFit="0" wrapText="1"/>
    </xf>
    <xf borderId="0" fillId="36" fontId="59" numFmtId="0" xfId="0" applyAlignment="1" applyFont="1">
      <alignment readingOrder="0" shrinkToFit="0" wrapText="1"/>
    </xf>
    <xf borderId="0" fillId="36" fontId="59" numFmtId="11" xfId="0" applyAlignment="1" applyFont="1" applyNumberFormat="1">
      <alignment shrinkToFit="0" wrapText="1"/>
    </xf>
    <xf borderId="0" fillId="36" fontId="59" numFmtId="169" xfId="0" applyAlignment="1" applyFont="1" applyNumberFormat="1">
      <alignment readingOrder="0" shrinkToFit="0" wrapText="1"/>
    </xf>
    <xf borderId="0" fillId="6" fontId="35" numFmtId="174" xfId="0" applyAlignment="1" applyFont="1" applyNumberFormat="1">
      <alignment vertical="bottom"/>
    </xf>
    <xf borderId="0" fillId="6" fontId="59" numFmtId="174" xfId="0" applyAlignment="1" applyFont="1" applyNumberFormat="1">
      <alignment shrinkToFit="0" vertical="bottom" wrapText="1"/>
    </xf>
    <xf borderId="0" fillId="0" fontId="34" numFmtId="4" xfId="0" applyAlignment="1" applyFont="1" applyNumberFormat="1">
      <alignment horizontal="right" readingOrder="0" shrinkToFit="0" vertical="bottom" wrapText="0"/>
    </xf>
    <xf borderId="0" fillId="6" fontId="66" numFmtId="0" xfId="0" applyAlignment="1" applyFont="1">
      <alignment horizontal="right" vertical="bottom"/>
    </xf>
    <xf borderId="0" fillId="6" fontId="34" numFmtId="0" xfId="0" applyAlignment="1" applyFont="1">
      <alignment shrinkToFit="0" vertical="bottom" wrapText="1"/>
    </xf>
    <xf borderId="0" fillId="34" fontId="66" numFmtId="0" xfId="0" applyAlignment="1" applyFont="1">
      <alignment horizontal="right" vertical="bottom"/>
    </xf>
    <xf borderId="0" fillId="34" fontId="34" numFmtId="0" xfId="0" applyAlignment="1" applyFont="1">
      <alignment shrinkToFit="0" vertical="bottom" wrapText="1"/>
    </xf>
    <xf borderId="0" fillId="34" fontId="34" numFmtId="174" xfId="0" applyAlignment="1" applyFont="1" applyNumberFormat="1">
      <alignment shrinkToFit="0" vertical="bottom" wrapText="0"/>
    </xf>
    <xf borderId="0" fillId="6" fontId="60" numFmtId="174" xfId="0" applyAlignment="1" applyFont="1" applyNumberFormat="1">
      <alignment readingOrder="0"/>
    </xf>
    <xf borderId="0" fillId="0" fontId="35" numFmtId="0" xfId="0" applyAlignment="1" applyFont="1">
      <alignment shrinkToFit="0" wrapText="1"/>
    </xf>
    <xf borderId="0" fillId="0" fontId="35" numFmtId="11" xfId="0" applyAlignment="1" applyFont="1" applyNumberFormat="1">
      <alignment readingOrder="0"/>
    </xf>
    <xf borderId="0" fillId="38" fontId="35" numFmtId="0" xfId="0" applyAlignment="1" applyFill="1" applyFont="1">
      <alignment readingOrder="0" shrinkToFit="0" wrapText="1"/>
    </xf>
    <xf borderId="0" fillId="0" fontId="59" numFmtId="1" xfId="0" applyAlignment="1" applyFont="1" applyNumberFormat="1">
      <alignment readingOrder="0"/>
    </xf>
    <xf borderId="0" fillId="0" fontId="59" numFmtId="0" xfId="0" applyAlignment="1" applyFont="1">
      <alignment readingOrder="0"/>
    </xf>
    <xf borderId="0" fillId="0" fontId="67" numFmtId="0" xfId="0" applyAlignment="1" applyFont="1">
      <alignment readingOrder="0" shrinkToFit="0" vertical="bottom" wrapText="0"/>
    </xf>
    <xf quotePrefix="1" borderId="0" fillId="0" fontId="59" numFmtId="0" xfId="0" applyAlignment="1" applyFont="1">
      <alignment readingOrder="0"/>
    </xf>
    <xf borderId="0" fillId="0" fontId="59" numFmtId="0" xfId="0" applyFont="1"/>
    <xf borderId="0" fillId="0" fontId="59" numFmtId="1" xfId="0" applyFont="1" applyNumberFormat="1"/>
    <xf borderId="0" fillId="0" fontId="34" numFmtId="0" xfId="0" applyAlignment="1" applyFont="1">
      <alignment shrinkToFit="0" vertical="bottom" wrapText="0"/>
    </xf>
    <xf borderId="0" fillId="0" fontId="67" numFmtId="0" xfId="0" applyAlignment="1" applyFont="1">
      <alignment shrinkToFit="0" vertical="bottom" wrapText="0"/>
    </xf>
    <xf borderId="0" fillId="0" fontId="34" numFmtId="0" xfId="0" applyAlignment="1" applyFont="1">
      <alignment horizontal="right" readingOrder="0" shrinkToFit="0" vertical="bottom" wrapText="0"/>
    </xf>
    <xf borderId="0" fillId="0" fontId="34" numFmtId="11" xfId="0" applyAlignment="1" applyFont="1" applyNumberFormat="1">
      <alignment horizontal="right" readingOrder="0" shrinkToFit="0" vertical="bottom" wrapText="0"/>
    </xf>
    <xf borderId="0" fillId="0" fontId="67" numFmtId="11" xfId="0" applyAlignment="1" applyFont="1" applyNumberFormat="1">
      <alignment horizontal="right" readingOrder="0" shrinkToFit="0" vertical="bottom" wrapText="0"/>
    </xf>
    <xf borderId="0" fillId="0" fontId="67" numFmtId="0" xfId="0" applyAlignment="1" applyFont="1">
      <alignment horizontal="right"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0" fontId="34" numFmtId="1" xfId="0" applyAlignment="1" applyFont="1" applyNumberFormat="1">
      <alignment shrinkToFit="0" vertical="bottom" wrapText="0"/>
    </xf>
    <xf borderId="0" fillId="0" fontId="59" numFmtId="11" xfId="0" applyAlignment="1" applyFont="1" applyNumberFormat="1">
      <alignment readingOrder="0"/>
    </xf>
    <xf borderId="0" fillId="0" fontId="35" numFmtId="11" xfId="0" applyAlignment="1" applyFont="1" applyNumberFormat="1">
      <alignment readingOrder="0"/>
    </xf>
    <xf borderId="0" fillId="0" fontId="34" numFmtId="1" xfId="0" applyAlignment="1" applyFont="1" applyNumberFormat="1">
      <alignment horizontal="right" readingOrder="0" shrinkToFit="0" vertical="bottom" wrapText="0"/>
    </xf>
    <xf borderId="0" fillId="0" fontId="35" numFmtId="1" xfId="0" applyFont="1" applyNumberFormat="1"/>
    <xf borderId="0" fillId="6" fontId="34" numFmtId="0" xfId="0" applyAlignment="1" applyFont="1">
      <alignment shrinkToFit="0" vertical="bottom" wrapText="1"/>
    </xf>
    <xf borderId="0" fillId="39" fontId="68" numFmtId="11" xfId="0" applyAlignment="1" applyFill="1" applyFont="1" applyNumberFormat="1">
      <alignment horizontal="right" vertical="bottom"/>
    </xf>
    <xf borderId="0" fillId="39" fontId="68" numFmtId="2" xfId="0" applyAlignment="1" applyFont="1" applyNumberFormat="1">
      <alignment horizontal="right" vertical="bottom"/>
    </xf>
    <xf borderId="0" fillId="30" fontId="34" numFmtId="0" xfId="0" applyAlignment="1" applyFont="1">
      <alignment shrinkToFit="0" vertical="bottom" wrapText="1"/>
    </xf>
    <xf borderId="0" fillId="30" fontId="68" numFmtId="11" xfId="0" applyAlignment="1" applyFont="1" applyNumberFormat="1">
      <alignment horizontal="right" vertical="bottom"/>
    </xf>
    <xf borderId="0" fillId="30" fontId="68" numFmtId="2" xfId="0" applyAlignment="1" applyFont="1" applyNumberFormat="1">
      <alignment horizontal="right" vertical="bottom"/>
    </xf>
    <xf borderId="0" fillId="38" fontId="59" numFmtId="0" xfId="0" applyAlignment="1" applyFont="1">
      <alignment vertical="bottom"/>
    </xf>
    <xf borderId="0" fillId="6" fontId="61" numFmtId="11" xfId="0" applyAlignment="1" applyFont="1" applyNumberFormat="1">
      <alignment vertical="bottom"/>
    </xf>
    <xf borderId="0" fillId="39" fontId="61" numFmtId="2" xfId="0" applyAlignment="1" applyFont="1" applyNumberFormat="1">
      <alignment vertical="bottom"/>
    </xf>
    <xf borderId="0" fillId="30" fontId="61" numFmtId="11" xfId="0" applyAlignment="1" applyFont="1" applyNumberFormat="1">
      <alignment vertical="bottom"/>
    </xf>
    <xf borderId="0" fillId="6" fontId="61" numFmtId="2" xfId="0" applyAlignment="1" applyFont="1" applyNumberFormat="1">
      <alignment vertical="bottom"/>
    </xf>
    <xf borderId="0" fillId="6" fontId="68" numFmtId="11" xfId="0" applyAlignment="1" applyFont="1" applyNumberFormat="1">
      <alignment horizontal="right" vertical="bottom"/>
    </xf>
    <xf borderId="0" fillId="6" fontId="68" numFmtId="2" xfId="0" applyAlignment="1" applyFont="1" applyNumberFormat="1">
      <alignment horizontal="right" vertical="bottom"/>
    </xf>
    <xf borderId="0" fillId="6" fontId="34" numFmtId="11" xfId="0" applyAlignment="1" applyFont="1" applyNumberFormat="1">
      <alignment shrinkToFit="0" vertical="bottom" wrapText="1"/>
    </xf>
    <xf borderId="0" fillId="30" fontId="34" numFmtId="11" xfId="0" applyAlignment="1" applyFont="1" applyNumberFormat="1">
      <alignment shrinkToFit="0" vertical="bottom" wrapText="1"/>
    </xf>
    <xf borderId="0" fillId="38" fontId="34" numFmtId="0" xfId="0" applyAlignment="1" applyFont="1">
      <alignment shrinkToFit="0" vertical="bottom" wrapText="1"/>
    </xf>
    <xf borderId="0" fillId="38" fontId="61" numFmtId="0" xfId="0" applyAlignment="1" applyFont="1">
      <alignment vertical="bottom"/>
    </xf>
    <xf borderId="0" fillId="30" fontId="61" numFmtId="2" xfId="0" applyAlignment="1" applyFont="1" applyNumberFormat="1">
      <alignment vertical="bottom"/>
    </xf>
    <xf borderId="0" fillId="30" fontId="61" numFmtId="0" xfId="0" applyAlignment="1" applyFont="1">
      <alignment shrinkToFit="0" vertical="bottom" wrapText="1"/>
    </xf>
    <xf borderId="0" fillId="30" fontId="61" numFmtId="0" xfId="0" applyAlignment="1" applyFont="1">
      <alignment vertical="bottom"/>
    </xf>
    <xf borderId="0" fillId="6" fontId="61" numFmtId="0" xfId="0" applyAlignment="1" applyFont="1">
      <alignment shrinkToFit="0" vertical="bottom" wrapText="1"/>
    </xf>
    <xf borderId="0" fillId="6" fontId="61" numFmtId="0" xfId="0" applyAlignment="1" applyFont="1">
      <alignment vertical="bottom"/>
    </xf>
    <xf borderId="0" fillId="0" fontId="35" numFmtId="0" xfId="0" applyAlignment="1" applyFont="1">
      <alignment shrinkToFit="0" wrapText="1"/>
    </xf>
    <xf borderId="0" fillId="30" fontId="34" numFmtId="2" xfId="0" applyAlignment="1" applyFont="1" applyNumberFormat="1">
      <alignment horizontal="right" shrinkToFit="0" vertical="bottom" wrapText="1"/>
    </xf>
    <xf borderId="0" fillId="0" fontId="59" numFmtId="2" xfId="0" applyAlignment="1" applyFont="1" applyNumberFormat="1">
      <alignment shrinkToFit="0" wrapText="1"/>
    </xf>
    <xf borderId="0" fillId="30" fontId="59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5">
    <tableStyle count="3" pivot="0" name="CASPAR Data Dictionary-style">
      <tableStyleElement dxfId="1" type="headerRow"/>
      <tableStyleElement dxfId="2" type="firstRowStripe"/>
      <tableStyleElement dxfId="3" type="secondRowStripe"/>
    </tableStyle>
    <tableStyle count="3" pivot="0" name="old database-style">
      <tableStyleElement dxfId="4" type="headerRow"/>
      <tableStyleElement dxfId="2" type="firstRowStripe"/>
      <tableStyleElement dxfId="5" type="secondRowStripe"/>
    </tableStyle>
    <tableStyle count="3" pivot="0" name="Literature EWs and Fluxes-style">
      <tableStyleElement dxfId="1" type="headerRow"/>
      <tableStyleElement dxfId="2" type="firstRowStripe"/>
      <tableStyleElement dxfId="3" type="secondRowStripe"/>
    </tableStyle>
    <tableStyle count="3" pivot="0" name="Re-estimated Values-style">
      <tableStyleElement dxfId="1" type="headerRow"/>
      <tableStyleElement dxfId="2" type="firstRowStripe"/>
      <tableStyleElement dxfId="3" type="secondRowStripe"/>
    </tableStyle>
    <tableStyle count="3" pivot="0" name="Re-estimation By Rows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132" displayName="Table_1" id="1">
  <tableColumns count="4">
    <tableColumn name="Name" id="1"/>
    <tableColumn name="Format/Type" id="2"/>
    <tableColumn name="Units" id="3"/>
    <tableColumn name="Description" id="4"/>
  </tableColumns>
  <tableStyleInfo name="CASPAR Data Dictionary-style" showColumnStripes="0" showFirstColumn="1" showLastColumn="1" showRowStripes="1"/>
</table>
</file>

<file path=xl/tables/table2.xml><?xml version="1.0" encoding="utf-8"?>
<table xmlns="http://schemas.openxmlformats.org/spreadsheetml/2006/main" ref="A1:AX1000" displayName="Table_2" id="2">
  <tableColumns count="50">
    <tableColumn name="Simbad-Resolvable Name" id="1"/>
    <tableColumn name="Source (Original)" id="2"/>
    <tableColumn name="Alternative Names" id="3"/>
    <tableColumn name="Star Forming Region" id="4"/>
    <tableColumn name="SFR Age (Myr)" id="5"/>
    <tableColumn name="COORDS" id="6"/>
    <tableColumn name="Disk Type" id="7"/>
    <tableColumn name="Reference" id="8"/>
    <tableColumn name="Epoch" id="9"/>
    <tableColumn name="Effective Temperature K" id="10"/>
    <tableColumn name="Temp err" id="11"/>
    <tableColumn name="Sp Type" id="12"/>
    <tableColumn name="Sp Type Err" id="13"/>
    <tableColumn name="J Magnitude" id="14"/>
    <tableColumn name="K Magnitude" id="15"/>
    <tableColumn name="R Magnitude" id="16"/>
    <tableColumn name="Method" id="17"/>
    <tableColumn name="Wavelength Range" id="18"/>
    <tableColumn name="Instrument" id="19"/>
    <tableColumn name="Tracer" id="20"/>
    <tableColumn name="Accretion Diagnostic" id="21"/>
    <tableColumn name="Line Flux erg/s/cm^2" id="22"/>
    <tableColumn name="Object Luminosity L_solar" id="23"/>
    <tableColumn name="Object Luminosity Error" id="24"/>
    <tableColumn name="Object Radius from L and T" id="25"/>
    <tableColumn name="R_err from L and T" id="26"/>
    <tableColumn name="Object Radius R_solar" id="27"/>
    <tableColumn name="R_err" id="28"/>
    <tableColumn name="New Radius" id="29"/>
    <tableColumn name=" Scaling relation" id="30"/>
    <tableColumn name="Accretion Rate M_solar yr-1" id="31"/>
    <tableColumn name="Log Accretion Rate" id="32"/>
    <tableColumn name="Object Mass Range M_solar" id="33"/>
    <tableColumn name="Object Mass M_Solar" id="34"/>
    <tableColumn name="Object Mass Err" id="35"/>
    <tableColumn name="New Mass" id="36"/>
    <tableColumn name="log object mass" id="37"/>
    <tableColumn name="Accretion Luminosity (CGS)" id="38"/>
    <tableColumn name="Log Accretion Luminosity (solar)" id="39"/>
    <tableColumn name="Age range Myr" id="40"/>
    <tableColumn name="System Age Myr" id="41"/>
    <tableColumn name="Companion?" id="42"/>
    <tableColumn name="A_V" id="43"/>
    <tableColumn name="A_V err" id="44"/>
    <tableColumn name="A_V source" id="45"/>
    <tableColumn name="A_J" id="46"/>
    <tableColumn name="Upper Limit" id="47"/>
    <tableColumn name="Notes/Questions2" id="48"/>
    <tableColumn name="Notes/Questions3" id="49"/>
    <tableColumn name="Distance" id="50"/>
  </tableColumns>
  <tableStyleInfo name="old database-style" showColumnStripes="0" showFirstColumn="1" showLastColumn="1" showRowStripes="1"/>
</table>
</file>

<file path=xl/tables/table3.xml><?xml version="1.0" encoding="utf-8"?>
<table xmlns="http://schemas.openxmlformats.org/spreadsheetml/2006/main" headerRowCount="0" ref="A1:Y1000" display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Literature EWs and Flux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V1000" displayName="Table_4" id="4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Re-estimated Valu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AW1134" displayName="Table_5" id="5">
  <tableColumns count="49">
    <tableColumn name="Simbad-Resolvable Name" id="1"/>
    <tableColumn name="Source (Original)" id="2"/>
    <tableColumn name="Alternative Names" id="3"/>
    <tableColumn name="Star Forming Region" id="4"/>
    <tableColumn name="SFR Age (Myr)" id="5"/>
    <tableColumn name="COORDS" id="6"/>
    <tableColumn name="Disk Type" id="7"/>
    <tableColumn name="Reference" id="8"/>
    <tableColumn name="Epoch" id="9"/>
    <tableColumn name="Effective Temperature K" id="10"/>
    <tableColumn name="Temp err" id="11"/>
    <tableColumn name="Sp Type" id="12"/>
    <tableColumn name="Sp Type Err" id="13"/>
    <tableColumn name="J Magnitude" id="14"/>
    <tableColumn name="K Magnitude" id="15"/>
    <tableColumn name="R Magnitude" id="16"/>
    <tableColumn name="Method" id="17"/>
    <tableColumn name="Wavelength Range" id="18"/>
    <tableColumn name="Instrument" id="19"/>
    <tableColumn name="Tracer" id="20"/>
    <tableColumn name="Accretion Diagnostic" id="21"/>
    <tableColumn name="Line Flux erg/s/cm^2" id="22"/>
    <tableColumn name="Object Luminosity L_solar" id="23"/>
    <tableColumn name="Object Luminosity Error" id="24"/>
    <tableColumn name="Object Radius from L and T" id="25"/>
    <tableColumn name="R_err from L and T" id="26"/>
    <tableColumn name="Object Radius R_solar" id="27"/>
    <tableColumn name="R_err" id="28"/>
    <tableColumn name="New Radius" id="29"/>
    <tableColumn name="Accretion Rate M_solar yr-1" id="30"/>
    <tableColumn name="Log Accretion Rate" id="31"/>
    <tableColumn name="Object Mass Range M_solar" id="32"/>
    <tableColumn name="Object Mass M_Solar" id="33"/>
    <tableColumn name="Object Mass Err" id="34"/>
    <tableColumn name="New Mass" id="35"/>
    <tableColumn name="log object mass" id="36"/>
    <tableColumn name="Accretion Luminosity (CGS)" id="37"/>
    <tableColumn name="Log Accretion Luminosity (solar)" id="38"/>
    <tableColumn name="Age range Myr" id="39"/>
    <tableColumn name="System Age Myr" id="40"/>
    <tableColumn name="Companion?" id="41"/>
    <tableColumn name="A_V" id="42"/>
    <tableColumn name="A_V err" id="43"/>
    <tableColumn name="A_V source" id="44"/>
    <tableColumn name="A_J" id="45"/>
    <tableColumn name="Upper Limit" id="46"/>
    <tableColumn name="Notes/Questions2" id="47"/>
    <tableColumn name="Notes/Questions3" id="48"/>
    <tableColumn name="Distance" id="49"/>
  </tableColumns>
  <tableStyleInfo name="Re-estimation By Row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ui.adsabs.harvard.edu/abs/1998ApJ...492..323G/abstract" TargetMode="External"/><Relationship Id="rId194" Type="http://schemas.openxmlformats.org/officeDocument/2006/relationships/hyperlink" Target="https://ui.adsabs.harvard.edu/abs/1998ApJ...492..323G/abstract" TargetMode="External"/><Relationship Id="rId193" Type="http://schemas.openxmlformats.org/officeDocument/2006/relationships/hyperlink" Target="https://ui.adsabs.harvard.edu/abs/2012A%26A...548A..56R/abstract" TargetMode="External"/><Relationship Id="rId192" Type="http://schemas.openxmlformats.org/officeDocument/2006/relationships/hyperlink" Target="https://ui.adsabs.harvard.edu/abs/2021yCat.2367....0M/abstract" TargetMode="External"/><Relationship Id="rId191" Type="http://schemas.openxmlformats.org/officeDocument/2006/relationships/hyperlink" Target="https://ui.adsabs.harvard.edu/abs/1998ApJ...492..323G/abstract" TargetMode="External"/><Relationship Id="rId187" Type="http://schemas.openxmlformats.org/officeDocument/2006/relationships/hyperlink" Target="https://ui.adsabs.harvard.edu/abs/2012A%26A...548A..56R/abstract" TargetMode="External"/><Relationship Id="rId186" Type="http://schemas.openxmlformats.org/officeDocument/2006/relationships/hyperlink" Target="https://ui.adsabs.harvard.edu/abs/2021yCat.2367....0M/abstract" TargetMode="External"/><Relationship Id="rId185" Type="http://schemas.openxmlformats.org/officeDocument/2006/relationships/hyperlink" Target="https://ui.adsabs.harvard.edu/abs/2012A%26A...548A..56R/abstract" TargetMode="External"/><Relationship Id="rId184" Type="http://schemas.openxmlformats.org/officeDocument/2006/relationships/hyperlink" Target="https://ui.adsabs.harvard.edu/abs/2021yCat.2367....0M/abstract" TargetMode="External"/><Relationship Id="rId189" Type="http://schemas.openxmlformats.org/officeDocument/2006/relationships/hyperlink" Target="https://ui.adsabs.harvard.edu/abs/2012A%26A...548A..56R/abstract" TargetMode="External"/><Relationship Id="rId188" Type="http://schemas.openxmlformats.org/officeDocument/2006/relationships/hyperlink" Target="https://ui.adsabs.harvard.edu/abs/2021yCat.2367....0M/abstract" TargetMode="External"/><Relationship Id="rId183" Type="http://schemas.openxmlformats.org/officeDocument/2006/relationships/hyperlink" Target="https://ui.adsabs.harvard.edu/abs/2008ApJ...681..594H/abstract" TargetMode="External"/><Relationship Id="rId182" Type="http://schemas.openxmlformats.org/officeDocument/2006/relationships/hyperlink" Target="https://ui.adsabs.harvard.edu/abs/2008ApJ...681..594H/abstract" TargetMode="External"/><Relationship Id="rId181" Type="http://schemas.openxmlformats.org/officeDocument/2006/relationships/hyperlink" Target="https://ui.adsabs.harvard.edu/abs/2012A%26A...548A..56R/abstract" TargetMode="External"/><Relationship Id="rId180" Type="http://schemas.openxmlformats.org/officeDocument/2006/relationships/hyperlink" Target="https://ui.adsabs.harvard.edu/abs/2021yCat.2367....0M/abstract" TargetMode="External"/><Relationship Id="rId176" Type="http://schemas.openxmlformats.org/officeDocument/2006/relationships/hyperlink" Target="https://ui.adsabs.harvard.edu/abs/2008ApJ...681..594H/abstract" TargetMode="External"/><Relationship Id="rId175" Type="http://schemas.openxmlformats.org/officeDocument/2006/relationships/hyperlink" Target="https://ui.adsabs.harvard.edu/abs/2008ApJ...681..594H/abstract" TargetMode="External"/><Relationship Id="rId174" Type="http://schemas.openxmlformats.org/officeDocument/2006/relationships/hyperlink" Target="https://ui.adsabs.harvard.edu/abs/2008ApJ...681..594H/abstract" TargetMode="External"/><Relationship Id="rId173" Type="http://schemas.openxmlformats.org/officeDocument/2006/relationships/hyperlink" Target="https://ui.adsabs.harvard.edu/abs/2008ApJ...681..594H/abstract" TargetMode="External"/><Relationship Id="rId179" Type="http://schemas.openxmlformats.org/officeDocument/2006/relationships/hyperlink" Target="https://ui.adsabs.harvard.edu/abs/2008ApJ...681..594H/abstract" TargetMode="External"/><Relationship Id="rId178" Type="http://schemas.openxmlformats.org/officeDocument/2006/relationships/hyperlink" Target="https://ui.adsabs.harvard.edu/abs/2008ApJ...681..594H/abstract" TargetMode="External"/><Relationship Id="rId177" Type="http://schemas.openxmlformats.org/officeDocument/2006/relationships/hyperlink" Target="https://ui.adsabs.harvard.edu/abs/2008ApJ...681..594H/abstract" TargetMode="External"/><Relationship Id="rId198" Type="http://schemas.openxmlformats.org/officeDocument/2006/relationships/hyperlink" Target="https://ui.adsabs.harvard.edu/abs/2021yCat.2367....0M/abstract" TargetMode="External"/><Relationship Id="rId197" Type="http://schemas.openxmlformats.org/officeDocument/2006/relationships/hyperlink" Target="https://iopscience.iop.org/article/10.1088/0004-637X/696/2/1589/pdf" TargetMode="External"/><Relationship Id="rId196" Type="http://schemas.openxmlformats.org/officeDocument/2006/relationships/hyperlink" Target="https://iopscience.iop.org/article/10.1088/0004-637X/696/2/1589/pdf" TargetMode="External"/><Relationship Id="rId195" Type="http://schemas.openxmlformats.org/officeDocument/2006/relationships/hyperlink" Target="https://ui.adsabs.harvard.edu/abs/1998ApJ...492..323G/abstract" TargetMode="External"/><Relationship Id="rId199" Type="http://schemas.openxmlformats.org/officeDocument/2006/relationships/hyperlink" Target="https://ui.adsabs.harvard.edu/abs/2012A%26A...548A..56R/abstract" TargetMode="External"/><Relationship Id="rId150" Type="http://schemas.openxmlformats.org/officeDocument/2006/relationships/hyperlink" Target="https://iopscience.iop.org/article/10.1088/0004-637X/696/2/1589/pdf" TargetMode="External"/><Relationship Id="rId392" Type="http://schemas.openxmlformats.org/officeDocument/2006/relationships/hyperlink" Target="https://ui.adsabs.harvard.edu/abs/2017A%26A...600A..20A/abstract" TargetMode="External"/><Relationship Id="rId391" Type="http://schemas.openxmlformats.org/officeDocument/2006/relationships/hyperlink" Target="https://ui.adsabs.harvard.edu/abs/2017A%26A...600A..20A/abstract" TargetMode="External"/><Relationship Id="rId390" Type="http://schemas.openxmlformats.org/officeDocument/2006/relationships/hyperlink" Target="https://ui.adsabs.harvard.edu/abs/2017A%26A...600A..20A/abstract" TargetMode="External"/><Relationship Id="rId1" Type="http://schemas.openxmlformats.org/officeDocument/2006/relationships/hyperlink" Target="https://ui.adsabs.harvard.edu/abs/2006A%26A...452..245N/abstract" TargetMode="External"/><Relationship Id="rId2" Type="http://schemas.openxmlformats.org/officeDocument/2006/relationships/hyperlink" Target="https://ui.adsabs.harvard.edu/abs/2006A%26A...452..245N/abstract" TargetMode="External"/><Relationship Id="rId3" Type="http://schemas.openxmlformats.org/officeDocument/2006/relationships/hyperlink" Target="https://ui.adsabs.harvard.edu/abs/2006A%26A...452..245N/abstract" TargetMode="External"/><Relationship Id="rId149" Type="http://schemas.openxmlformats.org/officeDocument/2006/relationships/hyperlink" Target="https://iopscience.iop.org/article/10.1088/0004-637X/696/2/1589/pdf" TargetMode="External"/><Relationship Id="rId4" Type="http://schemas.openxmlformats.org/officeDocument/2006/relationships/hyperlink" Target="https://ui.adsabs.harvard.edu/abs/2006A%26A...452..245N/abstract" TargetMode="External"/><Relationship Id="rId148" Type="http://schemas.openxmlformats.org/officeDocument/2006/relationships/hyperlink" Target="https://iopscience.iop.org/article/10.1088/0004-637X/696/2/1589/pdf" TargetMode="External"/><Relationship Id="rId1090" Type="http://schemas.openxmlformats.org/officeDocument/2006/relationships/hyperlink" Target="https://ui.adsabs.harvard.edu/abs/2006A%26A...452..245N/abstract" TargetMode="External"/><Relationship Id="rId1091" Type="http://schemas.openxmlformats.org/officeDocument/2006/relationships/hyperlink" Target="https://ui.adsabs.harvard.edu/abs/2006A%26A...452..245N/abstract" TargetMode="External"/><Relationship Id="rId1092" Type="http://schemas.openxmlformats.org/officeDocument/2006/relationships/hyperlink" Target="https://ui.adsabs.harvard.edu/abs/2006A%26A...452..245N/abstract" TargetMode="External"/><Relationship Id="rId1093" Type="http://schemas.openxmlformats.org/officeDocument/2006/relationships/hyperlink" Target="https://ui.adsabs.harvard.edu/abs/2006A%26A...452..245N/abstract" TargetMode="External"/><Relationship Id="rId1094" Type="http://schemas.openxmlformats.org/officeDocument/2006/relationships/hyperlink" Target="https://ui.adsabs.harvard.edu/abs/2006A%26A...452..245N/abstract" TargetMode="External"/><Relationship Id="rId9" Type="http://schemas.openxmlformats.org/officeDocument/2006/relationships/hyperlink" Target="https://ui.adsabs.harvard.edu/abs/2006A%26A...452..245N/abstract" TargetMode="External"/><Relationship Id="rId143" Type="http://schemas.openxmlformats.org/officeDocument/2006/relationships/hyperlink" Target="https://ui.adsabs.harvard.edu/abs/2008ApJ...681..594H/abstract" TargetMode="External"/><Relationship Id="rId385" Type="http://schemas.openxmlformats.org/officeDocument/2006/relationships/hyperlink" Target="https://ui.adsabs.harvard.edu/abs/2017A%26A...600A..20A/abstract" TargetMode="External"/><Relationship Id="rId1095" Type="http://schemas.openxmlformats.org/officeDocument/2006/relationships/hyperlink" Target="https://ui.adsabs.harvard.edu/abs/2006A%26A...452..245N/abstract" TargetMode="External"/><Relationship Id="rId142" Type="http://schemas.openxmlformats.org/officeDocument/2006/relationships/hyperlink" Target="https://ui.adsabs.harvard.edu/abs/2008ApJ...681..594H/abstract" TargetMode="External"/><Relationship Id="rId384" Type="http://schemas.openxmlformats.org/officeDocument/2006/relationships/hyperlink" Target="https://ui.adsabs.harvard.edu/abs/2017A%26A...600A..20A/abstract" TargetMode="External"/><Relationship Id="rId1096" Type="http://schemas.openxmlformats.org/officeDocument/2006/relationships/hyperlink" Target="https://ui.adsabs.harvard.edu/abs/2006A%26A...452..245N/abstract" TargetMode="External"/><Relationship Id="rId141" Type="http://schemas.openxmlformats.org/officeDocument/2006/relationships/hyperlink" Target="https://ui.adsabs.harvard.edu/abs/2008ApJ...681..594H/abstract" TargetMode="External"/><Relationship Id="rId383" Type="http://schemas.openxmlformats.org/officeDocument/2006/relationships/hyperlink" Target="https://ui.adsabs.harvard.edu/abs/2017A%26A...600A..20A/abstract" TargetMode="External"/><Relationship Id="rId1097" Type="http://schemas.openxmlformats.org/officeDocument/2006/relationships/hyperlink" Target="https://ui.adsabs.harvard.edu/abs/2006A%26A...452..245N/abstract" TargetMode="External"/><Relationship Id="rId140" Type="http://schemas.openxmlformats.org/officeDocument/2006/relationships/hyperlink" Target="https://ui.adsabs.harvard.edu/abs/2008ApJ...681..594H/abstract" TargetMode="External"/><Relationship Id="rId382" Type="http://schemas.openxmlformats.org/officeDocument/2006/relationships/hyperlink" Target="https://ui.adsabs.harvard.edu/abs/2017A%26A...600A..20A/abstract" TargetMode="External"/><Relationship Id="rId1098" Type="http://schemas.openxmlformats.org/officeDocument/2006/relationships/hyperlink" Target="https://ui.adsabs.harvard.edu/abs/2006A%26A...452..245N/abstract" TargetMode="External"/><Relationship Id="rId5" Type="http://schemas.openxmlformats.org/officeDocument/2006/relationships/hyperlink" Target="https://ui.adsabs.harvard.edu/abs/2006A%26A...452..245N/abstract" TargetMode="External"/><Relationship Id="rId147" Type="http://schemas.openxmlformats.org/officeDocument/2006/relationships/hyperlink" Target="https://iopscience.iop.org/article/10.1088/0004-637X/696/2/1589/pdf" TargetMode="External"/><Relationship Id="rId389" Type="http://schemas.openxmlformats.org/officeDocument/2006/relationships/hyperlink" Target="https://ui.adsabs.harvard.edu/abs/2017A%26A...600A..20A/abstract" TargetMode="External"/><Relationship Id="rId1099" Type="http://schemas.openxmlformats.org/officeDocument/2006/relationships/hyperlink" Target="https://ui.adsabs.harvard.edu/abs/2006A%26A...452..245N/abstract" TargetMode="External"/><Relationship Id="rId6" Type="http://schemas.openxmlformats.org/officeDocument/2006/relationships/hyperlink" Target="https://ui.adsabs.harvard.edu/abs/2006A%26A...452..245N/abstract" TargetMode="External"/><Relationship Id="rId146" Type="http://schemas.openxmlformats.org/officeDocument/2006/relationships/hyperlink" Target="https://iopscience.iop.org/article/10.1088/0004-637X/696/2/1589/pdf" TargetMode="External"/><Relationship Id="rId388" Type="http://schemas.openxmlformats.org/officeDocument/2006/relationships/hyperlink" Target="https://ui.adsabs.harvard.edu/abs/2017A%26A...600A..20A/abstract" TargetMode="External"/><Relationship Id="rId7" Type="http://schemas.openxmlformats.org/officeDocument/2006/relationships/hyperlink" Target="https://ui.adsabs.harvard.edu/abs/2006A%26A...452..245N/abstract" TargetMode="External"/><Relationship Id="rId145" Type="http://schemas.openxmlformats.org/officeDocument/2006/relationships/hyperlink" Target="https://iopscience.iop.org/article/10.1088/0004-637X/696/2/1589/pdf" TargetMode="External"/><Relationship Id="rId387" Type="http://schemas.openxmlformats.org/officeDocument/2006/relationships/hyperlink" Target="https://ui.adsabs.harvard.edu/abs/2017A%26A...600A..20A/abstract" TargetMode="External"/><Relationship Id="rId8" Type="http://schemas.openxmlformats.org/officeDocument/2006/relationships/hyperlink" Target="https://ui.adsabs.harvard.edu/abs/2006A%26A...452..245N/abstract" TargetMode="External"/><Relationship Id="rId144" Type="http://schemas.openxmlformats.org/officeDocument/2006/relationships/hyperlink" Target="https://ui.adsabs.harvard.edu/abs/2008ApJ...681..594H/abstract" TargetMode="External"/><Relationship Id="rId386" Type="http://schemas.openxmlformats.org/officeDocument/2006/relationships/hyperlink" Target="https://ui.adsabs.harvard.edu/abs/2017A%26A...600A..20A/abstract" TargetMode="External"/><Relationship Id="rId381" Type="http://schemas.openxmlformats.org/officeDocument/2006/relationships/hyperlink" Target="https://ui.adsabs.harvard.edu/abs/2017A%26A...600A..20A/abstract" TargetMode="External"/><Relationship Id="rId380" Type="http://schemas.openxmlformats.org/officeDocument/2006/relationships/hyperlink" Target="https://ui.adsabs.harvard.edu/abs/2017A%26A...600A..20A/abstract" TargetMode="External"/><Relationship Id="rId139" Type="http://schemas.openxmlformats.org/officeDocument/2006/relationships/hyperlink" Target="https://ui.adsabs.harvard.edu/abs/2008ApJ...681..594H/abstract" TargetMode="External"/><Relationship Id="rId138" Type="http://schemas.openxmlformats.org/officeDocument/2006/relationships/hyperlink" Target="https://iopscience.iop.org/article/10.1088/0004-637X/696/2/1589/pdf" TargetMode="External"/><Relationship Id="rId137" Type="http://schemas.openxmlformats.org/officeDocument/2006/relationships/hyperlink" Target="https://iopscience.iop.org/article/10.1088/0004-637X/696/2/1589/pdf" TargetMode="External"/><Relationship Id="rId379" Type="http://schemas.openxmlformats.org/officeDocument/2006/relationships/hyperlink" Target="https://ui.adsabs.harvard.edu/abs/2017A%26A...600A..20A/abstract" TargetMode="External"/><Relationship Id="rId1080" Type="http://schemas.openxmlformats.org/officeDocument/2006/relationships/hyperlink" Target="https://ui.adsabs.harvard.edu/abs/2006A%26A...452..245N/abstract" TargetMode="External"/><Relationship Id="rId1081" Type="http://schemas.openxmlformats.org/officeDocument/2006/relationships/hyperlink" Target="https://ui.adsabs.harvard.edu/abs/2006A%26A...452..245N/abstract" TargetMode="External"/><Relationship Id="rId1082" Type="http://schemas.openxmlformats.org/officeDocument/2006/relationships/hyperlink" Target="https://ui.adsabs.harvard.edu/abs/2006A%26A...452..245N/abstract" TargetMode="External"/><Relationship Id="rId1083" Type="http://schemas.openxmlformats.org/officeDocument/2006/relationships/hyperlink" Target="https://ui.adsabs.harvard.edu/abs/2006A%26A...452..245N/abstract" TargetMode="External"/><Relationship Id="rId132" Type="http://schemas.openxmlformats.org/officeDocument/2006/relationships/hyperlink" Target="http://vizier.u-strasbg.fr/viz-bin/VizieR-5?-ref=VIZ60b913edf97f9&amp;-out.add=.&amp;-source=J/ApJ/792/119/table12&amp;recno=51" TargetMode="External"/><Relationship Id="rId374" Type="http://schemas.openxmlformats.org/officeDocument/2006/relationships/hyperlink" Target="https://ui.adsabs.harvard.edu/abs/2017A%26A...600A..20A/abstract" TargetMode="External"/><Relationship Id="rId1084" Type="http://schemas.openxmlformats.org/officeDocument/2006/relationships/hyperlink" Target="https://ui.adsabs.harvard.edu/abs/2006A%26A...452..245N/abstract" TargetMode="External"/><Relationship Id="rId131" Type="http://schemas.openxmlformats.org/officeDocument/2006/relationships/hyperlink" Target="https://iopscience.iop.org/article/10.1088/0004-637X/696/2/1589/pdf" TargetMode="External"/><Relationship Id="rId373" Type="http://schemas.openxmlformats.org/officeDocument/2006/relationships/hyperlink" Target="https://ui.adsabs.harvard.edu/abs/2017A%26A...600A..20A/abstract" TargetMode="External"/><Relationship Id="rId1085" Type="http://schemas.openxmlformats.org/officeDocument/2006/relationships/hyperlink" Target="https://ui.adsabs.harvard.edu/abs/2006A%26A...460..547G/abstract" TargetMode="External"/><Relationship Id="rId130" Type="http://schemas.openxmlformats.org/officeDocument/2006/relationships/hyperlink" Target="https://iopscience.iop.org/article/10.1088/0004-637X/696/2/1589/pdf" TargetMode="External"/><Relationship Id="rId372" Type="http://schemas.openxmlformats.org/officeDocument/2006/relationships/hyperlink" Target="https://ui.adsabs.harvard.edu/abs/2017A%26A...600A..20A/abstract" TargetMode="External"/><Relationship Id="rId1086" Type="http://schemas.openxmlformats.org/officeDocument/2006/relationships/hyperlink" Target="https://ui.adsabs.harvard.edu/abs/2006A%26A...460..547G/abstract" TargetMode="External"/><Relationship Id="rId371" Type="http://schemas.openxmlformats.org/officeDocument/2006/relationships/hyperlink" Target="https://ui.adsabs.harvard.edu/abs/2017A%26A...600A..20A/abstract" TargetMode="External"/><Relationship Id="rId1087" Type="http://schemas.openxmlformats.org/officeDocument/2006/relationships/hyperlink" Target="https://ui.adsabs.harvard.edu/abs/2006A%26A...452..245N/abstract" TargetMode="External"/><Relationship Id="rId136" Type="http://schemas.openxmlformats.org/officeDocument/2006/relationships/hyperlink" Target="https://iopscience.iop.org/article/10.1088/0004-637X/696/2/1589/pdf" TargetMode="External"/><Relationship Id="rId378" Type="http://schemas.openxmlformats.org/officeDocument/2006/relationships/hyperlink" Target="https://ui.adsabs.harvard.edu/abs/2017A%26A...600A..20A/abstract" TargetMode="External"/><Relationship Id="rId1088" Type="http://schemas.openxmlformats.org/officeDocument/2006/relationships/hyperlink" Target="https://ui.adsabs.harvard.edu/abs/2006A%26A...452..245N/abstract" TargetMode="External"/><Relationship Id="rId135" Type="http://schemas.openxmlformats.org/officeDocument/2006/relationships/hyperlink" Target="https://iopscience.iop.org/article/10.1088/0004-637X/696/2/1589/pdf" TargetMode="External"/><Relationship Id="rId377" Type="http://schemas.openxmlformats.org/officeDocument/2006/relationships/hyperlink" Target="https://ui.adsabs.harvard.edu/abs/2017A%26A...600A..20A/abstract" TargetMode="External"/><Relationship Id="rId1089" Type="http://schemas.openxmlformats.org/officeDocument/2006/relationships/hyperlink" Target="https://ui.adsabs.harvard.edu/abs/2006A%26A...452..245N/abstract" TargetMode="External"/><Relationship Id="rId134" Type="http://schemas.openxmlformats.org/officeDocument/2006/relationships/hyperlink" Target="https://ui.adsabs.harvard.edu/abs/2014ApJ...783L..17Z/abstract" TargetMode="External"/><Relationship Id="rId376" Type="http://schemas.openxmlformats.org/officeDocument/2006/relationships/hyperlink" Target="https://ui.adsabs.harvard.edu/abs/2017A%26A...600A..20A/abstract" TargetMode="External"/><Relationship Id="rId133" Type="http://schemas.openxmlformats.org/officeDocument/2006/relationships/hyperlink" Target="https://ui.adsabs.harvard.edu/abs/2014ApJ...786...97H/abstract" TargetMode="External"/><Relationship Id="rId375" Type="http://schemas.openxmlformats.org/officeDocument/2006/relationships/hyperlink" Target="https://ui.adsabs.harvard.edu/abs/2017A%26A...600A..20A/abstract" TargetMode="External"/><Relationship Id="rId172" Type="http://schemas.openxmlformats.org/officeDocument/2006/relationships/hyperlink" Target="https://ui.adsabs.harvard.edu/abs/2008ApJ...681..594H/abstract" TargetMode="External"/><Relationship Id="rId171" Type="http://schemas.openxmlformats.org/officeDocument/2006/relationships/hyperlink" Target="https://ui.adsabs.harvard.edu/abs/2008ApJ...681..594H/abstract" TargetMode="External"/><Relationship Id="rId170" Type="http://schemas.openxmlformats.org/officeDocument/2006/relationships/hyperlink" Target="https://ui.adsabs.harvard.edu/abs/2008ApJ...681..594H/abstract" TargetMode="External"/><Relationship Id="rId165" Type="http://schemas.openxmlformats.org/officeDocument/2006/relationships/hyperlink" Target="https://iopscience.iop.org/article/10.1086/300997/pdf" TargetMode="External"/><Relationship Id="rId164" Type="http://schemas.openxmlformats.org/officeDocument/2006/relationships/hyperlink" Target="https://ui.adsabs.harvard.edu/abs/2008ApJ...681..594H/abstract" TargetMode="External"/><Relationship Id="rId163" Type="http://schemas.openxmlformats.org/officeDocument/2006/relationships/hyperlink" Target="https://ui.adsabs.harvard.edu/abs/2008ApJ...681..594H/abstract" TargetMode="External"/><Relationship Id="rId162" Type="http://schemas.openxmlformats.org/officeDocument/2006/relationships/hyperlink" Target="https://ui.adsabs.harvard.edu/abs/2008ApJ...681..594H/abstract" TargetMode="External"/><Relationship Id="rId169" Type="http://schemas.openxmlformats.org/officeDocument/2006/relationships/hyperlink" Target="https://ui.adsabs.harvard.edu/abs/2012A%26A...548A..56R/abstract" TargetMode="External"/><Relationship Id="rId168" Type="http://schemas.openxmlformats.org/officeDocument/2006/relationships/hyperlink" Target="https://ui.adsabs.harvard.edu/abs/2021yCat.2367....0M/abstract" TargetMode="External"/><Relationship Id="rId167" Type="http://schemas.openxmlformats.org/officeDocument/2006/relationships/hyperlink" Target="https://ui.adsabs.harvard.edu/abs/2008ApJ...681..594H/abstract" TargetMode="External"/><Relationship Id="rId166" Type="http://schemas.openxmlformats.org/officeDocument/2006/relationships/hyperlink" Target="https://ui.adsabs.harvard.edu/abs/2008ApJ...681..594H/abstract" TargetMode="External"/><Relationship Id="rId161" Type="http://schemas.openxmlformats.org/officeDocument/2006/relationships/hyperlink" Target="https://ui.adsabs.harvard.edu/abs/2008ApJ...681..594H/abstract" TargetMode="External"/><Relationship Id="rId160" Type="http://schemas.openxmlformats.org/officeDocument/2006/relationships/hyperlink" Target="https://ui.adsabs.harvard.edu/abs/2008ApJ...681..594H/abstract" TargetMode="External"/><Relationship Id="rId159" Type="http://schemas.openxmlformats.org/officeDocument/2006/relationships/hyperlink" Target="https://ui.adsabs.harvard.edu/abs/2008ApJ...681..594H/abstract" TargetMode="External"/><Relationship Id="rId154" Type="http://schemas.openxmlformats.org/officeDocument/2006/relationships/hyperlink" Target="https://ui.adsabs.harvard.edu/abs/2012A%26A...548A..56R/abstract" TargetMode="External"/><Relationship Id="rId396" Type="http://schemas.openxmlformats.org/officeDocument/2006/relationships/hyperlink" Target="https://ui.adsabs.harvard.edu/abs/2017A%26A...600A..20A/abstract" TargetMode="External"/><Relationship Id="rId153" Type="http://schemas.openxmlformats.org/officeDocument/2006/relationships/hyperlink" Target="https://ui.adsabs.harvard.edu/abs/2021yCat.2367....0M/abstract" TargetMode="External"/><Relationship Id="rId395" Type="http://schemas.openxmlformats.org/officeDocument/2006/relationships/hyperlink" Target="https://ui.adsabs.harvard.edu/abs/2017A%26A...600A..20A/abstract" TargetMode="External"/><Relationship Id="rId152" Type="http://schemas.openxmlformats.org/officeDocument/2006/relationships/hyperlink" Target="https://ui.adsabs.harvard.edu/abs/2008ApJ...681..594H/abstract" TargetMode="External"/><Relationship Id="rId394" Type="http://schemas.openxmlformats.org/officeDocument/2006/relationships/hyperlink" Target="https://ui.adsabs.harvard.edu/abs/2017A%26A...600A..20A/abstract" TargetMode="External"/><Relationship Id="rId151" Type="http://schemas.openxmlformats.org/officeDocument/2006/relationships/hyperlink" Target="https://ui.adsabs.harvard.edu/abs/2008ApJ...681..594H/abstract" TargetMode="External"/><Relationship Id="rId393" Type="http://schemas.openxmlformats.org/officeDocument/2006/relationships/hyperlink" Target="https://ui.adsabs.harvard.edu/abs/2017A%26A...600A..20A/abstract" TargetMode="External"/><Relationship Id="rId158" Type="http://schemas.openxmlformats.org/officeDocument/2006/relationships/hyperlink" Target="https://ui.adsabs.harvard.edu/abs/2008ApJ...681..594H/abstract" TargetMode="External"/><Relationship Id="rId157" Type="http://schemas.openxmlformats.org/officeDocument/2006/relationships/hyperlink" Target="https://ui.adsabs.harvard.edu/abs/2008ApJ...681..594H/abstract" TargetMode="External"/><Relationship Id="rId399" Type="http://schemas.openxmlformats.org/officeDocument/2006/relationships/hyperlink" Target="https://ui.adsabs.harvard.edu/abs/2017A%26A...600A..20A/abstract" TargetMode="External"/><Relationship Id="rId156" Type="http://schemas.openxmlformats.org/officeDocument/2006/relationships/hyperlink" Target="https://iopscience.iop.org/article/10.1088/0004-637X/696/2/1589/pdf" TargetMode="External"/><Relationship Id="rId398" Type="http://schemas.openxmlformats.org/officeDocument/2006/relationships/hyperlink" Target="https://ui.adsabs.harvard.edu/abs/2017A%26A...600A..20A/abstract" TargetMode="External"/><Relationship Id="rId155" Type="http://schemas.openxmlformats.org/officeDocument/2006/relationships/hyperlink" Target="https://iopscience.iop.org/article/10.1088/0004-637X/696/2/1589/pdf" TargetMode="External"/><Relationship Id="rId397" Type="http://schemas.openxmlformats.org/officeDocument/2006/relationships/hyperlink" Target="https://ui.adsabs.harvard.edu/abs/2017A%26A...600A..20A/abstract" TargetMode="External"/><Relationship Id="rId808" Type="http://schemas.openxmlformats.org/officeDocument/2006/relationships/hyperlink" Target="https://ui.adsabs.harvard.edu/abs/2015MNRAS.453.1026K/abstract" TargetMode="External"/><Relationship Id="rId807" Type="http://schemas.openxmlformats.org/officeDocument/2006/relationships/hyperlink" Target="https://ui.adsabs.harvard.edu/abs/2015MNRAS.453.1026K/abstract" TargetMode="External"/><Relationship Id="rId806" Type="http://schemas.openxmlformats.org/officeDocument/2006/relationships/hyperlink" Target="https://ui.adsabs.harvard.edu/abs/2015MNRAS.453.1026K/abstract" TargetMode="External"/><Relationship Id="rId805" Type="http://schemas.openxmlformats.org/officeDocument/2006/relationships/hyperlink" Target="https://ui.adsabs.harvard.edu/abs/2015MNRAS.453.1026K/abstract" TargetMode="External"/><Relationship Id="rId809" Type="http://schemas.openxmlformats.org/officeDocument/2006/relationships/hyperlink" Target="https://ui.adsabs.harvard.edu/abs/2015MNRAS.453.1026K/abstract" TargetMode="External"/><Relationship Id="rId800" Type="http://schemas.openxmlformats.org/officeDocument/2006/relationships/hyperlink" Target="https://ui.adsabs.harvard.edu/abs/2015MNRAS.453.1026K/abstract" TargetMode="External"/><Relationship Id="rId804" Type="http://schemas.openxmlformats.org/officeDocument/2006/relationships/hyperlink" Target="https://ui.adsabs.harvard.edu/abs/2015MNRAS.453.1026K/abstract" TargetMode="External"/><Relationship Id="rId803" Type="http://schemas.openxmlformats.org/officeDocument/2006/relationships/hyperlink" Target="https://ui.adsabs.harvard.edu/abs/2015MNRAS.453.1026K/abstract" TargetMode="External"/><Relationship Id="rId802" Type="http://schemas.openxmlformats.org/officeDocument/2006/relationships/hyperlink" Target="https://ui.adsabs.harvard.edu/abs/2015MNRAS.453.1026K/abstract" TargetMode="External"/><Relationship Id="rId801" Type="http://schemas.openxmlformats.org/officeDocument/2006/relationships/hyperlink" Target="https://ui.adsabs.harvard.edu/abs/2015MNRAS.453.1026K/abstract" TargetMode="External"/><Relationship Id="rId40" Type="http://schemas.openxmlformats.org/officeDocument/2006/relationships/hyperlink" Target="https://ui.adsabs.harvard.edu/abs/2005ApJ...626..498M/abstract" TargetMode="External"/><Relationship Id="rId1334" Type="http://schemas.openxmlformats.org/officeDocument/2006/relationships/hyperlink" Target="https://ui.adsabs.harvard.edu/abs/2021yCat.2367....0M/abstract" TargetMode="External"/><Relationship Id="rId1335" Type="http://schemas.openxmlformats.org/officeDocument/2006/relationships/hyperlink" Target="https://ui.adsabs.harvard.edu/abs/2011A%26A...525A..47R/abstract" TargetMode="External"/><Relationship Id="rId42" Type="http://schemas.openxmlformats.org/officeDocument/2006/relationships/hyperlink" Target="https://ui.adsabs.harvard.edu/abs/2005ApJ...626..498M/abstract" TargetMode="External"/><Relationship Id="rId1336" Type="http://schemas.openxmlformats.org/officeDocument/2006/relationships/hyperlink" Target="https://ui.adsabs.harvard.edu/abs/2021yCat.2367....0M/abstract" TargetMode="External"/><Relationship Id="rId41" Type="http://schemas.openxmlformats.org/officeDocument/2006/relationships/hyperlink" Target="https://ui.adsabs.harvard.edu/abs/2008ApJ...681..594H/abstract" TargetMode="External"/><Relationship Id="rId1337" Type="http://schemas.openxmlformats.org/officeDocument/2006/relationships/hyperlink" Target="https://ui.adsabs.harvard.edu/abs/2011A%26A...525A..47R/abstract" TargetMode="External"/><Relationship Id="rId44" Type="http://schemas.openxmlformats.org/officeDocument/2006/relationships/hyperlink" Target="https://ui.adsabs.harvard.edu/abs/2005ApJ...626..498M/abstract" TargetMode="External"/><Relationship Id="rId1338" Type="http://schemas.openxmlformats.org/officeDocument/2006/relationships/hyperlink" Target="https://ui.adsabs.harvard.edu/abs/2021yCat.2367....0M/abstract" TargetMode="External"/><Relationship Id="rId43" Type="http://schemas.openxmlformats.org/officeDocument/2006/relationships/hyperlink" Target="https://ui.adsabs.harvard.edu/abs/2008ApJ...681..594H/abstract" TargetMode="External"/><Relationship Id="rId1339" Type="http://schemas.openxmlformats.org/officeDocument/2006/relationships/hyperlink" Target="https://ui.adsabs.harvard.edu/abs/2011A%26A...525A..47R/abstract" TargetMode="External"/><Relationship Id="rId46" Type="http://schemas.openxmlformats.org/officeDocument/2006/relationships/hyperlink" Target="https://ui.adsabs.harvard.edu/abs/2005ApJ...626..498M/abstract" TargetMode="External"/><Relationship Id="rId45" Type="http://schemas.openxmlformats.org/officeDocument/2006/relationships/hyperlink" Target="https://ui.adsabs.harvard.edu/abs/2008ApJ...681..594H/abstract" TargetMode="External"/><Relationship Id="rId509" Type="http://schemas.openxmlformats.org/officeDocument/2006/relationships/hyperlink" Target="https://ui.adsabs.harvard.edu/abs/2017AJ....153..188F/abstract" TargetMode="External"/><Relationship Id="rId508" Type="http://schemas.openxmlformats.org/officeDocument/2006/relationships/hyperlink" Target="https://ui.adsabs.harvard.edu/abs/2005ApJ...625..906M/abstract" TargetMode="External"/><Relationship Id="rId503" Type="http://schemas.openxmlformats.org/officeDocument/2006/relationships/hyperlink" Target="https://ui.adsabs.harvard.edu/abs/2003ApJ...592..266M/abstract" TargetMode="External"/><Relationship Id="rId745" Type="http://schemas.openxmlformats.org/officeDocument/2006/relationships/hyperlink" Target="https://ui.adsabs.harvard.edu/abs/2015MNRAS.453.1026K/abstract" TargetMode="External"/><Relationship Id="rId987" Type="http://schemas.openxmlformats.org/officeDocument/2006/relationships/hyperlink" Target="https://ui.adsabs.harvard.edu/abs/2006A%26A...452..245N/abstract" TargetMode="External"/><Relationship Id="rId502" Type="http://schemas.openxmlformats.org/officeDocument/2006/relationships/hyperlink" Target="https://ui.adsabs.harvard.edu/abs/2003ApJ...592..266M/abstract" TargetMode="External"/><Relationship Id="rId744" Type="http://schemas.openxmlformats.org/officeDocument/2006/relationships/hyperlink" Target="https://ui.adsabs.harvard.edu/abs/2015MNRAS.453.1026K/abstract" TargetMode="External"/><Relationship Id="rId986" Type="http://schemas.openxmlformats.org/officeDocument/2006/relationships/hyperlink" Target="https://ui.adsabs.harvard.edu/abs/2006A%26A...452..245N/abstract" TargetMode="External"/><Relationship Id="rId501" Type="http://schemas.openxmlformats.org/officeDocument/2006/relationships/hyperlink" Target="https://ui.adsabs.harvard.edu/abs/2003ApJ...592..266M/abstract" TargetMode="External"/><Relationship Id="rId743" Type="http://schemas.openxmlformats.org/officeDocument/2006/relationships/hyperlink" Target="https://ui.adsabs.harvard.edu/abs/2015MNRAS.453.1026K/abstract" TargetMode="External"/><Relationship Id="rId985" Type="http://schemas.openxmlformats.org/officeDocument/2006/relationships/hyperlink" Target="https://ui.adsabs.harvard.edu/abs/2006A%26A...452..245N/abstract" TargetMode="External"/><Relationship Id="rId500" Type="http://schemas.openxmlformats.org/officeDocument/2006/relationships/hyperlink" Target="https://ui.adsabs.harvard.edu/abs/2005ApJ...625..906M/abstract" TargetMode="External"/><Relationship Id="rId742" Type="http://schemas.openxmlformats.org/officeDocument/2006/relationships/hyperlink" Target="https://ui.adsabs.harvard.edu/abs/2015MNRAS.453.1026K/abstract" TargetMode="External"/><Relationship Id="rId984" Type="http://schemas.openxmlformats.org/officeDocument/2006/relationships/hyperlink" Target="https://ui.adsabs.harvard.edu/abs/2006A%26A...452..245N/abstract" TargetMode="External"/><Relationship Id="rId507" Type="http://schemas.openxmlformats.org/officeDocument/2006/relationships/hyperlink" Target="https://ui.adsabs.harvard.edu/abs/2007ApJS..173..104L/abstract" TargetMode="External"/><Relationship Id="rId749" Type="http://schemas.openxmlformats.org/officeDocument/2006/relationships/hyperlink" Target="https://ui.adsabs.harvard.edu/abs/2015MNRAS.453.1026K/abstract" TargetMode="External"/><Relationship Id="rId506" Type="http://schemas.openxmlformats.org/officeDocument/2006/relationships/hyperlink" Target="https://ui.adsabs.harvard.edu/abs/2005ApJ...625..906M/abstract" TargetMode="External"/><Relationship Id="rId748" Type="http://schemas.openxmlformats.org/officeDocument/2006/relationships/hyperlink" Target="https://ui.adsabs.harvard.edu/abs/2015MNRAS.453.1026K/abstract" TargetMode="External"/><Relationship Id="rId505" Type="http://schemas.openxmlformats.org/officeDocument/2006/relationships/hyperlink" Target="https://ui.adsabs.harvard.edu/abs/2018ApJ...858...41Z/abstract" TargetMode="External"/><Relationship Id="rId747" Type="http://schemas.openxmlformats.org/officeDocument/2006/relationships/hyperlink" Target="https://ui.adsabs.harvard.edu/abs/2015MNRAS.453.1026K/abstract" TargetMode="External"/><Relationship Id="rId989" Type="http://schemas.openxmlformats.org/officeDocument/2006/relationships/hyperlink" Target="https://ui.adsabs.harvard.edu/abs/2006A%26A...452..245N/abstract" TargetMode="External"/><Relationship Id="rId504" Type="http://schemas.openxmlformats.org/officeDocument/2006/relationships/hyperlink" Target="https://ui.adsabs.harvard.edu/abs/2003ApJ...592..266M/abstract" TargetMode="External"/><Relationship Id="rId746" Type="http://schemas.openxmlformats.org/officeDocument/2006/relationships/hyperlink" Target="https://ui.adsabs.harvard.edu/abs/2015MNRAS.453.1026K/abstract" TargetMode="External"/><Relationship Id="rId988" Type="http://schemas.openxmlformats.org/officeDocument/2006/relationships/hyperlink" Target="https://ui.adsabs.harvard.edu/abs/2006A%26A...452..245N/abstract" TargetMode="External"/><Relationship Id="rId48" Type="http://schemas.openxmlformats.org/officeDocument/2006/relationships/hyperlink" Target="https://ui.adsabs.harvard.edu/abs/2005ApJ...626..498M/abstract" TargetMode="External"/><Relationship Id="rId47" Type="http://schemas.openxmlformats.org/officeDocument/2006/relationships/hyperlink" Target="https://ui.adsabs.harvard.edu/abs/2008ApJ...681..594H/abstract" TargetMode="External"/><Relationship Id="rId49" Type="http://schemas.openxmlformats.org/officeDocument/2006/relationships/hyperlink" Target="https://ui.adsabs.harvard.edu/abs/2013AJ....145...66F/abstract" TargetMode="External"/><Relationship Id="rId741" Type="http://schemas.openxmlformats.org/officeDocument/2006/relationships/hyperlink" Target="https://ui.adsabs.harvard.edu/abs/2015MNRAS.453.1026K/abstract" TargetMode="External"/><Relationship Id="rId983" Type="http://schemas.openxmlformats.org/officeDocument/2006/relationships/hyperlink" Target="https://ui.adsabs.harvard.edu/abs/2006A%26A...452..245N/abstract" TargetMode="External"/><Relationship Id="rId1330" Type="http://schemas.openxmlformats.org/officeDocument/2006/relationships/hyperlink" Target="https://ui.adsabs.harvard.edu/abs/2015ApJ...801....4W/abstract" TargetMode="External"/><Relationship Id="rId740" Type="http://schemas.openxmlformats.org/officeDocument/2006/relationships/hyperlink" Target="https://ui.adsabs.harvard.edu/abs/2015MNRAS.453.1026K/abstract" TargetMode="External"/><Relationship Id="rId982" Type="http://schemas.openxmlformats.org/officeDocument/2006/relationships/hyperlink" Target="https://ui.adsabs.harvard.edu/abs/2006A%26A...452..245N/abstract" TargetMode="External"/><Relationship Id="rId1331" Type="http://schemas.openxmlformats.org/officeDocument/2006/relationships/hyperlink" Target="http://vizier.u-strasbg.fr/viz-bin/VizieR-5?-ref=VIZ60b913edf97f9&amp;-out.add=.&amp;-source=J/ApJ/792/119/table12&amp;recno=51" TargetMode="External"/><Relationship Id="rId981" Type="http://schemas.openxmlformats.org/officeDocument/2006/relationships/hyperlink" Target="https://ui.adsabs.harvard.edu/abs/2006A%26A...452..245N/abstract" TargetMode="External"/><Relationship Id="rId1332" Type="http://schemas.openxmlformats.org/officeDocument/2006/relationships/hyperlink" Target="https://ui.adsabs.harvard.edu/abs/2014ApJ...786...97H/abstract" TargetMode="External"/><Relationship Id="rId980" Type="http://schemas.openxmlformats.org/officeDocument/2006/relationships/hyperlink" Target="https://ui.adsabs.harvard.edu/abs/2006A%26A...452..245N/abstract" TargetMode="External"/><Relationship Id="rId1333" Type="http://schemas.openxmlformats.org/officeDocument/2006/relationships/hyperlink" Target="https://ui.adsabs.harvard.edu/abs/2017ApJ...836..223W/abstract" TargetMode="External"/><Relationship Id="rId1323" Type="http://schemas.openxmlformats.org/officeDocument/2006/relationships/hyperlink" Target="https://ui.adsabs.harvard.edu/abs/2013ApJ...769...21S/abstract" TargetMode="External"/><Relationship Id="rId1324" Type="http://schemas.openxmlformats.org/officeDocument/2006/relationships/hyperlink" Target="https://ui.adsabs.harvard.edu/abs/2013ApJ...769...21S/abstract" TargetMode="External"/><Relationship Id="rId31" Type="http://schemas.openxmlformats.org/officeDocument/2006/relationships/hyperlink" Target="https://ui.adsabs.harvard.edu/abs/2018ApJ...858...41Z/abstract" TargetMode="External"/><Relationship Id="rId1325" Type="http://schemas.openxmlformats.org/officeDocument/2006/relationships/hyperlink" Target="https://ui.adsabs.harvard.edu/abs/2013ApJ...769...21S/abstract" TargetMode="External"/><Relationship Id="rId30" Type="http://schemas.openxmlformats.org/officeDocument/2006/relationships/hyperlink" Target="https://ui.adsabs.harvard.edu/abs/2005ApJ...626..498M/abstract" TargetMode="External"/><Relationship Id="rId1326" Type="http://schemas.openxmlformats.org/officeDocument/2006/relationships/hyperlink" Target="https://ui.adsabs.harvard.edu/abs/2013ApJ...769...21S/abstract" TargetMode="External"/><Relationship Id="rId33" Type="http://schemas.openxmlformats.org/officeDocument/2006/relationships/hyperlink" Target="https://ui.adsabs.harvard.edu/abs/2018ApJ...858...41Z/abstract" TargetMode="External"/><Relationship Id="rId1327" Type="http://schemas.openxmlformats.org/officeDocument/2006/relationships/hyperlink" Target="https://ui.adsabs.harvard.edu/abs/2013ApJ...769...21S/abstract" TargetMode="External"/><Relationship Id="rId32" Type="http://schemas.openxmlformats.org/officeDocument/2006/relationships/hyperlink" Target="https://ui.adsabs.harvard.edu/abs/2005ApJ...626..498M/abstract" TargetMode="External"/><Relationship Id="rId1328" Type="http://schemas.openxmlformats.org/officeDocument/2006/relationships/hyperlink" Target="https://ui.adsabs.harvard.edu/abs/2013ApJ...769...21S/abstract" TargetMode="External"/><Relationship Id="rId35" Type="http://schemas.openxmlformats.org/officeDocument/2006/relationships/hyperlink" Target="https://www.aanda.org/articles/aa/pdf/2010/14/aa13620-09.pdf" TargetMode="External"/><Relationship Id="rId1329" Type="http://schemas.openxmlformats.org/officeDocument/2006/relationships/hyperlink" Target="https://ui.adsabs.harvard.edu/abs/2015ApJ...801....4W/abstract" TargetMode="External"/><Relationship Id="rId34" Type="http://schemas.openxmlformats.org/officeDocument/2006/relationships/hyperlink" Target="https://ui.adsabs.harvard.edu/abs/2005ApJ...626..498M/abstract" TargetMode="External"/><Relationship Id="rId739" Type="http://schemas.openxmlformats.org/officeDocument/2006/relationships/hyperlink" Target="https://ui.adsabs.harvard.edu/abs/2015MNRAS.453.1026K/abstract" TargetMode="External"/><Relationship Id="rId734" Type="http://schemas.openxmlformats.org/officeDocument/2006/relationships/hyperlink" Target="https://ui.adsabs.harvard.edu/abs/2015MNRAS.453.1026K/abstract" TargetMode="External"/><Relationship Id="rId976" Type="http://schemas.openxmlformats.org/officeDocument/2006/relationships/hyperlink" Target="https://ui.adsabs.harvard.edu/abs/2004A%26A...424..603N/abstract" TargetMode="External"/><Relationship Id="rId733" Type="http://schemas.openxmlformats.org/officeDocument/2006/relationships/hyperlink" Target="https://ui.adsabs.harvard.edu/abs/2015MNRAS.453.1026K/abstract" TargetMode="External"/><Relationship Id="rId975" Type="http://schemas.openxmlformats.org/officeDocument/2006/relationships/hyperlink" Target="https://ui.adsabs.harvard.edu/abs/2004A%26A...424..603N/abstract" TargetMode="External"/><Relationship Id="rId732" Type="http://schemas.openxmlformats.org/officeDocument/2006/relationships/hyperlink" Target="https://ui.adsabs.harvard.edu/abs/2015MNRAS.453.1026K/abstract" TargetMode="External"/><Relationship Id="rId974" Type="http://schemas.openxmlformats.org/officeDocument/2006/relationships/hyperlink" Target="https://ui.adsabs.harvard.edu/abs/2004A%26A...424..603N/abstract" TargetMode="External"/><Relationship Id="rId731" Type="http://schemas.openxmlformats.org/officeDocument/2006/relationships/hyperlink" Target="https://ui.adsabs.harvard.edu/abs/2015MNRAS.453.1026K/abstract" TargetMode="External"/><Relationship Id="rId973" Type="http://schemas.openxmlformats.org/officeDocument/2006/relationships/hyperlink" Target="https://ui.adsabs.harvard.edu/abs/2004A%26A...424..603N/abstract" TargetMode="External"/><Relationship Id="rId738" Type="http://schemas.openxmlformats.org/officeDocument/2006/relationships/hyperlink" Target="https://ui.adsabs.harvard.edu/abs/2015MNRAS.453.1026K/abstract" TargetMode="External"/><Relationship Id="rId737" Type="http://schemas.openxmlformats.org/officeDocument/2006/relationships/hyperlink" Target="https://ui.adsabs.harvard.edu/abs/2015MNRAS.453.1026K/abstract" TargetMode="External"/><Relationship Id="rId979" Type="http://schemas.openxmlformats.org/officeDocument/2006/relationships/hyperlink" Target="https://ui.adsabs.harvard.edu/abs/2006A%26A...452..245N/abstract" TargetMode="External"/><Relationship Id="rId736" Type="http://schemas.openxmlformats.org/officeDocument/2006/relationships/hyperlink" Target="https://ui.adsabs.harvard.edu/abs/2015MNRAS.453.1026K/abstract" TargetMode="External"/><Relationship Id="rId978" Type="http://schemas.openxmlformats.org/officeDocument/2006/relationships/hyperlink" Target="https://ui.adsabs.harvard.edu/abs/2006A%26A...452..245N/abstract" TargetMode="External"/><Relationship Id="rId735" Type="http://schemas.openxmlformats.org/officeDocument/2006/relationships/hyperlink" Target="https://ui.adsabs.harvard.edu/abs/2015MNRAS.453.1026K/abstract" TargetMode="External"/><Relationship Id="rId977" Type="http://schemas.openxmlformats.org/officeDocument/2006/relationships/hyperlink" Target="https://ui.adsabs.harvard.edu/abs/2006A%26A...452..245N/abstract" TargetMode="External"/><Relationship Id="rId37" Type="http://schemas.openxmlformats.org/officeDocument/2006/relationships/hyperlink" Target="https://ui.adsabs.harvard.edu/abs/2018ApJ...858...41Z/abstract" TargetMode="External"/><Relationship Id="rId36" Type="http://schemas.openxmlformats.org/officeDocument/2006/relationships/hyperlink" Target="https://www.aanda.org/articles/aa/pdf/2010/14/aa13620-09.pdf" TargetMode="External"/><Relationship Id="rId39" Type="http://schemas.openxmlformats.org/officeDocument/2006/relationships/hyperlink" Target="https://ui.adsabs.harvard.edu/abs/2018ApJ...858...41Z/abstract" TargetMode="External"/><Relationship Id="rId38" Type="http://schemas.openxmlformats.org/officeDocument/2006/relationships/hyperlink" Target="https://ui.adsabs.harvard.edu/abs/2005ApJ...626..498M/abstract" TargetMode="External"/><Relationship Id="rId730" Type="http://schemas.openxmlformats.org/officeDocument/2006/relationships/hyperlink" Target="https://ui.adsabs.harvard.edu/abs/2015MNRAS.453.1026K/abstract" TargetMode="External"/><Relationship Id="rId972" Type="http://schemas.openxmlformats.org/officeDocument/2006/relationships/hyperlink" Target="https://ui.adsabs.harvard.edu/abs/2006A%26A...452..245N/abstract" TargetMode="External"/><Relationship Id="rId971" Type="http://schemas.openxmlformats.org/officeDocument/2006/relationships/hyperlink" Target="https://ui.adsabs.harvard.edu/abs/2006A%26A...452..245N/abstract" TargetMode="External"/><Relationship Id="rId1320" Type="http://schemas.openxmlformats.org/officeDocument/2006/relationships/hyperlink" Target="https://ui.adsabs.harvard.edu/abs/2013ApJ...769...21S/abstract" TargetMode="External"/><Relationship Id="rId970" Type="http://schemas.openxmlformats.org/officeDocument/2006/relationships/hyperlink" Target="https://ui.adsabs.harvard.edu/abs/2006A%26A...460..547G/abstract" TargetMode="External"/><Relationship Id="rId1321" Type="http://schemas.openxmlformats.org/officeDocument/2006/relationships/hyperlink" Target="https://ui.adsabs.harvard.edu/abs/2013ApJ...769...21S/abstract" TargetMode="External"/><Relationship Id="rId1322" Type="http://schemas.openxmlformats.org/officeDocument/2006/relationships/hyperlink" Target="https://www.aanda.org/articles/aa/pdf/2005/28/aa0290-03.pdf" TargetMode="External"/><Relationship Id="rId1114" Type="http://schemas.openxmlformats.org/officeDocument/2006/relationships/hyperlink" Target="https://ui.adsabs.harvard.edu/abs/2006A%26A...452..245N/abstract" TargetMode="External"/><Relationship Id="rId1356" Type="http://schemas.openxmlformats.org/officeDocument/2006/relationships/hyperlink" Target="https://ui.adsabs.harvard.edu/abs/2021yCat.2367....0M/abstract" TargetMode="External"/><Relationship Id="rId1115" Type="http://schemas.openxmlformats.org/officeDocument/2006/relationships/hyperlink" Target="https://ui.adsabs.harvard.edu/abs/2006A%26A...452..245N/abstract" TargetMode="External"/><Relationship Id="rId1357" Type="http://schemas.openxmlformats.org/officeDocument/2006/relationships/hyperlink" Target="https://ui.adsabs.harvard.edu/abs/2011A%26A...525A..47R/abstract" TargetMode="External"/><Relationship Id="rId20" Type="http://schemas.openxmlformats.org/officeDocument/2006/relationships/hyperlink" Target="https://ui.adsabs.harvard.edu/abs/2006A%26A...452..245N/abstract" TargetMode="External"/><Relationship Id="rId1116" Type="http://schemas.openxmlformats.org/officeDocument/2006/relationships/hyperlink" Target="https://ui.adsabs.harvard.edu/abs/2006A%26A...452..245N/abstract" TargetMode="External"/><Relationship Id="rId1358" Type="http://schemas.openxmlformats.org/officeDocument/2006/relationships/hyperlink" Target="https://ui.adsabs.harvard.edu/abs/2021yCat.2367....0M/abstract" TargetMode="External"/><Relationship Id="rId1117" Type="http://schemas.openxmlformats.org/officeDocument/2006/relationships/hyperlink" Target="https://ui.adsabs.harvard.edu/abs/2006A%26A...452..245N/abstract" TargetMode="External"/><Relationship Id="rId1359" Type="http://schemas.openxmlformats.org/officeDocument/2006/relationships/hyperlink" Target="https://ui.adsabs.harvard.edu/abs/2011A%26A...525A..47R/abstract" TargetMode="External"/><Relationship Id="rId22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1118" Type="http://schemas.openxmlformats.org/officeDocument/2006/relationships/hyperlink" Target="https://ui.adsabs.harvard.edu/abs/2006A%26A...452..245N/abstract" TargetMode="External"/><Relationship Id="rId21" Type="http://schemas.openxmlformats.org/officeDocument/2006/relationships/hyperlink" Target="https://ui.adsabs.harvard.edu/abs/2011AJ....141..119K/abstract" TargetMode="External"/><Relationship Id="rId1119" Type="http://schemas.openxmlformats.org/officeDocument/2006/relationships/hyperlink" Target="https://ui.adsabs.harvard.edu/abs/2006A%26A...452..245N/abstract" TargetMode="External"/><Relationship Id="rId24" Type="http://schemas.openxmlformats.org/officeDocument/2006/relationships/hyperlink" Target="https://ui.adsabs.harvard.edu/abs/2005ApJ...626..498M/abstract" TargetMode="External"/><Relationship Id="rId23" Type="http://schemas.openxmlformats.org/officeDocument/2006/relationships/hyperlink" Target="https://ui.adsabs.harvard.edu/abs/2018ApJ...858...41Z/abstract" TargetMode="External"/><Relationship Id="rId525" Type="http://schemas.openxmlformats.org/officeDocument/2006/relationships/hyperlink" Target="https://ui.adsabs.harvard.edu/abs/2007ApJS..173..104L/abstract" TargetMode="External"/><Relationship Id="rId767" Type="http://schemas.openxmlformats.org/officeDocument/2006/relationships/hyperlink" Target="https://ui.adsabs.harvard.edu/abs/2015MNRAS.453.1026K/abstract" TargetMode="External"/><Relationship Id="rId524" Type="http://schemas.openxmlformats.org/officeDocument/2006/relationships/hyperlink" Target="https://ui.adsabs.harvard.edu/abs/2003ApJ...592..266M/abstract" TargetMode="External"/><Relationship Id="rId766" Type="http://schemas.openxmlformats.org/officeDocument/2006/relationships/hyperlink" Target="https://ui.adsabs.harvard.edu/abs/2015MNRAS.453.1026K/abstract" TargetMode="External"/><Relationship Id="rId523" Type="http://schemas.openxmlformats.org/officeDocument/2006/relationships/hyperlink" Target="https://ui.adsabs.harvard.edu/abs/2003ApJ...592..266M/abstract" TargetMode="External"/><Relationship Id="rId765" Type="http://schemas.openxmlformats.org/officeDocument/2006/relationships/hyperlink" Target="https://ui.adsabs.harvard.edu/abs/2015MNRAS.453.1026K/abstract" TargetMode="External"/><Relationship Id="rId522" Type="http://schemas.openxmlformats.org/officeDocument/2006/relationships/hyperlink" Target="https://ui.adsabs.harvard.edu/abs/2005ApJ...625..906M/abstract" TargetMode="External"/><Relationship Id="rId764" Type="http://schemas.openxmlformats.org/officeDocument/2006/relationships/hyperlink" Target="https://ui.adsabs.harvard.edu/abs/2015MNRAS.453.1026K/abstract" TargetMode="External"/><Relationship Id="rId529" Type="http://schemas.openxmlformats.org/officeDocument/2006/relationships/hyperlink" Target="https://ui.adsabs.harvard.edu/abs/2007ApJS..173..104L/abstract" TargetMode="External"/><Relationship Id="rId528" Type="http://schemas.openxmlformats.org/officeDocument/2006/relationships/hyperlink" Target="https://ui.adsabs.harvard.edu/abs/2003ApJ...592..266M/abstract" TargetMode="External"/><Relationship Id="rId527" Type="http://schemas.openxmlformats.org/officeDocument/2006/relationships/hyperlink" Target="https://ui.adsabs.harvard.edu/abs/2003ApJ...592..266M/abstract" TargetMode="External"/><Relationship Id="rId769" Type="http://schemas.openxmlformats.org/officeDocument/2006/relationships/hyperlink" Target="https://ui.adsabs.harvard.edu/abs/2015MNRAS.453.1026K/abstract" TargetMode="External"/><Relationship Id="rId526" Type="http://schemas.openxmlformats.org/officeDocument/2006/relationships/hyperlink" Target="https://ui.adsabs.harvard.edu/abs/2005ApJ...625..906M/abstract" TargetMode="External"/><Relationship Id="rId768" Type="http://schemas.openxmlformats.org/officeDocument/2006/relationships/hyperlink" Target="https://ui.adsabs.harvard.edu/abs/2015MNRAS.453.1026K/abstract" TargetMode="External"/><Relationship Id="rId26" Type="http://schemas.openxmlformats.org/officeDocument/2006/relationships/hyperlink" Target="https://ui.adsabs.harvard.edu/abs/2005ApJ...626..498M/abstract" TargetMode="External"/><Relationship Id="rId25" Type="http://schemas.openxmlformats.org/officeDocument/2006/relationships/hyperlink" Target="https://ui.adsabs.harvard.edu/abs/2018ApJ...858...41Z/abstract" TargetMode="External"/><Relationship Id="rId28" Type="http://schemas.openxmlformats.org/officeDocument/2006/relationships/hyperlink" Target="https://ui.adsabs.harvard.edu/abs/2005ApJ...626..498M/abstract" TargetMode="External"/><Relationship Id="rId1350" Type="http://schemas.openxmlformats.org/officeDocument/2006/relationships/hyperlink" Target="https://ui.adsabs.harvard.edu/abs/2021yCat.2367....0M/abstract" TargetMode="External"/><Relationship Id="rId27" Type="http://schemas.openxmlformats.org/officeDocument/2006/relationships/hyperlink" Target="https://ui.adsabs.harvard.edu/abs/2018ApJ...858...41Z/abstract" TargetMode="External"/><Relationship Id="rId1351" Type="http://schemas.openxmlformats.org/officeDocument/2006/relationships/hyperlink" Target="https://ui.adsabs.harvard.edu/abs/2011A%26A...525A..47R/abstract" TargetMode="External"/><Relationship Id="rId521" Type="http://schemas.openxmlformats.org/officeDocument/2006/relationships/hyperlink" Target="https://ui.adsabs.harvard.edu/abs/2007ApJS..173..104L/abstract" TargetMode="External"/><Relationship Id="rId763" Type="http://schemas.openxmlformats.org/officeDocument/2006/relationships/hyperlink" Target="https://ui.adsabs.harvard.edu/abs/2015MNRAS.453.1026K/abstract" TargetMode="External"/><Relationship Id="rId1110" Type="http://schemas.openxmlformats.org/officeDocument/2006/relationships/hyperlink" Target="https://ui.adsabs.harvard.edu/abs/2006A%26A...452..245N/abstract" TargetMode="External"/><Relationship Id="rId1352" Type="http://schemas.openxmlformats.org/officeDocument/2006/relationships/hyperlink" Target="https://ui.adsabs.harvard.edu/abs/2021yCat.2367....0M/abstract" TargetMode="External"/><Relationship Id="rId29" Type="http://schemas.openxmlformats.org/officeDocument/2006/relationships/hyperlink" Target="https://ui.adsabs.harvard.edu/abs/2018ApJ...858...41Z/abstract" TargetMode="External"/><Relationship Id="rId520" Type="http://schemas.openxmlformats.org/officeDocument/2006/relationships/hyperlink" Target="https://ui.adsabs.harvard.edu/abs/2005ApJ...625..906M/abstract" TargetMode="External"/><Relationship Id="rId762" Type="http://schemas.openxmlformats.org/officeDocument/2006/relationships/hyperlink" Target="https://ui.adsabs.harvard.edu/abs/2015MNRAS.453.1026K/abstract" TargetMode="External"/><Relationship Id="rId1111" Type="http://schemas.openxmlformats.org/officeDocument/2006/relationships/hyperlink" Target="https://ui.adsabs.harvard.edu/abs/2006A%26A...452..245N/abstract" TargetMode="External"/><Relationship Id="rId1353" Type="http://schemas.openxmlformats.org/officeDocument/2006/relationships/hyperlink" Target="https://ui.adsabs.harvard.edu/abs/2011A%26A...525A..47R/abstract" TargetMode="External"/><Relationship Id="rId761" Type="http://schemas.openxmlformats.org/officeDocument/2006/relationships/hyperlink" Target="https://ui.adsabs.harvard.edu/abs/2015MNRAS.453.1026K/abstract" TargetMode="External"/><Relationship Id="rId1112" Type="http://schemas.openxmlformats.org/officeDocument/2006/relationships/hyperlink" Target="https://ui.adsabs.harvard.edu/abs/2006A%26A...452..245N/abstract" TargetMode="External"/><Relationship Id="rId1354" Type="http://schemas.openxmlformats.org/officeDocument/2006/relationships/hyperlink" Target="https://ui.adsabs.harvard.edu/abs/2021yCat.2367....0M/abstract" TargetMode="External"/><Relationship Id="rId760" Type="http://schemas.openxmlformats.org/officeDocument/2006/relationships/hyperlink" Target="https://ui.adsabs.harvard.edu/abs/2015MNRAS.453.1026K/abstract" TargetMode="External"/><Relationship Id="rId1113" Type="http://schemas.openxmlformats.org/officeDocument/2006/relationships/hyperlink" Target="https://ui.adsabs.harvard.edu/abs/2006A%26A...452..245N/abstract" TargetMode="External"/><Relationship Id="rId1355" Type="http://schemas.openxmlformats.org/officeDocument/2006/relationships/hyperlink" Target="https://ui.adsabs.harvard.edu/abs/2011A%26A...525A..47R/abstract" TargetMode="External"/><Relationship Id="rId1103" Type="http://schemas.openxmlformats.org/officeDocument/2006/relationships/hyperlink" Target="https://ui.adsabs.harvard.edu/abs/2006A%26A...460..547G/abstract" TargetMode="External"/><Relationship Id="rId1345" Type="http://schemas.openxmlformats.org/officeDocument/2006/relationships/hyperlink" Target="https://ui.adsabs.harvard.edu/abs/2011A%26A...525A..47R/abstract" TargetMode="External"/><Relationship Id="rId1104" Type="http://schemas.openxmlformats.org/officeDocument/2006/relationships/hyperlink" Target="https://ui.adsabs.harvard.edu/abs/2006A%26A...460..547G/abstract" TargetMode="External"/><Relationship Id="rId1346" Type="http://schemas.openxmlformats.org/officeDocument/2006/relationships/hyperlink" Target="https://ui.adsabs.harvard.edu/abs/2021yCat.2367....0M/abstract" TargetMode="External"/><Relationship Id="rId1105" Type="http://schemas.openxmlformats.org/officeDocument/2006/relationships/hyperlink" Target="https://ui.adsabs.harvard.edu/abs/2006A%26A...460..547G/abstract" TargetMode="External"/><Relationship Id="rId1347" Type="http://schemas.openxmlformats.org/officeDocument/2006/relationships/hyperlink" Target="https://ui.adsabs.harvard.edu/abs/2011A%26A...525A..47R/abstract" TargetMode="External"/><Relationship Id="rId1106" Type="http://schemas.openxmlformats.org/officeDocument/2006/relationships/hyperlink" Target="https://ui.adsabs.harvard.edu/abs/2006A%26A...460..547G/abstract" TargetMode="External"/><Relationship Id="rId1348" Type="http://schemas.openxmlformats.org/officeDocument/2006/relationships/hyperlink" Target="https://ui.adsabs.harvard.edu/abs/2021yCat.2367....0M/abstract" TargetMode="External"/><Relationship Id="rId11" Type="http://schemas.openxmlformats.org/officeDocument/2006/relationships/hyperlink" Target="https://ui.adsabs.harvard.edu/abs/2006A%26A...452..245N/abstract" TargetMode="External"/><Relationship Id="rId1107" Type="http://schemas.openxmlformats.org/officeDocument/2006/relationships/hyperlink" Target="https://ui.adsabs.harvard.edu/abs/2006A%26A...452..245N/abstract" TargetMode="External"/><Relationship Id="rId1349" Type="http://schemas.openxmlformats.org/officeDocument/2006/relationships/hyperlink" Target="https://ui.adsabs.harvard.edu/abs/2011A%26A...525A..47R/abstract" TargetMode="External"/><Relationship Id="rId10" Type="http://schemas.openxmlformats.org/officeDocument/2006/relationships/hyperlink" Target="https://ui.adsabs.harvard.edu/abs/2006A%26A...452..245N/abstract" TargetMode="External"/><Relationship Id="rId1108" Type="http://schemas.openxmlformats.org/officeDocument/2006/relationships/hyperlink" Target="https://ui.adsabs.harvard.edu/abs/2006A%26A...452..245N/abstract" TargetMode="External"/><Relationship Id="rId13" Type="http://schemas.openxmlformats.org/officeDocument/2006/relationships/hyperlink" Target="https://ui.adsabs.harvard.edu/abs/2006A%26A...452..245N/abstract" TargetMode="External"/><Relationship Id="rId1109" Type="http://schemas.openxmlformats.org/officeDocument/2006/relationships/hyperlink" Target="https://ui.adsabs.harvard.edu/abs/2006A%26A...452..245N/abstract" TargetMode="External"/><Relationship Id="rId12" Type="http://schemas.openxmlformats.org/officeDocument/2006/relationships/hyperlink" Target="https://ui.adsabs.harvard.edu/abs/2006A%26A...452..245N/abstract" TargetMode="External"/><Relationship Id="rId519" Type="http://schemas.openxmlformats.org/officeDocument/2006/relationships/hyperlink" Target="https://ui.adsabs.harvard.edu/abs/2018ApJ...858...41Z/abstract" TargetMode="External"/><Relationship Id="rId514" Type="http://schemas.openxmlformats.org/officeDocument/2006/relationships/hyperlink" Target="https://ui.adsabs.harvard.edu/abs/2003ApJ...592..266M/abstract" TargetMode="External"/><Relationship Id="rId756" Type="http://schemas.openxmlformats.org/officeDocument/2006/relationships/hyperlink" Target="https://ui.adsabs.harvard.edu/abs/2015MNRAS.453.1026K/abstract" TargetMode="External"/><Relationship Id="rId998" Type="http://schemas.openxmlformats.org/officeDocument/2006/relationships/hyperlink" Target="https://ui.adsabs.harvard.edu/abs/2006A%26A...452..245N/abstract" TargetMode="External"/><Relationship Id="rId513" Type="http://schemas.openxmlformats.org/officeDocument/2006/relationships/hyperlink" Target="https://ui.adsabs.harvard.edu/abs/2003ApJ...592..266M/abstract" TargetMode="External"/><Relationship Id="rId755" Type="http://schemas.openxmlformats.org/officeDocument/2006/relationships/hyperlink" Target="https://ui.adsabs.harvard.edu/abs/2015MNRAS.453.1026K/abstract" TargetMode="External"/><Relationship Id="rId997" Type="http://schemas.openxmlformats.org/officeDocument/2006/relationships/hyperlink" Target="https://ui.adsabs.harvard.edu/abs/2006A%26A...452..245N/abstract" TargetMode="External"/><Relationship Id="rId512" Type="http://schemas.openxmlformats.org/officeDocument/2006/relationships/hyperlink" Target="https://ui.adsabs.harvard.edu/abs/2005ApJ...625..906M/abstract" TargetMode="External"/><Relationship Id="rId754" Type="http://schemas.openxmlformats.org/officeDocument/2006/relationships/hyperlink" Target="https://ui.adsabs.harvard.edu/abs/2015MNRAS.453.1026K/abstract" TargetMode="External"/><Relationship Id="rId996" Type="http://schemas.openxmlformats.org/officeDocument/2006/relationships/hyperlink" Target="https://ui.adsabs.harvard.edu/abs/2006A%26A...452..245N/abstract" TargetMode="External"/><Relationship Id="rId511" Type="http://schemas.openxmlformats.org/officeDocument/2006/relationships/hyperlink" Target="https://ui.adsabs.harvard.edu/abs/2009ApJ...703.1964F/abstract" TargetMode="External"/><Relationship Id="rId753" Type="http://schemas.openxmlformats.org/officeDocument/2006/relationships/hyperlink" Target="https://ui.adsabs.harvard.edu/abs/2015MNRAS.453.1026K/abstract" TargetMode="External"/><Relationship Id="rId995" Type="http://schemas.openxmlformats.org/officeDocument/2006/relationships/hyperlink" Target="https://ui.adsabs.harvard.edu/abs/2006A%26A...452..245N/abstract" TargetMode="External"/><Relationship Id="rId518" Type="http://schemas.openxmlformats.org/officeDocument/2006/relationships/hyperlink" Target="https://ui.adsabs.harvard.edu/abs/2004A%26A...424..603N/abstract" TargetMode="External"/><Relationship Id="rId517" Type="http://schemas.openxmlformats.org/officeDocument/2006/relationships/hyperlink" Target="https://ui.adsabs.harvard.edu/abs/2004A%26A...424..603N/abstract" TargetMode="External"/><Relationship Id="rId759" Type="http://schemas.openxmlformats.org/officeDocument/2006/relationships/hyperlink" Target="https://ui.adsabs.harvard.edu/abs/2015MNRAS.453.1026K/abstract" TargetMode="External"/><Relationship Id="rId516" Type="http://schemas.openxmlformats.org/officeDocument/2006/relationships/hyperlink" Target="https://ui.adsabs.harvard.edu/abs/2003ApJ...592..266M/abstract" TargetMode="External"/><Relationship Id="rId758" Type="http://schemas.openxmlformats.org/officeDocument/2006/relationships/hyperlink" Target="https://ui.adsabs.harvard.edu/abs/2015MNRAS.453.1026K/abstract" TargetMode="External"/><Relationship Id="rId515" Type="http://schemas.openxmlformats.org/officeDocument/2006/relationships/hyperlink" Target="https://ui.adsabs.harvard.edu/abs/2003ApJ...592..266M/abstract" TargetMode="External"/><Relationship Id="rId757" Type="http://schemas.openxmlformats.org/officeDocument/2006/relationships/hyperlink" Target="https://ui.adsabs.harvard.edu/abs/2015MNRAS.453.1026K/abstract" TargetMode="External"/><Relationship Id="rId999" Type="http://schemas.openxmlformats.org/officeDocument/2006/relationships/hyperlink" Target="https://ui.adsabs.harvard.edu/abs/2006A%26A...452..245N/abstract" TargetMode="External"/><Relationship Id="rId15" Type="http://schemas.openxmlformats.org/officeDocument/2006/relationships/hyperlink" Target="https://ui.adsabs.harvard.edu/abs/2006A%26A...452..245N/abstract" TargetMode="External"/><Relationship Id="rId990" Type="http://schemas.openxmlformats.org/officeDocument/2006/relationships/hyperlink" Target="https://ui.adsabs.harvard.edu/abs/2006A%26A...452..245N/abstract" TargetMode="External"/><Relationship Id="rId14" Type="http://schemas.openxmlformats.org/officeDocument/2006/relationships/hyperlink" Target="https://ui.adsabs.harvard.edu/abs/2006A%26A...452..245N/abstract" TargetMode="External"/><Relationship Id="rId17" Type="http://schemas.openxmlformats.org/officeDocument/2006/relationships/hyperlink" Target="https://ui.adsabs.harvard.edu/abs/2006A%26A...452..245N/abstract" TargetMode="External"/><Relationship Id="rId16" Type="http://schemas.openxmlformats.org/officeDocument/2006/relationships/hyperlink" Target="https://ui.adsabs.harvard.edu/abs/2006A%26A...452..245N/abstract" TargetMode="External"/><Relationship Id="rId1340" Type="http://schemas.openxmlformats.org/officeDocument/2006/relationships/hyperlink" Target="https://ui.adsabs.harvard.edu/abs/2021yCat.2367....0M/abstract" TargetMode="External"/><Relationship Id="rId19" Type="http://schemas.openxmlformats.org/officeDocument/2006/relationships/hyperlink" Target="https://ui.adsabs.harvard.edu/abs/2006A%26A...452..245N/abstract" TargetMode="External"/><Relationship Id="rId510" Type="http://schemas.openxmlformats.org/officeDocument/2006/relationships/hyperlink" Target="https://ui.adsabs.harvard.edu/abs/2005ApJ...625..906M/abstract" TargetMode="External"/><Relationship Id="rId752" Type="http://schemas.openxmlformats.org/officeDocument/2006/relationships/hyperlink" Target="https://ui.adsabs.harvard.edu/abs/2015MNRAS.453.1026K/abstract" TargetMode="External"/><Relationship Id="rId994" Type="http://schemas.openxmlformats.org/officeDocument/2006/relationships/hyperlink" Target="https://ui.adsabs.harvard.edu/abs/2006A%26A...452..245N/abstract" TargetMode="External"/><Relationship Id="rId1341" Type="http://schemas.openxmlformats.org/officeDocument/2006/relationships/hyperlink" Target="https://ui.adsabs.harvard.edu/abs/2011A%26A...525A..47R/abstract" TargetMode="External"/><Relationship Id="rId18" Type="http://schemas.openxmlformats.org/officeDocument/2006/relationships/hyperlink" Target="https://ui.adsabs.harvard.edu/abs/2006A%26A...452..245N/abstract" TargetMode="External"/><Relationship Id="rId751" Type="http://schemas.openxmlformats.org/officeDocument/2006/relationships/hyperlink" Target="https://ui.adsabs.harvard.edu/abs/2015MNRAS.453.1026K/abstract" TargetMode="External"/><Relationship Id="rId993" Type="http://schemas.openxmlformats.org/officeDocument/2006/relationships/hyperlink" Target="https://ui.adsabs.harvard.edu/abs/2006A%26A...452..245N/abstract" TargetMode="External"/><Relationship Id="rId1100" Type="http://schemas.openxmlformats.org/officeDocument/2006/relationships/hyperlink" Target="https://ui.adsabs.harvard.edu/abs/2006A%26A...452..245N/abstract" TargetMode="External"/><Relationship Id="rId1342" Type="http://schemas.openxmlformats.org/officeDocument/2006/relationships/hyperlink" Target="https://ui.adsabs.harvard.edu/abs/2021yCat.2367....0M/abstract" TargetMode="External"/><Relationship Id="rId750" Type="http://schemas.openxmlformats.org/officeDocument/2006/relationships/hyperlink" Target="https://ui.adsabs.harvard.edu/abs/2015MNRAS.453.1026K/abstract" TargetMode="External"/><Relationship Id="rId992" Type="http://schemas.openxmlformats.org/officeDocument/2006/relationships/hyperlink" Target="https://ui.adsabs.harvard.edu/abs/2006A%26A...452..245N/abstract" TargetMode="External"/><Relationship Id="rId1101" Type="http://schemas.openxmlformats.org/officeDocument/2006/relationships/hyperlink" Target="https://ui.adsabs.harvard.edu/abs/2006A%26A...452..245N/abstract" TargetMode="External"/><Relationship Id="rId1343" Type="http://schemas.openxmlformats.org/officeDocument/2006/relationships/hyperlink" Target="https://ui.adsabs.harvard.edu/abs/2011A%26A...525A..47R/abstract" TargetMode="External"/><Relationship Id="rId991" Type="http://schemas.openxmlformats.org/officeDocument/2006/relationships/hyperlink" Target="https://ui.adsabs.harvard.edu/abs/2006A%26A...452..245N/abstract" TargetMode="External"/><Relationship Id="rId1102" Type="http://schemas.openxmlformats.org/officeDocument/2006/relationships/hyperlink" Target="https://ui.adsabs.harvard.edu/abs/2006A%26A...452..245N/abstract" TargetMode="External"/><Relationship Id="rId1344" Type="http://schemas.openxmlformats.org/officeDocument/2006/relationships/hyperlink" Target="https://ui.adsabs.harvard.edu/abs/2021yCat.2367....0M/abstract" TargetMode="External"/><Relationship Id="rId84" Type="http://schemas.openxmlformats.org/officeDocument/2006/relationships/hyperlink" Target="https://ui.adsabs.harvard.edu/abs/2005ApJ...626..498M/abstract" TargetMode="External"/><Relationship Id="rId83" Type="http://schemas.openxmlformats.org/officeDocument/2006/relationships/hyperlink" Target="https://ui.adsabs.harvard.edu/abs/2004A%26A...424..603N/abstract" TargetMode="External"/><Relationship Id="rId86" Type="http://schemas.openxmlformats.org/officeDocument/2006/relationships/hyperlink" Target="https://ui.adsabs.harvard.edu/abs/2005ApJ...626..498M/abstract" TargetMode="External"/><Relationship Id="rId85" Type="http://schemas.openxmlformats.org/officeDocument/2006/relationships/hyperlink" Target="https://ui.adsabs.harvard.edu/abs/2004A%26A...424..603N/abstract" TargetMode="External"/><Relationship Id="rId88" Type="http://schemas.openxmlformats.org/officeDocument/2006/relationships/hyperlink" Target="https://ui.adsabs.harvard.edu/abs/2005ApJ...626..498M/abstract" TargetMode="External"/><Relationship Id="rId87" Type="http://schemas.openxmlformats.org/officeDocument/2006/relationships/hyperlink" Target="https://ui.adsabs.harvard.edu/abs/2003ApJ...592..266M/abstract" TargetMode="External"/><Relationship Id="rId89" Type="http://schemas.openxmlformats.org/officeDocument/2006/relationships/hyperlink" Target="https://ui.adsabs.harvard.edu/abs/2003ApJ...592..266M/abstract" TargetMode="External"/><Relationship Id="rId709" Type="http://schemas.openxmlformats.org/officeDocument/2006/relationships/hyperlink" Target="https://ui.adsabs.harvard.edu/abs/2015MNRAS.453.1026K/abstract" TargetMode="External"/><Relationship Id="rId708" Type="http://schemas.openxmlformats.org/officeDocument/2006/relationships/hyperlink" Target="https://ui.adsabs.harvard.edu/abs/2015MNRAS.453.1026K/abstract" TargetMode="External"/><Relationship Id="rId707" Type="http://schemas.openxmlformats.org/officeDocument/2006/relationships/hyperlink" Target="https://ui.adsabs.harvard.edu/abs/2015MNRAS.453.1026K/abstract" TargetMode="External"/><Relationship Id="rId949" Type="http://schemas.openxmlformats.org/officeDocument/2006/relationships/hyperlink" Target="https://ui.adsabs.harvard.edu/abs/2006A%26A...460..547G/abstract" TargetMode="External"/><Relationship Id="rId706" Type="http://schemas.openxmlformats.org/officeDocument/2006/relationships/hyperlink" Target="https://ui.adsabs.harvard.edu/abs/2015MNRAS.453.1026K/abstract" TargetMode="External"/><Relationship Id="rId948" Type="http://schemas.openxmlformats.org/officeDocument/2006/relationships/hyperlink" Target="https://ui.adsabs.harvard.edu/abs/2004A%26A...424..603N/abstract" TargetMode="External"/><Relationship Id="rId80" Type="http://schemas.openxmlformats.org/officeDocument/2006/relationships/hyperlink" Target="https://ui.adsabs.harvard.edu/abs/2005ApJ...626..498M/abstract" TargetMode="External"/><Relationship Id="rId82" Type="http://schemas.openxmlformats.org/officeDocument/2006/relationships/hyperlink" Target="https://ui.adsabs.harvard.edu/abs/2005ApJ...626..498M/abstract" TargetMode="External"/><Relationship Id="rId81" Type="http://schemas.openxmlformats.org/officeDocument/2006/relationships/hyperlink" Target="https://ui.adsabs.harvard.edu/abs/2003ApJ...592..266M/abstract" TargetMode="External"/><Relationship Id="rId701" Type="http://schemas.openxmlformats.org/officeDocument/2006/relationships/hyperlink" Target="https://ui.adsabs.harvard.edu/abs/2015MNRAS.453.1026K/abstract" TargetMode="External"/><Relationship Id="rId943" Type="http://schemas.openxmlformats.org/officeDocument/2006/relationships/hyperlink" Target="https://ui.adsabs.harvard.edu/abs/2006A%26A...452..245N/abstract" TargetMode="External"/><Relationship Id="rId700" Type="http://schemas.openxmlformats.org/officeDocument/2006/relationships/hyperlink" Target="https://ui.adsabs.harvard.edu/abs/2015MNRAS.453.1026K/abstract" TargetMode="External"/><Relationship Id="rId942" Type="http://schemas.openxmlformats.org/officeDocument/2006/relationships/hyperlink" Target="https://ui.adsabs.harvard.edu/abs/2004A%26A...424..603N/abstract" TargetMode="External"/><Relationship Id="rId941" Type="http://schemas.openxmlformats.org/officeDocument/2006/relationships/hyperlink" Target="https://ui.adsabs.harvard.edu/abs/2004A%26A...424..603N/abstract" TargetMode="External"/><Relationship Id="rId940" Type="http://schemas.openxmlformats.org/officeDocument/2006/relationships/hyperlink" Target="https://ui.adsabs.harvard.edu/abs/2006A%26A...460..547G/abstract" TargetMode="External"/><Relationship Id="rId705" Type="http://schemas.openxmlformats.org/officeDocument/2006/relationships/hyperlink" Target="https://ui.adsabs.harvard.edu/abs/2015MNRAS.453.1026K/abstract" TargetMode="External"/><Relationship Id="rId947" Type="http://schemas.openxmlformats.org/officeDocument/2006/relationships/hyperlink" Target="https://ui.adsabs.harvard.edu/abs/2004A%26A...424..603N/abstract" TargetMode="External"/><Relationship Id="rId704" Type="http://schemas.openxmlformats.org/officeDocument/2006/relationships/hyperlink" Target="https://ui.adsabs.harvard.edu/abs/2015MNRAS.453.1026K/abstract" TargetMode="External"/><Relationship Id="rId946" Type="http://schemas.openxmlformats.org/officeDocument/2006/relationships/hyperlink" Target="https://ui.adsabs.harvard.edu/abs/2004A%26A...424..603N/abstract" TargetMode="External"/><Relationship Id="rId703" Type="http://schemas.openxmlformats.org/officeDocument/2006/relationships/hyperlink" Target="https://ui.adsabs.harvard.edu/abs/2015MNRAS.453.1026K/abstract" TargetMode="External"/><Relationship Id="rId945" Type="http://schemas.openxmlformats.org/officeDocument/2006/relationships/hyperlink" Target="https://ui.adsabs.harvard.edu/abs/2004A%26A...424..603N/abstract" TargetMode="External"/><Relationship Id="rId702" Type="http://schemas.openxmlformats.org/officeDocument/2006/relationships/hyperlink" Target="https://ui.adsabs.harvard.edu/abs/2015MNRAS.453.1026K/abstract" TargetMode="External"/><Relationship Id="rId944" Type="http://schemas.openxmlformats.org/officeDocument/2006/relationships/hyperlink" Target="https://ui.adsabs.harvard.edu/abs/2006A%26A...452..245N/abstract" TargetMode="External"/><Relationship Id="rId73" Type="http://schemas.openxmlformats.org/officeDocument/2006/relationships/hyperlink" Target="https://ui.adsabs.harvard.edu/abs/2003ApJ...592..266M/abstract" TargetMode="External"/><Relationship Id="rId72" Type="http://schemas.openxmlformats.org/officeDocument/2006/relationships/hyperlink" Target="https://ui.adsabs.harvard.edu/abs/2005ApJ...626..498M/abstract" TargetMode="External"/><Relationship Id="rId75" Type="http://schemas.openxmlformats.org/officeDocument/2006/relationships/hyperlink" Target="https://ui.adsabs.harvard.edu/abs/2003ApJ...592..266M/abstract" TargetMode="External"/><Relationship Id="rId74" Type="http://schemas.openxmlformats.org/officeDocument/2006/relationships/hyperlink" Target="https://ui.adsabs.harvard.edu/abs/2005ApJ...626..498M/abstract" TargetMode="External"/><Relationship Id="rId77" Type="http://schemas.openxmlformats.org/officeDocument/2006/relationships/hyperlink" Target="https://ui.adsabs.harvard.edu/abs/2003ApJ...592..266M/abstract" TargetMode="External"/><Relationship Id="rId76" Type="http://schemas.openxmlformats.org/officeDocument/2006/relationships/hyperlink" Target="https://ui.adsabs.harvard.edu/abs/2005ApJ...626..498M/abstract" TargetMode="External"/><Relationship Id="rId79" Type="http://schemas.openxmlformats.org/officeDocument/2006/relationships/hyperlink" Target="https://ui.adsabs.harvard.edu/abs/2003ApJ...592..266M/abstract" TargetMode="External"/><Relationship Id="rId78" Type="http://schemas.openxmlformats.org/officeDocument/2006/relationships/hyperlink" Target="https://ui.adsabs.harvard.edu/abs/2005ApJ...626..498M/abstract" TargetMode="External"/><Relationship Id="rId939" Type="http://schemas.openxmlformats.org/officeDocument/2006/relationships/hyperlink" Target="https://ui.adsabs.harvard.edu/abs/2006A%26A...460..547G/abstract" TargetMode="External"/><Relationship Id="rId938" Type="http://schemas.openxmlformats.org/officeDocument/2006/relationships/hyperlink" Target="https://ui.adsabs.harvard.edu/abs/2006A%26A...452..245N/abstract" TargetMode="External"/><Relationship Id="rId937" Type="http://schemas.openxmlformats.org/officeDocument/2006/relationships/hyperlink" Target="https://ui.adsabs.harvard.edu/abs/2006A%26A...452..245N/abstract" TargetMode="External"/><Relationship Id="rId71" Type="http://schemas.openxmlformats.org/officeDocument/2006/relationships/hyperlink" Target="https://ui.adsabs.harvard.edu/abs/2003ApJ...592..266M/abstract" TargetMode="External"/><Relationship Id="rId70" Type="http://schemas.openxmlformats.org/officeDocument/2006/relationships/hyperlink" Target="https://ui.adsabs.harvard.edu/abs/2005ApJ...626..498M/abstract" TargetMode="External"/><Relationship Id="rId932" Type="http://schemas.openxmlformats.org/officeDocument/2006/relationships/hyperlink" Target="https://ui.adsabs.harvard.edu/abs/2004A%26A...424..603N/abstract" TargetMode="External"/><Relationship Id="rId931" Type="http://schemas.openxmlformats.org/officeDocument/2006/relationships/hyperlink" Target="https://ui.adsabs.harvard.edu/abs/2004A%26A...424..603N/abstract" TargetMode="External"/><Relationship Id="rId930" Type="http://schemas.openxmlformats.org/officeDocument/2006/relationships/hyperlink" Target="https://ui.adsabs.harvard.edu/abs/2004A%26A...424..603N/abstract" TargetMode="External"/><Relationship Id="rId936" Type="http://schemas.openxmlformats.org/officeDocument/2006/relationships/hyperlink" Target="https://ui.adsabs.harvard.edu/abs/2004A%26A...424..603N/abstract" TargetMode="External"/><Relationship Id="rId935" Type="http://schemas.openxmlformats.org/officeDocument/2006/relationships/hyperlink" Target="https://ui.adsabs.harvard.edu/abs/2004A%26A...424..603N/abstract" TargetMode="External"/><Relationship Id="rId934" Type="http://schemas.openxmlformats.org/officeDocument/2006/relationships/hyperlink" Target="https://ui.adsabs.harvard.edu/abs/2004A%26A...424..603N/abstract" TargetMode="External"/><Relationship Id="rId933" Type="http://schemas.openxmlformats.org/officeDocument/2006/relationships/hyperlink" Target="https://ui.adsabs.harvard.edu/abs/2004A%26A...424..603N/abstract" TargetMode="External"/><Relationship Id="rId62" Type="http://schemas.openxmlformats.org/officeDocument/2006/relationships/hyperlink" Target="https://ui.adsabs.harvard.edu/abs/2005ApJ...626..498M/abstract" TargetMode="External"/><Relationship Id="rId1312" Type="http://schemas.openxmlformats.org/officeDocument/2006/relationships/hyperlink" Target="https://ui.adsabs.harvard.edu/abs/2013ApJ...769...21S/abstract" TargetMode="External"/><Relationship Id="rId61" Type="http://schemas.openxmlformats.org/officeDocument/2006/relationships/hyperlink" Target="https://ui.adsabs.harvard.edu/abs/2003ApJ...592..266M/abstract" TargetMode="External"/><Relationship Id="rId1313" Type="http://schemas.openxmlformats.org/officeDocument/2006/relationships/hyperlink" Target="https://ui.adsabs.harvard.edu/abs/2013ApJ...769...21S/abstract" TargetMode="External"/><Relationship Id="rId64" Type="http://schemas.openxmlformats.org/officeDocument/2006/relationships/hyperlink" Target="https://ui.adsabs.harvard.edu/abs/2005ApJ...626..498M/abstract" TargetMode="External"/><Relationship Id="rId1314" Type="http://schemas.openxmlformats.org/officeDocument/2006/relationships/hyperlink" Target="https://ui.adsabs.harvard.edu/abs/2013ApJ...769...21S/abstract" TargetMode="External"/><Relationship Id="rId63" Type="http://schemas.openxmlformats.org/officeDocument/2006/relationships/hyperlink" Target="https://ui.adsabs.harvard.edu/abs/2003ApJ...592..266M/abstract" TargetMode="External"/><Relationship Id="rId1315" Type="http://schemas.openxmlformats.org/officeDocument/2006/relationships/hyperlink" Target="https://arxiv.org/pdf/2011.08622.pdf" TargetMode="External"/><Relationship Id="rId66" Type="http://schemas.openxmlformats.org/officeDocument/2006/relationships/hyperlink" Target="https://ui.adsabs.harvard.edu/abs/2005ApJ...626..498M/abstract" TargetMode="External"/><Relationship Id="rId1316" Type="http://schemas.openxmlformats.org/officeDocument/2006/relationships/hyperlink" Target="https://ui.adsabs.harvard.edu/abs/2013ApJ...769...21S/abstract" TargetMode="External"/><Relationship Id="rId65" Type="http://schemas.openxmlformats.org/officeDocument/2006/relationships/hyperlink" Target="https://ui.adsabs.harvard.edu/abs/2018ApJ...858...41Z/abstract" TargetMode="External"/><Relationship Id="rId1317" Type="http://schemas.openxmlformats.org/officeDocument/2006/relationships/hyperlink" Target="https://ui.adsabs.harvard.edu/abs/2013ApJ...769...21S/abstract" TargetMode="External"/><Relationship Id="rId68" Type="http://schemas.openxmlformats.org/officeDocument/2006/relationships/hyperlink" Target="https://ui.adsabs.harvard.edu/abs/2005ApJ...626..498M/abstract" TargetMode="External"/><Relationship Id="rId1318" Type="http://schemas.openxmlformats.org/officeDocument/2006/relationships/hyperlink" Target="https://ui.adsabs.harvard.edu/abs/2013ApJ...769...21S/abstract" TargetMode="External"/><Relationship Id="rId67" Type="http://schemas.openxmlformats.org/officeDocument/2006/relationships/hyperlink" Target="https://ui.adsabs.harvard.edu/abs/2018ApJ...858...41Z/abstract" TargetMode="External"/><Relationship Id="rId1319" Type="http://schemas.openxmlformats.org/officeDocument/2006/relationships/hyperlink" Target="https://ui.adsabs.harvard.edu/abs/2013ApJ...769...21S/abstract" TargetMode="External"/><Relationship Id="rId729" Type="http://schemas.openxmlformats.org/officeDocument/2006/relationships/hyperlink" Target="https://ui.adsabs.harvard.edu/abs/2015MNRAS.453.1026K/abstract" TargetMode="External"/><Relationship Id="rId728" Type="http://schemas.openxmlformats.org/officeDocument/2006/relationships/hyperlink" Target="https://ui.adsabs.harvard.edu/abs/2015MNRAS.453.1026K/abstract" TargetMode="External"/><Relationship Id="rId60" Type="http://schemas.openxmlformats.org/officeDocument/2006/relationships/hyperlink" Target="https://ui.adsabs.harvard.edu/abs/2005ApJ...626..498M/abstract" TargetMode="External"/><Relationship Id="rId723" Type="http://schemas.openxmlformats.org/officeDocument/2006/relationships/hyperlink" Target="https://ui.adsabs.harvard.edu/abs/2015MNRAS.453.1026K/abstract" TargetMode="External"/><Relationship Id="rId965" Type="http://schemas.openxmlformats.org/officeDocument/2006/relationships/hyperlink" Target="https://ui.adsabs.harvard.edu/abs/2006A%26A...460..547G/abstract" TargetMode="External"/><Relationship Id="rId722" Type="http://schemas.openxmlformats.org/officeDocument/2006/relationships/hyperlink" Target="https://ui.adsabs.harvard.edu/abs/2015MNRAS.453.1026K/abstract" TargetMode="External"/><Relationship Id="rId964" Type="http://schemas.openxmlformats.org/officeDocument/2006/relationships/hyperlink" Target="https://ui.adsabs.harvard.edu/abs/2006A%26A...460..547G/abstract" TargetMode="External"/><Relationship Id="rId721" Type="http://schemas.openxmlformats.org/officeDocument/2006/relationships/hyperlink" Target="https://ui.adsabs.harvard.edu/abs/2015MNRAS.453.1026K/abstract" TargetMode="External"/><Relationship Id="rId963" Type="http://schemas.openxmlformats.org/officeDocument/2006/relationships/hyperlink" Target="https://ui.adsabs.harvard.edu/abs/2006A%26A...460..547G/abstract" TargetMode="External"/><Relationship Id="rId720" Type="http://schemas.openxmlformats.org/officeDocument/2006/relationships/hyperlink" Target="https://ui.adsabs.harvard.edu/abs/2015MNRAS.453.1026K/abstract" TargetMode="External"/><Relationship Id="rId962" Type="http://schemas.openxmlformats.org/officeDocument/2006/relationships/hyperlink" Target="https://ui.adsabs.harvard.edu/abs/2006A%26A...452..245N/abstract" TargetMode="External"/><Relationship Id="rId727" Type="http://schemas.openxmlformats.org/officeDocument/2006/relationships/hyperlink" Target="https://ui.adsabs.harvard.edu/abs/2015MNRAS.453.1026K/abstract" TargetMode="External"/><Relationship Id="rId969" Type="http://schemas.openxmlformats.org/officeDocument/2006/relationships/hyperlink" Target="https://ui.adsabs.harvard.edu/abs/2006A%26A...460..547G/abstract" TargetMode="External"/><Relationship Id="rId726" Type="http://schemas.openxmlformats.org/officeDocument/2006/relationships/hyperlink" Target="https://ui.adsabs.harvard.edu/abs/2015MNRAS.453.1026K/abstract" TargetMode="External"/><Relationship Id="rId968" Type="http://schemas.openxmlformats.org/officeDocument/2006/relationships/hyperlink" Target="https://ui.adsabs.harvard.edu/abs/2006A%26A...460..547G/abstract" TargetMode="External"/><Relationship Id="rId725" Type="http://schemas.openxmlformats.org/officeDocument/2006/relationships/hyperlink" Target="https://ui.adsabs.harvard.edu/abs/2015MNRAS.453.1026K/abstract" TargetMode="External"/><Relationship Id="rId967" Type="http://schemas.openxmlformats.org/officeDocument/2006/relationships/hyperlink" Target="https://ui.adsabs.harvard.edu/abs/2006A%26A...460..547G/abstract" TargetMode="External"/><Relationship Id="rId724" Type="http://schemas.openxmlformats.org/officeDocument/2006/relationships/hyperlink" Target="https://ui.adsabs.harvard.edu/abs/2015MNRAS.453.1026K/abstract" TargetMode="External"/><Relationship Id="rId966" Type="http://schemas.openxmlformats.org/officeDocument/2006/relationships/hyperlink" Target="https://ui.adsabs.harvard.edu/abs/2006A%26A...460..547G/abstract" TargetMode="External"/><Relationship Id="rId69" Type="http://schemas.openxmlformats.org/officeDocument/2006/relationships/hyperlink" Target="https://ui.adsabs.harvard.edu/abs/2005ApJ...626..498M/abstract" TargetMode="External"/><Relationship Id="rId961" Type="http://schemas.openxmlformats.org/officeDocument/2006/relationships/hyperlink" Target="https://ui.adsabs.harvard.edu/abs/2006A%26A...452..245N/abstract" TargetMode="External"/><Relationship Id="rId960" Type="http://schemas.openxmlformats.org/officeDocument/2006/relationships/hyperlink" Target="https://ui.adsabs.harvard.edu/abs/2004A%26A...424..603N/abstract" TargetMode="External"/><Relationship Id="rId1310" Type="http://schemas.openxmlformats.org/officeDocument/2006/relationships/hyperlink" Target="https://ui.adsabs.harvard.edu/abs/2013ApJ...769...21S/abstract" TargetMode="External"/><Relationship Id="rId1311" Type="http://schemas.openxmlformats.org/officeDocument/2006/relationships/hyperlink" Target="https://ui.adsabs.harvard.edu/abs/2013ApJ...769...21S/abstract" TargetMode="External"/><Relationship Id="rId51" Type="http://schemas.openxmlformats.org/officeDocument/2006/relationships/hyperlink" Target="https://ui.adsabs.harvard.edu/abs/2013AJ....145...66F/abstract" TargetMode="External"/><Relationship Id="rId1301" Type="http://schemas.openxmlformats.org/officeDocument/2006/relationships/hyperlink" Target="https://ui.adsabs.harvard.edu/abs/2013ApJ...769...21S/abstract" TargetMode="External"/><Relationship Id="rId50" Type="http://schemas.openxmlformats.org/officeDocument/2006/relationships/hyperlink" Target="https://ui.adsabs.harvard.edu/abs/2005ApJ...626..498M/abstract" TargetMode="External"/><Relationship Id="rId1302" Type="http://schemas.openxmlformats.org/officeDocument/2006/relationships/hyperlink" Target="https://ui.adsabs.harvard.edu/abs/2013ApJ...769...21S/abstract" TargetMode="External"/><Relationship Id="rId53" Type="http://schemas.openxmlformats.org/officeDocument/2006/relationships/hyperlink" Target="https://ui.adsabs.harvard.edu/abs/2018ApJ...858...41Z/abstract" TargetMode="External"/><Relationship Id="rId1303" Type="http://schemas.openxmlformats.org/officeDocument/2006/relationships/hyperlink" Target="https://ui.adsabs.harvard.edu/abs/2013ApJ...769...21S/abstract" TargetMode="External"/><Relationship Id="rId52" Type="http://schemas.openxmlformats.org/officeDocument/2006/relationships/hyperlink" Target="https://ui.adsabs.harvard.edu/abs/2005ApJ...626..498M/abstract" TargetMode="External"/><Relationship Id="rId1304" Type="http://schemas.openxmlformats.org/officeDocument/2006/relationships/hyperlink" Target="https://ui.adsabs.harvard.edu/abs/2013ApJ...769...21S/abstract" TargetMode="External"/><Relationship Id="rId55" Type="http://schemas.openxmlformats.org/officeDocument/2006/relationships/hyperlink" Target="https://ui.adsabs.harvard.edu/abs/2018ApJ...858...41Z/abstract" TargetMode="External"/><Relationship Id="rId1305" Type="http://schemas.openxmlformats.org/officeDocument/2006/relationships/hyperlink" Target="https://ui.adsabs.harvard.edu/abs/2013ApJ...769...21S/abstract" TargetMode="External"/><Relationship Id="rId54" Type="http://schemas.openxmlformats.org/officeDocument/2006/relationships/hyperlink" Target="https://ui.adsabs.harvard.edu/abs/2005ApJ...626..498M/abstract" TargetMode="External"/><Relationship Id="rId1306" Type="http://schemas.openxmlformats.org/officeDocument/2006/relationships/hyperlink" Target="https://ui.adsabs.harvard.edu/abs/2013ApJ...769...21S/abstract" TargetMode="External"/><Relationship Id="rId57" Type="http://schemas.openxmlformats.org/officeDocument/2006/relationships/hyperlink" Target="https://ui.adsabs.harvard.edu/abs/2002A%26A...393..597N/abstract" TargetMode="External"/><Relationship Id="rId1307" Type="http://schemas.openxmlformats.org/officeDocument/2006/relationships/hyperlink" Target="https://ui.adsabs.harvard.edu/abs/2013ApJ...769...21S/abstract" TargetMode="External"/><Relationship Id="rId56" Type="http://schemas.openxmlformats.org/officeDocument/2006/relationships/hyperlink" Target="https://ui.adsabs.harvard.edu/abs/2005ApJ...626..498M/abstract" TargetMode="External"/><Relationship Id="rId1308" Type="http://schemas.openxmlformats.org/officeDocument/2006/relationships/hyperlink" Target="https://ui.adsabs.harvard.edu/abs/2013ApJ...769...21S/abstract" TargetMode="External"/><Relationship Id="rId1309" Type="http://schemas.openxmlformats.org/officeDocument/2006/relationships/hyperlink" Target="https://ui.adsabs.harvard.edu/abs/2013ApJ...769...21S/abstract" TargetMode="External"/><Relationship Id="rId719" Type="http://schemas.openxmlformats.org/officeDocument/2006/relationships/hyperlink" Target="https://ui.adsabs.harvard.edu/abs/2015MNRAS.453.1026K/abstract" TargetMode="External"/><Relationship Id="rId718" Type="http://schemas.openxmlformats.org/officeDocument/2006/relationships/hyperlink" Target="https://ui.adsabs.harvard.edu/abs/2015MNRAS.453.1026K/abstract" TargetMode="External"/><Relationship Id="rId717" Type="http://schemas.openxmlformats.org/officeDocument/2006/relationships/hyperlink" Target="https://ui.adsabs.harvard.edu/abs/2015MNRAS.453.1026K/abstract" TargetMode="External"/><Relationship Id="rId959" Type="http://schemas.openxmlformats.org/officeDocument/2006/relationships/hyperlink" Target="https://ui.adsabs.harvard.edu/abs/2004A%26A...424..603N/abstract" TargetMode="External"/><Relationship Id="rId712" Type="http://schemas.openxmlformats.org/officeDocument/2006/relationships/hyperlink" Target="https://ui.adsabs.harvard.edu/abs/2015MNRAS.453.1026K/abstract" TargetMode="External"/><Relationship Id="rId954" Type="http://schemas.openxmlformats.org/officeDocument/2006/relationships/hyperlink" Target="https://ui.adsabs.harvard.edu/abs/2004A%26A...424..603N/abstract" TargetMode="External"/><Relationship Id="rId711" Type="http://schemas.openxmlformats.org/officeDocument/2006/relationships/hyperlink" Target="https://ui.adsabs.harvard.edu/abs/2015MNRAS.453.1026K/abstract" TargetMode="External"/><Relationship Id="rId953" Type="http://schemas.openxmlformats.org/officeDocument/2006/relationships/hyperlink" Target="https://ui.adsabs.harvard.edu/abs/2004A%26A...424..603N/abstract" TargetMode="External"/><Relationship Id="rId710" Type="http://schemas.openxmlformats.org/officeDocument/2006/relationships/hyperlink" Target="https://ui.adsabs.harvard.edu/abs/2015MNRAS.453.1026K/abstract" TargetMode="External"/><Relationship Id="rId952" Type="http://schemas.openxmlformats.org/officeDocument/2006/relationships/hyperlink" Target="https://ui.adsabs.harvard.edu/abs/2004A%26A...424..603N/abstract" TargetMode="External"/><Relationship Id="rId951" Type="http://schemas.openxmlformats.org/officeDocument/2006/relationships/hyperlink" Target="https://ui.adsabs.harvard.edu/abs/2004A%26A...424..603N/abstract" TargetMode="External"/><Relationship Id="rId716" Type="http://schemas.openxmlformats.org/officeDocument/2006/relationships/hyperlink" Target="https://ui.adsabs.harvard.edu/abs/2015MNRAS.453.1026K/abstract" TargetMode="External"/><Relationship Id="rId958" Type="http://schemas.openxmlformats.org/officeDocument/2006/relationships/hyperlink" Target="https://ui.adsabs.harvard.edu/abs/2004A%26A...424..603N/abstract" TargetMode="External"/><Relationship Id="rId715" Type="http://schemas.openxmlformats.org/officeDocument/2006/relationships/hyperlink" Target="https://ui.adsabs.harvard.edu/abs/2015MNRAS.453.1026K/abstract" TargetMode="External"/><Relationship Id="rId957" Type="http://schemas.openxmlformats.org/officeDocument/2006/relationships/hyperlink" Target="https://ui.adsabs.harvard.edu/abs/2004A%26A...424..603N/abstract" TargetMode="External"/><Relationship Id="rId714" Type="http://schemas.openxmlformats.org/officeDocument/2006/relationships/hyperlink" Target="https://ui.adsabs.harvard.edu/abs/2015MNRAS.453.1026K/abstract" TargetMode="External"/><Relationship Id="rId956" Type="http://schemas.openxmlformats.org/officeDocument/2006/relationships/hyperlink" Target="https://ui.adsabs.harvard.edu/abs/2004A%26A...424..603N/abstract" TargetMode="External"/><Relationship Id="rId713" Type="http://schemas.openxmlformats.org/officeDocument/2006/relationships/hyperlink" Target="https://ui.adsabs.harvard.edu/abs/2015MNRAS.453.1026K/abstract" TargetMode="External"/><Relationship Id="rId955" Type="http://schemas.openxmlformats.org/officeDocument/2006/relationships/hyperlink" Target="https://ui.adsabs.harvard.edu/abs/2004A%26A...424..603N/abstract" TargetMode="External"/><Relationship Id="rId59" Type="http://schemas.openxmlformats.org/officeDocument/2006/relationships/hyperlink" Target="https://ui.adsabs.harvard.edu/abs/2002A%26A...393..597N/abstract" TargetMode="External"/><Relationship Id="rId58" Type="http://schemas.openxmlformats.org/officeDocument/2006/relationships/hyperlink" Target="https://ui.adsabs.harvard.edu/abs/2005ApJ...626..498M/abstract" TargetMode="External"/><Relationship Id="rId950" Type="http://schemas.openxmlformats.org/officeDocument/2006/relationships/hyperlink" Target="https://ui.adsabs.harvard.edu/abs/2006A%26A...460..547G/abstract" TargetMode="External"/><Relationship Id="rId1300" Type="http://schemas.openxmlformats.org/officeDocument/2006/relationships/hyperlink" Target="https://ui.adsabs.harvard.edu/abs/2013ApJ...769...21S/abstract" TargetMode="External"/><Relationship Id="rId590" Type="http://schemas.openxmlformats.org/officeDocument/2006/relationships/hyperlink" Target="https://ui.adsabs.harvard.edu/abs/2015ApJ...800..113K/abstract" TargetMode="External"/><Relationship Id="rId107" Type="http://schemas.openxmlformats.org/officeDocument/2006/relationships/hyperlink" Target="https://ui.adsabs.harvard.edu/abs/2018ApJ...858...41Z/abstract" TargetMode="External"/><Relationship Id="rId349" Type="http://schemas.openxmlformats.org/officeDocument/2006/relationships/hyperlink" Target="https://ui.adsabs.harvard.edu/abs/2017A%26A...600A..20A/abstract" TargetMode="External"/><Relationship Id="rId106" Type="http://schemas.openxmlformats.org/officeDocument/2006/relationships/hyperlink" Target="https://ui.adsabs.harvard.edu/abs/2005ApJ...626..498M/abstract" TargetMode="External"/><Relationship Id="rId348" Type="http://schemas.openxmlformats.org/officeDocument/2006/relationships/hyperlink" Target="https://ui.adsabs.harvard.edu/abs/2017A%26A...600A..20A/abstract" TargetMode="External"/><Relationship Id="rId105" Type="http://schemas.openxmlformats.org/officeDocument/2006/relationships/hyperlink" Target="https://ui.adsabs.harvard.edu/abs/2003ApJ...592..266M/abstract" TargetMode="External"/><Relationship Id="rId347" Type="http://schemas.openxmlformats.org/officeDocument/2006/relationships/hyperlink" Target="https://ui.adsabs.harvard.edu/abs/2017A%26A...600A..20A/abstract" TargetMode="External"/><Relationship Id="rId589" Type="http://schemas.openxmlformats.org/officeDocument/2006/relationships/hyperlink" Target="https://ui.adsabs.harvard.edu/abs/2015MNRAS.453.1026K/abstract" TargetMode="External"/><Relationship Id="rId104" Type="http://schemas.openxmlformats.org/officeDocument/2006/relationships/hyperlink" Target="https://ui.adsabs.harvard.edu/abs/2005ApJ...626..498M/abstract" TargetMode="External"/><Relationship Id="rId346" Type="http://schemas.openxmlformats.org/officeDocument/2006/relationships/hyperlink" Target="https://ui.adsabs.harvard.edu/abs/2017A%26A...600A..20A/abstract" TargetMode="External"/><Relationship Id="rId588" Type="http://schemas.openxmlformats.org/officeDocument/2006/relationships/hyperlink" Target="https://ui.adsabs.harvard.edu/abs/2015ApJ...800..113K/abstract" TargetMode="External"/><Relationship Id="rId109" Type="http://schemas.openxmlformats.org/officeDocument/2006/relationships/hyperlink" Target="https://ui.adsabs.harvard.edu/abs/2018ApJ...858...41Z/abstract" TargetMode="External"/><Relationship Id="rId1170" Type="http://schemas.openxmlformats.org/officeDocument/2006/relationships/hyperlink" Target="https://ui.adsabs.harvard.edu/abs/2006A%26A...452..245N/abstract" TargetMode="External"/><Relationship Id="rId108" Type="http://schemas.openxmlformats.org/officeDocument/2006/relationships/hyperlink" Target="https://ui.adsabs.harvard.edu/abs/2005ApJ...626..498M/abstract" TargetMode="External"/><Relationship Id="rId1171" Type="http://schemas.openxmlformats.org/officeDocument/2006/relationships/hyperlink" Target="https://ui.adsabs.harvard.edu/abs/2006A%26A...452..245N/abstract" TargetMode="External"/><Relationship Id="rId341" Type="http://schemas.openxmlformats.org/officeDocument/2006/relationships/hyperlink" Target="https://ui.adsabs.harvard.edu/abs/2017A%26A...600A..20A/abstract" TargetMode="External"/><Relationship Id="rId583" Type="http://schemas.openxmlformats.org/officeDocument/2006/relationships/hyperlink" Target="https://ui.adsabs.harvard.edu/abs/2020A%26A...633A.124P/abstract" TargetMode="External"/><Relationship Id="rId1172" Type="http://schemas.openxmlformats.org/officeDocument/2006/relationships/hyperlink" Target="https://ui.adsabs.harvard.edu/abs/2006A%26A...452..245N/abstract" TargetMode="External"/><Relationship Id="rId340" Type="http://schemas.openxmlformats.org/officeDocument/2006/relationships/hyperlink" Target="https://ui.adsabs.harvard.edu/abs/2017A%26A...600A..20A/abstract" TargetMode="External"/><Relationship Id="rId582" Type="http://schemas.openxmlformats.org/officeDocument/2006/relationships/hyperlink" Target="https://ui.adsabs.harvard.edu/abs/2020A%26A...633A.124P/abstract" TargetMode="External"/><Relationship Id="rId1173" Type="http://schemas.openxmlformats.org/officeDocument/2006/relationships/hyperlink" Target="https://ui.adsabs.harvard.edu/abs/2006A%26A...452..245N/abstract" TargetMode="External"/><Relationship Id="rId581" Type="http://schemas.openxmlformats.org/officeDocument/2006/relationships/hyperlink" Target="https://ui.adsabs.harvard.edu/abs/2020A%26A...633A.124P/abstract" TargetMode="External"/><Relationship Id="rId1174" Type="http://schemas.openxmlformats.org/officeDocument/2006/relationships/hyperlink" Target="https://ui.adsabs.harvard.edu/abs/2006A%26A...452..245N/abstract" TargetMode="External"/><Relationship Id="rId580" Type="http://schemas.openxmlformats.org/officeDocument/2006/relationships/hyperlink" Target="https://ui.adsabs.harvard.edu/abs/2020A%26A...633A.124P/abstract" TargetMode="External"/><Relationship Id="rId1175" Type="http://schemas.openxmlformats.org/officeDocument/2006/relationships/hyperlink" Target="https://ui.adsabs.harvard.edu/abs/2006A%26A...452..245N/abstract" TargetMode="External"/><Relationship Id="rId103" Type="http://schemas.openxmlformats.org/officeDocument/2006/relationships/hyperlink" Target="https://ui.adsabs.harvard.edu/abs/2003ApJ...592..266M/abstract" TargetMode="External"/><Relationship Id="rId345" Type="http://schemas.openxmlformats.org/officeDocument/2006/relationships/hyperlink" Target="https://ui.adsabs.harvard.edu/abs/2017A%26A...600A..20A/abstract" TargetMode="External"/><Relationship Id="rId587" Type="http://schemas.openxmlformats.org/officeDocument/2006/relationships/hyperlink" Target="https://ui.adsabs.harvard.edu/abs/2015MNRAS.453.1026K/abstract" TargetMode="External"/><Relationship Id="rId1176" Type="http://schemas.openxmlformats.org/officeDocument/2006/relationships/hyperlink" Target="https://ui.adsabs.harvard.edu/abs/2006A%26A...452..245N/abstract" TargetMode="External"/><Relationship Id="rId102" Type="http://schemas.openxmlformats.org/officeDocument/2006/relationships/hyperlink" Target="https://ui.adsabs.harvard.edu/abs/2005ApJ...626..498M/abstract" TargetMode="External"/><Relationship Id="rId344" Type="http://schemas.openxmlformats.org/officeDocument/2006/relationships/hyperlink" Target="https://ui.adsabs.harvard.edu/abs/2017A%26A...600A..20A/abstract" TargetMode="External"/><Relationship Id="rId586" Type="http://schemas.openxmlformats.org/officeDocument/2006/relationships/hyperlink" Target="https://ui.adsabs.harvard.edu/abs/2015A%26A...579A..66M/abstract" TargetMode="External"/><Relationship Id="rId1177" Type="http://schemas.openxmlformats.org/officeDocument/2006/relationships/hyperlink" Target="https://ui.adsabs.harvard.edu/abs/2006A%26A...452..245N/abstract" TargetMode="External"/><Relationship Id="rId101" Type="http://schemas.openxmlformats.org/officeDocument/2006/relationships/hyperlink" Target="https://ui.adsabs.harvard.edu/abs/2004A%26A...424..603N/abstract" TargetMode="External"/><Relationship Id="rId343" Type="http://schemas.openxmlformats.org/officeDocument/2006/relationships/hyperlink" Target="https://ui.adsabs.harvard.edu/abs/2017A%26A...600A..20A/abstract" TargetMode="External"/><Relationship Id="rId585" Type="http://schemas.openxmlformats.org/officeDocument/2006/relationships/hyperlink" Target="https://ui.adsabs.harvard.edu/abs/2015A%26A...579A..66M/abstract" TargetMode="External"/><Relationship Id="rId1178" Type="http://schemas.openxmlformats.org/officeDocument/2006/relationships/hyperlink" Target="https://ui.adsabs.harvard.edu/abs/2006A%26A...452..245N/abstract" TargetMode="External"/><Relationship Id="rId100" Type="http://schemas.openxmlformats.org/officeDocument/2006/relationships/hyperlink" Target="https://ui.adsabs.harvard.edu/abs/2005ApJ...626..498M/abstract" TargetMode="External"/><Relationship Id="rId342" Type="http://schemas.openxmlformats.org/officeDocument/2006/relationships/hyperlink" Target="https://ui.adsabs.harvard.edu/abs/2017A%26A...600A..20A/abstract" TargetMode="External"/><Relationship Id="rId584" Type="http://schemas.openxmlformats.org/officeDocument/2006/relationships/hyperlink" Target="https://ui.adsabs.harvard.edu/abs/2020A%26A...633A.124P/abstract" TargetMode="External"/><Relationship Id="rId1179" Type="http://schemas.openxmlformats.org/officeDocument/2006/relationships/hyperlink" Target="https://ui.adsabs.harvard.edu/abs/2006A%26A...452..245N/abstract" TargetMode="External"/><Relationship Id="rId1169" Type="http://schemas.openxmlformats.org/officeDocument/2006/relationships/hyperlink" Target="https://ui.adsabs.harvard.edu/abs/2006A%26A...452..245N/abstract" TargetMode="External"/><Relationship Id="rId338" Type="http://schemas.openxmlformats.org/officeDocument/2006/relationships/hyperlink" Target="https://ui.adsabs.harvard.edu/abs/2017A%26A...600A..20A/abstract" TargetMode="External"/><Relationship Id="rId337" Type="http://schemas.openxmlformats.org/officeDocument/2006/relationships/hyperlink" Target="https://ui.adsabs.harvard.edu/abs/2017A%26A...600A..20A/abstract" TargetMode="External"/><Relationship Id="rId579" Type="http://schemas.openxmlformats.org/officeDocument/2006/relationships/hyperlink" Target="https://ui.adsabs.harvard.edu/abs/2021yCat.2367....0M/abstract" TargetMode="External"/><Relationship Id="rId336" Type="http://schemas.openxmlformats.org/officeDocument/2006/relationships/hyperlink" Target="https://ui.adsabs.harvard.edu/abs/2017A%26A...600A..20A/abstract" TargetMode="External"/><Relationship Id="rId578" Type="http://schemas.openxmlformats.org/officeDocument/2006/relationships/hyperlink" Target="https://ui.adsabs.harvard.edu/abs/2020A%26A...633A.124P/abstract" TargetMode="External"/><Relationship Id="rId335" Type="http://schemas.openxmlformats.org/officeDocument/2006/relationships/hyperlink" Target="https://ui.adsabs.harvard.edu/abs/2017A%26A...600A..20A/abstract" TargetMode="External"/><Relationship Id="rId577" Type="http://schemas.openxmlformats.org/officeDocument/2006/relationships/hyperlink" Target="https://ui.adsabs.harvard.edu/abs/2021yCat.2367....0M/abstract" TargetMode="External"/><Relationship Id="rId339" Type="http://schemas.openxmlformats.org/officeDocument/2006/relationships/hyperlink" Target="https://ui.adsabs.harvard.edu/abs/2017A%26A...600A..20A/abstract" TargetMode="External"/><Relationship Id="rId1160" Type="http://schemas.openxmlformats.org/officeDocument/2006/relationships/hyperlink" Target="https://ui.adsabs.harvard.edu/abs/2006A%26A...452..245N/abstract" TargetMode="External"/><Relationship Id="rId330" Type="http://schemas.openxmlformats.org/officeDocument/2006/relationships/hyperlink" Target="https://ui.adsabs.harvard.edu/abs/2017A%26A...600A..20A/abstract" TargetMode="External"/><Relationship Id="rId572" Type="http://schemas.openxmlformats.org/officeDocument/2006/relationships/hyperlink" Target="https://ui.adsabs.harvard.edu/abs/2020A%26A...633A.124P/abstract" TargetMode="External"/><Relationship Id="rId1161" Type="http://schemas.openxmlformats.org/officeDocument/2006/relationships/hyperlink" Target="https://ui.adsabs.harvard.edu/abs/2006A%26A...460..547G/abstract" TargetMode="External"/><Relationship Id="rId571" Type="http://schemas.openxmlformats.org/officeDocument/2006/relationships/hyperlink" Target="https://ui.adsabs.harvard.edu/abs/2020A%26A...633A.124P/abstract" TargetMode="External"/><Relationship Id="rId1162" Type="http://schemas.openxmlformats.org/officeDocument/2006/relationships/hyperlink" Target="https://ui.adsabs.harvard.edu/abs/2006A%26A...460..547G/abstract" TargetMode="External"/><Relationship Id="rId570" Type="http://schemas.openxmlformats.org/officeDocument/2006/relationships/hyperlink" Target="https://ui.adsabs.harvard.edu/abs/2020A%26A...633A.124P/abstract" TargetMode="External"/><Relationship Id="rId1163" Type="http://schemas.openxmlformats.org/officeDocument/2006/relationships/hyperlink" Target="https://ui.adsabs.harvard.edu/abs/2006A%26A...452..245N/abstract" TargetMode="External"/><Relationship Id="rId1164" Type="http://schemas.openxmlformats.org/officeDocument/2006/relationships/hyperlink" Target="https://ui.adsabs.harvard.edu/abs/2006A%26A...452..245N/abstract" TargetMode="External"/><Relationship Id="rId334" Type="http://schemas.openxmlformats.org/officeDocument/2006/relationships/hyperlink" Target="https://ui.adsabs.harvard.edu/abs/2017A%26A...600A..20A/abstract" TargetMode="External"/><Relationship Id="rId576" Type="http://schemas.openxmlformats.org/officeDocument/2006/relationships/hyperlink" Target="https://ui.adsabs.harvard.edu/abs/2020A%26A...633A.124P/abstract" TargetMode="External"/><Relationship Id="rId1165" Type="http://schemas.openxmlformats.org/officeDocument/2006/relationships/hyperlink" Target="https://ui.adsabs.harvard.edu/abs/2006A%26A...452..245N/abstract" TargetMode="External"/><Relationship Id="rId333" Type="http://schemas.openxmlformats.org/officeDocument/2006/relationships/hyperlink" Target="https://ui.adsabs.harvard.edu/abs/2017A%26A...600A..20A/abstract" TargetMode="External"/><Relationship Id="rId575" Type="http://schemas.openxmlformats.org/officeDocument/2006/relationships/hyperlink" Target="https://ui.adsabs.harvard.edu/abs/2021yCat.2367....0M/abstract" TargetMode="External"/><Relationship Id="rId1166" Type="http://schemas.openxmlformats.org/officeDocument/2006/relationships/hyperlink" Target="https://ui.adsabs.harvard.edu/abs/2006A%26A...452..245N/abstract" TargetMode="External"/><Relationship Id="rId332" Type="http://schemas.openxmlformats.org/officeDocument/2006/relationships/hyperlink" Target="https://ui.adsabs.harvard.edu/abs/2017A%26A...600A..20A/abstract" TargetMode="External"/><Relationship Id="rId574" Type="http://schemas.openxmlformats.org/officeDocument/2006/relationships/hyperlink" Target="https://ui.adsabs.harvard.edu/abs/2020A%26A...633A.124P/abstract" TargetMode="External"/><Relationship Id="rId1167" Type="http://schemas.openxmlformats.org/officeDocument/2006/relationships/hyperlink" Target="https://ui.adsabs.harvard.edu/abs/2006A%26A...452..245N/abstract" TargetMode="External"/><Relationship Id="rId331" Type="http://schemas.openxmlformats.org/officeDocument/2006/relationships/hyperlink" Target="https://ui.adsabs.harvard.edu/abs/2017A%26A...600A..20A/abstract" TargetMode="External"/><Relationship Id="rId573" Type="http://schemas.openxmlformats.org/officeDocument/2006/relationships/hyperlink" Target="https://ui.adsabs.harvard.edu/abs/2021yCat.2367....0M/abstract" TargetMode="External"/><Relationship Id="rId1168" Type="http://schemas.openxmlformats.org/officeDocument/2006/relationships/hyperlink" Target="https://ui.adsabs.harvard.edu/abs/2006A%26A...452..245N/abstract" TargetMode="External"/><Relationship Id="rId370" Type="http://schemas.openxmlformats.org/officeDocument/2006/relationships/hyperlink" Target="https://ui.adsabs.harvard.edu/abs/2017A%26A...600A..20A/abstract" TargetMode="External"/><Relationship Id="rId129" Type="http://schemas.openxmlformats.org/officeDocument/2006/relationships/hyperlink" Target="https://iopscience.iop.org/article/10.1088/0004-637X/696/2/1589/pdf" TargetMode="External"/><Relationship Id="rId128" Type="http://schemas.openxmlformats.org/officeDocument/2006/relationships/hyperlink" Target="https://iopscience.iop.org/article/10.1088/0004-637X/696/2/1589/pdf" TargetMode="External"/><Relationship Id="rId127" Type="http://schemas.openxmlformats.org/officeDocument/2006/relationships/hyperlink" Target="https://ui.adsabs.harvard.edu/abs/2008ApJ...681..594H/abstract" TargetMode="External"/><Relationship Id="rId369" Type="http://schemas.openxmlformats.org/officeDocument/2006/relationships/hyperlink" Target="https://ui.adsabs.harvard.edu/abs/2017A%26A...600A..20A/abstract" TargetMode="External"/><Relationship Id="rId126" Type="http://schemas.openxmlformats.org/officeDocument/2006/relationships/hyperlink" Target="https://ui.adsabs.harvard.edu/abs/2008ApJ...681..594H/abstract" TargetMode="External"/><Relationship Id="rId368" Type="http://schemas.openxmlformats.org/officeDocument/2006/relationships/hyperlink" Target="https://ui.adsabs.harvard.edu/abs/2017A%26A...600A..20A/abstract" TargetMode="External"/><Relationship Id="rId1190" Type="http://schemas.openxmlformats.org/officeDocument/2006/relationships/hyperlink" Target="https://ui.adsabs.harvard.edu/abs/2006A%26A...452..245N/abstract" TargetMode="External"/><Relationship Id="rId1191" Type="http://schemas.openxmlformats.org/officeDocument/2006/relationships/hyperlink" Target="https://ui.adsabs.harvard.edu/abs/2013ApJ...769...21S/abstract" TargetMode="External"/><Relationship Id="rId1192" Type="http://schemas.openxmlformats.org/officeDocument/2006/relationships/hyperlink" Target="https://ui.adsabs.harvard.edu/abs/2013ApJ...769...21S/abstract" TargetMode="External"/><Relationship Id="rId1193" Type="http://schemas.openxmlformats.org/officeDocument/2006/relationships/hyperlink" Target="https://ui.adsabs.harvard.edu/abs/2013ApJ...769...21S/abstract" TargetMode="External"/><Relationship Id="rId121" Type="http://schemas.openxmlformats.org/officeDocument/2006/relationships/hyperlink" Target="http://vizier.u-strasbg.fr/viz-bin/VizieR-5?-ref=VIZ60b913edf97f9&amp;-out.add=.&amp;-source=J/ApJ/792/119/table12&amp;recno=51" TargetMode="External"/><Relationship Id="rId363" Type="http://schemas.openxmlformats.org/officeDocument/2006/relationships/hyperlink" Target="https://ui.adsabs.harvard.edu/abs/2017A%26A...600A..20A/abstract" TargetMode="External"/><Relationship Id="rId1194" Type="http://schemas.openxmlformats.org/officeDocument/2006/relationships/hyperlink" Target="https://ui.adsabs.harvard.edu/abs/2013ApJ...769...21S/abstract" TargetMode="External"/><Relationship Id="rId120" Type="http://schemas.openxmlformats.org/officeDocument/2006/relationships/hyperlink" Target="https://iopscience.iop.org/article/10.1088/0004-637X/696/2/1589/pdf" TargetMode="External"/><Relationship Id="rId362" Type="http://schemas.openxmlformats.org/officeDocument/2006/relationships/hyperlink" Target="https://ui.adsabs.harvard.edu/abs/2017A%26A...600A..20A/abstract" TargetMode="External"/><Relationship Id="rId1195" Type="http://schemas.openxmlformats.org/officeDocument/2006/relationships/hyperlink" Target="https://ui.adsabs.harvard.edu/abs/2013ApJ...769...21S/abstract" TargetMode="External"/><Relationship Id="rId361" Type="http://schemas.openxmlformats.org/officeDocument/2006/relationships/hyperlink" Target="https://ui.adsabs.harvard.edu/abs/2017A%26A...600A..20A/abstract" TargetMode="External"/><Relationship Id="rId1196" Type="http://schemas.openxmlformats.org/officeDocument/2006/relationships/hyperlink" Target="https://ui.adsabs.harvard.edu/abs/2013ApJ...769...21S/abstract" TargetMode="External"/><Relationship Id="rId360" Type="http://schemas.openxmlformats.org/officeDocument/2006/relationships/hyperlink" Target="https://ui.adsabs.harvard.edu/abs/2017A%26A...600A..20A/abstract" TargetMode="External"/><Relationship Id="rId1197" Type="http://schemas.openxmlformats.org/officeDocument/2006/relationships/hyperlink" Target="https://ui.adsabs.harvard.edu/abs/2013ApJ...769...21S/abstract" TargetMode="External"/><Relationship Id="rId125" Type="http://schemas.openxmlformats.org/officeDocument/2006/relationships/hyperlink" Target="https://ui.adsabs.harvard.edu/abs/2008ApJ...681..594H/abstract" TargetMode="External"/><Relationship Id="rId367" Type="http://schemas.openxmlformats.org/officeDocument/2006/relationships/hyperlink" Target="https://ui.adsabs.harvard.edu/abs/2017A%26A...600A..20A/abstract" TargetMode="External"/><Relationship Id="rId1198" Type="http://schemas.openxmlformats.org/officeDocument/2006/relationships/hyperlink" Target="https://ui.adsabs.harvard.edu/abs/2013ApJ...769...21S/abstract" TargetMode="External"/><Relationship Id="rId124" Type="http://schemas.openxmlformats.org/officeDocument/2006/relationships/hyperlink" Target="https://ui.adsabs.harvard.edu/abs/2008ApJ...681..594H/abstract" TargetMode="External"/><Relationship Id="rId366" Type="http://schemas.openxmlformats.org/officeDocument/2006/relationships/hyperlink" Target="https://ui.adsabs.harvard.edu/abs/2017A%26A...600A..20A/abstract" TargetMode="External"/><Relationship Id="rId1199" Type="http://schemas.openxmlformats.org/officeDocument/2006/relationships/hyperlink" Target="https://ui.adsabs.harvard.edu/abs/2013ApJ...769...21S/abstract" TargetMode="External"/><Relationship Id="rId123" Type="http://schemas.openxmlformats.org/officeDocument/2006/relationships/hyperlink" Target="https://ui.adsabs.harvard.edu/abs/2014ApJ...783L..17Z/abstract" TargetMode="External"/><Relationship Id="rId365" Type="http://schemas.openxmlformats.org/officeDocument/2006/relationships/hyperlink" Target="https://ui.adsabs.harvard.edu/abs/2017A%26A...600A..20A/abstract" TargetMode="External"/><Relationship Id="rId122" Type="http://schemas.openxmlformats.org/officeDocument/2006/relationships/hyperlink" Target="https://ui.adsabs.harvard.edu/abs/2014ApJ...786...97H/abstract" TargetMode="External"/><Relationship Id="rId364" Type="http://schemas.openxmlformats.org/officeDocument/2006/relationships/hyperlink" Target="https://ui.adsabs.harvard.edu/abs/2017A%26A...600A..20A/abstract" TargetMode="External"/><Relationship Id="rId95" Type="http://schemas.openxmlformats.org/officeDocument/2006/relationships/hyperlink" Target="https://ui.adsabs.harvard.edu/abs/2018ApJ...858...41Z/abstract" TargetMode="External"/><Relationship Id="rId94" Type="http://schemas.openxmlformats.org/officeDocument/2006/relationships/hyperlink" Target="https://ui.adsabs.harvard.edu/abs/2005ApJ...626..498M/abstract" TargetMode="External"/><Relationship Id="rId97" Type="http://schemas.openxmlformats.org/officeDocument/2006/relationships/hyperlink" Target="https://ui.adsabs.harvard.edu/abs/2018ApJ...858...41Z/abstract" TargetMode="External"/><Relationship Id="rId96" Type="http://schemas.openxmlformats.org/officeDocument/2006/relationships/hyperlink" Target="https://ui.adsabs.harvard.edu/abs/2005ApJ...626..498M/abstract" TargetMode="External"/><Relationship Id="rId99" Type="http://schemas.openxmlformats.org/officeDocument/2006/relationships/hyperlink" Target="https://ui.adsabs.harvard.edu/abs/2004A%26A...424..603N/abstract" TargetMode="External"/><Relationship Id="rId98" Type="http://schemas.openxmlformats.org/officeDocument/2006/relationships/hyperlink" Target="https://ui.adsabs.harvard.edu/abs/2005ApJ...626..498M/abstract" TargetMode="External"/><Relationship Id="rId91" Type="http://schemas.openxmlformats.org/officeDocument/2006/relationships/hyperlink" Target="https://ui.adsabs.harvard.edu/abs/2013AJ....145...66F/abstract" TargetMode="External"/><Relationship Id="rId90" Type="http://schemas.openxmlformats.org/officeDocument/2006/relationships/hyperlink" Target="https://ui.adsabs.harvard.edu/abs/2005ApJ...626..498M/abstract" TargetMode="External"/><Relationship Id="rId93" Type="http://schemas.openxmlformats.org/officeDocument/2006/relationships/hyperlink" Target="https://ui.adsabs.harvard.edu/abs/2013AJ....145...66F/abstract" TargetMode="External"/><Relationship Id="rId92" Type="http://schemas.openxmlformats.org/officeDocument/2006/relationships/hyperlink" Target="https://ui.adsabs.harvard.edu/abs/2005ApJ...626..498M/abstract" TargetMode="External"/><Relationship Id="rId118" Type="http://schemas.openxmlformats.org/officeDocument/2006/relationships/hyperlink" Target="https://ui.adsabs.harvard.edu/abs/2014ApJ...783L..17Z/abstract" TargetMode="External"/><Relationship Id="rId117" Type="http://schemas.openxmlformats.org/officeDocument/2006/relationships/hyperlink" Target="https://ui.adsabs.harvard.edu/abs/2014ApJ...784...65B/abstract" TargetMode="External"/><Relationship Id="rId359" Type="http://schemas.openxmlformats.org/officeDocument/2006/relationships/hyperlink" Target="https://ui.adsabs.harvard.edu/abs/2017A%26A...600A..20A/abstract" TargetMode="External"/><Relationship Id="rId116" Type="http://schemas.openxmlformats.org/officeDocument/2006/relationships/hyperlink" Target="https://ui.adsabs.harvard.edu/abs/2014ApJ...783L..17Z/abstract" TargetMode="External"/><Relationship Id="rId358" Type="http://schemas.openxmlformats.org/officeDocument/2006/relationships/hyperlink" Target="https://ui.adsabs.harvard.edu/abs/2017A%26A...600A..20A/abstract" TargetMode="External"/><Relationship Id="rId115" Type="http://schemas.openxmlformats.org/officeDocument/2006/relationships/hyperlink" Target="https://iopscience.iop.org/article/10.1088/0004-637X/743/2/148" TargetMode="External"/><Relationship Id="rId357" Type="http://schemas.openxmlformats.org/officeDocument/2006/relationships/hyperlink" Target="https://ui.adsabs.harvard.edu/abs/2017A%26A...600A..20A/abstract" TargetMode="External"/><Relationship Id="rId599" Type="http://schemas.openxmlformats.org/officeDocument/2006/relationships/hyperlink" Target="https://ui.adsabs.harvard.edu/abs/2015MNRAS.453.1026K/abstract" TargetMode="External"/><Relationship Id="rId1180" Type="http://schemas.openxmlformats.org/officeDocument/2006/relationships/hyperlink" Target="https://ui.adsabs.harvard.edu/abs/2006A%26A...452..245N/abstract" TargetMode="External"/><Relationship Id="rId1181" Type="http://schemas.openxmlformats.org/officeDocument/2006/relationships/hyperlink" Target="https://ui.adsabs.harvard.edu/abs/2006A%26A...460..547G/abstract" TargetMode="External"/><Relationship Id="rId119" Type="http://schemas.openxmlformats.org/officeDocument/2006/relationships/hyperlink" Target="https://iopscience.iop.org/article/10.1088/0004-637X/696/2/1589/pdf" TargetMode="External"/><Relationship Id="rId1182" Type="http://schemas.openxmlformats.org/officeDocument/2006/relationships/hyperlink" Target="https://ui.adsabs.harvard.edu/abs/2006A%26A...460..547G/abstract" TargetMode="External"/><Relationship Id="rId110" Type="http://schemas.openxmlformats.org/officeDocument/2006/relationships/hyperlink" Target="https://ui.adsabs.harvard.edu/abs/2005ApJ...626..498M/abstract" TargetMode="External"/><Relationship Id="rId352" Type="http://schemas.openxmlformats.org/officeDocument/2006/relationships/hyperlink" Target="https://ui.adsabs.harvard.edu/abs/2017A%26A...600A..20A/abstract" TargetMode="External"/><Relationship Id="rId594" Type="http://schemas.openxmlformats.org/officeDocument/2006/relationships/hyperlink" Target="https://ui.adsabs.harvard.edu/abs/2015ApJ...800..113K/abstract" TargetMode="External"/><Relationship Id="rId1183" Type="http://schemas.openxmlformats.org/officeDocument/2006/relationships/hyperlink" Target="https://ui.adsabs.harvard.edu/abs/2006A%26A...452..245N/abstract" TargetMode="External"/><Relationship Id="rId351" Type="http://schemas.openxmlformats.org/officeDocument/2006/relationships/hyperlink" Target="https://ui.adsabs.harvard.edu/abs/2017A%26A...600A..20A/abstract" TargetMode="External"/><Relationship Id="rId593" Type="http://schemas.openxmlformats.org/officeDocument/2006/relationships/hyperlink" Target="https://ui.adsabs.harvard.edu/abs/2015MNRAS.453.1026K/abstract" TargetMode="External"/><Relationship Id="rId1184" Type="http://schemas.openxmlformats.org/officeDocument/2006/relationships/hyperlink" Target="https://ui.adsabs.harvard.edu/abs/2006A%26A...452..245N/abstract" TargetMode="External"/><Relationship Id="rId350" Type="http://schemas.openxmlformats.org/officeDocument/2006/relationships/hyperlink" Target="https://ui.adsabs.harvard.edu/abs/2017A%26A...600A..20A/abstract" TargetMode="External"/><Relationship Id="rId592" Type="http://schemas.openxmlformats.org/officeDocument/2006/relationships/hyperlink" Target="https://ui.adsabs.harvard.edu/abs/2015ApJ...800..113K/abstract" TargetMode="External"/><Relationship Id="rId1185" Type="http://schemas.openxmlformats.org/officeDocument/2006/relationships/hyperlink" Target="https://ui.adsabs.harvard.edu/abs/2006A%26A...452..245N/abstract" TargetMode="External"/><Relationship Id="rId591" Type="http://schemas.openxmlformats.org/officeDocument/2006/relationships/hyperlink" Target="https://ui.adsabs.harvard.edu/abs/2015MNRAS.453.1026K/abstract" TargetMode="External"/><Relationship Id="rId1186" Type="http://schemas.openxmlformats.org/officeDocument/2006/relationships/hyperlink" Target="https://ui.adsabs.harvard.edu/abs/2006A%26A...452..245N/abstract" TargetMode="External"/><Relationship Id="rId114" Type="http://schemas.openxmlformats.org/officeDocument/2006/relationships/hyperlink" Target="https://ui.adsabs.harvard.edu/abs/2014ApJ...783L..17Z/abstract" TargetMode="External"/><Relationship Id="rId356" Type="http://schemas.openxmlformats.org/officeDocument/2006/relationships/hyperlink" Target="https://ui.adsabs.harvard.edu/abs/2017A%26A...600A..20A/abstract" TargetMode="External"/><Relationship Id="rId598" Type="http://schemas.openxmlformats.org/officeDocument/2006/relationships/hyperlink" Target="https://ui.adsabs.harvard.edu/abs/2015ApJ...800..113K/abstract" TargetMode="External"/><Relationship Id="rId1187" Type="http://schemas.openxmlformats.org/officeDocument/2006/relationships/hyperlink" Target="https://ui.adsabs.harvard.edu/abs/2006A%26A...452..245N/abstract" TargetMode="External"/><Relationship Id="rId113" Type="http://schemas.openxmlformats.org/officeDocument/2006/relationships/hyperlink" Target="https://ui.adsabs.harvard.edu/abs/2014ApJ...783L..17Z/abstract" TargetMode="External"/><Relationship Id="rId355" Type="http://schemas.openxmlformats.org/officeDocument/2006/relationships/hyperlink" Target="https://ui.adsabs.harvard.edu/abs/2017A%26A...600A..20A/abstract" TargetMode="External"/><Relationship Id="rId597" Type="http://schemas.openxmlformats.org/officeDocument/2006/relationships/hyperlink" Target="https://ui.adsabs.harvard.edu/abs/2015MNRAS.453.1026K/abstract" TargetMode="External"/><Relationship Id="rId1188" Type="http://schemas.openxmlformats.org/officeDocument/2006/relationships/hyperlink" Target="https://ui.adsabs.harvard.edu/abs/2006A%26A...452..245N/abstract" TargetMode="External"/><Relationship Id="rId112" Type="http://schemas.openxmlformats.org/officeDocument/2006/relationships/hyperlink" Target="https://ui.adsabs.harvard.edu/abs/2014ApJ...783L..17Z/abstract" TargetMode="External"/><Relationship Id="rId354" Type="http://schemas.openxmlformats.org/officeDocument/2006/relationships/hyperlink" Target="https://ui.adsabs.harvard.edu/abs/2017A%26A...600A..20A/abstract" TargetMode="External"/><Relationship Id="rId596" Type="http://schemas.openxmlformats.org/officeDocument/2006/relationships/hyperlink" Target="https://ui.adsabs.harvard.edu/abs/2015ApJ...800..113K/abstract" TargetMode="External"/><Relationship Id="rId1189" Type="http://schemas.openxmlformats.org/officeDocument/2006/relationships/hyperlink" Target="https://ui.adsabs.harvard.edu/abs/2006A%26A...452..245N/abstract" TargetMode="External"/><Relationship Id="rId111" Type="http://schemas.openxmlformats.org/officeDocument/2006/relationships/hyperlink" Target="https://ui.adsabs.harvard.edu/abs/2014ApJ...783L..17Z/abstract" TargetMode="External"/><Relationship Id="rId353" Type="http://schemas.openxmlformats.org/officeDocument/2006/relationships/hyperlink" Target="https://ui.adsabs.harvard.edu/abs/2017A%26A...600A..20A/abstract" TargetMode="External"/><Relationship Id="rId595" Type="http://schemas.openxmlformats.org/officeDocument/2006/relationships/hyperlink" Target="https://ui.adsabs.harvard.edu/abs/2015MNRAS.453.1026K/abstract" TargetMode="External"/><Relationship Id="rId1136" Type="http://schemas.openxmlformats.org/officeDocument/2006/relationships/hyperlink" Target="https://ui.adsabs.harvard.edu/abs/2006A%26A...452..245N/abstract" TargetMode="External"/><Relationship Id="rId1378" Type="http://schemas.openxmlformats.org/officeDocument/2006/relationships/hyperlink" Target="https://ui.adsabs.harvard.edu/abs/2021yCat.2367....0M/abstract" TargetMode="External"/><Relationship Id="rId1137" Type="http://schemas.openxmlformats.org/officeDocument/2006/relationships/hyperlink" Target="https://ui.adsabs.harvard.edu/abs/2006A%26A...452..245N/abstract" TargetMode="External"/><Relationship Id="rId1379" Type="http://schemas.openxmlformats.org/officeDocument/2006/relationships/hyperlink" Target="https://ui.adsabs.harvard.edu/abs/2011A%26A...525A..47R/abstract" TargetMode="External"/><Relationship Id="rId1138" Type="http://schemas.openxmlformats.org/officeDocument/2006/relationships/hyperlink" Target="https://ui.adsabs.harvard.edu/abs/2006A%26A...452..245N/abstract" TargetMode="External"/><Relationship Id="rId1139" Type="http://schemas.openxmlformats.org/officeDocument/2006/relationships/hyperlink" Target="https://ui.adsabs.harvard.edu/abs/2006A%26A...460..547G/abstract" TargetMode="External"/><Relationship Id="rId305" Type="http://schemas.openxmlformats.org/officeDocument/2006/relationships/hyperlink" Target="https://ui.adsabs.harvard.edu/abs/2017A%26A...600A..20A/abstract" TargetMode="External"/><Relationship Id="rId547" Type="http://schemas.openxmlformats.org/officeDocument/2006/relationships/hyperlink" Target="https://ui.adsabs.harvard.edu/abs/2021yCat.2367....0M/abstract" TargetMode="External"/><Relationship Id="rId789" Type="http://schemas.openxmlformats.org/officeDocument/2006/relationships/hyperlink" Target="https://ui.adsabs.harvard.edu/abs/2015MNRAS.453.1026K/abstract" TargetMode="External"/><Relationship Id="rId304" Type="http://schemas.openxmlformats.org/officeDocument/2006/relationships/hyperlink" Target="https://ui.adsabs.harvard.edu/abs/2017A%26A...600A..20A/abstract" TargetMode="External"/><Relationship Id="rId546" Type="http://schemas.openxmlformats.org/officeDocument/2006/relationships/hyperlink" Target="https://ui.adsabs.harvard.edu/abs/2011A%26A...525A..47R/abstract" TargetMode="External"/><Relationship Id="rId788" Type="http://schemas.openxmlformats.org/officeDocument/2006/relationships/hyperlink" Target="https://ui.adsabs.harvard.edu/abs/2015MNRAS.453.1026K/abstract" TargetMode="External"/><Relationship Id="rId303" Type="http://schemas.openxmlformats.org/officeDocument/2006/relationships/hyperlink" Target="https://ui.adsabs.harvard.edu/abs/2017A%26A...600A..20A/abstract" TargetMode="External"/><Relationship Id="rId545" Type="http://schemas.openxmlformats.org/officeDocument/2006/relationships/hyperlink" Target="https://ui.adsabs.harvard.edu/abs/2021yCat.2367....0M/abstract" TargetMode="External"/><Relationship Id="rId787" Type="http://schemas.openxmlformats.org/officeDocument/2006/relationships/hyperlink" Target="https://ui.adsabs.harvard.edu/abs/2015MNRAS.453.1026K/abstract" TargetMode="External"/><Relationship Id="rId302" Type="http://schemas.openxmlformats.org/officeDocument/2006/relationships/hyperlink" Target="https://ui.adsabs.harvard.edu/abs/2017A%26A...600A..20A/abstract" TargetMode="External"/><Relationship Id="rId544" Type="http://schemas.openxmlformats.org/officeDocument/2006/relationships/hyperlink" Target="https://ui.adsabs.harvard.edu/abs/2011A%26A...525A..47R/abstract" TargetMode="External"/><Relationship Id="rId786" Type="http://schemas.openxmlformats.org/officeDocument/2006/relationships/hyperlink" Target="https://ui.adsabs.harvard.edu/abs/2015MNRAS.453.1026K/abstract" TargetMode="External"/><Relationship Id="rId309" Type="http://schemas.openxmlformats.org/officeDocument/2006/relationships/hyperlink" Target="https://ui.adsabs.harvard.edu/abs/2017A%26A...600A..20A/abstract" TargetMode="External"/><Relationship Id="rId308" Type="http://schemas.openxmlformats.org/officeDocument/2006/relationships/hyperlink" Target="https://ui.adsabs.harvard.edu/abs/2017A%26A...600A..20A/abstract" TargetMode="External"/><Relationship Id="rId307" Type="http://schemas.openxmlformats.org/officeDocument/2006/relationships/hyperlink" Target="https://ui.adsabs.harvard.edu/abs/2017A%26A...600A..20A/abstract" TargetMode="External"/><Relationship Id="rId549" Type="http://schemas.openxmlformats.org/officeDocument/2006/relationships/hyperlink" Target="https://iopscience.iop.org/article/10.3847/1538-3881/ab811e/pdf" TargetMode="External"/><Relationship Id="rId306" Type="http://schemas.openxmlformats.org/officeDocument/2006/relationships/hyperlink" Target="https://ui.adsabs.harvard.edu/abs/2017A%26A...600A..20A/abstract" TargetMode="External"/><Relationship Id="rId548" Type="http://schemas.openxmlformats.org/officeDocument/2006/relationships/hyperlink" Target="https://ui.adsabs.harvard.edu/abs/2011A%26A...525A..47R/abstract" TargetMode="External"/><Relationship Id="rId781" Type="http://schemas.openxmlformats.org/officeDocument/2006/relationships/hyperlink" Target="https://ui.adsabs.harvard.edu/abs/2015MNRAS.453.1026K/abstract" TargetMode="External"/><Relationship Id="rId1370" Type="http://schemas.openxmlformats.org/officeDocument/2006/relationships/hyperlink" Target="https://ui.adsabs.harvard.edu/abs/2021yCat.2367....0M/abstract" TargetMode="External"/><Relationship Id="rId780" Type="http://schemas.openxmlformats.org/officeDocument/2006/relationships/hyperlink" Target="https://ui.adsabs.harvard.edu/abs/2015MNRAS.453.1026K/abstract" TargetMode="External"/><Relationship Id="rId1371" Type="http://schemas.openxmlformats.org/officeDocument/2006/relationships/hyperlink" Target="https://ui.adsabs.harvard.edu/abs/2011A%26A...525A..47R/abstract" TargetMode="External"/><Relationship Id="rId1130" Type="http://schemas.openxmlformats.org/officeDocument/2006/relationships/hyperlink" Target="https://ui.adsabs.harvard.edu/abs/2006A%26A...452..245N/abstract" TargetMode="External"/><Relationship Id="rId1372" Type="http://schemas.openxmlformats.org/officeDocument/2006/relationships/hyperlink" Target="https://ui.adsabs.harvard.edu/abs/2021yCat.2367....0M/abstract" TargetMode="External"/><Relationship Id="rId1131" Type="http://schemas.openxmlformats.org/officeDocument/2006/relationships/hyperlink" Target="https://ui.adsabs.harvard.edu/abs/2006A%26A...452..245N/abstract" TargetMode="External"/><Relationship Id="rId1373" Type="http://schemas.openxmlformats.org/officeDocument/2006/relationships/hyperlink" Target="https://ui.adsabs.harvard.edu/abs/2011A%26A...525A..47R/abstract" TargetMode="External"/><Relationship Id="rId301" Type="http://schemas.openxmlformats.org/officeDocument/2006/relationships/hyperlink" Target="https://ui.adsabs.harvard.edu/abs/2017A%26A...600A..20A/abstract" TargetMode="External"/><Relationship Id="rId543" Type="http://schemas.openxmlformats.org/officeDocument/2006/relationships/hyperlink" Target="https://ui.adsabs.harvard.edu/abs/2021yCat.2367....0M/abstract" TargetMode="External"/><Relationship Id="rId785" Type="http://schemas.openxmlformats.org/officeDocument/2006/relationships/hyperlink" Target="https://ui.adsabs.harvard.edu/abs/2015MNRAS.453.1026K/abstract" TargetMode="External"/><Relationship Id="rId1132" Type="http://schemas.openxmlformats.org/officeDocument/2006/relationships/hyperlink" Target="https://ui.adsabs.harvard.edu/abs/2006A%26A...452..245N/abstract" TargetMode="External"/><Relationship Id="rId1374" Type="http://schemas.openxmlformats.org/officeDocument/2006/relationships/hyperlink" Target="https://ui.adsabs.harvard.edu/abs/2021yCat.2367....0M/abstract" TargetMode="External"/><Relationship Id="rId300" Type="http://schemas.openxmlformats.org/officeDocument/2006/relationships/hyperlink" Target="https://ui.adsabs.harvard.edu/abs/2017A%26A...600A..20A/abstract" TargetMode="External"/><Relationship Id="rId542" Type="http://schemas.openxmlformats.org/officeDocument/2006/relationships/hyperlink" Target="https://ui.adsabs.harvard.edu/abs/2011A%26A...525A..47R/abstract" TargetMode="External"/><Relationship Id="rId784" Type="http://schemas.openxmlformats.org/officeDocument/2006/relationships/hyperlink" Target="https://ui.adsabs.harvard.edu/abs/2015MNRAS.453.1026K/abstract" TargetMode="External"/><Relationship Id="rId1133" Type="http://schemas.openxmlformats.org/officeDocument/2006/relationships/hyperlink" Target="https://ui.adsabs.harvard.edu/abs/2006A%26A...452..245N/abstract" TargetMode="External"/><Relationship Id="rId1375" Type="http://schemas.openxmlformats.org/officeDocument/2006/relationships/hyperlink" Target="https://ui.adsabs.harvard.edu/abs/2011A%26A...525A..47R/abstract" TargetMode="External"/><Relationship Id="rId541" Type="http://schemas.openxmlformats.org/officeDocument/2006/relationships/hyperlink" Target="https://ui.adsabs.harvard.edu/abs/2021yCat.2367....0M/abstract" TargetMode="External"/><Relationship Id="rId783" Type="http://schemas.openxmlformats.org/officeDocument/2006/relationships/hyperlink" Target="https://ui.adsabs.harvard.edu/abs/2015MNRAS.453.1026K/abstract" TargetMode="External"/><Relationship Id="rId1134" Type="http://schemas.openxmlformats.org/officeDocument/2006/relationships/hyperlink" Target="https://ui.adsabs.harvard.edu/abs/2006A%26A...452..245N/abstract" TargetMode="External"/><Relationship Id="rId1376" Type="http://schemas.openxmlformats.org/officeDocument/2006/relationships/hyperlink" Target="https://ui.adsabs.harvard.edu/abs/2021yCat.2367....0M/abstract" TargetMode="External"/><Relationship Id="rId540" Type="http://schemas.openxmlformats.org/officeDocument/2006/relationships/hyperlink" Target="https://ui.adsabs.harvard.edu/abs/2011A%26A...525A..47R/abstract" TargetMode="External"/><Relationship Id="rId782" Type="http://schemas.openxmlformats.org/officeDocument/2006/relationships/hyperlink" Target="https://ui.adsabs.harvard.edu/abs/2015MNRAS.453.1026K/abstract" TargetMode="External"/><Relationship Id="rId1135" Type="http://schemas.openxmlformats.org/officeDocument/2006/relationships/hyperlink" Target="https://ui.adsabs.harvard.edu/abs/2006A%26A...452..245N/abstract" TargetMode="External"/><Relationship Id="rId1377" Type="http://schemas.openxmlformats.org/officeDocument/2006/relationships/hyperlink" Target="https://ui.adsabs.harvard.edu/abs/2011A%26A...525A..47R/abstract" TargetMode="External"/><Relationship Id="rId1125" Type="http://schemas.openxmlformats.org/officeDocument/2006/relationships/hyperlink" Target="https://ui.adsabs.harvard.edu/abs/2006A%26A...452..245N/abstract" TargetMode="External"/><Relationship Id="rId1367" Type="http://schemas.openxmlformats.org/officeDocument/2006/relationships/hyperlink" Target="https://ui.adsabs.harvard.edu/abs/2011A%26A...525A..47R/abstract" TargetMode="External"/><Relationship Id="rId1126" Type="http://schemas.openxmlformats.org/officeDocument/2006/relationships/hyperlink" Target="https://ui.adsabs.harvard.edu/abs/2006A%26A...452..245N/abstract" TargetMode="External"/><Relationship Id="rId1368" Type="http://schemas.openxmlformats.org/officeDocument/2006/relationships/hyperlink" Target="https://ui.adsabs.harvard.edu/abs/2021yCat.2367....0M/abstract" TargetMode="External"/><Relationship Id="rId1127" Type="http://schemas.openxmlformats.org/officeDocument/2006/relationships/hyperlink" Target="https://ui.adsabs.harvard.edu/abs/2006A%26A...452..245N/abstract" TargetMode="External"/><Relationship Id="rId1369" Type="http://schemas.openxmlformats.org/officeDocument/2006/relationships/hyperlink" Target="https://ui.adsabs.harvard.edu/abs/2011A%26A...525A..47R/abstract" TargetMode="External"/><Relationship Id="rId1128" Type="http://schemas.openxmlformats.org/officeDocument/2006/relationships/hyperlink" Target="https://ui.adsabs.harvard.edu/abs/2006A%26A...452..245N/abstract" TargetMode="External"/><Relationship Id="rId1129" Type="http://schemas.openxmlformats.org/officeDocument/2006/relationships/hyperlink" Target="https://ui.adsabs.harvard.edu/abs/2006A%26A...452..245N/abstract" TargetMode="External"/><Relationship Id="rId536" Type="http://schemas.openxmlformats.org/officeDocument/2006/relationships/hyperlink" Target="https://ui.adsabs.harvard.edu/abs/2003ApJ...592..266M/abstract" TargetMode="External"/><Relationship Id="rId778" Type="http://schemas.openxmlformats.org/officeDocument/2006/relationships/hyperlink" Target="https://ui.adsabs.harvard.edu/abs/2015MNRAS.453.1026K/abstract" TargetMode="External"/><Relationship Id="rId535" Type="http://schemas.openxmlformats.org/officeDocument/2006/relationships/hyperlink" Target="https://ui.adsabs.harvard.edu/abs/2003ApJ...592..266M/abstract" TargetMode="External"/><Relationship Id="rId777" Type="http://schemas.openxmlformats.org/officeDocument/2006/relationships/hyperlink" Target="https://ui.adsabs.harvard.edu/abs/2015MNRAS.453.1026K/abstract" TargetMode="External"/><Relationship Id="rId534" Type="http://schemas.openxmlformats.org/officeDocument/2006/relationships/hyperlink" Target="https://ui.adsabs.harvard.edu/abs/2005ApJ...625..906M/abstract" TargetMode="External"/><Relationship Id="rId776" Type="http://schemas.openxmlformats.org/officeDocument/2006/relationships/hyperlink" Target="https://ui.adsabs.harvard.edu/abs/2015MNRAS.453.1026K/abstract" TargetMode="External"/><Relationship Id="rId533" Type="http://schemas.openxmlformats.org/officeDocument/2006/relationships/hyperlink" Target="https://ui.adsabs.harvard.edu/abs/2007ApJS..173..104L/abstract" TargetMode="External"/><Relationship Id="rId775" Type="http://schemas.openxmlformats.org/officeDocument/2006/relationships/hyperlink" Target="https://ui.adsabs.harvard.edu/abs/2015MNRAS.453.1026K/abstract" TargetMode="External"/><Relationship Id="rId539" Type="http://schemas.openxmlformats.org/officeDocument/2006/relationships/hyperlink" Target="https://ui.adsabs.harvard.edu/abs/2021yCat.2367....0M/abstract" TargetMode="External"/><Relationship Id="rId538" Type="http://schemas.openxmlformats.org/officeDocument/2006/relationships/hyperlink" Target="https://ui.adsabs.harvard.edu/abs/2003ApJ...592..266M/abstract" TargetMode="External"/><Relationship Id="rId537" Type="http://schemas.openxmlformats.org/officeDocument/2006/relationships/hyperlink" Target="https://ui.adsabs.harvard.edu/abs/2003ApJ...592..266M/abstract" TargetMode="External"/><Relationship Id="rId779" Type="http://schemas.openxmlformats.org/officeDocument/2006/relationships/hyperlink" Target="https://ui.adsabs.harvard.edu/abs/2015MNRAS.453.1026K/abstract" TargetMode="External"/><Relationship Id="rId770" Type="http://schemas.openxmlformats.org/officeDocument/2006/relationships/hyperlink" Target="https://ui.adsabs.harvard.edu/abs/2015MNRAS.453.1026K/abstract" TargetMode="External"/><Relationship Id="rId1360" Type="http://schemas.openxmlformats.org/officeDocument/2006/relationships/hyperlink" Target="https://ui.adsabs.harvard.edu/abs/2021yCat.2367....0M/abstract" TargetMode="External"/><Relationship Id="rId1361" Type="http://schemas.openxmlformats.org/officeDocument/2006/relationships/hyperlink" Target="https://ui.adsabs.harvard.edu/abs/2011A%26A...525A..47R/abstract" TargetMode="External"/><Relationship Id="rId1120" Type="http://schemas.openxmlformats.org/officeDocument/2006/relationships/hyperlink" Target="https://ui.adsabs.harvard.edu/abs/2006A%26A...452..245N/abstract" TargetMode="External"/><Relationship Id="rId1362" Type="http://schemas.openxmlformats.org/officeDocument/2006/relationships/hyperlink" Target="https://ui.adsabs.harvard.edu/abs/2021yCat.2367....0M/abstract" TargetMode="External"/><Relationship Id="rId532" Type="http://schemas.openxmlformats.org/officeDocument/2006/relationships/hyperlink" Target="https://ui.adsabs.harvard.edu/abs/2003ApJ...592..266M/abstract" TargetMode="External"/><Relationship Id="rId774" Type="http://schemas.openxmlformats.org/officeDocument/2006/relationships/hyperlink" Target="https://ui.adsabs.harvard.edu/abs/2015MNRAS.453.1026K/abstract" TargetMode="External"/><Relationship Id="rId1121" Type="http://schemas.openxmlformats.org/officeDocument/2006/relationships/hyperlink" Target="https://ui.adsabs.harvard.edu/abs/2006A%26A...452..245N/abstract" TargetMode="External"/><Relationship Id="rId1363" Type="http://schemas.openxmlformats.org/officeDocument/2006/relationships/hyperlink" Target="https://ui.adsabs.harvard.edu/abs/2011A%26A...525A..47R/abstract" TargetMode="External"/><Relationship Id="rId531" Type="http://schemas.openxmlformats.org/officeDocument/2006/relationships/hyperlink" Target="https://ui.adsabs.harvard.edu/abs/2003ApJ...592..266M/abstract" TargetMode="External"/><Relationship Id="rId773" Type="http://schemas.openxmlformats.org/officeDocument/2006/relationships/hyperlink" Target="https://ui.adsabs.harvard.edu/abs/2015MNRAS.453.1026K/abstract" TargetMode="External"/><Relationship Id="rId1122" Type="http://schemas.openxmlformats.org/officeDocument/2006/relationships/hyperlink" Target="https://ui.adsabs.harvard.edu/abs/2006A%26A...452..245N/abstract" TargetMode="External"/><Relationship Id="rId1364" Type="http://schemas.openxmlformats.org/officeDocument/2006/relationships/hyperlink" Target="https://ui.adsabs.harvard.edu/abs/2021yCat.2367....0M/abstract" TargetMode="External"/><Relationship Id="rId530" Type="http://schemas.openxmlformats.org/officeDocument/2006/relationships/hyperlink" Target="https://ui.adsabs.harvard.edu/abs/2005ApJ...625..906M/abstract" TargetMode="External"/><Relationship Id="rId772" Type="http://schemas.openxmlformats.org/officeDocument/2006/relationships/hyperlink" Target="https://ui.adsabs.harvard.edu/abs/2015MNRAS.453.1026K/abstract" TargetMode="External"/><Relationship Id="rId1123" Type="http://schemas.openxmlformats.org/officeDocument/2006/relationships/hyperlink" Target="https://ui.adsabs.harvard.edu/abs/2006A%26A...452..245N/abstract" TargetMode="External"/><Relationship Id="rId1365" Type="http://schemas.openxmlformats.org/officeDocument/2006/relationships/hyperlink" Target="https://ui.adsabs.harvard.edu/abs/2011A%26A...525A..47R/abstract" TargetMode="External"/><Relationship Id="rId771" Type="http://schemas.openxmlformats.org/officeDocument/2006/relationships/hyperlink" Target="https://ui.adsabs.harvard.edu/abs/2015MNRAS.453.1026K/abstract" TargetMode="External"/><Relationship Id="rId1124" Type="http://schemas.openxmlformats.org/officeDocument/2006/relationships/hyperlink" Target="https://ui.adsabs.harvard.edu/abs/2006A%26A...452..245N/abstract" TargetMode="External"/><Relationship Id="rId1366" Type="http://schemas.openxmlformats.org/officeDocument/2006/relationships/hyperlink" Target="https://ui.adsabs.harvard.edu/abs/2021yCat.2367....0M/abstract" TargetMode="External"/><Relationship Id="rId1158" Type="http://schemas.openxmlformats.org/officeDocument/2006/relationships/hyperlink" Target="https://ui.adsabs.harvard.edu/abs/2006A%26A...452..245N/abstract" TargetMode="External"/><Relationship Id="rId1159" Type="http://schemas.openxmlformats.org/officeDocument/2006/relationships/hyperlink" Target="https://ui.adsabs.harvard.edu/abs/2006A%26A...452..245N/abstract" TargetMode="External"/><Relationship Id="rId327" Type="http://schemas.openxmlformats.org/officeDocument/2006/relationships/hyperlink" Target="https://ui.adsabs.harvard.edu/abs/2017A%26A...600A..20A/abstract" TargetMode="External"/><Relationship Id="rId569" Type="http://schemas.openxmlformats.org/officeDocument/2006/relationships/hyperlink" Target="https://ui.adsabs.harvard.edu/abs/2020A%26A...633A.124P/abstract" TargetMode="External"/><Relationship Id="rId326" Type="http://schemas.openxmlformats.org/officeDocument/2006/relationships/hyperlink" Target="https://ui.adsabs.harvard.edu/abs/2017A%26A...600A..20A/abstract" TargetMode="External"/><Relationship Id="rId568" Type="http://schemas.openxmlformats.org/officeDocument/2006/relationships/hyperlink" Target="https://ui.adsabs.harvard.edu/abs/2020A%26A...633A.124P/abstract" TargetMode="External"/><Relationship Id="rId325" Type="http://schemas.openxmlformats.org/officeDocument/2006/relationships/hyperlink" Target="https://ui.adsabs.harvard.edu/abs/2017A%26A...600A..20A/abstract" TargetMode="External"/><Relationship Id="rId567" Type="http://schemas.openxmlformats.org/officeDocument/2006/relationships/hyperlink" Target="https://ui.adsabs.harvard.edu/abs/2020A%26A...633A.124P/abstract" TargetMode="External"/><Relationship Id="rId324" Type="http://schemas.openxmlformats.org/officeDocument/2006/relationships/hyperlink" Target="https://ui.adsabs.harvard.edu/abs/2017A%26A...600A..20A/abstract" TargetMode="External"/><Relationship Id="rId566" Type="http://schemas.openxmlformats.org/officeDocument/2006/relationships/hyperlink" Target="https://ui.adsabs.harvard.edu/abs/2020A%26A...633A.124P/abstract" TargetMode="External"/><Relationship Id="rId329" Type="http://schemas.openxmlformats.org/officeDocument/2006/relationships/hyperlink" Target="https://ui.adsabs.harvard.edu/abs/2017A%26A...600A..20A/abstract" TargetMode="External"/><Relationship Id="rId1390" Type="http://schemas.openxmlformats.org/officeDocument/2006/relationships/hyperlink" Target="https://ui.adsabs.harvard.edu/abs/2021yCat.2367....0M/abstract" TargetMode="External"/><Relationship Id="rId328" Type="http://schemas.openxmlformats.org/officeDocument/2006/relationships/hyperlink" Target="https://ui.adsabs.harvard.edu/abs/2017A%26A...600A..20A/abstract" TargetMode="External"/><Relationship Id="rId1391" Type="http://schemas.openxmlformats.org/officeDocument/2006/relationships/hyperlink" Target="https://ui.adsabs.harvard.edu/abs/2011A%26A...525A..47R/abstract" TargetMode="External"/><Relationship Id="rId561" Type="http://schemas.openxmlformats.org/officeDocument/2006/relationships/hyperlink" Target="https://ui.adsabs.harvard.edu/abs/2021yCat.2367....0M/abstract" TargetMode="External"/><Relationship Id="rId1150" Type="http://schemas.openxmlformats.org/officeDocument/2006/relationships/hyperlink" Target="https://ui.adsabs.harvard.edu/abs/2006A%26A...452..245N/abstract" TargetMode="External"/><Relationship Id="rId1392" Type="http://schemas.openxmlformats.org/officeDocument/2006/relationships/hyperlink" Target="https://ui.adsabs.harvard.edu/abs/2021yCat.2367....0M/abstract" TargetMode="External"/><Relationship Id="rId560" Type="http://schemas.openxmlformats.org/officeDocument/2006/relationships/hyperlink" Target="https://ui.adsabs.harvard.edu/abs/2020A%26A...633A.124P/abstract" TargetMode="External"/><Relationship Id="rId1151" Type="http://schemas.openxmlformats.org/officeDocument/2006/relationships/hyperlink" Target="https://ui.adsabs.harvard.edu/abs/2006A%26A...452..245N/abstract" TargetMode="External"/><Relationship Id="rId1393" Type="http://schemas.openxmlformats.org/officeDocument/2006/relationships/hyperlink" Target="https://ui.adsabs.harvard.edu/abs/2011A%26A...525A..47R/abstract" TargetMode="External"/><Relationship Id="rId1152" Type="http://schemas.openxmlformats.org/officeDocument/2006/relationships/hyperlink" Target="https://ui.adsabs.harvard.edu/abs/2006A%26A...452..245N/abstract" TargetMode="External"/><Relationship Id="rId1394" Type="http://schemas.openxmlformats.org/officeDocument/2006/relationships/hyperlink" Target="https://ui.adsabs.harvard.edu/abs/2021yCat.2367....0M/abstract" TargetMode="External"/><Relationship Id="rId1153" Type="http://schemas.openxmlformats.org/officeDocument/2006/relationships/hyperlink" Target="https://ui.adsabs.harvard.edu/abs/2006A%26A...452..245N/abstract" TargetMode="External"/><Relationship Id="rId1395" Type="http://schemas.openxmlformats.org/officeDocument/2006/relationships/hyperlink" Target="https://ui.adsabs.harvard.edu/abs/2011A%26A...525A..47R/abstract" TargetMode="External"/><Relationship Id="rId323" Type="http://schemas.openxmlformats.org/officeDocument/2006/relationships/hyperlink" Target="https://ui.adsabs.harvard.edu/abs/2017A%26A...600A..20A/abstract" TargetMode="External"/><Relationship Id="rId565" Type="http://schemas.openxmlformats.org/officeDocument/2006/relationships/hyperlink" Target="https://ui.adsabs.harvard.edu/abs/2021yCat.2367....0M/abstract" TargetMode="External"/><Relationship Id="rId1154" Type="http://schemas.openxmlformats.org/officeDocument/2006/relationships/hyperlink" Target="https://ui.adsabs.harvard.edu/abs/2006A%26A...452..245N/abstract" TargetMode="External"/><Relationship Id="rId1396" Type="http://schemas.openxmlformats.org/officeDocument/2006/relationships/hyperlink" Target="https://ui.adsabs.harvard.edu/abs/2021yCat.2367....0M/abstract" TargetMode="External"/><Relationship Id="rId322" Type="http://schemas.openxmlformats.org/officeDocument/2006/relationships/hyperlink" Target="https://ui.adsabs.harvard.edu/abs/2017A%26A...600A..20A/abstract" TargetMode="External"/><Relationship Id="rId564" Type="http://schemas.openxmlformats.org/officeDocument/2006/relationships/hyperlink" Target="https://ui.adsabs.harvard.edu/abs/2020A%26A...633A.124P/abstract" TargetMode="External"/><Relationship Id="rId1155" Type="http://schemas.openxmlformats.org/officeDocument/2006/relationships/hyperlink" Target="https://ui.adsabs.harvard.edu/abs/2006A%26A...452..245N/abstract" TargetMode="External"/><Relationship Id="rId1397" Type="http://schemas.openxmlformats.org/officeDocument/2006/relationships/hyperlink" Target="https://ui.adsabs.harvard.edu/abs/2011A%26A...525A..47R/abstract" TargetMode="External"/><Relationship Id="rId321" Type="http://schemas.openxmlformats.org/officeDocument/2006/relationships/hyperlink" Target="https://ui.adsabs.harvard.edu/abs/2017A%26A...600A..20A/abstract" TargetMode="External"/><Relationship Id="rId563" Type="http://schemas.openxmlformats.org/officeDocument/2006/relationships/hyperlink" Target="https://ui.adsabs.harvard.edu/abs/2021yCat.2367....0M/abstract" TargetMode="External"/><Relationship Id="rId1156" Type="http://schemas.openxmlformats.org/officeDocument/2006/relationships/hyperlink" Target="https://ui.adsabs.harvard.edu/abs/2006A%26A...452..245N/abstract" TargetMode="External"/><Relationship Id="rId1398" Type="http://schemas.openxmlformats.org/officeDocument/2006/relationships/hyperlink" Target="https://ui.adsabs.harvard.edu/abs/2021yCat.2367....0M/abstract" TargetMode="External"/><Relationship Id="rId320" Type="http://schemas.openxmlformats.org/officeDocument/2006/relationships/hyperlink" Target="https://ui.adsabs.harvard.edu/abs/2017A%26A...600A..20A/abstract" TargetMode="External"/><Relationship Id="rId562" Type="http://schemas.openxmlformats.org/officeDocument/2006/relationships/hyperlink" Target="https://ui.adsabs.harvard.edu/abs/2020A%26A...633A.124P/abstract" TargetMode="External"/><Relationship Id="rId1157" Type="http://schemas.openxmlformats.org/officeDocument/2006/relationships/hyperlink" Target="https://ui.adsabs.harvard.edu/abs/2006A%26A...452..245N/abstract" TargetMode="External"/><Relationship Id="rId1399" Type="http://schemas.openxmlformats.org/officeDocument/2006/relationships/hyperlink" Target="https://ui.adsabs.harvard.edu/abs/2011A%26A...525A..47R/abstract" TargetMode="External"/><Relationship Id="rId1147" Type="http://schemas.openxmlformats.org/officeDocument/2006/relationships/hyperlink" Target="https://ui.adsabs.harvard.edu/abs/2006A%26A...452..245N/abstract" TargetMode="External"/><Relationship Id="rId1389" Type="http://schemas.openxmlformats.org/officeDocument/2006/relationships/hyperlink" Target="https://ui.adsabs.harvard.edu/abs/2011A%26A...525A..47R/abstract" TargetMode="External"/><Relationship Id="rId1148" Type="http://schemas.openxmlformats.org/officeDocument/2006/relationships/hyperlink" Target="https://ui.adsabs.harvard.edu/abs/2006A%26A...452..245N/abstract" TargetMode="External"/><Relationship Id="rId1149" Type="http://schemas.openxmlformats.org/officeDocument/2006/relationships/hyperlink" Target="https://ui.adsabs.harvard.edu/abs/2006A%26A...452..245N/abstract" TargetMode="External"/><Relationship Id="rId316" Type="http://schemas.openxmlformats.org/officeDocument/2006/relationships/hyperlink" Target="https://ui.adsabs.harvard.edu/abs/2017A%26A...600A..20A/abstract" TargetMode="External"/><Relationship Id="rId558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315" Type="http://schemas.openxmlformats.org/officeDocument/2006/relationships/hyperlink" Target="https://ui.adsabs.harvard.edu/abs/2017A%26A...600A..20A/abstract" TargetMode="External"/><Relationship Id="rId557" Type="http://schemas.openxmlformats.org/officeDocument/2006/relationships/hyperlink" Target="https://ui.adsabs.harvard.edu/abs/2011AJ....141..119K/abstract" TargetMode="External"/><Relationship Id="rId799" Type="http://schemas.openxmlformats.org/officeDocument/2006/relationships/hyperlink" Target="https://ui.adsabs.harvard.edu/abs/2015MNRAS.453.1026K/abstract" TargetMode="External"/><Relationship Id="rId314" Type="http://schemas.openxmlformats.org/officeDocument/2006/relationships/hyperlink" Target="https://ui.adsabs.harvard.edu/abs/2017A%26A...600A..20A/abstract" TargetMode="External"/><Relationship Id="rId556" Type="http://schemas.openxmlformats.org/officeDocument/2006/relationships/hyperlink" Target="https://arxiv.org/pdf/2005.11725.pdf" TargetMode="External"/><Relationship Id="rId798" Type="http://schemas.openxmlformats.org/officeDocument/2006/relationships/hyperlink" Target="https://ui.adsabs.harvard.edu/abs/2015MNRAS.453.1026K/abstract" TargetMode="External"/><Relationship Id="rId313" Type="http://schemas.openxmlformats.org/officeDocument/2006/relationships/hyperlink" Target="https://ui.adsabs.harvard.edu/abs/2017A%26A...600A..20A/abstract" TargetMode="External"/><Relationship Id="rId555" Type="http://schemas.openxmlformats.org/officeDocument/2006/relationships/hyperlink" Target="https://ui.adsabs.harvard.edu/abs/2011ApJ...737..103S/abstract" TargetMode="External"/><Relationship Id="rId797" Type="http://schemas.openxmlformats.org/officeDocument/2006/relationships/hyperlink" Target="https://ui.adsabs.harvard.edu/abs/2015MNRAS.453.1026K/abstract" TargetMode="External"/><Relationship Id="rId319" Type="http://schemas.openxmlformats.org/officeDocument/2006/relationships/hyperlink" Target="https://ui.adsabs.harvard.edu/abs/2017A%26A...600A..20A/abstract" TargetMode="External"/><Relationship Id="rId318" Type="http://schemas.openxmlformats.org/officeDocument/2006/relationships/hyperlink" Target="https://ui.adsabs.harvard.edu/abs/2017A%26A...600A..20A/abstract" TargetMode="External"/><Relationship Id="rId317" Type="http://schemas.openxmlformats.org/officeDocument/2006/relationships/hyperlink" Target="https://ui.adsabs.harvard.edu/abs/2017A%26A...600A..20A/abstract" TargetMode="External"/><Relationship Id="rId559" Type="http://schemas.openxmlformats.org/officeDocument/2006/relationships/hyperlink" Target="https://ui.adsabs.harvard.edu/abs/2021yCat.2367....0M/abstract" TargetMode="External"/><Relationship Id="rId1380" Type="http://schemas.openxmlformats.org/officeDocument/2006/relationships/hyperlink" Target="https://ui.adsabs.harvard.edu/abs/2021yCat.2367....0M/abstract" TargetMode="External"/><Relationship Id="rId550" Type="http://schemas.openxmlformats.org/officeDocument/2006/relationships/hyperlink" Target="https://iopscience.iop.org/article/10.3847/1538-3881/ab811e/pdf" TargetMode="External"/><Relationship Id="rId792" Type="http://schemas.openxmlformats.org/officeDocument/2006/relationships/hyperlink" Target="https://ui.adsabs.harvard.edu/abs/2015MNRAS.453.1026K/abstract" TargetMode="External"/><Relationship Id="rId1381" Type="http://schemas.openxmlformats.org/officeDocument/2006/relationships/hyperlink" Target="https://ui.adsabs.harvard.edu/abs/2011A%26A...525A..47R/abstract" TargetMode="External"/><Relationship Id="rId791" Type="http://schemas.openxmlformats.org/officeDocument/2006/relationships/hyperlink" Target="https://ui.adsabs.harvard.edu/abs/2015MNRAS.453.1026K/abstract" TargetMode="External"/><Relationship Id="rId1140" Type="http://schemas.openxmlformats.org/officeDocument/2006/relationships/hyperlink" Target="https://ui.adsabs.harvard.edu/abs/2006A%26A...460..547G/abstract" TargetMode="External"/><Relationship Id="rId1382" Type="http://schemas.openxmlformats.org/officeDocument/2006/relationships/hyperlink" Target="https://ui.adsabs.harvard.edu/abs/2021yCat.2367....0M/abstract" TargetMode="External"/><Relationship Id="rId790" Type="http://schemas.openxmlformats.org/officeDocument/2006/relationships/hyperlink" Target="https://ui.adsabs.harvard.edu/abs/2015MNRAS.453.1026K/abstract" TargetMode="External"/><Relationship Id="rId1141" Type="http://schemas.openxmlformats.org/officeDocument/2006/relationships/hyperlink" Target="https://ui.adsabs.harvard.edu/abs/2006A%26A...460..547G/abstract" TargetMode="External"/><Relationship Id="rId1383" Type="http://schemas.openxmlformats.org/officeDocument/2006/relationships/hyperlink" Target="https://ui.adsabs.harvard.edu/abs/2011A%26A...525A..47R/abstract" TargetMode="External"/><Relationship Id="rId1142" Type="http://schemas.openxmlformats.org/officeDocument/2006/relationships/hyperlink" Target="https://ui.adsabs.harvard.edu/abs/2006A%26A...460..547G/abstract" TargetMode="External"/><Relationship Id="rId1384" Type="http://schemas.openxmlformats.org/officeDocument/2006/relationships/hyperlink" Target="https://ui.adsabs.harvard.edu/abs/2021yCat.2367....0M/abstract" TargetMode="External"/><Relationship Id="rId312" Type="http://schemas.openxmlformats.org/officeDocument/2006/relationships/hyperlink" Target="https://ui.adsabs.harvard.edu/abs/2017A%26A...600A..20A/abstract" TargetMode="External"/><Relationship Id="rId554" Type="http://schemas.openxmlformats.org/officeDocument/2006/relationships/hyperlink" Target="https://arxiv.org/pdf/2005.11725.pdf" TargetMode="External"/><Relationship Id="rId796" Type="http://schemas.openxmlformats.org/officeDocument/2006/relationships/hyperlink" Target="https://ui.adsabs.harvard.edu/abs/2015MNRAS.453.1026K/abstract" TargetMode="External"/><Relationship Id="rId1143" Type="http://schemas.openxmlformats.org/officeDocument/2006/relationships/hyperlink" Target="https://ui.adsabs.harvard.edu/abs/2006A%26A...460..547G/abstract" TargetMode="External"/><Relationship Id="rId1385" Type="http://schemas.openxmlformats.org/officeDocument/2006/relationships/hyperlink" Target="https://ui.adsabs.harvard.edu/abs/2011A%26A...525A..47R/abstract" TargetMode="External"/><Relationship Id="rId311" Type="http://schemas.openxmlformats.org/officeDocument/2006/relationships/hyperlink" Target="https://ui.adsabs.harvard.edu/abs/2017A%26A...600A..20A/abstract" TargetMode="External"/><Relationship Id="rId553" Type="http://schemas.openxmlformats.org/officeDocument/2006/relationships/hyperlink" Target="https://ui.adsabs.harvard.edu/abs/2011ApJ...737..103S/abstract" TargetMode="External"/><Relationship Id="rId795" Type="http://schemas.openxmlformats.org/officeDocument/2006/relationships/hyperlink" Target="https://ui.adsabs.harvard.edu/abs/2015MNRAS.453.1026K/abstract" TargetMode="External"/><Relationship Id="rId1144" Type="http://schemas.openxmlformats.org/officeDocument/2006/relationships/hyperlink" Target="https://ui.adsabs.harvard.edu/abs/2006A%26A...460..547G/abstract" TargetMode="External"/><Relationship Id="rId1386" Type="http://schemas.openxmlformats.org/officeDocument/2006/relationships/hyperlink" Target="https://ui.adsabs.harvard.edu/abs/2021yCat.2367....0M/abstract" TargetMode="External"/><Relationship Id="rId310" Type="http://schemas.openxmlformats.org/officeDocument/2006/relationships/hyperlink" Target="https://ui.adsabs.harvard.edu/abs/2017A%26A...600A..20A/abstract" TargetMode="External"/><Relationship Id="rId552" Type="http://schemas.openxmlformats.org/officeDocument/2006/relationships/hyperlink" Target="https://iopscience.iop.org/article/10.3847/1538-3881/ab811e/pdf" TargetMode="External"/><Relationship Id="rId794" Type="http://schemas.openxmlformats.org/officeDocument/2006/relationships/hyperlink" Target="https://ui.adsabs.harvard.edu/abs/2015MNRAS.453.1026K/abstract" TargetMode="External"/><Relationship Id="rId1145" Type="http://schemas.openxmlformats.org/officeDocument/2006/relationships/hyperlink" Target="https://ui.adsabs.harvard.edu/abs/2006A%26A...460..547G/abstract" TargetMode="External"/><Relationship Id="rId1387" Type="http://schemas.openxmlformats.org/officeDocument/2006/relationships/hyperlink" Target="https://ui.adsabs.harvard.edu/abs/2011A%26A...525A..47R/abstract" TargetMode="External"/><Relationship Id="rId551" Type="http://schemas.openxmlformats.org/officeDocument/2006/relationships/hyperlink" Target="https://iopscience.iop.org/article/10.3847/1538-3881/ab811e/pdf" TargetMode="External"/><Relationship Id="rId793" Type="http://schemas.openxmlformats.org/officeDocument/2006/relationships/hyperlink" Target="https://ui.adsabs.harvard.edu/abs/2015MNRAS.453.1026K/abstract" TargetMode="External"/><Relationship Id="rId1146" Type="http://schemas.openxmlformats.org/officeDocument/2006/relationships/hyperlink" Target="https://ui.adsabs.harvard.edu/abs/2006A%26A...460..547G/abstract" TargetMode="External"/><Relationship Id="rId1388" Type="http://schemas.openxmlformats.org/officeDocument/2006/relationships/hyperlink" Target="https://ui.adsabs.harvard.edu/abs/2021yCat.2367....0M/abstract" TargetMode="External"/><Relationship Id="rId297" Type="http://schemas.openxmlformats.org/officeDocument/2006/relationships/hyperlink" Target="https://ui.adsabs.harvard.edu/abs/2017A%26A...600A..20A/abstract" TargetMode="External"/><Relationship Id="rId296" Type="http://schemas.openxmlformats.org/officeDocument/2006/relationships/hyperlink" Target="https://ui.adsabs.harvard.edu/abs/2017A%26A...600A..20A/abstract" TargetMode="External"/><Relationship Id="rId295" Type="http://schemas.openxmlformats.org/officeDocument/2006/relationships/hyperlink" Target="https://ui.adsabs.harvard.edu/abs/2017A%26A...600A..20A/abstract" TargetMode="External"/><Relationship Id="rId294" Type="http://schemas.openxmlformats.org/officeDocument/2006/relationships/hyperlink" Target="https://ui.adsabs.harvard.edu/abs/2017A%26A...600A..20A/abstract" TargetMode="External"/><Relationship Id="rId299" Type="http://schemas.openxmlformats.org/officeDocument/2006/relationships/hyperlink" Target="https://ui.adsabs.harvard.edu/abs/2017A%26A...600A..20A/abstract" TargetMode="External"/><Relationship Id="rId298" Type="http://schemas.openxmlformats.org/officeDocument/2006/relationships/hyperlink" Target="https://ui.adsabs.harvard.edu/abs/2017A%26A...600A..20A/abstract" TargetMode="External"/><Relationship Id="rId271" Type="http://schemas.openxmlformats.org/officeDocument/2006/relationships/hyperlink" Target="https://ui.adsabs.harvard.edu/abs/2017A%26A...600A..20A/abstract" TargetMode="External"/><Relationship Id="rId270" Type="http://schemas.openxmlformats.org/officeDocument/2006/relationships/hyperlink" Target="https://ui.adsabs.harvard.edu/abs/2017A%26A...600A..20A/abstract" TargetMode="External"/><Relationship Id="rId269" Type="http://schemas.openxmlformats.org/officeDocument/2006/relationships/hyperlink" Target="https://ui.adsabs.harvard.edu/abs/2017A%26A...600A..20A/abstract" TargetMode="External"/><Relationship Id="rId264" Type="http://schemas.openxmlformats.org/officeDocument/2006/relationships/hyperlink" Target="https://ui.adsabs.harvard.edu/abs/2017A%26A...600A..20A/abstract" TargetMode="External"/><Relationship Id="rId263" Type="http://schemas.openxmlformats.org/officeDocument/2006/relationships/hyperlink" Target="https://ui.adsabs.harvard.edu/abs/2017A%26A...600A..20A/abstract" TargetMode="External"/><Relationship Id="rId262" Type="http://schemas.openxmlformats.org/officeDocument/2006/relationships/hyperlink" Target="https://ui.adsabs.harvard.edu/abs/2017A%26A...600A..20A/abstract" TargetMode="External"/><Relationship Id="rId261" Type="http://schemas.openxmlformats.org/officeDocument/2006/relationships/hyperlink" Target="https://ui.adsabs.harvard.edu/abs/2017A%26A...600A..20A/abstract" TargetMode="External"/><Relationship Id="rId268" Type="http://schemas.openxmlformats.org/officeDocument/2006/relationships/hyperlink" Target="https://ui.adsabs.harvard.edu/abs/2017A%26A...600A..20A/abstract" TargetMode="External"/><Relationship Id="rId267" Type="http://schemas.openxmlformats.org/officeDocument/2006/relationships/hyperlink" Target="https://ui.adsabs.harvard.edu/abs/2017A%26A...600A..20A/abstract" TargetMode="External"/><Relationship Id="rId266" Type="http://schemas.openxmlformats.org/officeDocument/2006/relationships/hyperlink" Target="https://ui.adsabs.harvard.edu/abs/2017A%26A...600A..20A/abstract" TargetMode="External"/><Relationship Id="rId265" Type="http://schemas.openxmlformats.org/officeDocument/2006/relationships/hyperlink" Target="https://ui.adsabs.harvard.edu/abs/2017A%26A...600A..20A/abstract" TargetMode="External"/><Relationship Id="rId260" Type="http://schemas.openxmlformats.org/officeDocument/2006/relationships/hyperlink" Target="https://ui.adsabs.harvard.edu/abs/2017A%26A...600A..20A/abstract" TargetMode="External"/><Relationship Id="rId259" Type="http://schemas.openxmlformats.org/officeDocument/2006/relationships/hyperlink" Target="https://ui.adsabs.harvard.edu/abs/2017A%26A...600A..20A/abstract" TargetMode="External"/><Relationship Id="rId258" Type="http://schemas.openxmlformats.org/officeDocument/2006/relationships/hyperlink" Target="https://ui.adsabs.harvard.edu/abs/2017A%26A...600A..20A/abstract" TargetMode="External"/><Relationship Id="rId253" Type="http://schemas.openxmlformats.org/officeDocument/2006/relationships/hyperlink" Target="https://ui.adsabs.harvard.edu/abs/2008ApJ...681..594H/abstract" TargetMode="External"/><Relationship Id="rId495" Type="http://schemas.openxmlformats.org/officeDocument/2006/relationships/hyperlink" Target="https://ui.adsabs.harvard.edu/abs/2008ApJ...681..594H/abstract" TargetMode="External"/><Relationship Id="rId252" Type="http://schemas.openxmlformats.org/officeDocument/2006/relationships/hyperlink" Target="https://ui.adsabs.harvard.edu/abs/2006ApJ...649..306K/abstract" TargetMode="External"/><Relationship Id="rId494" Type="http://schemas.openxmlformats.org/officeDocument/2006/relationships/hyperlink" Target="https://ui.adsabs.harvard.edu/abs/2005ApJ...625..906M/abstract" TargetMode="External"/><Relationship Id="rId251" Type="http://schemas.openxmlformats.org/officeDocument/2006/relationships/hyperlink" Target="https://ui.adsabs.harvard.edu/abs/2008ApJ...681..594H/abstract" TargetMode="External"/><Relationship Id="rId493" Type="http://schemas.openxmlformats.org/officeDocument/2006/relationships/hyperlink" Target="https://ui.adsabs.harvard.edu/abs/2007ApJ...666.1219L/abstract" TargetMode="External"/><Relationship Id="rId250" Type="http://schemas.openxmlformats.org/officeDocument/2006/relationships/hyperlink" Target="https://ui.adsabs.harvard.edu/abs/2006ApJ...649..306K/abstract" TargetMode="External"/><Relationship Id="rId492" Type="http://schemas.openxmlformats.org/officeDocument/2006/relationships/hyperlink" Target="https://ui.adsabs.harvard.edu/abs/2005ApJ...625..906M/abstract" TargetMode="External"/><Relationship Id="rId257" Type="http://schemas.openxmlformats.org/officeDocument/2006/relationships/hyperlink" Target="https://ui.adsabs.harvard.edu/abs/2017A%26A...600A..20A/abstract" TargetMode="External"/><Relationship Id="rId499" Type="http://schemas.openxmlformats.org/officeDocument/2006/relationships/hyperlink" Target="https://ui.adsabs.harvard.edu/abs/2007ApJS..173..104L/abstract" TargetMode="External"/><Relationship Id="rId256" Type="http://schemas.openxmlformats.org/officeDocument/2006/relationships/hyperlink" Target="https://ui.adsabs.harvard.edu/abs/2017A%26A...600A..20A/abstract" TargetMode="External"/><Relationship Id="rId498" Type="http://schemas.openxmlformats.org/officeDocument/2006/relationships/hyperlink" Target="https://ui.adsabs.harvard.edu/abs/2005ApJ...625..906M/abstract" TargetMode="External"/><Relationship Id="rId255" Type="http://schemas.openxmlformats.org/officeDocument/2006/relationships/hyperlink" Target="https://ui.adsabs.harvard.edu/abs/2008ApJ...681..594H/abstract" TargetMode="External"/><Relationship Id="rId497" Type="http://schemas.openxmlformats.org/officeDocument/2006/relationships/hyperlink" Target="https://ui.adsabs.harvard.edu/abs/2008ApJ...681..594H/abstract" TargetMode="External"/><Relationship Id="rId254" Type="http://schemas.openxmlformats.org/officeDocument/2006/relationships/hyperlink" Target="https://ui.adsabs.harvard.edu/abs/2008ApJ...681..594H/abstract" TargetMode="External"/><Relationship Id="rId496" Type="http://schemas.openxmlformats.org/officeDocument/2006/relationships/hyperlink" Target="https://ui.adsabs.harvard.edu/abs/2005ApJ...625..906M/abstract" TargetMode="External"/><Relationship Id="rId293" Type="http://schemas.openxmlformats.org/officeDocument/2006/relationships/hyperlink" Target="https://ui.adsabs.harvard.edu/abs/2017A%26A...600A..20A/abstract" TargetMode="External"/><Relationship Id="rId292" Type="http://schemas.openxmlformats.org/officeDocument/2006/relationships/hyperlink" Target="https://ui.adsabs.harvard.edu/abs/2017A%26A...600A..20A/abstract" TargetMode="External"/><Relationship Id="rId291" Type="http://schemas.openxmlformats.org/officeDocument/2006/relationships/hyperlink" Target="https://ui.adsabs.harvard.edu/abs/2017A%26A...600A..20A/abstract" TargetMode="External"/><Relationship Id="rId290" Type="http://schemas.openxmlformats.org/officeDocument/2006/relationships/hyperlink" Target="https://ui.adsabs.harvard.edu/abs/2017A%26A...600A..20A/abstract" TargetMode="External"/><Relationship Id="rId286" Type="http://schemas.openxmlformats.org/officeDocument/2006/relationships/hyperlink" Target="https://ui.adsabs.harvard.edu/abs/2017A%26A...600A..20A/abstract" TargetMode="External"/><Relationship Id="rId285" Type="http://schemas.openxmlformats.org/officeDocument/2006/relationships/hyperlink" Target="https://ui.adsabs.harvard.edu/abs/2017A%26A...600A..20A/abstract" TargetMode="External"/><Relationship Id="rId284" Type="http://schemas.openxmlformats.org/officeDocument/2006/relationships/hyperlink" Target="https://ui.adsabs.harvard.edu/abs/2017A%26A...600A..20A/abstract" TargetMode="External"/><Relationship Id="rId283" Type="http://schemas.openxmlformats.org/officeDocument/2006/relationships/hyperlink" Target="https://ui.adsabs.harvard.edu/abs/2017A%26A...600A..20A/abstract" TargetMode="External"/><Relationship Id="rId289" Type="http://schemas.openxmlformats.org/officeDocument/2006/relationships/hyperlink" Target="https://ui.adsabs.harvard.edu/abs/2017A%26A...600A..20A/abstract" TargetMode="External"/><Relationship Id="rId288" Type="http://schemas.openxmlformats.org/officeDocument/2006/relationships/hyperlink" Target="https://ui.adsabs.harvard.edu/abs/2017A%26A...600A..20A/abstract" TargetMode="External"/><Relationship Id="rId287" Type="http://schemas.openxmlformats.org/officeDocument/2006/relationships/hyperlink" Target="https://ui.adsabs.harvard.edu/abs/2017A%26A...600A..20A/abstract" TargetMode="External"/><Relationship Id="rId282" Type="http://schemas.openxmlformats.org/officeDocument/2006/relationships/hyperlink" Target="https://ui.adsabs.harvard.edu/abs/2017A%26A...600A..20A/abstract" TargetMode="External"/><Relationship Id="rId281" Type="http://schemas.openxmlformats.org/officeDocument/2006/relationships/hyperlink" Target="https://ui.adsabs.harvard.edu/abs/2017A%26A...600A..20A/abstract" TargetMode="External"/><Relationship Id="rId280" Type="http://schemas.openxmlformats.org/officeDocument/2006/relationships/hyperlink" Target="https://ui.adsabs.harvard.edu/abs/2017A%26A...600A..20A/abstract" TargetMode="External"/><Relationship Id="rId275" Type="http://schemas.openxmlformats.org/officeDocument/2006/relationships/hyperlink" Target="https://ui.adsabs.harvard.edu/abs/2017A%26A...600A..20A/abstract" TargetMode="External"/><Relationship Id="rId274" Type="http://schemas.openxmlformats.org/officeDocument/2006/relationships/hyperlink" Target="https://ui.adsabs.harvard.edu/abs/2017A%26A...600A..20A/abstract" TargetMode="External"/><Relationship Id="rId273" Type="http://schemas.openxmlformats.org/officeDocument/2006/relationships/hyperlink" Target="https://ui.adsabs.harvard.edu/abs/2017A%26A...600A..20A/abstract" TargetMode="External"/><Relationship Id="rId272" Type="http://schemas.openxmlformats.org/officeDocument/2006/relationships/hyperlink" Target="https://ui.adsabs.harvard.edu/abs/2017A%26A...600A..20A/abstract" TargetMode="External"/><Relationship Id="rId279" Type="http://schemas.openxmlformats.org/officeDocument/2006/relationships/hyperlink" Target="https://ui.adsabs.harvard.edu/abs/2017A%26A...600A..20A/abstract" TargetMode="External"/><Relationship Id="rId278" Type="http://schemas.openxmlformats.org/officeDocument/2006/relationships/hyperlink" Target="https://ui.adsabs.harvard.edu/abs/2017A%26A...600A..20A/abstract" TargetMode="External"/><Relationship Id="rId277" Type="http://schemas.openxmlformats.org/officeDocument/2006/relationships/hyperlink" Target="https://ui.adsabs.harvard.edu/abs/2017A%26A...600A..20A/abstract" TargetMode="External"/><Relationship Id="rId276" Type="http://schemas.openxmlformats.org/officeDocument/2006/relationships/hyperlink" Target="https://ui.adsabs.harvard.edu/abs/2017A%26A...600A..20A/abstract" TargetMode="External"/><Relationship Id="rId907" Type="http://schemas.openxmlformats.org/officeDocument/2006/relationships/hyperlink" Target="https://ui.adsabs.harvard.edu/abs/2004A%26A...424..603N/abstract" TargetMode="External"/><Relationship Id="rId906" Type="http://schemas.openxmlformats.org/officeDocument/2006/relationships/hyperlink" Target="https://ui.adsabs.harvard.edu/abs/2006A%26A...452..245N/abstract" TargetMode="External"/><Relationship Id="rId905" Type="http://schemas.openxmlformats.org/officeDocument/2006/relationships/hyperlink" Target="https://ui.adsabs.harvard.edu/abs/2006A%26A...452..245N/abstract" TargetMode="External"/><Relationship Id="rId904" Type="http://schemas.openxmlformats.org/officeDocument/2006/relationships/hyperlink" Target="https://ui.adsabs.harvard.edu/abs/2006A%26A...452..245N/abstract" TargetMode="External"/><Relationship Id="rId909" Type="http://schemas.openxmlformats.org/officeDocument/2006/relationships/hyperlink" Target="https://ui.adsabs.harvard.edu/abs/2011AJ....141..119K/abstract" TargetMode="External"/><Relationship Id="rId908" Type="http://schemas.openxmlformats.org/officeDocument/2006/relationships/hyperlink" Target="https://ui.adsabs.harvard.edu/abs/2004A%26A...424..603N/abstract" TargetMode="External"/><Relationship Id="rId903" Type="http://schemas.openxmlformats.org/officeDocument/2006/relationships/hyperlink" Target="https://ui.adsabs.harvard.edu/abs/2006A%26A...452..245N/abstract" TargetMode="External"/><Relationship Id="rId902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901" Type="http://schemas.openxmlformats.org/officeDocument/2006/relationships/hyperlink" Target="https://ui.adsabs.harvard.edu/abs/2011AJ....141..119K/abstract" TargetMode="External"/><Relationship Id="rId900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929" Type="http://schemas.openxmlformats.org/officeDocument/2006/relationships/hyperlink" Target="https://ui.adsabs.harvard.edu/abs/2004A%26A...424..603N/abstract" TargetMode="External"/><Relationship Id="rId928" Type="http://schemas.openxmlformats.org/officeDocument/2006/relationships/hyperlink" Target="https://ui.adsabs.harvard.edu/abs/2006A%26A...452..245N/abstract" TargetMode="External"/><Relationship Id="rId927" Type="http://schemas.openxmlformats.org/officeDocument/2006/relationships/hyperlink" Target="https://ui.adsabs.harvard.edu/abs/2006A%26A...452..245N/abstract" TargetMode="External"/><Relationship Id="rId926" Type="http://schemas.openxmlformats.org/officeDocument/2006/relationships/hyperlink" Target="https://ui.adsabs.harvard.edu/abs/2006A%26A...452..245N/abstract" TargetMode="External"/><Relationship Id="rId921" Type="http://schemas.openxmlformats.org/officeDocument/2006/relationships/hyperlink" Target="https://ui.adsabs.harvard.edu/abs/2004A%26A...424..603N/abstract" TargetMode="External"/><Relationship Id="rId920" Type="http://schemas.openxmlformats.org/officeDocument/2006/relationships/hyperlink" Target="https://ui.adsabs.harvard.edu/abs/2004A%26A...424..603N/abstract" TargetMode="External"/><Relationship Id="rId925" Type="http://schemas.openxmlformats.org/officeDocument/2006/relationships/hyperlink" Target="https://ui.adsabs.harvard.edu/abs/2006A%26A...452..245N/abstract" TargetMode="External"/><Relationship Id="rId924" Type="http://schemas.openxmlformats.org/officeDocument/2006/relationships/hyperlink" Target="https://ui.adsabs.harvard.edu/abs/2006A%26A...452..245N/abstract" TargetMode="External"/><Relationship Id="rId923" Type="http://schemas.openxmlformats.org/officeDocument/2006/relationships/hyperlink" Target="https://ui.adsabs.harvard.edu/abs/2006A%26A...452..245N/abstract" TargetMode="External"/><Relationship Id="rId922" Type="http://schemas.openxmlformats.org/officeDocument/2006/relationships/hyperlink" Target="https://ui.adsabs.harvard.edu/abs/2004A%26A...424..603N/abstract" TargetMode="External"/><Relationship Id="rId918" Type="http://schemas.openxmlformats.org/officeDocument/2006/relationships/hyperlink" Target="https://ui.adsabs.harvard.edu/abs/2004A%26A...424..603N/abstract" TargetMode="External"/><Relationship Id="rId917" Type="http://schemas.openxmlformats.org/officeDocument/2006/relationships/hyperlink" Target="https://ui.adsabs.harvard.edu/abs/2004A%26A...424..603N/abstract" TargetMode="External"/><Relationship Id="rId916" Type="http://schemas.openxmlformats.org/officeDocument/2006/relationships/hyperlink" Target="https://ui.adsabs.harvard.edu/abs/2006A%26A...452..245N/abstract" TargetMode="External"/><Relationship Id="rId915" Type="http://schemas.openxmlformats.org/officeDocument/2006/relationships/hyperlink" Target="https://ui.adsabs.harvard.edu/abs/2006A%26A...452..245N/abstract" TargetMode="External"/><Relationship Id="rId919" Type="http://schemas.openxmlformats.org/officeDocument/2006/relationships/hyperlink" Target="https://ui.adsabs.harvard.edu/abs/2004A%26A...424..603N/abstract" TargetMode="External"/><Relationship Id="rId910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914" Type="http://schemas.openxmlformats.org/officeDocument/2006/relationships/hyperlink" Target="https://ui.adsabs.harvard.edu/abs/2006A%26A...460..547G/abstract" TargetMode="External"/><Relationship Id="rId913" Type="http://schemas.openxmlformats.org/officeDocument/2006/relationships/hyperlink" Target="https://ui.adsabs.harvard.edu/abs/2006A%26A...460..547G/abstract" TargetMode="External"/><Relationship Id="rId912" Type="http://schemas.openxmlformats.org/officeDocument/2006/relationships/hyperlink" Target="https://iopscience.iop.org/article/10.1088/0004-637X/743/2/148" TargetMode="External"/><Relationship Id="rId911" Type="http://schemas.openxmlformats.org/officeDocument/2006/relationships/hyperlink" Target="https://iopscience.iop.org/article/10.1088/0004-637X/743/2/148" TargetMode="External"/><Relationship Id="rId1213" Type="http://schemas.openxmlformats.org/officeDocument/2006/relationships/hyperlink" Target="https://ui.adsabs.harvard.edu/abs/2013ApJ...769...21S/abstract" TargetMode="External"/><Relationship Id="rId1455" Type="http://schemas.openxmlformats.org/officeDocument/2006/relationships/hyperlink" Target="https://ui.adsabs.harvard.edu/abs/2011A%26A...525A..47R/abstract" TargetMode="External"/><Relationship Id="rId1214" Type="http://schemas.openxmlformats.org/officeDocument/2006/relationships/hyperlink" Target="https://ui.adsabs.harvard.edu/abs/2013ApJ...769...21S/abstract" TargetMode="External"/><Relationship Id="rId1456" Type="http://schemas.openxmlformats.org/officeDocument/2006/relationships/hyperlink" Target="https://ui.adsabs.harvard.edu/abs/2021yCat.2367....0M/abstract" TargetMode="External"/><Relationship Id="rId1215" Type="http://schemas.openxmlformats.org/officeDocument/2006/relationships/hyperlink" Target="https://ui.adsabs.harvard.edu/abs/2013ApJ...769...21S/abstract" TargetMode="External"/><Relationship Id="rId1457" Type="http://schemas.openxmlformats.org/officeDocument/2006/relationships/hyperlink" Target="https://ui.adsabs.harvard.edu/abs/2011A%26A...525A..47R/abstract" TargetMode="External"/><Relationship Id="rId1216" Type="http://schemas.openxmlformats.org/officeDocument/2006/relationships/hyperlink" Target="https://ui.adsabs.harvard.edu/abs/2013ApJ...769...21S/abstract" TargetMode="External"/><Relationship Id="rId1458" Type="http://schemas.openxmlformats.org/officeDocument/2006/relationships/hyperlink" Target="https://ui.adsabs.harvard.edu/abs/2021yCat.2367....0M/abstract" TargetMode="External"/><Relationship Id="rId1217" Type="http://schemas.openxmlformats.org/officeDocument/2006/relationships/hyperlink" Target="https://ui.adsabs.harvard.edu/abs/2013ApJ...769...21S/abstract" TargetMode="External"/><Relationship Id="rId1459" Type="http://schemas.openxmlformats.org/officeDocument/2006/relationships/hyperlink" Target="https://ui.adsabs.harvard.edu/abs/2011A%26A...525A..47R/abstract" TargetMode="External"/><Relationship Id="rId1218" Type="http://schemas.openxmlformats.org/officeDocument/2006/relationships/hyperlink" Target="https://ui.adsabs.harvard.edu/abs/2013ApJ...769...21S/abstract" TargetMode="External"/><Relationship Id="rId1219" Type="http://schemas.openxmlformats.org/officeDocument/2006/relationships/hyperlink" Target="https://ui.adsabs.harvard.edu/abs/2013ApJ...769...21S/abstract" TargetMode="External"/><Relationship Id="rId629" Type="http://schemas.openxmlformats.org/officeDocument/2006/relationships/hyperlink" Target="https://ui.adsabs.harvard.edu/abs/2015MNRAS.453.1026K/abstract" TargetMode="External"/><Relationship Id="rId624" Type="http://schemas.openxmlformats.org/officeDocument/2006/relationships/hyperlink" Target="https://ui.adsabs.harvard.edu/abs/2015ApJ...800..113K/abstract" TargetMode="External"/><Relationship Id="rId866" Type="http://schemas.openxmlformats.org/officeDocument/2006/relationships/hyperlink" Target="https://ui.adsabs.harvard.edu/abs/2015MNRAS.453.1026K/abstract" TargetMode="External"/><Relationship Id="rId623" Type="http://schemas.openxmlformats.org/officeDocument/2006/relationships/hyperlink" Target="https://ui.adsabs.harvard.edu/abs/2015MNRAS.453.1026K/abstract" TargetMode="External"/><Relationship Id="rId865" Type="http://schemas.openxmlformats.org/officeDocument/2006/relationships/hyperlink" Target="https://ui.adsabs.harvard.edu/abs/2015MNRAS.453.1026K/abstract" TargetMode="External"/><Relationship Id="rId622" Type="http://schemas.openxmlformats.org/officeDocument/2006/relationships/hyperlink" Target="https://ui.adsabs.harvard.edu/abs/2015ApJ...800..113K/abstract" TargetMode="External"/><Relationship Id="rId864" Type="http://schemas.openxmlformats.org/officeDocument/2006/relationships/hyperlink" Target="https://ui.adsabs.harvard.edu/abs/2015MNRAS.453.1026K/abstract" TargetMode="External"/><Relationship Id="rId621" Type="http://schemas.openxmlformats.org/officeDocument/2006/relationships/hyperlink" Target="https://ui.adsabs.harvard.edu/abs/2015MNRAS.453.1026K/abstract" TargetMode="External"/><Relationship Id="rId863" Type="http://schemas.openxmlformats.org/officeDocument/2006/relationships/hyperlink" Target="https://ui.adsabs.harvard.edu/abs/2015MNRAS.453.1026K/abstract" TargetMode="External"/><Relationship Id="rId628" Type="http://schemas.openxmlformats.org/officeDocument/2006/relationships/hyperlink" Target="https://ui.adsabs.harvard.edu/abs/2015ApJ...800..113K/abstract" TargetMode="External"/><Relationship Id="rId627" Type="http://schemas.openxmlformats.org/officeDocument/2006/relationships/hyperlink" Target="https://ui.adsabs.harvard.edu/abs/2015MNRAS.453.1026K/abstract" TargetMode="External"/><Relationship Id="rId869" Type="http://schemas.openxmlformats.org/officeDocument/2006/relationships/hyperlink" Target="https://ui.adsabs.harvard.edu/abs/2015MNRAS.453.1026K/abstract" TargetMode="External"/><Relationship Id="rId626" Type="http://schemas.openxmlformats.org/officeDocument/2006/relationships/hyperlink" Target="https://ui.adsabs.harvard.edu/abs/2015ApJ...800..113K/abstract" TargetMode="External"/><Relationship Id="rId868" Type="http://schemas.openxmlformats.org/officeDocument/2006/relationships/hyperlink" Target="https://ui.adsabs.harvard.edu/abs/2015MNRAS.453.1026K/abstract" TargetMode="External"/><Relationship Id="rId625" Type="http://schemas.openxmlformats.org/officeDocument/2006/relationships/hyperlink" Target="https://ui.adsabs.harvard.edu/abs/2015MNRAS.453.1026K/abstract" TargetMode="External"/><Relationship Id="rId867" Type="http://schemas.openxmlformats.org/officeDocument/2006/relationships/hyperlink" Target="https://ui.adsabs.harvard.edu/abs/2015MNRAS.453.1026K/abstract" TargetMode="External"/><Relationship Id="rId1450" Type="http://schemas.openxmlformats.org/officeDocument/2006/relationships/hyperlink" Target="https://ui.adsabs.harvard.edu/abs/2021yCat.2367....0M/abstract" TargetMode="External"/><Relationship Id="rId620" Type="http://schemas.openxmlformats.org/officeDocument/2006/relationships/hyperlink" Target="https://ui.adsabs.harvard.edu/abs/2015ApJ...800..113K/abstract" TargetMode="External"/><Relationship Id="rId862" Type="http://schemas.openxmlformats.org/officeDocument/2006/relationships/hyperlink" Target="https://ui.adsabs.harvard.edu/abs/2015MNRAS.453.1026K/abstract" TargetMode="External"/><Relationship Id="rId1451" Type="http://schemas.openxmlformats.org/officeDocument/2006/relationships/hyperlink" Target="https://ui.adsabs.harvard.edu/abs/2011A%26A...525A..47R/abstract" TargetMode="External"/><Relationship Id="rId861" Type="http://schemas.openxmlformats.org/officeDocument/2006/relationships/hyperlink" Target="https://ui.adsabs.harvard.edu/abs/2015MNRAS.453.1026K/abstract" TargetMode="External"/><Relationship Id="rId1210" Type="http://schemas.openxmlformats.org/officeDocument/2006/relationships/hyperlink" Target="https://ui.adsabs.harvard.edu/abs/2013ApJ...769...21S/abstract" TargetMode="External"/><Relationship Id="rId1452" Type="http://schemas.openxmlformats.org/officeDocument/2006/relationships/hyperlink" Target="https://ui.adsabs.harvard.edu/abs/2021yCat.2367....0M/abstract" TargetMode="External"/><Relationship Id="rId860" Type="http://schemas.openxmlformats.org/officeDocument/2006/relationships/hyperlink" Target="https://ui.adsabs.harvard.edu/abs/2015MNRAS.453.1026K/abstract" TargetMode="External"/><Relationship Id="rId1211" Type="http://schemas.openxmlformats.org/officeDocument/2006/relationships/hyperlink" Target="https://ui.adsabs.harvard.edu/abs/2013ApJ...769...21S/abstract" TargetMode="External"/><Relationship Id="rId1453" Type="http://schemas.openxmlformats.org/officeDocument/2006/relationships/hyperlink" Target="https://ui.adsabs.harvard.edu/abs/2011A%26A...525A..47R/abstract" TargetMode="External"/><Relationship Id="rId1212" Type="http://schemas.openxmlformats.org/officeDocument/2006/relationships/hyperlink" Target="https://ui.adsabs.harvard.edu/abs/2013ApJ...769...21S/abstract" TargetMode="External"/><Relationship Id="rId1454" Type="http://schemas.openxmlformats.org/officeDocument/2006/relationships/hyperlink" Target="https://ui.adsabs.harvard.edu/abs/2021yCat.2367....0M/abstract" TargetMode="External"/><Relationship Id="rId1202" Type="http://schemas.openxmlformats.org/officeDocument/2006/relationships/hyperlink" Target="https://ui.adsabs.harvard.edu/abs/2013ApJ...769...21S/abstract" TargetMode="External"/><Relationship Id="rId1444" Type="http://schemas.openxmlformats.org/officeDocument/2006/relationships/hyperlink" Target="https://ui.adsabs.harvard.edu/abs/2021yCat.2367....0M/abstract" TargetMode="External"/><Relationship Id="rId1203" Type="http://schemas.openxmlformats.org/officeDocument/2006/relationships/hyperlink" Target="https://ui.adsabs.harvard.edu/abs/2013ApJ...769...21S/abstract" TargetMode="External"/><Relationship Id="rId1445" Type="http://schemas.openxmlformats.org/officeDocument/2006/relationships/hyperlink" Target="https://ui.adsabs.harvard.edu/abs/2011A%26A...525A..47R/abstract" TargetMode="External"/><Relationship Id="rId1204" Type="http://schemas.openxmlformats.org/officeDocument/2006/relationships/hyperlink" Target="https://ui.adsabs.harvard.edu/abs/2013ApJ...769...21S/abstract" TargetMode="External"/><Relationship Id="rId1446" Type="http://schemas.openxmlformats.org/officeDocument/2006/relationships/hyperlink" Target="https://ui.adsabs.harvard.edu/abs/2021yCat.2367....0M/abstract" TargetMode="External"/><Relationship Id="rId1205" Type="http://schemas.openxmlformats.org/officeDocument/2006/relationships/hyperlink" Target="https://ui.adsabs.harvard.edu/abs/2013ApJ...769...21S/abstract" TargetMode="External"/><Relationship Id="rId1447" Type="http://schemas.openxmlformats.org/officeDocument/2006/relationships/hyperlink" Target="https://ui.adsabs.harvard.edu/abs/2011A%26A...525A..47R/abstract" TargetMode="External"/><Relationship Id="rId1206" Type="http://schemas.openxmlformats.org/officeDocument/2006/relationships/hyperlink" Target="https://ui.adsabs.harvard.edu/abs/2013ApJ...769...21S/abstract" TargetMode="External"/><Relationship Id="rId1448" Type="http://schemas.openxmlformats.org/officeDocument/2006/relationships/hyperlink" Target="https://ui.adsabs.harvard.edu/abs/2021yCat.2367....0M/abstract" TargetMode="External"/><Relationship Id="rId1207" Type="http://schemas.openxmlformats.org/officeDocument/2006/relationships/hyperlink" Target="https://ui.adsabs.harvard.edu/abs/2013ApJ...769...21S/abstract" TargetMode="External"/><Relationship Id="rId1449" Type="http://schemas.openxmlformats.org/officeDocument/2006/relationships/hyperlink" Target="https://ui.adsabs.harvard.edu/abs/2011A%26A...525A..47R/abstract" TargetMode="External"/><Relationship Id="rId1208" Type="http://schemas.openxmlformats.org/officeDocument/2006/relationships/hyperlink" Target="https://ui.adsabs.harvard.edu/abs/2013ApJ...769...21S/abstract" TargetMode="External"/><Relationship Id="rId1209" Type="http://schemas.openxmlformats.org/officeDocument/2006/relationships/hyperlink" Target="https://ui.adsabs.harvard.edu/abs/2013ApJ...769...21S/abstract" TargetMode="External"/><Relationship Id="rId619" Type="http://schemas.openxmlformats.org/officeDocument/2006/relationships/hyperlink" Target="https://ui.adsabs.harvard.edu/abs/2015MNRAS.453.1026K/abstract" TargetMode="External"/><Relationship Id="rId618" Type="http://schemas.openxmlformats.org/officeDocument/2006/relationships/hyperlink" Target="https://ui.adsabs.harvard.edu/abs/2015ApJ...800..113K/abstract" TargetMode="External"/><Relationship Id="rId613" Type="http://schemas.openxmlformats.org/officeDocument/2006/relationships/hyperlink" Target="https://ui.adsabs.harvard.edu/abs/2015MNRAS.453.1026K/abstract" TargetMode="External"/><Relationship Id="rId855" Type="http://schemas.openxmlformats.org/officeDocument/2006/relationships/hyperlink" Target="https://ui.adsabs.harvard.edu/abs/2015MNRAS.453.1026K/abstract" TargetMode="External"/><Relationship Id="rId612" Type="http://schemas.openxmlformats.org/officeDocument/2006/relationships/hyperlink" Target="https://ui.adsabs.harvard.edu/abs/2015ApJ...800..113K/abstract" TargetMode="External"/><Relationship Id="rId854" Type="http://schemas.openxmlformats.org/officeDocument/2006/relationships/hyperlink" Target="https://ui.adsabs.harvard.edu/abs/2015MNRAS.453.1026K/abstract" TargetMode="External"/><Relationship Id="rId611" Type="http://schemas.openxmlformats.org/officeDocument/2006/relationships/hyperlink" Target="https://ui.adsabs.harvard.edu/abs/2015MNRAS.453.1026K/abstract" TargetMode="External"/><Relationship Id="rId853" Type="http://schemas.openxmlformats.org/officeDocument/2006/relationships/hyperlink" Target="https://ui.adsabs.harvard.edu/abs/2015MNRAS.453.1026K/abstract" TargetMode="External"/><Relationship Id="rId610" Type="http://schemas.openxmlformats.org/officeDocument/2006/relationships/hyperlink" Target="https://ui.adsabs.harvard.edu/abs/2015ApJ...800..113K/abstract" TargetMode="External"/><Relationship Id="rId852" Type="http://schemas.openxmlformats.org/officeDocument/2006/relationships/hyperlink" Target="https://ui.adsabs.harvard.edu/abs/2015MNRAS.453.1026K/abstract" TargetMode="External"/><Relationship Id="rId617" Type="http://schemas.openxmlformats.org/officeDocument/2006/relationships/hyperlink" Target="https://ui.adsabs.harvard.edu/abs/2015MNRAS.453.1026K/abstract" TargetMode="External"/><Relationship Id="rId859" Type="http://schemas.openxmlformats.org/officeDocument/2006/relationships/hyperlink" Target="https://ui.adsabs.harvard.edu/abs/2015MNRAS.453.1026K/abstract" TargetMode="External"/><Relationship Id="rId616" Type="http://schemas.openxmlformats.org/officeDocument/2006/relationships/hyperlink" Target="https://ui.adsabs.harvard.edu/abs/2015ApJ...800..113K/abstract" TargetMode="External"/><Relationship Id="rId858" Type="http://schemas.openxmlformats.org/officeDocument/2006/relationships/hyperlink" Target="https://ui.adsabs.harvard.edu/abs/2015MNRAS.453.1026K/abstract" TargetMode="External"/><Relationship Id="rId615" Type="http://schemas.openxmlformats.org/officeDocument/2006/relationships/hyperlink" Target="https://ui.adsabs.harvard.edu/abs/2015MNRAS.453.1026K/abstract" TargetMode="External"/><Relationship Id="rId857" Type="http://schemas.openxmlformats.org/officeDocument/2006/relationships/hyperlink" Target="https://ui.adsabs.harvard.edu/abs/2015MNRAS.453.1026K/abstract" TargetMode="External"/><Relationship Id="rId614" Type="http://schemas.openxmlformats.org/officeDocument/2006/relationships/hyperlink" Target="https://ui.adsabs.harvard.edu/abs/2015ApJ...800..113K/abstract" TargetMode="External"/><Relationship Id="rId856" Type="http://schemas.openxmlformats.org/officeDocument/2006/relationships/hyperlink" Target="https://ui.adsabs.harvard.edu/abs/2015MNRAS.453.1026K/abstract" TargetMode="External"/><Relationship Id="rId851" Type="http://schemas.openxmlformats.org/officeDocument/2006/relationships/hyperlink" Target="https://ui.adsabs.harvard.edu/abs/2015MNRAS.453.1026K/abstract" TargetMode="External"/><Relationship Id="rId1440" Type="http://schemas.openxmlformats.org/officeDocument/2006/relationships/hyperlink" Target="https://ui.adsabs.harvard.edu/abs/2021yCat.2367....0M/abstract" TargetMode="External"/><Relationship Id="rId850" Type="http://schemas.openxmlformats.org/officeDocument/2006/relationships/hyperlink" Target="https://ui.adsabs.harvard.edu/abs/2015MNRAS.453.1026K/abstract" TargetMode="External"/><Relationship Id="rId1441" Type="http://schemas.openxmlformats.org/officeDocument/2006/relationships/hyperlink" Target="https://ui.adsabs.harvard.edu/abs/2011A%26A...525A..47R/abstract" TargetMode="External"/><Relationship Id="rId1200" Type="http://schemas.openxmlformats.org/officeDocument/2006/relationships/hyperlink" Target="https://ui.adsabs.harvard.edu/abs/2013ApJ...769...21S/abstract" TargetMode="External"/><Relationship Id="rId1442" Type="http://schemas.openxmlformats.org/officeDocument/2006/relationships/hyperlink" Target="https://ui.adsabs.harvard.edu/abs/2021yCat.2367....0M/abstract" TargetMode="External"/><Relationship Id="rId1201" Type="http://schemas.openxmlformats.org/officeDocument/2006/relationships/hyperlink" Target="https://ui.adsabs.harvard.edu/abs/2013ApJ...769...21S/abstract" TargetMode="External"/><Relationship Id="rId1443" Type="http://schemas.openxmlformats.org/officeDocument/2006/relationships/hyperlink" Target="https://ui.adsabs.harvard.edu/abs/2011A%26A...525A..47R/abstract" TargetMode="External"/><Relationship Id="rId1235" Type="http://schemas.openxmlformats.org/officeDocument/2006/relationships/hyperlink" Target="https://ui.adsabs.harvard.edu/abs/2013ApJ...769...21S/abstract" TargetMode="External"/><Relationship Id="rId1477" Type="http://schemas.openxmlformats.org/officeDocument/2006/relationships/hyperlink" Target="https://ui.adsabs.harvard.edu/abs/2015A%26A...579A..66M/abstract" TargetMode="External"/><Relationship Id="rId1236" Type="http://schemas.openxmlformats.org/officeDocument/2006/relationships/hyperlink" Target="https://ui.adsabs.harvard.edu/abs/2013ApJ...769...21S/abstract" TargetMode="External"/><Relationship Id="rId1478" Type="http://schemas.openxmlformats.org/officeDocument/2006/relationships/hyperlink" Target="https://ui.adsabs.harvard.edu/abs/2015A%26A...579A..66M/abstract" TargetMode="External"/><Relationship Id="rId1237" Type="http://schemas.openxmlformats.org/officeDocument/2006/relationships/hyperlink" Target="https://ui.adsabs.harvard.edu/abs/2013ApJ...769...21S/abstract" TargetMode="External"/><Relationship Id="rId1479" Type="http://schemas.openxmlformats.org/officeDocument/2006/relationships/hyperlink" Target="https://ui.adsabs.harvard.edu/abs/2015A%26A...579A..66M/abstract" TargetMode="External"/><Relationship Id="rId1238" Type="http://schemas.openxmlformats.org/officeDocument/2006/relationships/hyperlink" Target="https://ui.adsabs.harvard.edu/abs/2013ApJ...769...21S/abstract" TargetMode="External"/><Relationship Id="rId1239" Type="http://schemas.openxmlformats.org/officeDocument/2006/relationships/hyperlink" Target="https://ui.adsabs.harvard.edu/abs/2013ApJ...769...21S/abstract" TargetMode="External"/><Relationship Id="rId409" Type="http://schemas.openxmlformats.org/officeDocument/2006/relationships/hyperlink" Target="https://ui.adsabs.harvard.edu/abs/2017A%26A...600A..20A/abstract" TargetMode="External"/><Relationship Id="rId404" Type="http://schemas.openxmlformats.org/officeDocument/2006/relationships/hyperlink" Target="https://ui.adsabs.harvard.edu/abs/2017A%26A...600A..20A/abstract" TargetMode="External"/><Relationship Id="rId646" Type="http://schemas.openxmlformats.org/officeDocument/2006/relationships/hyperlink" Target="https://ui.adsabs.harvard.edu/abs/2015MNRAS.453.1026K/abstract" TargetMode="External"/><Relationship Id="rId888" Type="http://schemas.openxmlformats.org/officeDocument/2006/relationships/hyperlink" Target="https://ui.adsabs.harvard.edu/abs/2020MNRAS.494...62L/abstract" TargetMode="External"/><Relationship Id="rId403" Type="http://schemas.openxmlformats.org/officeDocument/2006/relationships/hyperlink" Target="https://ui.adsabs.harvard.edu/abs/2017A%26A...600A..20A/abstract" TargetMode="External"/><Relationship Id="rId645" Type="http://schemas.openxmlformats.org/officeDocument/2006/relationships/hyperlink" Target="https://ui.adsabs.harvard.edu/abs/2015MNRAS.453.1026K/abstract" TargetMode="External"/><Relationship Id="rId887" Type="http://schemas.openxmlformats.org/officeDocument/2006/relationships/hyperlink" Target="https://ui.adsabs.harvard.edu/abs/2003ApJ...592..266M/abstract" TargetMode="External"/><Relationship Id="rId402" Type="http://schemas.openxmlformats.org/officeDocument/2006/relationships/hyperlink" Target="https://ui.adsabs.harvard.edu/abs/2017A%26A...600A..20A/abstract" TargetMode="External"/><Relationship Id="rId644" Type="http://schemas.openxmlformats.org/officeDocument/2006/relationships/hyperlink" Target="https://ui.adsabs.harvard.edu/abs/2018ApJ...863L...8W/abstract" TargetMode="External"/><Relationship Id="rId886" Type="http://schemas.openxmlformats.org/officeDocument/2006/relationships/hyperlink" Target="https://ui.adsabs.harvard.edu/abs/2003ApJ...592..266M/abstract" TargetMode="External"/><Relationship Id="rId401" Type="http://schemas.openxmlformats.org/officeDocument/2006/relationships/hyperlink" Target="https://ui.adsabs.harvard.edu/abs/2017A%26A...600A..20A/abstract" TargetMode="External"/><Relationship Id="rId643" Type="http://schemas.openxmlformats.org/officeDocument/2006/relationships/hyperlink" Target="https://ui.adsabs.harvard.edu/abs/2015Natur.527..342S/abstract" TargetMode="External"/><Relationship Id="rId885" Type="http://schemas.openxmlformats.org/officeDocument/2006/relationships/hyperlink" Target="https://ui.adsabs.harvard.edu/abs/2003ApJ...592..266M/abstract" TargetMode="External"/><Relationship Id="rId408" Type="http://schemas.openxmlformats.org/officeDocument/2006/relationships/hyperlink" Target="https://ui.adsabs.harvard.edu/abs/2017A%26A...600A..20A/abstract" TargetMode="External"/><Relationship Id="rId407" Type="http://schemas.openxmlformats.org/officeDocument/2006/relationships/hyperlink" Target="https://ui.adsabs.harvard.edu/abs/2017A%26A...600A..20A/abstract" TargetMode="External"/><Relationship Id="rId649" Type="http://schemas.openxmlformats.org/officeDocument/2006/relationships/hyperlink" Target="https://ui.adsabs.harvard.edu/abs/2015MNRAS.453.1026K/abstract" TargetMode="External"/><Relationship Id="rId406" Type="http://schemas.openxmlformats.org/officeDocument/2006/relationships/hyperlink" Target="https://ui.adsabs.harvard.edu/abs/2017A%26A...600A..20A/abstract" TargetMode="External"/><Relationship Id="rId648" Type="http://schemas.openxmlformats.org/officeDocument/2006/relationships/hyperlink" Target="https://ui.adsabs.harvard.edu/abs/2015MNRAS.453.1026K/abstract" TargetMode="External"/><Relationship Id="rId405" Type="http://schemas.openxmlformats.org/officeDocument/2006/relationships/hyperlink" Target="https://ui.adsabs.harvard.edu/abs/2017A%26A...600A..20A/abstract" TargetMode="External"/><Relationship Id="rId647" Type="http://schemas.openxmlformats.org/officeDocument/2006/relationships/hyperlink" Target="https://ui.adsabs.harvard.edu/abs/2015MNRAS.453.1026K/abstract" TargetMode="External"/><Relationship Id="rId889" Type="http://schemas.openxmlformats.org/officeDocument/2006/relationships/hyperlink" Target="https://ui.adsabs.harvard.edu/abs/2011ApJ...737..103S/abstract" TargetMode="External"/><Relationship Id="rId880" Type="http://schemas.openxmlformats.org/officeDocument/2006/relationships/hyperlink" Target="https://ui.adsabs.harvard.edu/abs/2003ApJ...592..266M/abstract" TargetMode="External"/><Relationship Id="rId1470" Type="http://schemas.openxmlformats.org/officeDocument/2006/relationships/hyperlink" Target="https://ui.adsabs.harvard.edu/abs/2015A%26A...579A..66M/abstract" TargetMode="External"/><Relationship Id="rId1471" Type="http://schemas.openxmlformats.org/officeDocument/2006/relationships/hyperlink" Target="https://ui.adsabs.harvard.edu/abs/2015A%26A...579A..66M/abstract" TargetMode="External"/><Relationship Id="rId1230" Type="http://schemas.openxmlformats.org/officeDocument/2006/relationships/hyperlink" Target="https://ui.adsabs.harvard.edu/abs/2013ApJ...769...21S/abstract" TargetMode="External"/><Relationship Id="rId1472" Type="http://schemas.openxmlformats.org/officeDocument/2006/relationships/hyperlink" Target="https://ui.adsabs.harvard.edu/abs/2015A%26A...579A..66M/abstract" TargetMode="External"/><Relationship Id="rId400" Type="http://schemas.openxmlformats.org/officeDocument/2006/relationships/hyperlink" Target="https://ui.adsabs.harvard.edu/abs/2017A%26A...600A..20A/abstract" TargetMode="External"/><Relationship Id="rId642" Type="http://schemas.openxmlformats.org/officeDocument/2006/relationships/hyperlink" Target="https://arxiv.org/pdf/2005.11725.pdf" TargetMode="External"/><Relationship Id="rId884" Type="http://schemas.openxmlformats.org/officeDocument/2006/relationships/hyperlink" Target="https://ui.adsabs.harvard.edu/abs/2003ApJ...592..266M/abstract" TargetMode="External"/><Relationship Id="rId1231" Type="http://schemas.openxmlformats.org/officeDocument/2006/relationships/hyperlink" Target="https://ui.adsabs.harvard.edu/abs/2013ApJ...769...21S/abstract" TargetMode="External"/><Relationship Id="rId1473" Type="http://schemas.openxmlformats.org/officeDocument/2006/relationships/hyperlink" Target="https://ui.adsabs.harvard.edu/abs/2015A%26A...579A..66M/abstract" TargetMode="External"/><Relationship Id="rId641" Type="http://schemas.openxmlformats.org/officeDocument/2006/relationships/hyperlink" Target="https://ui.adsabs.harvard.edu/abs/2011ApJ...737..103S/abstract" TargetMode="External"/><Relationship Id="rId883" Type="http://schemas.openxmlformats.org/officeDocument/2006/relationships/hyperlink" Target="https://ui.adsabs.harvard.edu/abs/2003ApJ...592..266M/abstract" TargetMode="External"/><Relationship Id="rId1232" Type="http://schemas.openxmlformats.org/officeDocument/2006/relationships/hyperlink" Target="https://ui.adsabs.harvard.edu/abs/2013ApJ...769...21S/abstract" TargetMode="External"/><Relationship Id="rId1474" Type="http://schemas.openxmlformats.org/officeDocument/2006/relationships/hyperlink" Target="https://ui.adsabs.harvard.edu/abs/2015A%26A...579A..66M/abstract" TargetMode="External"/><Relationship Id="rId640" Type="http://schemas.openxmlformats.org/officeDocument/2006/relationships/hyperlink" Target="https://ui.adsabs.harvard.edu/abs/2015ApJ...800..113K/abstract" TargetMode="External"/><Relationship Id="rId882" Type="http://schemas.openxmlformats.org/officeDocument/2006/relationships/hyperlink" Target="https://ui.adsabs.harvard.edu/abs/2003ApJ...592..266M/abstract" TargetMode="External"/><Relationship Id="rId1233" Type="http://schemas.openxmlformats.org/officeDocument/2006/relationships/hyperlink" Target="https://ui.adsabs.harvard.edu/abs/2013ApJ...769...21S/abstract" TargetMode="External"/><Relationship Id="rId1475" Type="http://schemas.openxmlformats.org/officeDocument/2006/relationships/hyperlink" Target="https://ui.adsabs.harvard.edu/abs/2015A%26A...579A..66M/abstract" TargetMode="External"/><Relationship Id="rId881" Type="http://schemas.openxmlformats.org/officeDocument/2006/relationships/hyperlink" Target="https://ui.adsabs.harvard.edu/abs/2003ApJ...592..266M/abstract" TargetMode="External"/><Relationship Id="rId1234" Type="http://schemas.openxmlformats.org/officeDocument/2006/relationships/hyperlink" Target="https://ui.adsabs.harvard.edu/abs/2013ApJ...769...21S/abstract" TargetMode="External"/><Relationship Id="rId1476" Type="http://schemas.openxmlformats.org/officeDocument/2006/relationships/hyperlink" Target="https://ui.adsabs.harvard.edu/abs/2015A%26A...579A..66M/abstract" TargetMode="External"/><Relationship Id="rId1224" Type="http://schemas.openxmlformats.org/officeDocument/2006/relationships/hyperlink" Target="https://ui.adsabs.harvard.edu/abs/2013ApJ...769...21S/abstract" TargetMode="External"/><Relationship Id="rId1466" Type="http://schemas.openxmlformats.org/officeDocument/2006/relationships/hyperlink" Target="https://ui.adsabs.harvard.edu/abs/2015A%26A...579A..66M/abstract" TargetMode="External"/><Relationship Id="rId1225" Type="http://schemas.openxmlformats.org/officeDocument/2006/relationships/hyperlink" Target="https://ui.adsabs.harvard.edu/abs/2013ApJ...769...21S/abstract" TargetMode="External"/><Relationship Id="rId1467" Type="http://schemas.openxmlformats.org/officeDocument/2006/relationships/hyperlink" Target="https://ui.adsabs.harvard.edu/abs/2015A%26A...579A..66M/abstract" TargetMode="External"/><Relationship Id="rId1226" Type="http://schemas.openxmlformats.org/officeDocument/2006/relationships/hyperlink" Target="https://ui.adsabs.harvard.edu/abs/2013ApJ...769...21S/abstract" TargetMode="External"/><Relationship Id="rId1468" Type="http://schemas.openxmlformats.org/officeDocument/2006/relationships/hyperlink" Target="https://ui.adsabs.harvard.edu/abs/2015A%26A...579A..66M/abstract" TargetMode="External"/><Relationship Id="rId1227" Type="http://schemas.openxmlformats.org/officeDocument/2006/relationships/hyperlink" Target="https://ui.adsabs.harvard.edu/abs/2013ApJ...769...21S/abstract" TargetMode="External"/><Relationship Id="rId1469" Type="http://schemas.openxmlformats.org/officeDocument/2006/relationships/hyperlink" Target="https://ui.adsabs.harvard.edu/abs/2015A%26A...579A..66M/abstract" TargetMode="External"/><Relationship Id="rId1228" Type="http://schemas.openxmlformats.org/officeDocument/2006/relationships/hyperlink" Target="https://ui.adsabs.harvard.edu/abs/2013ApJ...769...21S/abstract" TargetMode="External"/><Relationship Id="rId1229" Type="http://schemas.openxmlformats.org/officeDocument/2006/relationships/hyperlink" Target="https://ui.adsabs.harvard.edu/abs/2013ApJ...769...21S/abstract" TargetMode="External"/><Relationship Id="rId635" Type="http://schemas.openxmlformats.org/officeDocument/2006/relationships/hyperlink" Target="https://ui.adsabs.harvard.edu/abs/2015MNRAS.453.1026K/abstract" TargetMode="External"/><Relationship Id="rId877" Type="http://schemas.openxmlformats.org/officeDocument/2006/relationships/hyperlink" Target="https://ui.adsabs.harvard.edu/abs/2015MNRAS.453.1026K/abstract" TargetMode="External"/><Relationship Id="rId634" Type="http://schemas.openxmlformats.org/officeDocument/2006/relationships/hyperlink" Target="https://ui.adsabs.harvard.edu/abs/2015ApJ...800..113K/abstract" TargetMode="External"/><Relationship Id="rId876" Type="http://schemas.openxmlformats.org/officeDocument/2006/relationships/hyperlink" Target="https://ui.adsabs.harvard.edu/abs/2015MNRAS.453.1026K/abstract" TargetMode="External"/><Relationship Id="rId633" Type="http://schemas.openxmlformats.org/officeDocument/2006/relationships/hyperlink" Target="https://ui.adsabs.harvard.edu/abs/2015MNRAS.453.1026K/abstract" TargetMode="External"/><Relationship Id="rId875" Type="http://schemas.openxmlformats.org/officeDocument/2006/relationships/hyperlink" Target="https://ui.adsabs.harvard.edu/abs/2015MNRAS.453.1026K/abstract" TargetMode="External"/><Relationship Id="rId632" Type="http://schemas.openxmlformats.org/officeDocument/2006/relationships/hyperlink" Target="https://ui.adsabs.harvard.edu/abs/2015ApJ...800..113K/abstract" TargetMode="External"/><Relationship Id="rId874" Type="http://schemas.openxmlformats.org/officeDocument/2006/relationships/hyperlink" Target="https://ui.adsabs.harvard.edu/abs/2015MNRAS.453.1026K/abstract" TargetMode="External"/><Relationship Id="rId639" Type="http://schemas.openxmlformats.org/officeDocument/2006/relationships/hyperlink" Target="https://ui.adsabs.harvard.edu/abs/2015MNRAS.453.1026K/abstract" TargetMode="External"/><Relationship Id="rId638" Type="http://schemas.openxmlformats.org/officeDocument/2006/relationships/hyperlink" Target="https://ui.adsabs.harvard.edu/abs/2015ApJ...800..113K/abstract" TargetMode="External"/><Relationship Id="rId637" Type="http://schemas.openxmlformats.org/officeDocument/2006/relationships/hyperlink" Target="https://ui.adsabs.harvard.edu/abs/2015MNRAS.453.1026K/abstract" TargetMode="External"/><Relationship Id="rId879" Type="http://schemas.openxmlformats.org/officeDocument/2006/relationships/hyperlink" Target="https://ui.adsabs.harvard.edu/abs/2015MNRAS.453.1026K/abstract" TargetMode="External"/><Relationship Id="rId636" Type="http://schemas.openxmlformats.org/officeDocument/2006/relationships/hyperlink" Target="https://ui.adsabs.harvard.edu/abs/2015ApJ...800..113K/abstract" TargetMode="External"/><Relationship Id="rId878" Type="http://schemas.openxmlformats.org/officeDocument/2006/relationships/hyperlink" Target="https://ui.adsabs.harvard.edu/abs/2015MNRAS.453.1026K/abstract" TargetMode="External"/><Relationship Id="rId1460" Type="http://schemas.openxmlformats.org/officeDocument/2006/relationships/hyperlink" Target="https://ui.adsabs.harvard.edu/abs/2021yCat.2367....0M/abstract" TargetMode="External"/><Relationship Id="rId1461" Type="http://schemas.openxmlformats.org/officeDocument/2006/relationships/hyperlink" Target="https://ui.adsabs.harvard.edu/abs/2011A%26A...525A..47R/abstract" TargetMode="External"/><Relationship Id="rId631" Type="http://schemas.openxmlformats.org/officeDocument/2006/relationships/hyperlink" Target="https://ui.adsabs.harvard.edu/abs/2015MNRAS.453.1026K/abstract" TargetMode="External"/><Relationship Id="rId873" Type="http://schemas.openxmlformats.org/officeDocument/2006/relationships/hyperlink" Target="https://ui.adsabs.harvard.edu/abs/2015MNRAS.453.1026K/abstract" TargetMode="External"/><Relationship Id="rId1220" Type="http://schemas.openxmlformats.org/officeDocument/2006/relationships/hyperlink" Target="https://ui.adsabs.harvard.edu/abs/2013ApJ...769...21S/abstract" TargetMode="External"/><Relationship Id="rId1462" Type="http://schemas.openxmlformats.org/officeDocument/2006/relationships/hyperlink" Target="https://ui.adsabs.harvard.edu/abs/2011AJ....141..119K/abstract" TargetMode="External"/><Relationship Id="rId630" Type="http://schemas.openxmlformats.org/officeDocument/2006/relationships/hyperlink" Target="https://ui.adsabs.harvard.edu/abs/2015ApJ...800..113K/abstract" TargetMode="External"/><Relationship Id="rId872" Type="http://schemas.openxmlformats.org/officeDocument/2006/relationships/hyperlink" Target="https://ui.adsabs.harvard.edu/abs/2015MNRAS.453.1026K/abstract" TargetMode="External"/><Relationship Id="rId1221" Type="http://schemas.openxmlformats.org/officeDocument/2006/relationships/hyperlink" Target="https://ui.adsabs.harvard.edu/abs/2013ApJ...769...21S/abstract" TargetMode="External"/><Relationship Id="rId1463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871" Type="http://schemas.openxmlformats.org/officeDocument/2006/relationships/hyperlink" Target="https://ui.adsabs.harvard.edu/abs/2015MNRAS.453.1026K/abstract" TargetMode="External"/><Relationship Id="rId1222" Type="http://schemas.openxmlformats.org/officeDocument/2006/relationships/hyperlink" Target="https://ui.adsabs.harvard.edu/abs/2013ApJ...769...21S/abstract" TargetMode="External"/><Relationship Id="rId1464" Type="http://schemas.openxmlformats.org/officeDocument/2006/relationships/hyperlink" Target="https://ui.adsabs.harvard.edu/abs/2015A%26A...579A..66M/abstract" TargetMode="External"/><Relationship Id="rId870" Type="http://schemas.openxmlformats.org/officeDocument/2006/relationships/hyperlink" Target="https://ui.adsabs.harvard.edu/abs/2015MNRAS.453.1026K/abstract" TargetMode="External"/><Relationship Id="rId1223" Type="http://schemas.openxmlformats.org/officeDocument/2006/relationships/hyperlink" Target="https://ui.adsabs.harvard.edu/abs/2013ApJ...769...21S/abstract" TargetMode="External"/><Relationship Id="rId1465" Type="http://schemas.openxmlformats.org/officeDocument/2006/relationships/hyperlink" Target="https://ui.adsabs.harvard.edu/abs/2015A%26A...579A..66M/abstract" TargetMode="External"/><Relationship Id="rId1411" Type="http://schemas.openxmlformats.org/officeDocument/2006/relationships/hyperlink" Target="https://ui.adsabs.harvard.edu/abs/2011A%26A...525A..47R/abstract" TargetMode="External"/><Relationship Id="rId1412" Type="http://schemas.openxmlformats.org/officeDocument/2006/relationships/hyperlink" Target="https://ui.adsabs.harvard.edu/abs/2021yCat.2367....0M/abstract" TargetMode="External"/><Relationship Id="rId1413" Type="http://schemas.openxmlformats.org/officeDocument/2006/relationships/hyperlink" Target="https://ui.adsabs.harvard.edu/abs/2011A%26A...525A..47R/abstract" TargetMode="External"/><Relationship Id="rId1414" Type="http://schemas.openxmlformats.org/officeDocument/2006/relationships/hyperlink" Target="https://ui.adsabs.harvard.edu/abs/2021yCat.2367....0M/abstract" TargetMode="External"/><Relationship Id="rId1415" Type="http://schemas.openxmlformats.org/officeDocument/2006/relationships/hyperlink" Target="https://ui.adsabs.harvard.edu/abs/2011A%26A...525A..47R/abstract" TargetMode="External"/><Relationship Id="rId1416" Type="http://schemas.openxmlformats.org/officeDocument/2006/relationships/hyperlink" Target="https://ui.adsabs.harvard.edu/abs/2021yCat.2367....0M/abstract" TargetMode="External"/><Relationship Id="rId1417" Type="http://schemas.openxmlformats.org/officeDocument/2006/relationships/hyperlink" Target="https://ui.adsabs.harvard.edu/abs/2011A%26A...525A..47R/abstract" TargetMode="External"/><Relationship Id="rId1418" Type="http://schemas.openxmlformats.org/officeDocument/2006/relationships/hyperlink" Target="https://ui.adsabs.harvard.edu/abs/2021yCat.2367....0M/abstract" TargetMode="External"/><Relationship Id="rId1419" Type="http://schemas.openxmlformats.org/officeDocument/2006/relationships/hyperlink" Target="https://ui.adsabs.harvard.edu/abs/2011A%26A...525A..47R/abstract" TargetMode="External"/><Relationship Id="rId829" Type="http://schemas.openxmlformats.org/officeDocument/2006/relationships/hyperlink" Target="https://ui.adsabs.harvard.edu/abs/2015MNRAS.453.1026K/abstract" TargetMode="External"/><Relationship Id="rId828" Type="http://schemas.openxmlformats.org/officeDocument/2006/relationships/hyperlink" Target="https://ui.adsabs.harvard.edu/abs/2015MNRAS.453.1026K/abstract" TargetMode="External"/><Relationship Id="rId827" Type="http://schemas.openxmlformats.org/officeDocument/2006/relationships/hyperlink" Target="https://ui.adsabs.harvard.edu/abs/2015MNRAS.453.1026K/abstract" TargetMode="External"/><Relationship Id="rId822" Type="http://schemas.openxmlformats.org/officeDocument/2006/relationships/hyperlink" Target="https://ui.adsabs.harvard.edu/abs/2015MNRAS.453.1026K/abstract" TargetMode="External"/><Relationship Id="rId821" Type="http://schemas.openxmlformats.org/officeDocument/2006/relationships/hyperlink" Target="https://ui.adsabs.harvard.edu/abs/2015MNRAS.453.1026K/abstract" TargetMode="External"/><Relationship Id="rId820" Type="http://schemas.openxmlformats.org/officeDocument/2006/relationships/hyperlink" Target="https://ui.adsabs.harvard.edu/abs/2015MNRAS.453.1026K/abstract" TargetMode="External"/><Relationship Id="rId826" Type="http://schemas.openxmlformats.org/officeDocument/2006/relationships/hyperlink" Target="https://ui.adsabs.harvard.edu/abs/2015MNRAS.453.1026K/abstract" TargetMode="External"/><Relationship Id="rId825" Type="http://schemas.openxmlformats.org/officeDocument/2006/relationships/hyperlink" Target="https://ui.adsabs.harvard.edu/abs/2015MNRAS.453.1026K/abstract" TargetMode="External"/><Relationship Id="rId824" Type="http://schemas.openxmlformats.org/officeDocument/2006/relationships/hyperlink" Target="https://ui.adsabs.harvard.edu/abs/2015MNRAS.453.1026K/abstract" TargetMode="External"/><Relationship Id="rId823" Type="http://schemas.openxmlformats.org/officeDocument/2006/relationships/hyperlink" Target="https://ui.adsabs.harvard.edu/abs/2015MNRAS.453.1026K/abstract" TargetMode="External"/><Relationship Id="rId1410" Type="http://schemas.openxmlformats.org/officeDocument/2006/relationships/hyperlink" Target="https://ui.adsabs.harvard.edu/abs/2021yCat.2367....0M/abstract" TargetMode="External"/><Relationship Id="rId1400" Type="http://schemas.openxmlformats.org/officeDocument/2006/relationships/hyperlink" Target="https://ui.adsabs.harvard.edu/abs/2021yCat.2367....0M/abstract" TargetMode="External"/><Relationship Id="rId1401" Type="http://schemas.openxmlformats.org/officeDocument/2006/relationships/hyperlink" Target="https://ui.adsabs.harvard.edu/abs/2011A%26A...525A..47R/abstract" TargetMode="External"/><Relationship Id="rId1402" Type="http://schemas.openxmlformats.org/officeDocument/2006/relationships/hyperlink" Target="https://ui.adsabs.harvard.edu/abs/2021yCat.2367....0M/abstract" TargetMode="External"/><Relationship Id="rId1403" Type="http://schemas.openxmlformats.org/officeDocument/2006/relationships/hyperlink" Target="https://ui.adsabs.harvard.edu/abs/2011A%26A...525A..47R/abstract" TargetMode="External"/><Relationship Id="rId1404" Type="http://schemas.openxmlformats.org/officeDocument/2006/relationships/hyperlink" Target="https://ui.adsabs.harvard.edu/abs/2021yCat.2367....0M/abstract" TargetMode="External"/><Relationship Id="rId1405" Type="http://schemas.openxmlformats.org/officeDocument/2006/relationships/hyperlink" Target="https://ui.adsabs.harvard.edu/abs/2011A%26A...525A..47R/abstract" TargetMode="External"/><Relationship Id="rId1406" Type="http://schemas.openxmlformats.org/officeDocument/2006/relationships/hyperlink" Target="https://ui.adsabs.harvard.edu/abs/2021yCat.2367....0M/abstract" TargetMode="External"/><Relationship Id="rId1407" Type="http://schemas.openxmlformats.org/officeDocument/2006/relationships/hyperlink" Target="https://ui.adsabs.harvard.edu/abs/2011A%26A...525A..47R/abstract" TargetMode="External"/><Relationship Id="rId819" Type="http://schemas.openxmlformats.org/officeDocument/2006/relationships/hyperlink" Target="https://ui.adsabs.harvard.edu/abs/2015MNRAS.453.1026K/abstract" TargetMode="External"/><Relationship Id="rId1408" Type="http://schemas.openxmlformats.org/officeDocument/2006/relationships/hyperlink" Target="https://ui.adsabs.harvard.edu/abs/2021yCat.2367....0M/abstract" TargetMode="External"/><Relationship Id="rId818" Type="http://schemas.openxmlformats.org/officeDocument/2006/relationships/hyperlink" Target="https://ui.adsabs.harvard.edu/abs/2015MNRAS.453.1026K/abstract" TargetMode="External"/><Relationship Id="rId1409" Type="http://schemas.openxmlformats.org/officeDocument/2006/relationships/hyperlink" Target="https://ui.adsabs.harvard.edu/abs/2011A%26A...525A..47R/abstract" TargetMode="External"/><Relationship Id="rId817" Type="http://schemas.openxmlformats.org/officeDocument/2006/relationships/hyperlink" Target="https://ui.adsabs.harvard.edu/abs/2015MNRAS.453.1026K/abstract" TargetMode="External"/><Relationship Id="rId816" Type="http://schemas.openxmlformats.org/officeDocument/2006/relationships/hyperlink" Target="https://ui.adsabs.harvard.edu/abs/2015MNRAS.453.1026K/abstract" TargetMode="External"/><Relationship Id="rId811" Type="http://schemas.openxmlformats.org/officeDocument/2006/relationships/hyperlink" Target="https://ui.adsabs.harvard.edu/abs/2015MNRAS.453.1026K/abstract" TargetMode="External"/><Relationship Id="rId810" Type="http://schemas.openxmlformats.org/officeDocument/2006/relationships/hyperlink" Target="https://ui.adsabs.harvard.edu/abs/2015MNRAS.453.1026K/abstract" TargetMode="External"/><Relationship Id="rId815" Type="http://schemas.openxmlformats.org/officeDocument/2006/relationships/hyperlink" Target="https://ui.adsabs.harvard.edu/abs/2015MNRAS.453.1026K/abstract" TargetMode="External"/><Relationship Id="rId814" Type="http://schemas.openxmlformats.org/officeDocument/2006/relationships/hyperlink" Target="https://ui.adsabs.harvard.edu/abs/2015MNRAS.453.1026K/abstract" TargetMode="External"/><Relationship Id="rId813" Type="http://schemas.openxmlformats.org/officeDocument/2006/relationships/hyperlink" Target="https://ui.adsabs.harvard.edu/abs/2015MNRAS.453.1026K/abstract" TargetMode="External"/><Relationship Id="rId812" Type="http://schemas.openxmlformats.org/officeDocument/2006/relationships/hyperlink" Target="https://ui.adsabs.harvard.edu/abs/2015MNRAS.453.1026K/abstract" TargetMode="External"/><Relationship Id="rId1433" Type="http://schemas.openxmlformats.org/officeDocument/2006/relationships/hyperlink" Target="https://ui.adsabs.harvard.edu/abs/2011A%26A...525A..47R/abstract" TargetMode="External"/><Relationship Id="rId1434" Type="http://schemas.openxmlformats.org/officeDocument/2006/relationships/hyperlink" Target="https://ui.adsabs.harvard.edu/abs/2021yCat.2367....0M/abstract" TargetMode="External"/><Relationship Id="rId1435" Type="http://schemas.openxmlformats.org/officeDocument/2006/relationships/hyperlink" Target="https://ui.adsabs.harvard.edu/abs/2011A%26A...525A..47R/abstract" TargetMode="External"/><Relationship Id="rId1436" Type="http://schemas.openxmlformats.org/officeDocument/2006/relationships/hyperlink" Target="https://ui.adsabs.harvard.edu/abs/2021yCat.2367....0M/abstract" TargetMode="External"/><Relationship Id="rId1437" Type="http://schemas.openxmlformats.org/officeDocument/2006/relationships/hyperlink" Target="https://ui.adsabs.harvard.edu/abs/2011A%26A...525A..47R/abstract" TargetMode="External"/><Relationship Id="rId1438" Type="http://schemas.openxmlformats.org/officeDocument/2006/relationships/hyperlink" Target="https://ui.adsabs.harvard.edu/abs/2021yCat.2367....0M/abstract" TargetMode="External"/><Relationship Id="rId1439" Type="http://schemas.openxmlformats.org/officeDocument/2006/relationships/hyperlink" Target="https://ui.adsabs.harvard.edu/abs/2011A%26A...525A..47R/abstract" TargetMode="External"/><Relationship Id="rId609" Type="http://schemas.openxmlformats.org/officeDocument/2006/relationships/hyperlink" Target="https://ui.adsabs.harvard.edu/abs/2015MNRAS.453.1026K/abstract" TargetMode="External"/><Relationship Id="rId608" Type="http://schemas.openxmlformats.org/officeDocument/2006/relationships/hyperlink" Target="https://ui.adsabs.harvard.edu/abs/2015ApJ...800..113K/abstract" TargetMode="External"/><Relationship Id="rId607" Type="http://schemas.openxmlformats.org/officeDocument/2006/relationships/hyperlink" Target="https://ui.adsabs.harvard.edu/abs/2015MNRAS.453.1026K/abstract" TargetMode="External"/><Relationship Id="rId849" Type="http://schemas.openxmlformats.org/officeDocument/2006/relationships/hyperlink" Target="https://ui.adsabs.harvard.edu/abs/2015MNRAS.453.1026K/abstract" TargetMode="External"/><Relationship Id="rId602" Type="http://schemas.openxmlformats.org/officeDocument/2006/relationships/hyperlink" Target="https://ui.adsabs.harvard.edu/abs/2015ApJ...800..113K/abstract" TargetMode="External"/><Relationship Id="rId844" Type="http://schemas.openxmlformats.org/officeDocument/2006/relationships/hyperlink" Target="https://ui.adsabs.harvard.edu/abs/2015MNRAS.453.1026K/abstract" TargetMode="External"/><Relationship Id="rId601" Type="http://schemas.openxmlformats.org/officeDocument/2006/relationships/hyperlink" Target="https://ui.adsabs.harvard.edu/abs/2015MNRAS.453.1026K/abstract" TargetMode="External"/><Relationship Id="rId843" Type="http://schemas.openxmlformats.org/officeDocument/2006/relationships/hyperlink" Target="https://ui.adsabs.harvard.edu/abs/2015MNRAS.453.1026K/abstract" TargetMode="External"/><Relationship Id="rId600" Type="http://schemas.openxmlformats.org/officeDocument/2006/relationships/hyperlink" Target="https://ui.adsabs.harvard.edu/abs/2015ApJ...800..113K/abstract" TargetMode="External"/><Relationship Id="rId842" Type="http://schemas.openxmlformats.org/officeDocument/2006/relationships/hyperlink" Target="https://ui.adsabs.harvard.edu/abs/2015MNRAS.453.1026K/abstract" TargetMode="External"/><Relationship Id="rId841" Type="http://schemas.openxmlformats.org/officeDocument/2006/relationships/hyperlink" Target="https://ui.adsabs.harvard.edu/abs/2015MNRAS.453.1026K/abstract" TargetMode="External"/><Relationship Id="rId606" Type="http://schemas.openxmlformats.org/officeDocument/2006/relationships/hyperlink" Target="https://ui.adsabs.harvard.edu/abs/2015ApJ...800..113K/abstract" TargetMode="External"/><Relationship Id="rId848" Type="http://schemas.openxmlformats.org/officeDocument/2006/relationships/hyperlink" Target="https://ui.adsabs.harvard.edu/abs/2015MNRAS.453.1026K/abstract" TargetMode="External"/><Relationship Id="rId605" Type="http://schemas.openxmlformats.org/officeDocument/2006/relationships/hyperlink" Target="https://ui.adsabs.harvard.edu/abs/2015MNRAS.453.1026K/abstract" TargetMode="External"/><Relationship Id="rId847" Type="http://schemas.openxmlformats.org/officeDocument/2006/relationships/hyperlink" Target="https://ui.adsabs.harvard.edu/abs/2015MNRAS.453.1026K/abstract" TargetMode="External"/><Relationship Id="rId604" Type="http://schemas.openxmlformats.org/officeDocument/2006/relationships/hyperlink" Target="https://ui.adsabs.harvard.edu/abs/2015ApJ...800..113K/abstract" TargetMode="External"/><Relationship Id="rId846" Type="http://schemas.openxmlformats.org/officeDocument/2006/relationships/hyperlink" Target="https://ui.adsabs.harvard.edu/abs/2015MNRAS.453.1026K/abstract" TargetMode="External"/><Relationship Id="rId603" Type="http://schemas.openxmlformats.org/officeDocument/2006/relationships/hyperlink" Target="https://ui.adsabs.harvard.edu/abs/2015MNRAS.453.1026K/abstract" TargetMode="External"/><Relationship Id="rId845" Type="http://schemas.openxmlformats.org/officeDocument/2006/relationships/hyperlink" Target="https://ui.adsabs.harvard.edu/abs/2015MNRAS.453.1026K/abstract" TargetMode="External"/><Relationship Id="rId840" Type="http://schemas.openxmlformats.org/officeDocument/2006/relationships/hyperlink" Target="https://ui.adsabs.harvard.edu/abs/2015MNRAS.453.1026K/abstract" TargetMode="External"/><Relationship Id="rId1430" Type="http://schemas.openxmlformats.org/officeDocument/2006/relationships/hyperlink" Target="https://ui.adsabs.harvard.edu/abs/2021yCat.2367....0M/abstract" TargetMode="External"/><Relationship Id="rId1431" Type="http://schemas.openxmlformats.org/officeDocument/2006/relationships/hyperlink" Target="https://ui.adsabs.harvard.edu/abs/2011A%26A...525A..47R/abstract" TargetMode="External"/><Relationship Id="rId1432" Type="http://schemas.openxmlformats.org/officeDocument/2006/relationships/hyperlink" Target="https://ui.adsabs.harvard.edu/abs/2021yCat.2367....0M/abstract" TargetMode="External"/><Relationship Id="rId1422" Type="http://schemas.openxmlformats.org/officeDocument/2006/relationships/hyperlink" Target="https://ui.adsabs.harvard.edu/abs/2021yCat.2367....0M/abstract" TargetMode="External"/><Relationship Id="rId1423" Type="http://schemas.openxmlformats.org/officeDocument/2006/relationships/hyperlink" Target="https://ui.adsabs.harvard.edu/abs/2011A%26A...525A..47R/abstract" TargetMode="External"/><Relationship Id="rId1424" Type="http://schemas.openxmlformats.org/officeDocument/2006/relationships/hyperlink" Target="https://ui.adsabs.harvard.edu/abs/2021yCat.2367....0M/abstract" TargetMode="External"/><Relationship Id="rId1425" Type="http://schemas.openxmlformats.org/officeDocument/2006/relationships/hyperlink" Target="https://ui.adsabs.harvard.edu/abs/2011A%26A...525A..47R/abstract" TargetMode="External"/><Relationship Id="rId1426" Type="http://schemas.openxmlformats.org/officeDocument/2006/relationships/hyperlink" Target="https://ui.adsabs.harvard.edu/abs/2021yCat.2367....0M/abstract" TargetMode="External"/><Relationship Id="rId1427" Type="http://schemas.openxmlformats.org/officeDocument/2006/relationships/hyperlink" Target="https://ui.adsabs.harvard.edu/abs/2011A%26A...525A..47R/abstract" TargetMode="External"/><Relationship Id="rId1428" Type="http://schemas.openxmlformats.org/officeDocument/2006/relationships/hyperlink" Target="https://ui.adsabs.harvard.edu/abs/2021yCat.2367....0M/abstract" TargetMode="External"/><Relationship Id="rId1429" Type="http://schemas.openxmlformats.org/officeDocument/2006/relationships/hyperlink" Target="https://ui.adsabs.harvard.edu/abs/2011A%26A...525A..47R/abstract" TargetMode="External"/><Relationship Id="rId839" Type="http://schemas.openxmlformats.org/officeDocument/2006/relationships/hyperlink" Target="https://ui.adsabs.harvard.edu/abs/2015MNRAS.453.1026K/abstract" TargetMode="External"/><Relationship Id="rId838" Type="http://schemas.openxmlformats.org/officeDocument/2006/relationships/hyperlink" Target="https://ui.adsabs.harvard.edu/abs/2015MNRAS.453.1026K/abstract" TargetMode="External"/><Relationship Id="rId833" Type="http://schemas.openxmlformats.org/officeDocument/2006/relationships/hyperlink" Target="https://ui.adsabs.harvard.edu/abs/2015MNRAS.453.1026K/abstract" TargetMode="External"/><Relationship Id="rId832" Type="http://schemas.openxmlformats.org/officeDocument/2006/relationships/hyperlink" Target="https://ui.adsabs.harvard.edu/abs/2015MNRAS.453.1026K/abstract" TargetMode="External"/><Relationship Id="rId831" Type="http://schemas.openxmlformats.org/officeDocument/2006/relationships/hyperlink" Target="https://ui.adsabs.harvard.edu/abs/2015MNRAS.453.1026K/abstract" TargetMode="External"/><Relationship Id="rId830" Type="http://schemas.openxmlformats.org/officeDocument/2006/relationships/hyperlink" Target="https://ui.adsabs.harvard.edu/abs/2015MNRAS.453.1026K/abstract" TargetMode="External"/><Relationship Id="rId837" Type="http://schemas.openxmlformats.org/officeDocument/2006/relationships/hyperlink" Target="https://ui.adsabs.harvard.edu/abs/2015MNRAS.453.1026K/abstract" TargetMode="External"/><Relationship Id="rId836" Type="http://schemas.openxmlformats.org/officeDocument/2006/relationships/hyperlink" Target="https://ui.adsabs.harvard.edu/abs/2015MNRAS.453.1026K/abstract" TargetMode="External"/><Relationship Id="rId835" Type="http://schemas.openxmlformats.org/officeDocument/2006/relationships/hyperlink" Target="https://ui.adsabs.harvard.edu/abs/2015MNRAS.453.1026K/abstract" TargetMode="External"/><Relationship Id="rId834" Type="http://schemas.openxmlformats.org/officeDocument/2006/relationships/hyperlink" Target="https://ui.adsabs.harvard.edu/abs/2015MNRAS.453.1026K/abstract" TargetMode="External"/><Relationship Id="rId1420" Type="http://schemas.openxmlformats.org/officeDocument/2006/relationships/hyperlink" Target="https://ui.adsabs.harvard.edu/abs/2021yCat.2367....0M/abstract" TargetMode="External"/><Relationship Id="rId1421" Type="http://schemas.openxmlformats.org/officeDocument/2006/relationships/hyperlink" Target="https://ui.adsabs.harvard.edu/abs/2011A%26A...525A..47R/abstract" TargetMode="External"/><Relationship Id="rId1059" Type="http://schemas.openxmlformats.org/officeDocument/2006/relationships/hyperlink" Target="https://ui.adsabs.harvard.edu/abs/2006A%26A...452..245N/abstract" TargetMode="External"/><Relationship Id="rId228" Type="http://schemas.openxmlformats.org/officeDocument/2006/relationships/hyperlink" Target="https://ui.adsabs.harvard.edu/abs/2008ApJ...681..594H/abstract" TargetMode="External"/><Relationship Id="rId227" Type="http://schemas.openxmlformats.org/officeDocument/2006/relationships/hyperlink" Target="https://ui.adsabs.harvard.edu/abs/2008ApJ...681..594H/abstract" TargetMode="External"/><Relationship Id="rId469" Type="http://schemas.openxmlformats.org/officeDocument/2006/relationships/hyperlink" Target="https://ui.adsabs.harvard.edu/abs/2007ApJS..173..104L/abstract" TargetMode="External"/><Relationship Id="rId226" Type="http://schemas.openxmlformats.org/officeDocument/2006/relationships/hyperlink" Target="https://ui.adsabs.harvard.edu/abs/2008ApJ...681..594H/abstract" TargetMode="External"/><Relationship Id="rId468" Type="http://schemas.openxmlformats.org/officeDocument/2006/relationships/hyperlink" Target="https://ui.adsabs.harvard.edu/abs/2005ApJ...625..906M/abstract" TargetMode="External"/><Relationship Id="rId225" Type="http://schemas.openxmlformats.org/officeDocument/2006/relationships/hyperlink" Target="https://ui.adsabs.harvard.edu/abs/1998ApJ...492..323G/abstract" TargetMode="External"/><Relationship Id="rId467" Type="http://schemas.openxmlformats.org/officeDocument/2006/relationships/hyperlink" Target="https://ui.adsabs.harvard.edu/abs/2008ApJ...681..594H/abstract" TargetMode="External"/><Relationship Id="rId1290" Type="http://schemas.openxmlformats.org/officeDocument/2006/relationships/hyperlink" Target="https://ui.adsabs.harvard.edu/abs/2013ApJ...769...21S/abstract" TargetMode="External"/><Relationship Id="rId1291" Type="http://schemas.openxmlformats.org/officeDocument/2006/relationships/hyperlink" Target="https://ui.adsabs.harvard.edu/abs/2013ApJ...769...21S/abstract" TargetMode="External"/><Relationship Id="rId229" Type="http://schemas.openxmlformats.org/officeDocument/2006/relationships/hyperlink" Target="https://ui.adsabs.harvard.edu/abs/2008ApJ...681..594H/abstract" TargetMode="External"/><Relationship Id="rId1050" Type="http://schemas.openxmlformats.org/officeDocument/2006/relationships/hyperlink" Target="https://ui.adsabs.harvard.edu/abs/2006A%26A...452..245N/abstract" TargetMode="External"/><Relationship Id="rId1292" Type="http://schemas.openxmlformats.org/officeDocument/2006/relationships/hyperlink" Target="https://ui.adsabs.harvard.edu/abs/2013ApJ...769...21S/abstract" TargetMode="External"/><Relationship Id="rId220" Type="http://schemas.openxmlformats.org/officeDocument/2006/relationships/hyperlink" Target="https://ui.adsabs.harvard.edu/abs/1998ApJ...492..323G/abstract" TargetMode="External"/><Relationship Id="rId462" Type="http://schemas.openxmlformats.org/officeDocument/2006/relationships/hyperlink" Target="https://ui.adsabs.harvard.edu/abs/2020A%26A...634A.128N/abstract" TargetMode="External"/><Relationship Id="rId1051" Type="http://schemas.openxmlformats.org/officeDocument/2006/relationships/hyperlink" Target="https://ui.adsabs.harvard.edu/abs/2006A%26A...452..245N/abstract" TargetMode="External"/><Relationship Id="rId1293" Type="http://schemas.openxmlformats.org/officeDocument/2006/relationships/hyperlink" Target="https://ui.adsabs.harvard.edu/abs/2013ApJ...769...21S/abstract" TargetMode="External"/><Relationship Id="rId461" Type="http://schemas.openxmlformats.org/officeDocument/2006/relationships/hyperlink" Target="https://ui.adsabs.harvard.edu/abs/2020A%26A...634A.128N/abstract" TargetMode="External"/><Relationship Id="rId1052" Type="http://schemas.openxmlformats.org/officeDocument/2006/relationships/hyperlink" Target="https://ui.adsabs.harvard.edu/abs/2006A%26A...452..245N/abstract" TargetMode="External"/><Relationship Id="rId1294" Type="http://schemas.openxmlformats.org/officeDocument/2006/relationships/hyperlink" Target="https://ui.adsabs.harvard.edu/abs/2013ApJ...769...21S/abstract" TargetMode="External"/><Relationship Id="rId460" Type="http://schemas.openxmlformats.org/officeDocument/2006/relationships/hyperlink" Target="https://ui.adsabs.harvard.edu/abs/2020A%26A...634A.128N/abstract" TargetMode="External"/><Relationship Id="rId1053" Type="http://schemas.openxmlformats.org/officeDocument/2006/relationships/hyperlink" Target="https://ui.adsabs.harvard.edu/abs/2006A%26A...452..245N/abstract" TargetMode="External"/><Relationship Id="rId1295" Type="http://schemas.openxmlformats.org/officeDocument/2006/relationships/hyperlink" Target="https://ui.adsabs.harvard.edu/abs/2013ApJ...769...21S/abstract" TargetMode="External"/><Relationship Id="rId1054" Type="http://schemas.openxmlformats.org/officeDocument/2006/relationships/hyperlink" Target="https://ui.adsabs.harvard.edu/abs/2006A%26A...452..245N/abstract" TargetMode="External"/><Relationship Id="rId1296" Type="http://schemas.openxmlformats.org/officeDocument/2006/relationships/hyperlink" Target="https://ui.adsabs.harvard.edu/abs/2013ApJ...769...21S/abstract" TargetMode="External"/><Relationship Id="rId224" Type="http://schemas.openxmlformats.org/officeDocument/2006/relationships/hyperlink" Target="https://ui.adsabs.harvard.edu/abs/1998ApJ...492..323G/abstract" TargetMode="External"/><Relationship Id="rId466" Type="http://schemas.openxmlformats.org/officeDocument/2006/relationships/hyperlink" Target="https://ui.adsabs.harvard.edu/abs/2004A%26A...424..603N/abstract" TargetMode="External"/><Relationship Id="rId1055" Type="http://schemas.openxmlformats.org/officeDocument/2006/relationships/hyperlink" Target="https://ui.adsabs.harvard.edu/abs/2006A%26A...452..245N/abstract" TargetMode="External"/><Relationship Id="rId1297" Type="http://schemas.openxmlformats.org/officeDocument/2006/relationships/hyperlink" Target="https://ui.adsabs.harvard.edu/abs/2013ApJ...769...21S/abstract" TargetMode="External"/><Relationship Id="rId223" Type="http://schemas.openxmlformats.org/officeDocument/2006/relationships/hyperlink" Target="https://ui.adsabs.harvard.edu/abs/1998ApJ...492..323G/abstract" TargetMode="External"/><Relationship Id="rId465" Type="http://schemas.openxmlformats.org/officeDocument/2006/relationships/hyperlink" Target="https://ui.adsabs.harvard.edu/abs/2004A%26A...424..603N/abstract" TargetMode="External"/><Relationship Id="rId1056" Type="http://schemas.openxmlformats.org/officeDocument/2006/relationships/hyperlink" Target="https://ui.adsabs.harvard.edu/abs/2006A%26A...452..245N/abstract" TargetMode="External"/><Relationship Id="rId1298" Type="http://schemas.openxmlformats.org/officeDocument/2006/relationships/hyperlink" Target="https://ui.adsabs.harvard.edu/abs/2013ApJ...769...21S/abstract" TargetMode="External"/><Relationship Id="rId222" Type="http://schemas.openxmlformats.org/officeDocument/2006/relationships/hyperlink" Target="https://ui.adsabs.harvard.edu/abs/1998ApJ...492..323G/abstract" TargetMode="External"/><Relationship Id="rId464" Type="http://schemas.openxmlformats.org/officeDocument/2006/relationships/hyperlink" Target="https://ui.adsabs.harvard.edu/abs/2005ApJ...625..906M/abstract" TargetMode="External"/><Relationship Id="rId1057" Type="http://schemas.openxmlformats.org/officeDocument/2006/relationships/hyperlink" Target="https://ui.adsabs.harvard.edu/abs/2006A%26A...452..245N/abstract" TargetMode="External"/><Relationship Id="rId1299" Type="http://schemas.openxmlformats.org/officeDocument/2006/relationships/hyperlink" Target="https://ui.adsabs.harvard.edu/abs/2013ApJ...769...21S/abstract" TargetMode="External"/><Relationship Id="rId221" Type="http://schemas.openxmlformats.org/officeDocument/2006/relationships/hyperlink" Target="https://ui.adsabs.harvard.edu/abs/1998ApJ...492..323G/abstract" TargetMode="External"/><Relationship Id="rId463" Type="http://schemas.openxmlformats.org/officeDocument/2006/relationships/hyperlink" Target="https://ui.adsabs.harvard.edu/abs/2018ApJ...858...41Z/abstract" TargetMode="External"/><Relationship Id="rId1058" Type="http://schemas.openxmlformats.org/officeDocument/2006/relationships/hyperlink" Target="https://ui.adsabs.harvard.edu/abs/2006A%26A...452..245N/abstract" TargetMode="External"/><Relationship Id="rId1048" Type="http://schemas.openxmlformats.org/officeDocument/2006/relationships/hyperlink" Target="https://ui.adsabs.harvard.edu/abs/2006A%26A...452..245N/abstract" TargetMode="External"/><Relationship Id="rId1049" Type="http://schemas.openxmlformats.org/officeDocument/2006/relationships/hyperlink" Target="https://ui.adsabs.harvard.edu/abs/2006A%26A...452..245N/abstract" TargetMode="External"/><Relationship Id="rId217" Type="http://schemas.openxmlformats.org/officeDocument/2006/relationships/hyperlink" Target="https://ui.adsabs.harvard.edu/abs/1998ApJ...492..323G/abstract" TargetMode="External"/><Relationship Id="rId459" Type="http://schemas.openxmlformats.org/officeDocument/2006/relationships/hyperlink" Target="https://ui.adsabs.harvard.edu/abs/2020A%26A...634A.128N/abstract" TargetMode="External"/><Relationship Id="rId216" Type="http://schemas.openxmlformats.org/officeDocument/2006/relationships/hyperlink" Target="https://ui.adsabs.harvard.edu/abs/1998ApJ...492..323G/abstract" TargetMode="External"/><Relationship Id="rId458" Type="http://schemas.openxmlformats.org/officeDocument/2006/relationships/hyperlink" Target="https://ui.adsabs.harvard.edu/abs/2020A%26A...634A.128N/abstract" TargetMode="External"/><Relationship Id="rId215" Type="http://schemas.openxmlformats.org/officeDocument/2006/relationships/hyperlink" Target="https://ui.adsabs.harvard.edu/abs/1998ApJ...492..323G/abstract" TargetMode="External"/><Relationship Id="rId457" Type="http://schemas.openxmlformats.org/officeDocument/2006/relationships/hyperlink" Target="https://ui.adsabs.harvard.edu/abs/2003ApJ...592..266M/abstract" TargetMode="External"/><Relationship Id="rId699" Type="http://schemas.openxmlformats.org/officeDocument/2006/relationships/hyperlink" Target="https://ui.adsabs.harvard.edu/abs/2015MNRAS.453.1026K/abstract" TargetMode="External"/><Relationship Id="rId214" Type="http://schemas.openxmlformats.org/officeDocument/2006/relationships/hyperlink" Target="https://ui.adsabs.harvard.edu/abs/1998ApJ...492..323G/abstract" TargetMode="External"/><Relationship Id="rId456" Type="http://schemas.openxmlformats.org/officeDocument/2006/relationships/hyperlink" Target="https://ui.adsabs.harvard.edu/abs/2003ApJ...592..266M/abstract" TargetMode="External"/><Relationship Id="rId698" Type="http://schemas.openxmlformats.org/officeDocument/2006/relationships/hyperlink" Target="https://ui.adsabs.harvard.edu/abs/2015MNRAS.453.1026K/abstract" TargetMode="External"/><Relationship Id="rId219" Type="http://schemas.openxmlformats.org/officeDocument/2006/relationships/hyperlink" Target="https://ui.adsabs.harvard.edu/abs/1998ApJ...492..323G/abstract" TargetMode="External"/><Relationship Id="rId1280" Type="http://schemas.openxmlformats.org/officeDocument/2006/relationships/hyperlink" Target="https://ui.adsabs.harvard.edu/abs/2013ApJ...769...21S/abstract" TargetMode="External"/><Relationship Id="rId218" Type="http://schemas.openxmlformats.org/officeDocument/2006/relationships/hyperlink" Target="https://ui.adsabs.harvard.edu/abs/1998ApJ...492..323G/abstract" TargetMode="External"/><Relationship Id="rId1281" Type="http://schemas.openxmlformats.org/officeDocument/2006/relationships/hyperlink" Target="https://ui.adsabs.harvard.edu/abs/2013ApJ...769...21S/abstract" TargetMode="External"/><Relationship Id="rId451" Type="http://schemas.openxmlformats.org/officeDocument/2006/relationships/hyperlink" Target="https://ui.adsabs.harvard.edu/abs/2004A%26A...424..603N/abstract" TargetMode="External"/><Relationship Id="rId693" Type="http://schemas.openxmlformats.org/officeDocument/2006/relationships/hyperlink" Target="https://ui.adsabs.harvard.edu/abs/2015MNRAS.453.1026K/abstract" TargetMode="External"/><Relationship Id="rId1040" Type="http://schemas.openxmlformats.org/officeDocument/2006/relationships/hyperlink" Target="https://ui.adsabs.harvard.edu/abs/2006A%26A...452..245N/abstract" TargetMode="External"/><Relationship Id="rId1282" Type="http://schemas.openxmlformats.org/officeDocument/2006/relationships/hyperlink" Target="https://ui.adsabs.harvard.edu/abs/2013ApJ...769...21S/abstract" TargetMode="External"/><Relationship Id="rId450" Type="http://schemas.openxmlformats.org/officeDocument/2006/relationships/hyperlink" Target="https://ui.adsabs.harvard.edu/abs/2004A%26A...424..603N/abstract" TargetMode="External"/><Relationship Id="rId692" Type="http://schemas.openxmlformats.org/officeDocument/2006/relationships/hyperlink" Target="https://ui.adsabs.harvard.edu/abs/2015MNRAS.453.1026K/abstract" TargetMode="External"/><Relationship Id="rId1041" Type="http://schemas.openxmlformats.org/officeDocument/2006/relationships/hyperlink" Target="https://ui.adsabs.harvard.edu/abs/2006A%26A...452..245N/abstract" TargetMode="External"/><Relationship Id="rId1283" Type="http://schemas.openxmlformats.org/officeDocument/2006/relationships/hyperlink" Target="https://ui.adsabs.harvard.edu/abs/2008AJ....136.2483A/abstract" TargetMode="External"/><Relationship Id="rId691" Type="http://schemas.openxmlformats.org/officeDocument/2006/relationships/hyperlink" Target="https://ui.adsabs.harvard.edu/abs/2015MNRAS.453.1026K/abstract" TargetMode="External"/><Relationship Id="rId1042" Type="http://schemas.openxmlformats.org/officeDocument/2006/relationships/hyperlink" Target="https://ui.adsabs.harvard.edu/abs/2006A%26A...452..245N/abstract" TargetMode="External"/><Relationship Id="rId1284" Type="http://schemas.openxmlformats.org/officeDocument/2006/relationships/hyperlink" Target="https://ui.adsabs.harvard.edu/abs/2013ApJ...769...21S/abstract" TargetMode="External"/><Relationship Id="rId690" Type="http://schemas.openxmlformats.org/officeDocument/2006/relationships/hyperlink" Target="https://ui.adsabs.harvard.edu/abs/2015MNRAS.453.1026K/abstract" TargetMode="External"/><Relationship Id="rId1043" Type="http://schemas.openxmlformats.org/officeDocument/2006/relationships/hyperlink" Target="https://ui.adsabs.harvard.edu/abs/2006A%26A...452..245N/abstract" TargetMode="External"/><Relationship Id="rId1285" Type="http://schemas.openxmlformats.org/officeDocument/2006/relationships/hyperlink" Target="https://ui.adsabs.harvard.edu/abs/2013ApJ...769...21S/abstract" TargetMode="External"/><Relationship Id="rId213" Type="http://schemas.openxmlformats.org/officeDocument/2006/relationships/hyperlink" Target="https://ui.adsabs.harvard.edu/abs/1998ApJ...492..323G/abstract" TargetMode="External"/><Relationship Id="rId455" Type="http://schemas.openxmlformats.org/officeDocument/2006/relationships/hyperlink" Target="https://ui.adsabs.harvard.edu/abs/2003ApJ...592..266M/abstract" TargetMode="External"/><Relationship Id="rId697" Type="http://schemas.openxmlformats.org/officeDocument/2006/relationships/hyperlink" Target="https://ui.adsabs.harvard.edu/abs/2015MNRAS.453.1026K/abstract" TargetMode="External"/><Relationship Id="rId1044" Type="http://schemas.openxmlformats.org/officeDocument/2006/relationships/hyperlink" Target="https://ui.adsabs.harvard.edu/abs/2006A%26A...452..245N/abstract" TargetMode="External"/><Relationship Id="rId1286" Type="http://schemas.openxmlformats.org/officeDocument/2006/relationships/hyperlink" Target="https://ui.adsabs.harvard.edu/abs/2013ApJ...769...21S/abstract" TargetMode="External"/><Relationship Id="rId212" Type="http://schemas.openxmlformats.org/officeDocument/2006/relationships/hyperlink" Target="https://ui.adsabs.harvard.edu/abs/1998ApJ...492..323G/abstract" TargetMode="External"/><Relationship Id="rId454" Type="http://schemas.openxmlformats.org/officeDocument/2006/relationships/hyperlink" Target="https://ui.adsabs.harvard.edu/abs/2003ApJ...592..266M/abstract" TargetMode="External"/><Relationship Id="rId696" Type="http://schemas.openxmlformats.org/officeDocument/2006/relationships/hyperlink" Target="https://ui.adsabs.harvard.edu/abs/2015MNRAS.453.1026K/abstract" TargetMode="External"/><Relationship Id="rId1045" Type="http://schemas.openxmlformats.org/officeDocument/2006/relationships/hyperlink" Target="https://ui.adsabs.harvard.edu/abs/2006A%26A...452..245N/abstract" TargetMode="External"/><Relationship Id="rId1287" Type="http://schemas.openxmlformats.org/officeDocument/2006/relationships/hyperlink" Target="https://ui.adsabs.harvard.edu/abs/2013ApJ...769...21S/abstract" TargetMode="External"/><Relationship Id="rId211" Type="http://schemas.openxmlformats.org/officeDocument/2006/relationships/hyperlink" Target="https://ui.adsabs.harvard.edu/abs/1998ApJ...492..323G/abstract" TargetMode="External"/><Relationship Id="rId453" Type="http://schemas.openxmlformats.org/officeDocument/2006/relationships/hyperlink" Target="https://ui.adsabs.harvard.edu/abs/2005ApJ...625..906M/abstract" TargetMode="External"/><Relationship Id="rId695" Type="http://schemas.openxmlformats.org/officeDocument/2006/relationships/hyperlink" Target="https://ui.adsabs.harvard.edu/abs/2015MNRAS.453.1026K/abstract" TargetMode="External"/><Relationship Id="rId1046" Type="http://schemas.openxmlformats.org/officeDocument/2006/relationships/hyperlink" Target="https://ui.adsabs.harvard.edu/abs/2006A%26A...452..245N/abstract" TargetMode="External"/><Relationship Id="rId1288" Type="http://schemas.openxmlformats.org/officeDocument/2006/relationships/hyperlink" Target="https://www.aanda.org/articles/aa/pdf/2013/09/aa21603-13.pdf" TargetMode="External"/><Relationship Id="rId210" Type="http://schemas.openxmlformats.org/officeDocument/2006/relationships/hyperlink" Target="https://ui.adsabs.harvard.edu/abs/1998ApJ...492..323G/abstract" TargetMode="External"/><Relationship Id="rId452" Type="http://schemas.openxmlformats.org/officeDocument/2006/relationships/hyperlink" Target="https://ui.adsabs.harvard.edu/abs/2018ApJ...858...41Z/abstract" TargetMode="External"/><Relationship Id="rId694" Type="http://schemas.openxmlformats.org/officeDocument/2006/relationships/hyperlink" Target="https://ui.adsabs.harvard.edu/abs/2015MNRAS.453.1026K/abstract" TargetMode="External"/><Relationship Id="rId1047" Type="http://schemas.openxmlformats.org/officeDocument/2006/relationships/hyperlink" Target="https://ui.adsabs.harvard.edu/abs/2006A%26A...452..245N/abstract" TargetMode="External"/><Relationship Id="rId1289" Type="http://schemas.openxmlformats.org/officeDocument/2006/relationships/hyperlink" Target="https://ui.adsabs.harvard.edu/abs/2013ApJ...769...21S/abstract" TargetMode="External"/><Relationship Id="rId491" Type="http://schemas.openxmlformats.org/officeDocument/2006/relationships/hyperlink" Target="https://ui.adsabs.harvard.edu/abs/2018ApJ...858...41Z/abstract" TargetMode="External"/><Relationship Id="rId490" Type="http://schemas.openxmlformats.org/officeDocument/2006/relationships/hyperlink" Target="https://ui.adsabs.harvard.edu/abs/2005ApJ...625..906M/abstract" TargetMode="External"/><Relationship Id="rId249" Type="http://schemas.openxmlformats.org/officeDocument/2006/relationships/hyperlink" Target="https://ui.adsabs.harvard.edu/abs/2008ApJ...681..594H/abstract" TargetMode="External"/><Relationship Id="rId248" Type="http://schemas.openxmlformats.org/officeDocument/2006/relationships/hyperlink" Target="https://ui.adsabs.harvard.edu/abs/2006ApJ...649..306K/abstract" TargetMode="External"/><Relationship Id="rId247" Type="http://schemas.openxmlformats.org/officeDocument/2006/relationships/hyperlink" Target="https://ui.adsabs.harvard.edu/abs/2008ApJ...681..594H/abstract" TargetMode="External"/><Relationship Id="rId489" Type="http://schemas.openxmlformats.org/officeDocument/2006/relationships/hyperlink" Target="https://ui.adsabs.harvard.edu/abs/2004A%26A...424..603N/abstract" TargetMode="External"/><Relationship Id="rId1070" Type="http://schemas.openxmlformats.org/officeDocument/2006/relationships/hyperlink" Target="https://ui.adsabs.harvard.edu/abs/2006A%26A...452..245N/abstract" TargetMode="External"/><Relationship Id="rId1071" Type="http://schemas.openxmlformats.org/officeDocument/2006/relationships/hyperlink" Target="https://ui.adsabs.harvard.edu/abs/2006A%26A...452..245N/abstract" TargetMode="External"/><Relationship Id="rId1072" Type="http://schemas.openxmlformats.org/officeDocument/2006/relationships/hyperlink" Target="https://ui.adsabs.harvard.edu/abs/2006A%26A...452..245N/abstract" TargetMode="External"/><Relationship Id="rId242" Type="http://schemas.openxmlformats.org/officeDocument/2006/relationships/hyperlink" Target="https://ui.adsabs.harvard.edu/abs/1998ApJ...492..323G/abstract" TargetMode="External"/><Relationship Id="rId484" Type="http://schemas.openxmlformats.org/officeDocument/2006/relationships/hyperlink" Target="https://ui.adsabs.harvard.edu/abs/2004A%26A...424..603N/abstract" TargetMode="External"/><Relationship Id="rId1073" Type="http://schemas.openxmlformats.org/officeDocument/2006/relationships/hyperlink" Target="https://ui.adsabs.harvard.edu/abs/2006A%26A...452..245N/abstract" TargetMode="External"/><Relationship Id="rId241" Type="http://schemas.openxmlformats.org/officeDocument/2006/relationships/hyperlink" Target="https://ui.adsabs.harvard.edu/abs/2008ApJ...681..594H/abstract" TargetMode="External"/><Relationship Id="rId483" Type="http://schemas.openxmlformats.org/officeDocument/2006/relationships/hyperlink" Target="https://ui.adsabs.harvard.edu/abs/2004A%26A...424..603N/abstract" TargetMode="External"/><Relationship Id="rId1074" Type="http://schemas.openxmlformats.org/officeDocument/2006/relationships/hyperlink" Target="https://ui.adsabs.harvard.edu/abs/2006A%26A...452..245N/abstract" TargetMode="External"/><Relationship Id="rId240" Type="http://schemas.openxmlformats.org/officeDocument/2006/relationships/hyperlink" Target="https://ui.adsabs.harvard.edu/abs/2008ApJ...681..594H/abstract" TargetMode="External"/><Relationship Id="rId482" Type="http://schemas.openxmlformats.org/officeDocument/2006/relationships/hyperlink" Target="https://ui.adsabs.harvard.edu/abs/2005ApJ...625..906M/abstract" TargetMode="External"/><Relationship Id="rId1075" Type="http://schemas.openxmlformats.org/officeDocument/2006/relationships/hyperlink" Target="https://ui.adsabs.harvard.edu/abs/2006A%26A...452..245N/abstract" TargetMode="External"/><Relationship Id="rId481" Type="http://schemas.openxmlformats.org/officeDocument/2006/relationships/hyperlink" Target="https://ui.adsabs.harvard.edu/abs/2006A%26A...452..245N/abstract" TargetMode="External"/><Relationship Id="rId1076" Type="http://schemas.openxmlformats.org/officeDocument/2006/relationships/hyperlink" Target="https://ui.adsabs.harvard.edu/abs/2006A%26A...452..245N/abstract" TargetMode="External"/><Relationship Id="rId246" Type="http://schemas.openxmlformats.org/officeDocument/2006/relationships/hyperlink" Target="https://ui.adsabs.harvard.edu/abs/2008ApJ...681..594H/abstract" TargetMode="External"/><Relationship Id="rId488" Type="http://schemas.openxmlformats.org/officeDocument/2006/relationships/hyperlink" Target="https://ui.adsabs.harvard.edu/abs/2005ApJ...625..906M/abstract" TargetMode="External"/><Relationship Id="rId1077" Type="http://schemas.openxmlformats.org/officeDocument/2006/relationships/hyperlink" Target="https://ui.adsabs.harvard.edu/abs/2006A%26A...452..245N/abstract" TargetMode="External"/><Relationship Id="rId245" Type="http://schemas.openxmlformats.org/officeDocument/2006/relationships/hyperlink" Target="https://ui.adsabs.harvard.edu/abs/2008ApJ...681..594H/abstract" TargetMode="External"/><Relationship Id="rId487" Type="http://schemas.openxmlformats.org/officeDocument/2006/relationships/hyperlink" Target="https://ui.adsabs.harvard.edu/abs/2007ApJS..173..104L/abstract" TargetMode="External"/><Relationship Id="rId1078" Type="http://schemas.openxmlformats.org/officeDocument/2006/relationships/hyperlink" Target="https://ui.adsabs.harvard.edu/abs/2006A%26A...452..245N/abstract" TargetMode="External"/><Relationship Id="rId244" Type="http://schemas.openxmlformats.org/officeDocument/2006/relationships/hyperlink" Target="https://ui.adsabs.harvard.edu/abs/2008ApJ...681..594H/abstract" TargetMode="External"/><Relationship Id="rId486" Type="http://schemas.openxmlformats.org/officeDocument/2006/relationships/hyperlink" Target="https://ui.adsabs.harvard.edu/abs/2005ApJ...625..906M/abstract" TargetMode="External"/><Relationship Id="rId1079" Type="http://schemas.openxmlformats.org/officeDocument/2006/relationships/hyperlink" Target="https://ui.adsabs.harvard.edu/abs/2006A%26A...452..245N/abstract" TargetMode="External"/><Relationship Id="rId243" Type="http://schemas.openxmlformats.org/officeDocument/2006/relationships/hyperlink" Target="https://ui.adsabs.harvard.edu/abs/1998ApJ...492..323G/abstract" TargetMode="External"/><Relationship Id="rId485" Type="http://schemas.openxmlformats.org/officeDocument/2006/relationships/hyperlink" Target="https://ui.adsabs.harvard.edu/abs/2007ApJS..173..104L/abstract" TargetMode="External"/><Relationship Id="rId480" Type="http://schemas.openxmlformats.org/officeDocument/2006/relationships/hyperlink" Target="https://ui.adsabs.harvard.edu/abs/2005ApJ...625..906M/abstract" TargetMode="External"/><Relationship Id="rId239" Type="http://schemas.openxmlformats.org/officeDocument/2006/relationships/hyperlink" Target="https://ui.adsabs.harvard.edu/abs/1998ApJ...492..323G/abstract" TargetMode="External"/><Relationship Id="rId238" Type="http://schemas.openxmlformats.org/officeDocument/2006/relationships/hyperlink" Target="https://ui.adsabs.harvard.edu/abs/1998ApJ...492..323G/abstract" TargetMode="External"/><Relationship Id="rId237" Type="http://schemas.openxmlformats.org/officeDocument/2006/relationships/hyperlink" Target="https://iopscience.iop.org/article/10.1088/0004-637X/696/2/1589/pdf" TargetMode="External"/><Relationship Id="rId479" Type="http://schemas.openxmlformats.org/officeDocument/2006/relationships/hyperlink" Target="https://ui.adsabs.harvard.edu/abs/2018ApJ...858...41Z/abstract" TargetMode="External"/><Relationship Id="rId236" Type="http://schemas.openxmlformats.org/officeDocument/2006/relationships/hyperlink" Target="https://iopscience.iop.org/article/10.1088/0004-637X/696/2/1589/pdf" TargetMode="External"/><Relationship Id="rId478" Type="http://schemas.openxmlformats.org/officeDocument/2006/relationships/hyperlink" Target="https://ui.adsabs.harvard.edu/abs/2004A%26A...424..603N/abstract" TargetMode="External"/><Relationship Id="rId1060" Type="http://schemas.openxmlformats.org/officeDocument/2006/relationships/hyperlink" Target="https://ui.adsabs.harvard.edu/abs/2006A%26A...452..245N/abstract" TargetMode="External"/><Relationship Id="rId1061" Type="http://schemas.openxmlformats.org/officeDocument/2006/relationships/hyperlink" Target="https://ui.adsabs.harvard.edu/abs/2006A%26A...452..245N/abstract" TargetMode="External"/><Relationship Id="rId231" Type="http://schemas.openxmlformats.org/officeDocument/2006/relationships/hyperlink" Target="https://ui.adsabs.harvard.edu/abs/1998ApJ...492..323G/abstract" TargetMode="External"/><Relationship Id="rId473" Type="http://schemas.openxmlformats.org/officeDocument/2006/relationships/hyperlink" Target="https://ui.adsabs.harvard.edu/abs/2004A%26A...424..603N/abstract" TargetMode="External"/><Relationship Id="rId1062" Type="http://schemas.openxmlformats.org/officeDocument/2006/relationships/hyperlink" Target="https://ui.adsabs.harvard.edu/abs/2006A%26A...452..245N/abstract" TargetMode="External"/><Relationship Id="rId230" Type="http://schemas.openxmlformats.org/officeDocument/2006/relationships/hyperlink" Target="https://ui.adsabs.harvard.edu/abs/1998ApJ...492..323G/abstract" TargetMode="External"/><Relationship Id="rId472" Type="http://schemas.openxmlformats.org/officeDocument/2006/relationships/hyperlink" Target="https://ui.adsabs.harvard.edu/abs/2005ApJ...625..906M/abstract" TargetMode="External"/><Relationship Id="rId1063" Type="http://schemas.openxmlformats.org/officeDocument/2006/relationships/hyperlink" Target="https://ui.adsabs.harvard.edu/abs/2006A%26A...452..245N/abstract" TargetMode="External"/><Relationship Id="rId471" Type="http://schemas.openxmlformats.org/officeDocument/2006/relationships/hyperlink" Target="https://ui.adsabs.harvard.edu/abs/2004A%26A...424..603N/abstract" TargetMode="External"/><Relationship Id="rId1064" Type="http://schemas.openxmlformats.org/officeDocument/2006/relationships/hyperlink" Target="https://ui.adsabs.harvard.edu/abs/2006A%26A...452..245N/abstract" TargetMode="External"/><Relationship Id="rId470" Type="http://schemas.openxmlformats.org/officeDocument/2006/relationships/hyperlink" Target="https://ui.adsabs.harvard.edu/abs/2005ApJ...625..906M/abstract" TargetMode="External"/><Relationship Id="rId1065" Type="http://schemas.openxmlformats.org/officeDocument/2006/relationships/hyperlink" Target="https://ui.adsabs.harvard.edu/abs/2006A%26A...452..245N/abstract" TargetMode="External"/><Relationship Id="rId235" Type="http://schemas.openxmlformats.org/officeDocument/2006/relationships/hyperlink" Target="https://ui.adsabs.harvard.edu/abs/2008ApJ...681..594H/abstract" TargetMode="External"/><Relationship Id="rId477" Type="http://schemas.openxmlformats.org/officeDocument/2006/relationships/hyperlink" Target="https://ui.adsabs.harvard.edu/abs/2004A%26A...424..603N/abstract" TargetMode="External"/><Relationship Id="rId1066" Type="http://schemas.openxmlformats.org/officeDocument/2006/relationships/hyperlink" Target="https://ui.adsabs.harvard.edu/abs/2006A%26A...452..245N/abstract" TargetMode="External"/><Relationship Id="rId234" Type="http://schemas.openxmlformats.org/officeDocument/2006/relationships/hyperlink" Target="https://ui.adsabs.harvard.edu/abs/2008ApJ...681..594H/abstract" TargetMode="External"/><Relationship Id="rId476" Type="http://schemas.openxmlformats.org/officeDocument/2006/relationships/hyperlink" Target="https://ui.adsabs.harvard.edu/abs/2004A%26A...424..603N/abstract" TargetMode="External"/><Relationship Id="rId1067" Type="http://schemas.openxmlformats.org/officeDocument/2006/relationships/hyperlink" Target="https://ui.adsabs.harvard.edu/abs/2006A%26A...452..245N/abstract" TargetMode="External"/><Relationship Id="rId233" Type="http://schemas.openxmlformats.org/officeDocument/2006/relationships/hyperlink" Target="https://ui.adsabs.harvard.edu/abs/2008ApJ...681..594H/abstract" TargetMode="External"/><Relationship Id="rId475" Type="http://schemas.openxmlformats.org/officeDocument/2006/relationships/hyperlink" Target="https://ui.adsabs.harvard.edu/abs/2004A%26A...424..603N/abstract" TargetMode="External"/><Relationship Id="rId1068" Type="http://schemas.openxmlformats.org/officeDocument/2006/relationships/hyperlink" Target="https://ui.adsabs.harvard.edu/abs/2006A%26A...452..245N/abstract" TargetMode="External"/><Relationship Id="rId232" Type="http://schemas.openxmlformats.org/officeDocument/2006/relationships/hyperlink" Target="https://ui.adsabs.harvard.edu/abs/2008ApJ...681..594H/abstract" TargetMode="External"/><Relationship Id="rId474" Type="http://schemas.openxmlformats.org/officeDocument/2006/relationships/hyperlink" Target="https://ui.adsabs.harvard.edu/abs/2004A%26A...424..603N/abstract" TargetMode="External"/><Relationship Id="rId1069" Type="http://schemas.openxmlformats.org/officeDocument/2006/relationships/hyperlink" Target="https://ui.adsabs.harvard.edu/abs/2006A%26A...452..245N/abstract" TargetMode="External"/><Relationship Id="rId1015" Type="http://schemas.openxmlformats.org/officeDocument/2006/relationships/hyperlink" Target="https://ui.adsabs.harvard.edu/abs/2006A%26A...452..245N/abstract" TargetMode="External"/><Relationship Id="rId1257" Type="http://schemas.openxmlformats.org/officeDocument/2006/relationships/hyperlink" Target="https://ui.adsabs.harvard.edu/abs/2013ApJ...769...21S/abstract" TargetMode="External"/><Relationship Id="rId1016" Type="http://schemas.openxmlformats.org/officeDocument/2006/relationships/hyperlink" Target="https://ui.adsabs.harvard.edu/abs/2006A%26A...452..245N/abstract" TargetMode="External"/><Relationship Id="rId1258" Type="http://schemas.openxmlformats.org/officeDocument/2006/relationships/hyperlink" Target="https://ui.adsabs.harvard.edu/abs/2013ApJ...769...21S/abstract" TargetMode="External"/><Relationship Id="rId1017" Type="http://schemas.openxmlformats.org/officeDocument/2006/relationships/hyperlink" Target="https://ui.adsabs.harvard.edu/abs/2006A%26A...452..245N/abstract" TargetMode="External"/><Relationship Id="rId1259" Type="http://schemas.openxmlformats.org/officeDocument/2006/relationships/hyperlink" Target="https://ui.adsabs.harvard.edu/abs/2013ApJ...769...21S/abstract" TargetMode="External"/><Relationship Id="rId1018" Type="http://schemas.openxmlformats.org/officeDocument/2006/relationships/hyperlink" Target="https://ui.adsabs.harvard.edu/abs/2006A%26A...452..245N/abstract" TargetMode="External"/><Relationship Id="rId1019" Type="http://schemas.openxmlformats.org/officeDocument/2006/relationships/hyperlink" Target="https://ui.adsabs.harvard.edu/abs/2006A%26A...452..245N/abstract" TargetMode="External"/><Relationship Id="rId426" Type="http://schemas.openxmlformats.org/officeDocument/2006/relationships/hyperlink" Target="https://ui.adsabs.harvard.edu/abs/2021yCat.2367....0M/abstract" TargetMode="External"/><Relationship Id="rId668" Type="http://schemas.openxmlformats.org/officeDocument/2006/relationships/hyperlink" Target="https://ui.adsabs.harvard.edu/abs/2015MNRAS.453.1026K/abstract" TargetMode="External"/><Relationship Id="rId425" Type="http://schemas.openxmlformats.org/officeDocument/2006/relationships/hyperlink" Target="https://ui.adsabs.harvard.edu/abs/2020A%26A...633A.124P/abstract" TargetMode="External"/><Relationship Id="rId667" Type="http://schemas.openxmlformats.org/officeDocument/2006/relationships/hyperlink" Target="https://ui.adsabs.harvard.edu/abs/2015MNRAS.453.1026K/abstract" TargetMode="External"/><Relationship Id="rId424" Type="http://schemas.openxmlformats.org/officeDocument/2006/relationships/hyperlink" Target="https://ui.adsabs.harvard.edu/abs/2021yCat.2367....0M/abstract" TargetMode="External"/><Relationship Id="rId666" Type="http://schemas.openxmlformats.org/officeDocument/2006/relationships/hyperlink" Target="https://ui.adsabs.harvard.edu/abs/2015MNRAS.453.1026K/abstract" TargetMode="External"/><Relationship Id="rId423" Type="http://schemas.openxmlformats.org/officeDocument/2006/relationships/hyperlink" Target="https://ui.adsabs.harvard.edu/abs/2020A%26A...633A.124P/abstract" TargetMode="External"/><Relationship Id="rId665" Type="http://schemas.openxmlformats.org/officeDocument/2006/relationships/hyperlink" Target="https://ui.adsabs.harvard.edu/abs/2015MNRAS.453.1026K/abstract" TargetMode="External"/><Relationship Id="rId429" Type="http://schemas.openxmlformats.org/officeDocument/2006/relationships/hyperlink" Target="https://ui.adsabs.harvard.edu/abs/2020A%26A...633A.124P/abstract" TargetMode="External"/><Relationship Id="rId428" Type="http://schemas.openxmlformats.org/officeDocument/2006/relationships/hyperlink" Target="https://ui.adsabs.harvard.edu/abs/2020A%26A...633A.124P/abstract" TargetMode="External"/><Relationship Id="rId427" Type="http://schemas.openxmlformats.org/officeDocument/2006/relationships/hyperlink" Target="https://ui.adsabs.harvard.edu/abs/2020A%26A...633A.124P/abstract" TargetMode="External"/><Relationship Id="rId669" Type="http://schemas.openxmlformats.org/officeDocument/2006/relationships/hyperlink" Target="https://ui.adsabs.harvard.edu/abs/2015MNRAS.453.1026K/abstract" TargetMode="External"/><Relationship Id="rId1490" Type="http://schemas.openxmlformats.org/officeDocument/2006/relationships/hyperlink" Target="https://ui.adsabs.harvard.edu/abs/2015A%26A...579A..66M/abstract" TargetMode="External"/><Relationship Id="rId660" Type="http://schemas.openxmlformats.org/officeDocument/2006/relationships/hyperlink" Target="https://ui.adsabs.harvard.edu/abs/2015MNRAS.453.1026K/abstract" TargetMode="External"/><Relationship Id="rId1491" Type="http://schemas.openxmlformats.org/officeDocument/2006/relationships/hyperlink" Target="https://ui.adsabs.harvard.edu/abs/2015A%26A...579A..66M/abstract" TargetMode="External"/><Relationship Id="rId1250" Type="http://schemas.openxmlformats.org/officeDocument/2006/relationships/hyperlink" Target="https://ui.adsabs.harvard.edu/abs/2013ApJ...769...21S/abstract" TargetMode="External"/><Relationship Id="rId1492" Type="http://schemas.openxmlformats.org/officeDocument/2006/relationships/hyperlink" Target="https://ui.adsabs.harvard.edu/abs/2015A%26A...579A..66M/abstract" TargetMode="External"/><Relationship Id="rId1251" Type="http://schemas.openxmlformats.org/officeDocument/2006/relationships/hyperlink" Target="https://ui.adsabs.harvard.edu/abs/2013ApJ...769...21S/abstract" TargetMode="External"/><Relationship Id="rId1493" Type="http://schemas.openxmlformats.org/officeDocument/2006/relationships/hyperlink" Target="https://ui.adsabs.harvard.edu/abs/2015A%26A...579A..66M/abstract" TargetMode="External"/><Relationship Id="rId1010" Type="http://schemas.openxmlformats.org/officeDocument/2006/relationships/hyperlink" Target="https://ui.adsabs.harvard.edu/abs/2006A%26A...452..245N/abstract" TargetMode="External"/><Relationship Id="rId1252" Type="http://schemas.openxmlformats.org/officeDocument/2006/relationships/hyperlink" Target="https://ui.adsabs.harvard.edu/abs/2013ApJ...769...21S/abstract" TargetMode="External"/><Relationship Id="rId1494" Type="http://schemas.openxmlformats.org/officeDocument/2006/relationships/hyperlink" Target="https://ui.adsabs.harvard.edu/abs/2015A%26A...579A..66M/abstract" TargetMode="External"/><Relationship Id="rId422" Type="http://schemas.openxmlformats.org/officeDocument/2006/relationships/hyperlink" Target="https://ui.adsabs.harvard.edu/abs/2021yCat.2367....0M/abstract" TargetMode="External"/><Relationship Id="rId664" Type="http://schemas.openxmlformats.org/officeDocument/2006/relationships/hyperlink" Target="https://ui.adsabs.harvard.edu/abs/2015MNRAS.453.1026K/abstract" TargetMode="External"/><Relationship Id="rId1011" Type="http://schemas.openxmlformats.org/officeDocument/2006/relationships/hyperlink" Target="https://ui.adsabs.harvard.edu/abs/2006A%26A...452..245N/abstract" TargetMode="External"/><Relationship Id="rId1253" Type="http://schemas.openxmlformats.org/officeDocument/2006/relationships/hyperlink" Target="https://ui.adsabs.harvard.edu/abs/2013ApJ...769...21S/abstract" TargetMode="External"/><Relationship Id="rId1495" Type="http://schemas.openxmlformats.org/officeDocument/2006/relationships/hyperlink" Target="https://ui.adsabs.harvard.edu/abs/2015A%26A...579A..66M/abstract" TargetMode="External"/><Relationship Id="rId421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663" Type="http://schemas.openxmlformats.org/officeDocument/2006/relationships/hyperlink" Target="https://ui.adsabs.harvard.edu/abs/2015MNRAS.453.1026K/abstract" TargetMode="External"/><Relationship Id="rId1012" Type="http://schemas.openxmlformats.org/officeDocument/2006/relationships/hyperlink" Target="https://ui.adsabs.harvard.edu/abs/2006A%26A...452..245N/abstract" TargetMode="External"/><Relationship Id="rId1254" Type="http://schemas.openxmlformats.org/officeDocument/2006/relationships/hyperlink" Target="https://ui.adsabs.harvard.edu/abs/2013ApJ...769...21S/abstract" TargetMode="External"/><Relationship Id="rId1496" Type="http://schemas.openxmlformats.org/officeDocument/2006/relationships/drawing" Target="../drawings/drawing1.xml"/><Relationship Id="rId420" Type="http://schemas.openxmlformats.org/officeDocument/2006/relationships/hyperlink" Target="https://ui.adsabs.harvard.edu/abs/2011AJ....141..119K/abstract" TargetMode="External"/><Relationship Id="rId662" Type="http://schemas.openxmlformats.org/officeDocument/2006/relationships/hyperlink" Target="https://ui.adsabs.harvard.edu/abs/2015MNRAS.453.1026K/abstract" TargetMode="External"/><Relationship Id="rId1013" Type="http://schemas.openxmlformats.org/officeDocument/2006/relationships/hyperlink" Target="https://ui.adsabs.harvard.edu/abs/2006A%26A...452..245N/abstract" TargetMode="External"/><Relationship Id="rId1255" Type="http://schemas.openxmlformats.org/officeDocument/2006/relationships/hyperlink" Target="https://ui.adsabs.harvard.edu/abs/2013ApJ...769...21S/abstract" TargetMode="External"/><Relationship Id="rId661" Type="http://schemas.openxmlformats.org/officeDocument/2006/relationships/hyperlink" Target="https://ui.adsabs.harvard.edu/abs/2015MNRAS.453.1026K/abstract" TargetMode="External"/><Relationship Id="rId1014" Type="http://schemas.openxmlformats.org/officeDocument/2006/relationships/hyperlink" Target="https://ui.adsabs.harvard.edu/abs/2006A%26A...452..245N/abstract" TargetMode="External"/><Relationship Id="rId1256" Type="http://schemas.openxmlformats.org/officeDocument/2006/relationships/hyperlink" Target="https://ui.adsabs.harvard.edu/abs/2013ApJ...769...21S/abstract" TargetMode="External"/><Relationship Id="rId1004" Type="http://schemas.openxmlformats.org/officeDocument/2006/relationships/hyperlink" Target="https://ui.adsabs.harvard.edu/abs/2006A%26A...452..245N/abstract" TargetMode="External"/><Relationship Id="rId1246" Type="http://schemas.openxmlformats.org/officeDocument/2006/relationships/hyperlink" Target="https://ui.adsabs.harvard.edu/abs/2013ApJ...769...21S/abstract" TargetMode="External"/><Relationship Id="rId1488" Type="http://schemas.openxmlformats.org/officeDocument/2006/relationships/hyperlink" Target="https://ui.adsabs.harvard.edu/abs/2015A%26A...579A..66M/abstract" TargetMode="External"/><Relationship Id="rId1005" Type="http://schemas.openxmlformats.org/officeDocument/2006/relationships/hyperlink" Target="https://ui.adsabs.harvard.edu/abs/2006A%26A...452..245N/abstract" TargetMode="External"/><Relationship Id="rId1247" Type="http://schemas.openxmlformats.org/officeDocument/2006/relationships/hyperlink" Target="https://ui.adsabs.harvard.edu/abs/2013ApJ...769...21S/abstract" TargetMode="External"/><Relationship Id="rId1489" Type="http://schemas.openxmlformats.org/officeDocument/2006/relationships/hyperlink" Target="https://ui.adsabs.harvard.edu/abs/2015A%26A...579A..66M/abstract" TargetMode="External"/><Relationship Id="rId1006" Type="http://schemas.openxmlformats.org/officeDocument/2006/relationships/hyperlink" Target="https://ui.adsabs.harvard.edu/abs/2006A%26A...452..245N/abstract" TargetMode="External"/><Relationship Id="rId1248" Type="http://schemas.openxmlformats.org/officeDocument/2006/relationships/hyperlink" Target="https://ui.adsabs.harvard.edu/abs/2013ApJ...769...21S/abstract" TargetMode="External"/><Relationship Id="rId1007" Type="http://schemas.openxmlformats.org/officeDocument/2006/relationships/hyperlink" Target="https://ui.adsabs.harvard.edu/abs/2006A%26A...452..245N/abstract" TargetMode="External"/><Relationship Id="rId1249" Type="http://schemas.openxmlformats.org/officeDocument/2006/relationships/hyperlink" Target="https://ui.adsabs.harvard.edu/abs/2013ApJ...769...21S/abstract" TargetMode="External"/><Relationship Id="rId1008" Type="http://schemas.openxmlformats.org/officeDocument/2006/relationships/hyperlink" Target="https://ui.adsabs.harvard.edu/abs/2006A%26A...452..245N/abstract" TargetMode="External"/><Relationship Id="rId1009" Type="http://schemas.openxmlformats.org/officeDocument/2006/relationships/hyperlink" Target="https://ui.adsabs.harvard.edu/abs/2006A%26A...452..245N/abstract" TargetMode="External"/><Relationship Id="rId415" Type="http://schemas.openxmlformats.org/officeDocument/2006/relationships/hyperlink" Target="https://ui.adsabs.harvard.edu/abs/2018ApJ...858...41Z/abstract" TargetMode="External"/><Relationship Id="rId657" Type="http://schemas.openxmlformats.org/officeDocument/2006/relationships/hyperlink" Target="https://ui.adsabs.harvard.edu/abs/2015MNRAS.453.1026K/abstract" TargetMode="External"/><Relationship Id="rId899" Type="http://schemas.openxmlformats.org/officeDocument/2006/relationships/hyperlink" Target="https://ui.adsabs.harvard.edu/abs/2011AJ....141..119K/abstract" TargetMode="External"/><Relationship Id="rId414" Type="http://schemas.openxmlformats.org/officeDocument/2006/relationships/hyperlink" Target="https://ui.adsabs.harvard.edu/abs/2019NatAs...3..749H/abstract" TargetMode="External"/><Relationship Id="rId656" Type="http://schemas.openxmlformats.org/officeDocument/2006/relationships/hyperlink" Target="https://ui.adsabs.harvard.edu/abs/2015MNRAS.453.1026K/abstract" TargetMode="External"/><Relationship Id="rId898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413" Type="http://schemas.openxmlformats.org/officeDocument/2006/relationships/hyperlink" Target="https://ui.adsabs.harvard.edu/abs/2017A%26A...600A..20A/abstract" TargetMode="External"/><Relationship Id="rId655" Type="http://schemas.openxmlformats.org/officeDocument/2006/relationships/hyperlink" Target="https://ui.adsabs.harvard.edu/abs/2015MNRAS.453.1026K/abstract" TargetMode="External"/><Relationship Id="rId897" Type="http://schemas.openxmlformats.org/officeDocument/2006/relationships/hyperlink" Target="https://ui.adsabs.harvard.edu/abs/2011AJ....141..119K/abstract" TargetMode="External"/><Relationship Id="rId412" Type="http://schemas.openxmlformats.org/officeDocument/2006/relationships/hyperlink" Target="https://ui.adsabs.harvard.edu/abs/2017A%26A...600A..20A/abstract" TargetMode="External"/><Relationship Id="rId654" Type="http://schemas.openxmlformats.org/officeDocument/2006/relationships/hyperlink" Target="https://ui.adsabs.harvard.edu/abs/2015MNRAS.453.1026K/abstract" TargetMode="External"/><Relationship Id="rId896" Type="http://schemas.openxmlformats.org/officeDocument/2006/relationships/hyperlink" Target="https://arxiv.org/pdf/2005.11725.pdf" TargetMode="External"/><Relationship Id="rId419" Type="http://schemas.openxmlformats.org/officeDocument/2006/relationships/hyperlink" Target="https://arxiv.org/pdf/2005.11725.pdf" TargetMode="External"/><Relationship Id="rId418" Type="http://schemas.openxmlformats.org/officeDocument/2006/relationships/hyperlink" Target="https://ui.adsabs.harvard.edu/abs/2011ApJ...737..103S/abstract" TargetMode="External"/><Relationship Id="rId417" Type="http://schemas.openxmlformats.org/officeDocument/2006/relationships/hyperlink" Target="https://ui.adsabs.harvard.edu/abs/2019NatAs...3..749H/abstract" TargetMode="External"/><Relationship Id="rId659" Type="http://schemas.openxmlformats.org/officeDocument/2006/relationships/hyperlink" Target="https://ui.adsabs.harvard.edu/abs/2015MNRAS.453.1026K/abstract" TargetMode="External"/><Relationship Id="rId416" Type="http://schemas.openxmlformats.org/officeDocument/2006/relationships/hyperlink" Target="https://ui.adsabs.harvard.edu/abs/2005ApJ...625..906M/abstract" TargetMode="External"/><Relationship Id="rId658" Type="http://schemas.openxmlformats.org/officeDocument/2006/relationships/hyperlink" Target="https://ui.adsabs.harvard.edu/abs/2015MNRAS.453.1026K/abstract" TargetMode="External"/><Relationship Id="rId891" Type="http://schemas.openxmlformats.org/officeDocument/2006/relationships/hyperlink" Target="https://ui.adsabs.harvard.edu/abs/2011AJ....141..119K/abstract" TargetMode="External"/><Relationship Id="rId1480" Type="http://schemas.openxmlformats.org/officeDocument/2006/relationships/hyperlink" Target="https://ui.adsabs.harvard.edu/abs/2015A%26A...579A..66M/abstract" TargetMode="External"/><Relationship Id="rId890" Type="http://schemas.openxmlformats.org/officeDocument/2006/relationships/hyperlink" Target="https://arxiv.org/pdf/2005.11725.pdf" TargetMode="External"/><Relationship Id="rId1481" Type="http://schemas.openxmlformats.org/officeDocument/2006/relationships/hyperlink" Target="https://ui.adsabs.harvard.edu/abs/2015A%26A...579A..66M/abstract" TargetMode="External"/><Relationship Id="rId1240" Type="http://schemas.openxmlformats.org/officeDocument/2006/relationships/hyperlink" Target="https://ui.adsabs.harvard.edu/abs/2013ApJ...769...21S/abstract" TargetMode="External"/><Relationship Id="rId1482" Type="http://schemas.openxmlformats.org/officeDocument/2006/relationships/hyperlink" Target="https://ui.adsabs.harvard.edu/abs/2015A%26A...579A..66M/abstract" TargetMode="External"/><Relationship Id="rId1241" Type="http://schemas.openxmlformats.org/officeDocument/2006/relationships/hyperlink" Target="https://ui.adsabs.harvard.edu/abs/2013ApJ...769...21S/abstract" TargetMode="External"/><Relationship Id="rId1483" Type="http://schemas.openxmlformats.org/officeDocument/2006/relationships/hyperlink" Target="https://ui.adsabs.harvard.edu/abs/2015A%26A...579A..66M/abstract" TargetMode="External"/><Relationship Id="rId411" Type="http://schemas.openxmlformats.org/officeDocument/2006/relationships/hyperlink" Target="https://ui.adsabs.harvard.edu/abs/2017A%26A...600A..20A/abstract" TargetMode="External"/><Relationship Id="rId653" Type="http://schemas.openxmlformats.org/officeDocument/2006/relationships/hyperlink" Target="https://ui.adsabs.harvard.edu/abs/2015MNRAS.453.1026K/abstract" TargetMode="External"/><Relationship Id="rId895" Type="http://schemas.openxmlformats.org/officeDocument/2006/relationships/hyperlink" Target="https://ui.adsabs.harvard.edu/abs/2011ApJ...737..103S/abstract" TargetMode="External"/><Relationship Id="rId1000" Type="http://schemas.openxmlformats.org/officeDocument/2006/relationships/hyperlink" Target="https://ui.adsabs.harvard.edu/abs/2006A%26A...452..245N/abstract" TargetMode="External"/><Relationship Id="rId1242" Type="http://schemas.openxmlformats.org/officeDocument/2006/relationships/hyperlink" Target="https://ui.adsabs.harvard.edu/abs/2013ApJ...769...21S/abstract" TargetMode="External"/><Relationship Id="rId1484" Type="http://schemas.openxmlformats.org/officeDocument/2006/relationships/hyperlink" Target="https://ui.adsabs.harvard.edu/abs/2015A%26A...579A..66M/abstract" TargetMode="External"/><Relationship Id="rId410" Type="http://schemas.openxmlformats.org/officeDocument/2006/relationships/hyperlink" Target="https://ui.adsabs.harvard.edu/abs/2017A%26A...600A..20A/abstract" TargetMode="External"/><Relationship Id="rId652" Type="http://schemas.openxmlformats.org/officeDocument/2006/relationships/hyperlink" Target="https://ui.adsabs.harvard.edu/abs/2015MNRAS.453.1026K/abstract" TargetMode="External"/><Relationship Id="rId894" Type="http://schemas.openxmlformats.org/officeDocument/2006/relationships/hyperlink" Target="https://arxiv.org/pdf/2005.11725.pdf" TargetMode="External"/><Relationship Id="rId1001" Type="http://schemas.openxmlformats.org/officeDocument/2006/relationships/hyperlink" Target="https://ui.adsabs.harvard.edu/abs/2004A%26A...424..603N/abstract" TargetMode="External"/><Relationship Id="rId1243" Type="http://schemas.openxmlformats.org/officeDocument/2006/relationships/hyperlink" Target="https://ui.adsabs.harvard.edu/abs/2013ApJ...769...21S/abstract" TargetMode="External"/><Relationship Id="rId1485" Type="http://schemas.openxmlformats.org/officeDocument/2006/relationships/hyperlink" Target="https://ui.adsabs.harvard.edu/abs/2015A%26A...579A..66M/abstract" TargetMode="External"/><Relationship Id="rId651" Type="http://schemas.openxmlformats.org/officeDocument/2006/relationships/hyperlink" Target="https://ui.adsabs.harvard.edu/abs/2015MNRAS.453.1026K/abstract" TargetMode="External"/><Relationship Id="rId893" Type="http://schemas.openxmlformats.org/officeDocument/2006/relationships/hyperlink" Target="https://ui.adsabs.harvard.edu/abs/2011ApJ...737..103S/abstract" TargetMode="External"/><Relationship Id="rId1002" Type="http://schemas.openxmlformats.org/officeDocument/2006/relationships/hyperlink" Target="https://ui.adsabs.harvard.edu/abs/2004A%26A...424..603N/abstract" TargetMode="External"/><Relationship Id="rId1244" Type="http://schemas.openxmlformats.org/officeDocument/2006/relationships/hyperlink" Target="https://ui.adsabs.harvard.edu/abs/2013ApJ...769...21S/abstract" TargetMode="External"/><Relationship Id="rId1486" Type="http://schemas.openxmlformats.org/officeDocument/2006/relationships/hyperlink" Target="https://ui.adsabs.harvard.edu/abs/2015A%26A...579A..66M/abstract" TargetMode="External"/><Relationship Id="rId650" Type="http://schemas.openxmlformats.org/officeDocument/2006/relationships/hyperlink" Target="https://ui.adsabs.harvard.edu/abs/2015MNRAS.453.1026K/abstract" TargetMode="External"/><Relationship Id="rId892" Type="http://schemas.openxmlformats.org/officeDocument/2006/relationships/hyperlink" Target="https://ui.adsabs.harvard.edu/search/fq=%7B!type%3Daqp%20v%3D%24fq_database%7D&amp;fq_database=database%3A%20astronomy&amp;q=pubdate%3A%5B2018-01%20TO%202019-12%5D%20author%3A(%22%5ESantamaria-Miranda%22)%20title%3A(Accretion%20signatures%20in%20the%20X-shooter%20spectrum%20of%20the%20substellar%20companion%20to%20SR12)&amp;sort=date%20desc%2C%20bibcode%20desc&amp;p_=0" TargetMode="External"/><Relationship Id="rId1003" Type="http://schemas.openxmlformats.org/officeDocument/2006/relationships/hyperlink" Target="https://ui.adsabs.harvard.edu/abs/2006A%26A...452..245N/abstract" TargetMode="External"/><Relationship Id="rId1245" Type="http://schemas.openxmlformats.org/officeDocument/2006/relationships/hyperlink" Target="https://ui.adsabs.harvard.edu/abs/2013ApJ...769...21S/abstract" TargetMode="External"/><Relationship Id="rId1487" Type="http://schemas.openxmlformats.org/officeDocument/2006/relationships/hyperlink" Target="https://ui.adsabs.harvard.edu/abs/2015A%26A...579A..66M/abstract" TargetMode="External"/><Relationship Id="rId1037" Type="http://schemas.openxmlformats.org/officeDocument/2006/relationships/hyperlink" Target="https://ui.adsabs.harvard.edu/abs/2006A%26A...452..245N/abstract" TargetMode="External"/><Relationship Id="rId1279" Type="http://schemas.openxmlformats.org/officeDocument/2006/relationships/hyperlink" Target="https://ui.adsabs.harvard.edu/abs/2013ApJ...769...21S/abstract" TargetMode="External"/><Relationship Id="rId1038" Type="http://schemas.openxmlformats.org/officeDocument/2006/relationships/hyperlink" Target="https://ui.adsabs.harvard.edu/abs/2006A%26A...452..245N/abstract" TargetMode="External"/><Relationship Id="rId1039" Type="http://schemas.openxmlformats.org/officeDocument/2006/relationships/hyperlink" Target="https://ui.adsabs.harvard.edu/abs/2006A%26A...452..245N/abstract" TargetMode="External"/><Relationship Id="rId206" Type="http://schemas.openxmlformats.org/officeDocument/2006/relationships/hyperlink" Target="https://ui.adsabs.harvard.edu/abs/1998ApJ...492..323G/abstract" TargetMode="External"/><Relationship Id="rId448" Type="http://schemas.openxmlformats.org/officeDocument/2006/relationships/hyperlink" Target="https://ui.adsabs.harvard.edu/abs/2004A%26A...424..603N/abstract" TargetMode="External"/><Relationship Id="rId205" Type="http://schemas.openxmlformats.org/officeDocument/2006/relationships/hyperlink" Target="https://ui.adsabs.harvard.edu/abs/1998ApJ...492..323G/abstract" TargetMode="External"/><Relationship Id="rId447" Type="http://schemas.openxmlformats.org/officeDocument/2006/relationships/hyperlink" Target="https://ui.adsabs.harvard.edu/abs/2005ApJ...625..906M/abstract" TargetMode="External"/><Relationship Id="rId689" Type="http://schemas.openxmlformats.org/officeDocument/2006/relationships/hyperlink" Target="https://ui.adsabs.harvard.edu/abs/2015MNRAS.453.1026K/abstract" TargetMode="External"/><Relationship Id="rId204" Type="http://schemas.openxmlformats.org/officeDocument/2006/relationships/hyperlink" Target="https://ui.adsabs.harvard.edu/abs/1998ApJ...492..323G/abstract" TargetMode="External"/><Relationship Id="rId446" Type="http://schemas.openxmlformats.org/officeDocument/2006/relationships/hyperlink" Target="https://ui.adsabs.harvard.edu/abs/2008ApJ...681..594H/abstract" TargetMode="External"/><Relationship Id="rId688" Type="http://schemas.openxmlformats.org/officeDocument/2006/relationships/hyperlink" Target="https://ui.adsabs.harvard.edu/abs/2015MNRAS.453.1026K/abstract" TargetMode="External"/><Relationship Id="rId203" Type="http://schemas.openxmlformats.org/officeDocument/2006/relationships/hyperlink" Target="https://iopscience.iop.org/article/10.1088/0004-637X/696/2/1589/pdf" TargetMode="External"/><Relationship Id="rId445" Type="http://schemas.openxmlformats.org/officeDocument/2006/relationships/hyperlink" Target="https://ui.adsabs.harvard.edu/abs/2005ApJ...625..906M/abstract" TargetMode="External"/><Relationship Id="rId687" Type="http://schemas.openxmlformats.org/officeDocument/2006/relationships/hyperlink" Target="https://ui.adsabs.harvard.edu/abs/2015MNRAS.453.1026K/abstract" TargetMode="External"/><Relationship Id="rId209" Type="http://schemas.openxmlformats.org/officeDocument/2006/relationships/hyperlink" Target="https://ui.adsabs.harvard.edu/abs/1998ApJ...492..323G/abstract" TargetMode="External"/><Relationship Id="rId208" Type="http://schemas.openxmlformats.org/officeDocument/2006/relationships/hyperlink" Target="https://ui.adsabs.harvard.edu/abs/1998ApJ...492..323G/abstract" TargetMode="External"/><Relationship Id="rId207" Type="http://schemas.openxmlformats.org/officeDocument/2006/relationships/hyperlink" Target="https://ui.adsabs.harvard.edu/abs/1998ApJ...492..323G/abstract" TargetMode="External"/><Relationship Id="rId449" Type="http://schemas.openxmlformats.org/officeDocument/2006/relationships/hyperlink" Target="https://ui.adsabs.harvard.edu/abs/2004A%26A...424..603N/abstract" TargetMode="External"/><Relationship Id="rId1270" Type="http://schemas.openxmlformats.org/officeDocument/2006/relationships/hyperlink" Target="https://ui.adsabs.harvard.edu/abs/2013ApJ...769...21S/abstract" TargetMode="External"/><Relationship Id="rId440" Type="http://schemas.openxmlformats.org/officeDocument/2006/relationships/hyperlink" Target="https://ui.adsabs.harvard.edu/abs/2004A%26A...424..603N/abstract" TargetMode="External"/><Relationship Id="rId682" Type="http://schemas.openxmlformats.org/officeDocument/2006/relationships/hyperlink" Target="https://ui.adsabs.harvard.edu/abs/2015MNRAS.453.1026K/abstract" TargetMode="External"/><Relationship Id="rId1271" Type="http://schemas.openxmlformats.org/officeDocument/2006/relationships/hyperlink" Target="https://ui.adsabs.harvard.edu/abs/2013ApJ...769...21S/abstract" TargetMode="External"/><Relationship Id="rId681" Type="http://schemas.openxmlformats.org/officeDocument/2006/relationships/hyperlink" Target="https://ui.adsabs.harvard.edu/abs/2015MNRAS.453.1026K/abstract" TargetMode="External"/><Relationship Id="rId1030" Type="http://schemas.openxmlformats.org/officeDocument/2006/relationships/hyperlink" Target="https://ui.adsabs.harvard.edu/abs/2006A%26A...452..245N/abstract" TargetMode="External"/><Relationship Id="rId1272" Type="http://schemas.openxmlformats.org/officeDocument/2006/relationships/hyperlink" Target="https://ui.adsabs.harvard.edu/abs/2013ApJ...769...21S/abstract" TargetMode="External"/><Relationship Id="rId680" Type="http://schemas.openxmlformats.org/officeDocument/2006/relationships/hyperlink" Target="https://ui.adsabs.harvard.edu/abs/2015MNRAS.453.1026K/abstract" TargetMode="External"/><Relationship Id="rId1031" Type="http://schemas.openxmlformats.org/officeDocument/2006/relationships/hyperlink" Target="https://ui.adsabs.harvard.edu/abs/2006A%26A...452..245N/abstract" TargetMode="External"/><Relationship Id="rId1273" Type="http://schemas.openxmlformats.org/officeDocument/2006/relationships/hyperlink" Target="https://ui.adsabs.harvard.edu/abs/2013ApJ...769...21S/abstract" TargetMode="External"/><Relationship Id="rId1032" Type="http://schemas.openxmlformats.org/officeDocument/2006/relationships/hyperlink" Target="https://ui.adsabs.harvard.edu/abs/2006A%26A...452..245N/abstract" TargetMode="External"/><Relationship Id="rId1274" Type="http://schemas.openxmlformats.org/officeDocument/2006/relationships/hyperlink" Target="https://ui.adsabs.harvard.edu/abs/2013ApJ...769...21S/abstract" TargetMode="External"/><Relationship Id="rId202" Type="http://schemas.openxmlformats.org/officeDocument/2006/relationships/hyperlink" Target="https://iopscience.iop.org/article/10.1088/0004-637X/696/2/1589/pdf" TargetMode="External"/><Relationship Id="rId444" Type="http://schemas.openxmlformats.org/officeDocument/2006/relationships/hyperlink" Target="https://ui.adsabs.harvard.edu/abs/2018ApJ...858...41Z/abstract" TargetMode="External"/><Relationship Id="rId686" Type="http://schemas.openxmlformats.org/officeDocument/2006/relationships/hyperlink" Target="https://ui.adsabs.harvard.edu/abs/2015MNRAS.453.1026K/abstract" TargetMode="External"/><Relationship Id="rId1033" Type="http://schemas.openxmlformats.org/officeDocument/2006/relationships/hyperlink" Target="https://ui.adsabs.harvard.edu/abs/2006A%26A...452..245N/abstract" TargetMode="External"/><Relationship Id="rId1275" Type="http://schemas.openxmlformats.org/officeDocument/2006/relationships/hyperlink" Target="https://ui.adsabs.harvard.edu/abs/2013ApJ...769...21S/abstract" TargetMode="External"/><Relationship Id="rId201" Type="http://schemas.openxmlformats.org/officeDocument/2006/relationships/hyperlink" Target="https://ui.adsabs.harvard.edu/abs/1998ApJ...492..323G/abstract" TargetMode="External"/><Relationship Id="rId443" Type="http://schemas.openxmlformats.org/officeDocument/2006/relationships/hyperlink" Target="https://ui.adsabs.harvard.edu/abs/2005ApJ...625..906M/abstract" TargetMode="External"/><Relationship Id="rId685" Type="http://schemas.openxmlformats.org/officeDocument/2006/relationships/hyperlink" Target="https://ui.adsabs.harvard.edu/abs/2015MNRAS.453.1026K/abstract" TargetMode="External"/><Relationship Id="rId1034" Type="http://schemas.openxmlformats.org/officeDocument/2006/relationships/hyperlink" Target="https://ui.adsabs.harvard.edu/abs/2006A%26A...452..245N/abstract" TargetMode="External"/><Relationship Id="rId1276" Type="http://schemas.openxmlformats.org/officeDocument/2006/relationships/hyperlink" Target="https://ui.adsabs.harvard.edu/abs/2013ApJ...769...21S/abstract" TargetMode="External"/><Relationship Id="rId200" Type="http://schemas.openxmlformats.org/officeDocument/2006/relationships/hyperlink" Target="https://ui.adsabs.harvard.edu/abs/1998ApJ...492..323G/abstract" TargetMode="External"/><Relationship Id="rId442" Type="http://schemas.openxmlformats.org/officeDocument/2006/relationships/hyperlink" Target="https://ui.adsabs.harvard.edu/abs/2004A%26A...424..603N/abstract" TargetMode="External"/><Relationship Id="rId684" Type="http://schemas.openxmlformats.org/officeDocument/2006/relationships/hyperlink" Target="https://ui.adsabs.harvard.edu/abs/2015MNRAS.453.1026K/abstract" TargetMode="External"/><Relationship Id="rId1035" Type="http://schemas.openxmlformats.org/officeDocument/2006/relationships/hyperlink" Target="https://ui.adsabs.harvard.edu/abs/2006A%26A...452..245N/abstract" TargetMode="External"/><Relationship Id="rId1277" Type="http://schemas.openxmlformats.org/officeDocument/2006/relationships/hyperlink" Target="https://ui.adsabs.harvard.edu/abs/2013ApJ...769...21S/abstract" TargetMode="External"/><Relationship Id="rId441" Type="http://schemas.openxmlformats.org/officeDocument/2006/relationships/hyperlink" Target="https://ui.adsabs.harvard.edu/abs/2005ApJ...625..906M/abstract" TargetMode="External"/><Relationship Id="rId683" Type="http://schemas.openxmlformats.org/officeDocument/2006/relationships/hyperlink" Target="https://ui.adsabs.harvard.edu/abs/2015MNRAS.453.1026K/abstract" TargetMode="External"/><Relationship Id="rId1036" Type="http://schemas.openxmlformats.org/officeDocument/2006/relationships/hyperlink" Target="https://ui.adsabs.harvard.edu/abs/2006A%26A...452..245N/abstract" TargetMode="External"/><Relationship Id="rId1278" Type="http://schemas.openxmlformats.org/officeDocument/2006/relationships/hyperlink" Target="https://ui.adsabs.harvard.edu/abs/2013ApJ...769...21S/abstract" TargetMode="External"/><Relationship Id="rId1026" Type="http://schemas.openxmlformats.org/officeDocument/2006/relationships/hyperlink" Target="https://ui.adsabs.harvard.edu/abs/2006A%26A...452..245N/abstract" TargetMode="External"/><Relationship Id="rId1268" Type="http://schemas.openxmlformats.org/officeDocument/2006/relationships/hyperlink" Target="https://ui.adsabs.harvard.edu/abs/2013ApJ...769...21S/abstract" TargetMode="External"/><Relationship Id="rId1027" Type="http://schemas.openxmlformats.org/officeDocument/2006/relationships/hyperlink" Target="https://ui.adsabs.harvard.edu/abs/2006A%26A...452..245N/abstract" TargetMode="External"/><Relationship Id="rId1269" Type="http://schemas.openxmlformats.org/officeDocument/2006/relationships/hyperlink" Target="https://ui.adsabs.harvard.edu/abs/2013ApJ...769...21S/abstract" TargetMode="External"/><Relationship Id="rId1028" Type="http://schemas.openxmlformats.org/officeDocument/2006/relationships/hyperlink" Target="https://ui.adsabs.harvard.edu/abs/2006A%26A...452..245N/abstract" TargetMode="External"/><Relationship Id="rId1029" Type="http://schemas.openxmlformats.org/officeDocument/2006/relationships/hyperlink" Target="https://ui.adsabs.harvard.edu/abs/2006A%26A...452..245N/abstract" TargetMode="External"/><Relationship Id="rId437" Type="http://schemas.openxmlformats.org/officeDocument/2006/relationships/hyperlink" Target="https://ui.adsabs.harvard.edu/abs/2005ApJ...625..906M/abstract" TargetMode="External"/><Relationship Id="rId679" Type="http://schemas.openxmlformats.org/officeDocument/2006/relationships/hyperlink" Target="https://ui.adsabs.harvard.edu/abs/2015MNRAS.453.1026K/abstract" TargetMode="External"/><Relationship Id="rId436" Type="http://schemas.openxmlformats.org/officeDocument/2006/relationships/hyperlink" Target="https://ui.adsabs.harvard.edu/abs/2007ApJS..173..104L/abstract" TargetMode="External"/><Relationship Id="rId678" Type="http://schemas.openxmlformats.org/officeDocument/2006/relationships/hyperlink" Target="https://ui.adsabs.harvard.edu/abs/2015MNRAS.453.1026K/abstract" TargetMode="External"/><Relationship Id="rId435" Type="http://schemas.openxmlformats.org/officeDocument/2006/relationships/hyperlink" Target="https://ui.adsabs.harvard.edu/abs/2005ApJ...625..906M/abstract" TargetMode="External"/><Relationship Id="rId677" Type="http://schemas.openxmlformats.org/officeDocument/2006/relationships/hyperlink" Target="https://ui.adsabs.harvard.edu/abs/2015MNRAS.453.1026K/abstract" TargetMode="External"/><Relationship Id="rId434" Type="http://schemas.openxmlformats.org/officeDocument/2006/relationships/hyperlink" Target="https://ui.adsabs.harvard.edu/abs/2018ApJ...858...41Z/abstract" TargetMode="External"/><Relationship Id="rId676" Type="http://schemas.openxmlformats.org/officeDocument/2006/relationships/hyperlink" Target="https://ui.adsabs.harvard.edu/abs/2015MNRAS.453.1026K/abstract" TargetMode="External"/><Relationship Id="rId439" Type="http://schemas.openxmlformats.org/officeDocument/2006/relationships/hyperlink" Target="https://ui.adsabs.harvard.edu/abs/2005ApJ...625..906M/abstract" TargetMode="External"/><Relationship Id="rId438" Type="http://schemas.openxmlformats.org/officeDocument/2006/relationships/hyperlink" Target="https://ui.adsabs.harvard.edu/abs/2018ApJ...858...41Z/abstract" TargetMode="External"/><Relationship Id="rId671" Type="http://schemas.openxmlformats.org/officeDocument/2006/relationships/hyperlink" Target="https://ui.adsabs.harvard.edu/abs/2015MNRAS.453.1026K/abstract" TargetMode="External"/><Relationship Id="rId1260" Type="http://schemas.openxmlformats.org/officeDocument/2006/relationships/hyperlink" Target="https://ui.adsabs.harvard.edu/abs/2013ApJ...769...21S/abstract" TargetMode="External"/><Relationship Id="rId670" Type="http://schemas.openxmlformats.org/officeDocument/2006/relationships/hyperlink" Target="https://ui.adsabs.harvard.edu/abs/2015MNRAS.453.1026K/abstract" TargetMode="External"/><Relationship Id="rId1261" Type="http://schemas.openxmlformats.org/officeDocument/2006/relationships/hyperlink" Target="https://ui.adsabs.harvard.edu/abs/2013ApJ...769...21S/abstract" TargetMode="External"/><Relationship Id="rId1020" Type="http://schemas.openxmlformats.org/officeDocument/2006/relationships/hyperlink" Target="https://ui.adsabs.harvard.edu/abs/2006A%26A...452..245N/abstract" TargetMode="External"/><Relationship Id="rId1262" Type="http://schemas.openxmlformats.org/officeDocument/2006/relationships/hyperlink" Target="https://ui.adsabs.harvard.edu/abs/2013ApJ...769...21S/abstract" TargetMode="External"/><Relationship Id="rId1021" Type="http://schemas.openxmlformats.org/officeDocument/2006/relationships/hyperlink" Target="https://ui.adsabs.harvard.edu/abs/2006A%26A...452..245N/abstract" TargetMode="External"/><Relationship Id="rId1263" Type="http://schemas.openxmlformats.org/officeDocument/2006/relationships/hyperlink" Target="https://ui.adsabs.harvard.edu/abs/2013ApJ...769...21S/abstract" TargetMode="External"/><Relationship Id="rId433" Type="http://schemas.openxmlformats.org/officeDocument/2006/relationships/hyperlink" Target="https://ui.adsabs.harvard.edu/abs/2020A%26A...633A.124P/abstract" TargetMode="External"/><Relationship Id="rId675" Type="http://schemas.openxmlformats.org/officeDocument/2006/relationships/hyperlink" Target="https://ui.adsabs.harvard.edu/abs/2015MNRAS.453.1026K/abstract" TargetMode="External"/><Relationship Id="rId1022" Type="http://schemas.openxmlformats.org/officeDocument/2006/relationships/hyperlink" Target="https://ui.adsabs.harvard.edu/abs/2006A%26A...452..245N/abstract" TargetMode="External"/><Relationship Id="rId1264" Type="http://schemas.openxmlformats.org/officeDocument/2006/relationships/hyperlink" Target="https://ui.adsabs.harvard.edu/abs/2013ApJ...769...21S/abstract" TargetMode="External"/><Relationship Id="rId432" Type="http://schemas.openxmlformats.org/officeDocument/2006/relationships/hyperlink" Target="https://ui.adsabs.harvard.edu/abs/2021yCat.2367....0M/abstract" TargetMode="External"/><Relationship Id="rId674" Type="http://schemas.openxmlformats.org/officeDocument/2006/relationships/hyperlink" Target="https://ui.adsabs.harvard.edu/abs/2015MNRAS.453.1026K/abstract" TargetMode="External"/><Relationship Id="rId1023" Type="http://schemas.openxmlformats.org/officeDocument/2006/relationships/hyperlink" Target="https://ui.adsabs.harvard.edu/abs/2006A%26A...452..245N/abstract" TargetMode="External"/><Relationship Id="rId1265" Type="http://schemas.openxmlformats.org/officeDocument/2006/relationships/hyperlink" Target="https://ui.adsabs.harvard.edu/abs/2013ApJ...769...21S/abstract" TargetMode="External"/><Relationship Id="rId431" Type="http://schemas.openxmlformats.org/officeDocument/2006/relationships/hyperlink" Target="https://ui.adsabs.harvard.edu/abs/2005ApJ...625..906M/abstract" TargetMode="External"/><Relationship Id="rId673" Type="http://schemas.openxmlformats.org/officeDocument/2006/relationships/hyperlink" Target="https://ui.adsabs.harvard.edu/abs/2015MNRAS.453.1026K/abstract" TargetMode="External"/><Relationship Id="rId1024" Type="http://schemas.openxmlformats.org/officeDocument/2006/relationships/hyperlink" Target="https://ui.adsabs.harvard.edu/abs/2006A%26A...452..245N/abstract" TargetMode="External"/><Relationship Id="rId1266" Type="http://schemas.openxmlformats.org/officeDocument/2006/relationships/hyperlink" Target="https://ui.adsabs.harvard.edu/abs/2013ApJ...769...21S/abstract" TargetMode="External"/><Relationship Id="rId430" Type="http://schemas.openxmlformats.org/officeDocument/2006/relationships/hyperlink" Target="https://ui.adsabs.harvard.edu/abs/2018ApJ...858...41Z/abstract" TargetMode="External"/><Relationship Id="rId672" Type="http://schemas.openxmlformats.org/officeDocument/2006/relationships/hyperlink" Target="https://ui.adsabs.harvard.edu/abs/2015MNRAS.453.1026K/abstract" TargetMode="External"/><Relationship Id="rId1025" Type="http://schemas.openxmlformats.org/officeDocument/2006/relationships/hyperlink" Target="https://ui.adsabs.harvard.edu/abs/2006A%26A...452..245N/abstract" TargetMode="External"/><Relationship Id="rId1267" Type="http://schemas.openxmlformats.org/officeDocument/2006/relationships/hyperlink" Target="https://ui.adsabs.harvard.edu/abs/2013ApJ...769...21S/abstrac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ui.adsabs.harvard.edu/abs/2020MNRAS.493..234W/abstract" TargetMode="External"/><Relationship Id="rId2" Type="http://schemas.openxmlformats.org/officeDocument/2006/relationships/hyperlink" Target="https://ui.adsabs.harvard.edu/abs/2015MNRAS.453..976F/abstract" TargetMode="External"/><Relationship Id="rId3" Type="http://schemas.openxmlformats.org/officeDocument/2006/relationships/hyperlink" Target="https://ui.adsabs.harvard.edu/abs/2017MNRAS.464.4721F/abstrac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76" Type="http://schemas.openxmlformats.org/officeDocument/2006/relationships/hyperlink" Target="https://iopscience.iop.org/article/10.3847/1538-3881/ab2895/pdf" TargetMode="External"/><Relationship Id="rId175" Type="http://schemas.openxmlformats.org/officeDocument/2006/relationships/hyperlink" Target="https://arxiv.org/pdf/1811.03477.pdf" TargetMode="External"/><Relationship Id="rId174" Type="http://schemas.openxmlformats.org/officeDocument/2006/relationships/hyperlink" Target="https://iopscience.iop.org/article/10.3847/1538-4357/aadd04/pdf" TargetMode="External"/><Relationship Id="rId173" Type="http://schemas.openxmlformats.org/officeDocument/2006/relationships/hyperlink" Target="https://ui.adsabs.harvard.edu/abs/2003ApJ...592..266M/abstract" TargetMode="External"/><Relationship Id="rId178" Type="http://schemas.openxmlformats.org/officeDocument/2006/relationships/drawing" Target="../drawings/drawing4.xml"/><Relationship Id="rId177" Type="http://schemas.openxmlformats.org/officeDocument/2006/relationships/hyperlink" Target="https://ui.adsabs.harvard.edu/abs/2015ApJ...807L..13W/abstract" TargetMode="External"/><Relationship Id="rId150" Type="http://schemas.openxmlformats.org/officeDocument/2006/relationships/hyperlink" Target="https://ui.adsabs.harvard.edu/abs/2013ApJ...769...21S/abstract" TargetMode="External"/><Relationship Id="rId1" Type="http://schemas.openxmlformats.org/officeDocument/2006/relationships/hyperlink" Target="https://ui.adsabs.harvard.edu/abs/2005ApJ...625..906M/abstract" TargetMode="External"/><Relationship Id="rId2" Type="http://schemas.openxmlformats.org/officeDocument/2006/relationships/hyperlink" Target="https://ui.adsabs.harvard.edu/abs/2005ApJ...625..906M/abstract" TargetMode="External"/><Relationship Id="rId3" Type="http://schemas.openxmlformats.org/officeDocument/2006/relationships/hyperlink" Target="https://ui.adsabs.harvard.edu/abs/2005ApJ...625..906M/abstract" TargetMode="External"/><Relationship Id="rId149" Type="http://schemas.openxmlformats.org/officeDocument/2006/relationships/hyperlink" Target="https://ui.adsabs.harvard.edu/abs/2013ApJ...769...21S/abstract" TargetMode="External"/><Relationship Id="rId4" Type="http://schemas.openxmlformats.org/officeDocument/2006/relationships/hyperlink" Target="https://ui.adsabs.harvard.edu/abs/2005ApJ...625..906M/abstract" TargetMode="External"/><Relationship Id="rId148" Type="http://schemas.openxmlformats.org/officeDocument/2006/relationships/hyperlink" Target="https://ui.adsabs.harvard.edu/abs/2013ApJ...769...21S/abstract" TargetMode="External"/><Relationship Id="rId9" Type="http://schemas.openxmlformats.org/officeDocument/2006/relationships/hyperlink" Target="https://ui.adsabs.harvard.edu/abs/2006A%26A...452..245N/abstract" TargetMode="External"/><Relationship Id="rId143" Type="http://schemas.openxmlformats.org/officeDocument/2006/relationships/hyperlink" Target="https://ui.adsabs.harvard.edu/abs/2013ApJ...769...21S/abstract" TargetMode="External"/><Relationship Id="rId142" Type="http://schemas.openxmlformats.org/officeDocument/2006/relationships/hyperlink" Target="https://ui.adsabs.harvard.edu/abs/2013ApJ...769...21S/abstract" TargetMode="External"/><Relationship Id="rId141" Type="http://schemas.openxmlformats.org/officeDocument/2006/relationships/hyperlink" Target="https://ui.adsabs.harvard.edu/abs/2013ApJ...769...21S/abstract" TargetMode="External"/><Relationship Id="rId140" Type="http://schemas.openxmlformats.org/officeDocument/2006/relationships/hyperlink" Target="https://ui.adsabs.harvard.edu/abs/2013ApJ...769...21S/abstract" TargetMode="External"/><Relationship Id="rId5" Type="http://schemas.openxmlformats.org/officeDocument/2006/relationships/hyperlink" Target="https://ui.adsabs.harvard.edu/abs/2005ApJ...625..906M/abstract" TargetMode="External"/><Relationship Id="rId147" Type="http://schemas.openxmlformats.org/officeDocument/2006/relationships/hyperlink" Target="https://ui.adsabs.harvard.edu/abs/2013ApJ...769...21S/abstract" TargetMode="External"/><Relationship Id="rId6" Type="http://schemas.openxmlformats.org/officeDocument/2006/relationships/hyperlink" Target="https://ui.adsabs.harvard.edu/abs/2005ApJ...625..906M/abstract" TargetMode="External"/><Relationship Id="rId146" Type="http://schemas.openxmlformats.org/officeDocument/2006/relationships/hyperlink" Target="https://ui.adsabs.harvard.edu/abs/2013ApJ...769...21S/abstract" TargetMode="External"/><Relationship Id="rId7" Type="http://schemas.openxmlformats.org/officeDocument/2006/relationships/hyperlink" Target="https://ui.adsabs.harvard.edu/abs/2006A%26A...452..245N/abstract" TargetMode="External"/><Relationship Id="rId145" Type="http://schemas.openxmlformats.org/officeDocument/2006/relationships/hyperlink" Target="https://ui.adsabs.harvard.edu/abs/2013ApJ...769...21S/abstract" TargetMode="External"/><Relationship Id="rId8" Type="http://schemas.openxmlformats.org/officeDocument/2006/relationships/hyperlink" Target="https://ui.adsabs.harvard.edu/abs/2006A%26A...452..245N/abstract" TargetMode="External"/><Relationship Id="rId144" Type="http://schemas.openxmlformats.org/officeDocument/2006/relationships/hyperlink" Target="https://ui.adsabs.harvard.edu/abs/2013ApJ...769...21S/abstract" TargetMode="External"/><Relationship Id="rId139" Type="http://schemas.openxmlformats.org/officeDocument/2006/relationships/hyperlink" Target="https://ui.adsabs.harvard.edu/abs/2013ApJ...769...21S/abstract" TargetMode="External"/><Relationship Id="rId138" Type="http://schemas.openxmlformats.org/officeDocument/2006/relationships/hyperlink" Target="https://ui.adsabs.harvard.edu/abs/2013ApJ...769...21S/abstract" TargetMode="External"/><Relationship Id="rId137" Type="http://schemas.openxmlformats.org/officeDocument/2006/relationships/hyperlink" Target="https://ui.adsabs.harvard.edu/abs/2013ApJ...769...21S/abstract" TargetMode="External"/><Relationship Id="rId132" Type="http://schemas.openxmlformats.org/officeDocument/2006/relationships/hyperlink" Target="https://ui.adsabs.harvard.edu/abs/2013ApJ...769...21S/abstract" TargetMode="External"/><Relationship Id="rId131" Type="http://schemas.openxmlformats.org/officeDocument/2006/relationships/hyperlink" Target="https://ui.adsabs.harvard.edu/abs/2013ApJ...769...21S/abstract" TargetMode="External"/><Relationship Id="rId130" Type="http://schemas.openxmlformats.org/officeDocument/2006/relationships/hyperlink" Target="https://ui.adsabs.harvard.edu/abs/2013ApJ...769...21S/abstract" TargetMode="External"/><Relationship Id="rId136" Type="http://schemas.openxmlformats.org/officeDocument/2006/relationships/hyperlink" Target="https://ui.adsabs.harvard.edu/abs/2013ApJ...769...21S/abstract" TargetMode="External"/><Relationship Id="rId135" Type="http://schemas.openxmlformats.org/officeDocument/2006/relationships/hyperlink" Target="https://ui.adsabs.harvard.edu/abs/2013ApJ...769...21S/abstract" TargetMode="External"/><Relationship Id="rId134" Type="http://schemas.openxmlformats.org/officeDocument/2006/relationships/hyperlink" Target="https://ui.adsabs.harvard.edu/abs/2013ApJ...769...21S/abstract" TargetMode="External"/><Relationship Id="rId133" Type="http://schemas.openxmlformats.org/officeDocument/2006/relationships/hyperlink" Target="https://ui.adsabs.harvard.edu/abs/2013ApJ...769...21S/abstract" TargetMode="External"/><Relationship Id="rId172" Type="http://schemas.openxmlformats.org/officeDocument/2006/relationships/hyperlink" Target="https://ui.adsabs.harvard.edu/abs/2004ApJ...616.1033L/abstract" TargetMode="External"/><Relationship Id="rId171" Type="http://schemas.openxmlformats.org/officeDocument/2006/relationships/hyperlink" Target="https://ui.adsabs.harvard.edu/abs/2005ApJ...626..498M/abstract" TargetMode="External"/><Relationship Id="rId170" Type="http://schemas.openxmlformats.org/officeDocument/2006/relationships/hyperlink" Target="https://ui.adsabs.harvard.edu/abs/2004ApJ...617.1216L/abstract" TargetMode="External"/><Relationship Id="rId165" Type="http://schemas.openxmlformats.org/officeDocument/2006/relationships/hyperlink" Target="https://ui.adsabs.harvard.edu/abs/2013ApJ...769...21S/abstract" TargetMode="External"/><Relationship Id="rId164" Type="http://schemas.openxmlformats.org/officeDocument/2006/relationships/hyperlink" Target="https://ui.adsabs.harvard.edu/abs/2013ApJ...769...21S/abstract" TargetMode="External"/><Relationship Id="rId163" Type="http://schemas.openxmlformats.org/officeDocument/2006/relationships/hyperlink" Target="https://ui.adsabs.harvard.edu/abs/2013ApJ...769...21S/abstract" TargetMode="External"/><Relationship Id="rId162" Type="http://schemas.openxmlformats.org/officeDocument/2006/relationships/hyperlink" Target="https://ui.adsabs.harvard.edu/abs/2013ApJ...769...21S/abstract" TargetMode="External"/><Relationship Id="rId169" Type="http://schemas.openxmlformats.org/officeDocument/2006/relationships/hyperlink" Target="https://ui.adsabs.harvard.edu/abs/2021A%26A...645A..17C/abstract" TargetMode="External"/><Relationship Id="rId168" Type="http://schemas.openxmlformats.org/officeDocument/2006/relationships/hyperlink" Target="https://ui.adsabs.harvard.edu/abs/2013ApJ...769...21S/abstract" TargetMode="External"/><Relationship Id="rId167" Type="http://schemas.openxmlformats.org/officeDocument/2006/relationships/hyperlink" Target="https://ui.adsabs.harvard.edu/abs/2013ApJ...769...21S/abstract" TargetMode="External"/><Relationship Id="rId166" Type="http://schemas.openxmlformats.org/officeDocument/2006/relationships/hyperlink" Target="https://ui.adsabs.harvard.edu/abs/2013ApJ...769...21S/abstract" TargetMode="External"/><Relationship Id="rId161" Type="http://schemas.openxmlformats.org/officeDocument/2006/relationships/hyperlink" Target="https://ui.adsabs.harvard.edu/abs/2013ApJ...769...21S/abstract" TargetMode="External"/><Relationship Id="rId160" Type="http://schemas.openxmlformats.org/officeDocument/2006/relationships/hyperlink" Target="https://ui.adsabs.harvard.edu/abs/2013ApJ...769...21S/abstract" TargetMode="External"/><Relationship Id="rId159" Type="http://schemas.openxmlformats.org/officeDocument/2006/relationships/hyperlink" Target="https://ui.adsabs.harvard.edu/abs/2013ApJ...769...21S/abstract" TargetMode="External"/><Relationship Id="rId154" Type="http://schemas.openxmlformats.org/officeDocument/2006/relationships/hyperlink" Target="https://ui.adsabs.harvard.edu/abs/2013ApJ...769...21S/abstract" TargetMode="External"/><Relationship Id="rId153" Type="http://schemas.openxmlformats.org/officeDocument/2006/relationships/hyperlink" Target="https://ui.adsabs.harvard.edu/abs/2013ApJ...769...21S/abstract" TargetMode="External"/><Relationship Id="rId152" Type="http://schemas.openxmlformats.org/officeDocument/2006/relationships/hyperlink" Target="https://ui.adsabs.harvard.edu/abs/2013ApJ...769...21S/abstract" TargetMode="External"/><Relationship Id="rId151" Type="http://schemas.openxmlformats.org/officeDocument/2006/relationships/hyperlink" Target="https://ui.adsabs.harvard.edu/abs/2013ApJ...769...21S/abstract" TargetMode="External"/><Relationship Id="rId158" Type="http://schemas.openxmlformats.org/officeDocument/2006/relationships/hyperlink" Target="https://ui.adsabs.harvard.edu/abs/2013ApJ...769...21S/abstract" TargetMode="External"/><Relationship Id="rId157" Type="http://schemas.openxmlformats.org/officeDocument/2006/relationships/hyperlink" Target="https://ui.adsabs.harvard.edu/abs/2013ApJ...769...21S/abstract" TargetMode="External"/><Relationship Id="rId156" Type="http://schemas.openxmlformats.org/officeDocument/2006/relationships/hyperlink" Target="https://ui.adsabs.harvard.edu/abs/2013ApJ...769...21S/abstract" TargetMode="External"/><Relationship Id="rId155" Type="http://schemas.openxmlformats.org/officeDocument/2006/relationships/hyperlink" Target="https://ui.adsabs.harvard.edu/abs/2013ApJ...769...21S/abstract" TargetMode="External"/><Relationship Id="rId40" Type="http://schemas.openxmlformats.org/officeDocument/2006/relationships/hyperlink" Target="https://ui.adsabs.harvard.edu/abs/2006A%26A...452..245N/abstract" TargetMode="External"/><Relationship Id="rId42" Type="http://schemas.openxmlformats.org/officeDocument/2006/relationships/hyperlink" Target="https://ui.adsabs.harvard.edu/abs/2006A%26A...452..245N/abstract" TargetMode="External"/><Relationship Id="rId41" Type="http://schemas.openxmlformats.org/officeDocument/2006/relationships/hyperlink" Target="https://ui.adsabs.harvard.edu/abs/2006A%26A...452..245N/abstract" TargetMode="External"/><Relationship Id="rId44" Type="http://schemas.openxmlformats.org/officeDocument/2006/relationships/hyperlink" Target="https://ui.adsabs.harvard.edu/abs/2006A%26A...452..245N/abstract" TargetMode="External"/><Relationship Id="rId43" Type="http://schemas.openxmlformats.org/officeDocument/2006/relationships/hyperlink" Target="https://ui.adsabs.harvard.edu/abs/2006A%26A...452..245N/abstract" TargetMode="External"/><Relationship Id="rId46" Type="http://schemas.openxmlformats.org/officeDocument/2006/relationships/hyperlink" Target="https://ui.adsabs.harvard.edu/abs/2006A%26A...452..245N/abstract" TargetMode="External"/><Relationship Id="rId45" Type="http://schemas.openxmlformats.org/officeDocument/2006/relationships/hyperlink" Target="https://ui.adsabs.harvard.edu/abs/2006A%26A...452..245N/abstract" TargetMode="External"/><Relationship Id="rId48" Type="http://schemas.openxmlformats.org/officeDocument/2006/relationships/hyperlink" Target="https://ui.adsabs.harvard.edu/abs/2006A%26A...452..245N/abstract" TargetMode="External"/><Relationship Id="rId47" Type="http://schemas.openxmlformats.org/officeDocument/2006/relationships/hyperlink" Target="https://ui.adsabs.harvard.edu/abs/2006A%26A...452..245N/abstract" TargetMode="External"/><Relationship Id="rId49" Type="http://schemas.openxmlformats.org/officeDocument/2006/relationships/hyperlink" Target="https://ui.adsabs.harvard.edu/abs/2021yCat.2367....0M/abstract" TargetMode="External"/><Relationship Id="rId31" Type="http://schemas.openxmlformats.org/officeDocument/2006/relationships/hyperlink" Target="https://ui.adsabs.harvard.edu/abs/2006A%26A...452..245N/abstract" TargetMode="External"/><Relationship Id="rId30" Type="http://schemas.openxmlformats.org/officeDocument/2006/relationships/hyperlink" Target="https://ui.adsabs.harvard.edu/abs/2006A%26A...452..245N/abstract" TargetMode="External"/><Relationship Id="rId33" Type="http://schemas.openxmlformats.org/officeDocument/2006/relationships/hyperlink" Target="https://ui.adsabs.harvard.edu/abs/2006A%26A...452..245N/abstract" TargetMode="External"/><Relationship Id="rId32" Type="http://schemas.openxmlformats.org/officeDocument/2006/relationships/hyperlink" Target="https://ui.adsabs.harvard.edu/abs/2006A%26A...452..245N/abstract" TargetMode="External"/><Relationship Id="rId35" Type="http://schemas.openxmlformats.org/officeDocument/2006/relationships/hyperlink" Target="https://ui.adsabs.harvard.edu/abs/2006A%26A...452..245N/abstract" TargetMode="External"/><Relationship Id="rId34" Type="http://schemas.openxmlformats.org/officeDocument/2006/relationships/hyperlink" Target="https://ui.adsabs.harvard.edu/abs/2006A%26A...452..245N/abstract" TargetMode="External"/><Relationship Id="rId37" Type="http://schemas.openxmlformats.org/officeDocument/2006/relationships/hyperlink" Target="https://ui.adsabs.harvard.edu/abs/2006A%26A...452..245N/abstract" TargetMode="External"/><Relationship Id="rId36" Type="http://schemas.openxmlformats.org/officeDocument/2006/relationships/hyperlink" Target="https://ui.adsabs.harvard.edu/abs/2006A%26A...452..245N/abstract" TargetMode="External"/><Relationship Id="rId39" Type="http://schemas.openxmlformats.org/officeDocument/2006/relationships/hyperlink" Target="https://ui.adsabs.harvard.edu/abs/2006A%26A...452..245N/abstract" TargetMode="External"/><Relationship Id="rId38" Type="http://schemas.openxmlformats.org/officeDocument/2006/relationships/hyperlink" Target="https://ui.adsabs.harvard.edu/abs/2006A%26A...452..245N/abstract" TargetMode="External"/><Relationship Id="rId20" Type="http://schemas.openxmlformats.org/officeDocument/2006/relationships/hyperlink" Target="https://ui.adsabs.harvard.edu/abs/2006A%26A...452..245N/abstract" TargetMode="External"/><Relationship Id="rId22" Type="http://schemas.openxmlformats.org/officeDocument/2006/relationships/hyperlink" Target="https://ui.adsabs.harvard.edu/abs/2006A%26A...452..245N/abstract" TargetMode="External"/><Relationship Id="rId21" Type="http://schemas.openxmlformats.org/officeDocument/2006/relationships/hyperlink" Target="https://ui.adsabs.harvard.edu/abs/2006A%26A...452..245N/abstract" TargetMode="External"/><Relationship Id="rId24" Type="http://schemas.openxmlformats.org/officeDocument/2006/relationships/hyperlink" Target="https://ui.adsabs.harvard.edu/abs/2006A%26A...452..245N/abstract" TargetMode="External"/><Relationship Id="rId23" Type="http://schemas.openxmlformats.org/officeDocument/2006/relationships/hyperlink" Target="https://ui.adsabs.harvard.edu/abs/2006A%26A...452..245N/abstract" TargetMode="External"/><Relationship Id="rId26" Type="http://schemas.openxmlformats.org/officeDocument/2006/relationships/hyperlink" Target="https://ui.adsabs.harvard.edu/abs/2006A%26A...452..245N/abstract" TargetMode="External"/><Relationship Id="rId25" Type="http://schemas.openxmlformats.org/officeDocument/2006/relationships/hyperlink" Target="https://ui.adsabs.harvard.edu/abs/2006A%26A...452..245N/abstract" TargetMode="External"/><Relationship Id="rId28" Type="http://schemas.openxmlformats.org/officeDocument/2006/relationships/hyperlink" Target="https://ui.adsabs.harvard.edu/abs/2006A%26A...452..245N/abstract" TargetMode="External"/><Relationship Id="rId27" Type="http://schemas.openxmlformats.org/officeDocument/2006/relationships/hyperlink" Target="https://ui.adsabs.harvard.edu/abs/2006A%26A...452..245N/abstract" TargetMode="External"/><Relationship Id="rId29" Type="http://schemas.openxmlformats.org/officeDocument/2006/relationships/hyperlink" Target="https://ui.adsabs.harvard.edu/abs/2006A%26A...452..245N/abstract" TargetMode="External"/><Relationship Id="rId11" Type="http://schemas.openxmlformats.org/officeDocument/2006/relationships/hyperlink" Target="https://ui.adsabs.harvard.edu/abs/2006A%26A...452..245N/abstract" TargetMode="External"/><Relationship Id="rId10" Type="http://schemas.openxmlformats.org/officeDocument/2006/relationships/hyperlink" Target="https://ui.adsabs.harvard.edu/abs/2006A%26A...452..245N/abstract" TargetMode="External"/><Relationship Id="rId13" Type="http://schemas.openxmlformats.org/officeDocument/2006/relationships/hyperlink" Target="https://ui.adsabs.harvard.edu/abs/2006A%26A...452..245N/abstract" TargetMode="External"/><Relationship Id="rId12" Type="http://schemas.openxmlformats.org/officeDocument/2006/relationships/hyperlink" Target="https://ui.adsabs.harvard.edu/abs/2006A%26A...452..245N/abstract" TargetMode="External"/><Relationship Id="rId15" Type="http://schemas.openxmlformats.org/officeDocument/2006/relationships/hyperlink" Target="https://ui.adsabs.harvard.edu/abs/2006A%26A...452..245N/abstract" TargetMode="External"/><Relationship Id="rId14" Type="http://schemas.openxmlformats.org/officeDocument/2006/relationships/hyperlink" Target="https://ui.adsabs.harvard.edu/abs/2006A%26A...452..245N/abstract" TargetMode="External"/><Relationship Id="rId17" Type="http://schemas.openxmlformats.org/officeDocument/2006/relationships/hyperlink" Target="https://ui.adsabs.harvard.edu/abs/2006A%26A...452..245N/abstract" TargetMode="External"/><Relationship Id="rId16" Type="http://schemas.openxmlformats.org/officeDocument/2006/relationships/hyperlink" Target="https://ui.adsabs.harvard.edu/abs/2006A%26A...452..245N/abstract" TargetMode="External"/><Relationship Id="rId19" Type="http://schemas.openxmlformats.org/officeDocument/2006/relationships/hyperlink" Target="https://ui.adsabs.harvard.edu/abs/2006A%26A...452..245N/abstract" TargetMode="External"/><Relationship Id="rId18" Type="http://schemas.openxmlformats.org/officeDocument/2006/relationships/hyperlink" Target="https://ui.adsabs.harvard.edu/abs/2006A%26A...452..245N/abstract" TargetMode="External"/><Relationship Id="rId84" Type="http://schemas.openxmlformats.org/officeDocument/2006/relationships/hyperlink" Target="https://ui.adsabs.harvard.edu/abs/2013ApJ...769...21S/abstract" TargetMode="External"/><Relationship Id="rId83" Type="http://schemas.openxmlformats.org/officeDocument/2006/relationships/hyperlink" Target="https://ui.adsabs.harvard.edu/abs/2013ApJ...769...21S/abstract" TargetMode="External"/><Relationship Id="rId86" Type="http://schemas.openxmlformats.org/officeDocument/2006/relationships/hyperlink" Target="https://ui.adsabs.harvard.edu/abs/2013ApJ...769...21S/abstract" TargetMode="External"/><Relationship Id="rId85" Type="http://schemas.openxmlformats.org/officeDocument/2006/relationships/hyperlink" Target="https://ui.adsabs.harvard.edu/abs/2013ApJ...769...21S/abstract" TargetMode="External"/><Relationship Id="rId88" Type="http://schemas.openxmlformats.org/officeDocument/2006/relationships/hyperlink" Target="https://ui.adsabs.harvard.edu/abs/2013ApJ...769...21S/abstract" TargetMode="External"/><Relationship Id="rId87" Type="http://schemas.openxmlformats.org/officeDocument/2006/relationships/hyperlink" Target="https://ui.adsabs.harvard.edu/abs/2013ApJ...769...21S/abstract" TargetMode="External"/><Relationship Id="rId89" Type="http://schemas.openxmlformats.org/officeDocument/2006/relationships/hyperlink" Target="https://ui.adsabs.harvard.edu/abs/2013ApJ...769...21S/abstract" TargetMode="External"/><Relationship Id="rId80" Type="http://schemas.openxmlformats.org/officeDocument/2006/relationships/hyperlink" Target="https://ui.adsabs.harvard.edu/abs/2013ApJ...769...21S/abstract" TargetMode="External"/><Relationship Id="rId82" Type="http://schemas.openxmlformats.org/officeDocument/2006/relationships/hyperlink" Target="https://ui.adsabs.harvard.edu/abs/2013ApJ...769...21S/abstract" TargetMode="External"/><Relationship Id="rId81" Type="http://schemas.openxmlformats.org/officeDocument/2006/relationships/hyperlink" Target="https://ui.adsabs.harvard.edu/abs/2013ApJ...769...21S/abstract" TargetMode="External"/><Relationship Id="rId73" Type="http://schemas.openxmlformats.org/officeDocument/2006/relationships/hyperlink" Target="https://ui.adsabs.harvard.edu/abs/2013ApJ...769...21S/abstract" TargetMode="External"/><Relationship Id="rId72" Type="http://schemas.openxmlformats.org/officeDocument/2006/relationships/hyperlink" Target="https://ui.adsabs.harvard.edu/abs/2013ApJ...769...21S/abstract" TargetMode="External"/><Relationship Id="rId75" Type="http://schemas.openxmlformats.org/officeDocument/2006/relationships/hyperlink" Target="https://ui.adsabs.harvard.edu/abs/2013ApJ...769...21S/abstract" TargetMode="External"/><Relationship Id="rId74" Type="http://schemas.openxmlformats.org/officeDocument/2006/relationships/hyperlink" Target="https://ui.adsabs.harvard.edu/abs/2013ApJ...769...21S/abstract" TargetMode="External"/><Relationship Id="rId77" Type="http://schemas.openxmlformats.org/officeDocument/2006/relationships/hyperlink" Target="https://ui.adsabs.harvard.edu/abs/2013ApJ...769...21S/abstract" TargetMode="External"/><Relationship Id="rId76" Type="http://schemas.openxmlformats.org/officeDocument/2006/relationships/hyperlink" Target="https://ui.adsabs.harvard.edu/abs/2013ApJ...769...21S/abstract" TargetMode="External"/><Relationship Id="rId79" Type="http://schemas.openxmlformats.org/officeDocument/2006/relationships/hyperlink" Target="https://ui.adsabs.harvard.edu/abs/2013ApJ...769...21S/abstract" TargetMode="External"/><Relationship Id="rId78" Type="http://schemas.openxmlformats.org/officeDocument/2006/relationships/hyperlink" Target="https://ui.adsabs.harvard.edu/abs/2013ApJ...769...21S/abstract" TargetMode="External"/><Relationship Id="rId71" Type="http://schemas.openxmlformats.org/officeDocument/2006/relationships/hyperlink" Target="https://ui.adsabs.harvard.edu/abs/2013ApJ...769...21S/abstract" TargetMode="External"/><Relationship Id="rId70" Type="http://schemas.openxmlformats.org/officeDocument/2006/relationships/hyperlink" Target="https://ui.adsabs.harvard.edu/abs/2013ApJ...769...21S/abstract" TargetMode="External"/><Relationship Id="rId62" Type="http://schemas.openxmlformats.org/officeDocument/2006/relationships/hyperlink" Target="https://ui.adsabs.harvard.edu/abs/2011A%26A...525A..47R/abstract" TargetMode="External"/><Relationship Id="rId61" Type="http://schemas.openxmlformats.org/officeDocument/2006/relationships/hyperlink" Target="https://ui.adsabs.harvard.edu/abs/2021yCat.2367....0M/abstract" TargetMode="External"/><Relationship Id="rId64" Type="http://schemas.openxmlformats.org/officeDocument/2006/relationships/hyperlink" Target="https://ui.adsabs.harvard.edu/abs/2013ApJ...769...21S/abstract" TargetMode="External"/><Relationship Id="rId63" Type="http://schemas.openxmlformats.org/officeDocument/2006/relationships/hyperlink" Target="https://ui.adsabs.harvard.edu/abs/2013ApJ...769...21S/abstract" TargetMode="External"/><Relationship Id="rId66" Type="http://schemas.openxmlformats.org/officeDocument/2006/relationships/hyperlink" Target="https://ui.adsabs.harvard.edu/abs/2013ApJ...769...21S/abstract" TargetMode="External"/><Relationship Id="rId65" Type="http://schemas.openxmlformats.org/officeDocument/2006/relationships/hyperlink" Target="https://ui.adsabs.harvard.edu/abs/2013ApJ...769...21S/abstract" TargetMode="External"/><Relationship Id="rId68" Type="http://schemas.openxmlformats.org/officeDocument/2006/relationships/hyperlink" Target="https://ui.adsabs.harvard.edu/abs/2013ApJ...769...21S/abstract" TargetMode="External"/><Relationship Id="rId67" Type="http://schemas.openxmlformats.org/officeDocument/2006/relationships/hyperlink" Target="https://ui.adsabs.harvard.edu/abs/2013ApJ...769...21S/abstract" TargetMode="External"/><Relationship Id="rId60" Type="http://schemas.openxmlformats.org/officeDocument/2006/relationships/hyperlink" Target="https://ui.adsabs.harvard.edu/abs/2011A%26A...525A..47R/abstract" TargetMode="External"/><Relationship Id="rId69" Type="http://schemas.openxmlformats.org/officeDocument/2006/relationships/hyperlink" Target="https://ui.adsabs.harvard.edu/abs/2013ApJ...769...21S/abstract" TargetMode="External"/><Relationship Id="rId51" Type="http://schemas.openxmlformats.org/officeDocument/2006/relationships/hyperlink" Target="https://ui.adsabs.harvard.edu/abs/2021yCat.2367....0M/abstract" TargetMode="External"/><Relationship Id="rId50" Type="http://schemas.openxmlformats.org/officeDocument/2006/relationships/hyperlink" Target="https://ui.adsabs.harvard.edu/abs/2011A%26A...525A..47R/abstract" TargetMode="External"/><Relationship Id="rId53" Type="http://schemas.openxmlformats.org/officeDocument/2006/relationships/hyperlink" Target="https://ui.adsabs.harvard.edu/abs/2021yCat.2367....0M/abstract" TargetMode="External"/><Relationship Id="rId52" Type="http://schemas.openxmlformats.org/officeDocument/2006/relationships/hyperlink" Target="https://ui.adsabs.harvard.edu/abs/2011A%26A...525A..47R/abstract" TargetMode="External"/><Relationship Id="rId55" Type="http://schemas.openxmlformats.org/officeDocument/2006/relationships/hyperlink" Target="https://ui.adsabs.harvard.edu/abs/2021yCat.2367....0M/abstract" TargetMode="External"/><Relationship Id="rId54" Type="http://schemas.openxmlformats.org/officeDocument/2006/relationships/hyperlink" Target="https://ui.adsabs.harvard.edu/abs/2011A%26A...525A..47R/abstract" TargetMode="External"/><Relationship Id="rId57" Type="http://schemas.openxmlformats.org/officeDocument/2006/relationships/hyperlink" Target="https://ui.adsabs.harvard.edu/abs/2021yCat.2367....0M/abstract" TargetMode="External"/><Relationship Id="rId56" Type="http://schemas.openxmlformats.org/officeDocument/2006/relationships/hyperlink" Target="https://ui.adsabs.harvard.edu/abs/2011A%26A...525A..47R/abstract" TargetMode="External"/><Relationship Id="rId59" Type="http://schemas.openxmlformats.org/officeDocument/2006/relationships/hyperlink" Target="https://ui.adsabs.harvard.edu/abs/2021yCat.2367....0M/abstract" TargetMode="External"/><Relationship Id="rId58" Type="http://schemas.openxmlformats.org/officeDocument/2006/relationships/hyperlink" Target="https://ui.adsabs.harvard.edu/abs/2011A%26A...525A..47R/abstract" TargetMode="External"/><Relationship Id="rId107" Type="http://schemas.openxmlformats.org/officeDocument/2006/relationships/hyperlink" Target="https://ui.adsabs.harvard.edu/abs/2013ApJ...769...21S/abstract" TargetMode="External"/><Relationship Id="rId106" Type="http://schemas.openxmlformats.org/officeDocument/2006/relationships/hyperlink" Target="https://ui.adsabs.harvard.edu/abs/2013ApJ...769...21S/abstract" TargetMode="External"/><Relationship Id="rId105" Type="http://schemas.openxmlformats.org/officeDocument/2006/relationships/hyperlink" Target="https://ui.adsabs.harvard.edu/abs/2013ApJ...769...21S/abstract" TargetMode="External"/><Relationship Id="rId104" Type="http://schemas.openxmlformats.org/officeDocument/2006/relationships/hyperlink" Target="https://ui.adsabs.harvard.edu/abs/2013ApJ...769...21S/abstract" TargetMode="External"/><Relationship Id="rId109" Type="http://schemas.openxmlformats.org/officeDocument/2006/relationships/hyperlink" Target="https://ui.adsabs.harvard.edu/abs/2013ApJ...769...21S/abstract" TargetMode="External"/><Relationship Id="rId108" Type="http://schemas.openxmlformats.org/officeDocument/2006/relationships/hyperlink" Target="https://ui.adsabs.harvard.edu/abs/2013ApJ...769...21S/abstract" TargetMode="External"/><Relationship Id="rId103" Type="http://schemas.openxmlformats.org/officeDocument/2006/relationships/hyperlink" Target="https://ui.adsabs.harvard.edu/abs/2013ApJ...769...21S/abstract" TargetMode="External"/><Relationship Id="rId102" Type="http://schemas.openxmlformats.org/officeDocument/2006/relationships/hyperlink" Target="https://ui.adsabs.harvard.edu/abs/2013ApJ...769...21S/abstract" TargetMode="External"/><Relationship Id="rId101" Type="http://schemas.openxmlformats.org/officeDocument/2006/relationships/hyperlink" Target="https://ui.adsabs.harvard.edu/abs/2013ApJ...769...21S/abstract" TargetMode="External"/><Relationship Id="rId100" Type="http://schemas.openxmlformats.org/officeDocument/2006/relationships/hyperlink" Target="https://ui.adsabs.harvard.edu/abs/2013ApJ...769...21S/abstract" TargetMode="External"/><Relationship Id="rId129" Type="http://schemas.openxmlformats.org/officeDocument/2006/relationships/hyperlink" Target="https://ui.adsabs.harvard.edu/abs/2013ApJ...769...21S/abstract" TargetMode="External"/><Relationship Id="rId128" Type="http://schemas.openxmlformats.org/officeDocument/2006/relationships/hyperlink" Target="https://ui.adsabs.harvard.edu/abs/2013ApJ...769...21S/abstract" TargetMode="External"/><Relationship Id="rId127" Type="http://schemas.openxmlformats.org/officeDocument/2006/relationships/hyperlink" Target="https://ui.adsabs.harvard.edu/abs/2013ApJ...769...21S/abstract" TargetMode="External"/><Relationship Id="rId126" Type="http://schemas.openxmlformats.org/officeDocument/2006/relationships/hyperlink" Target="https://ui.adsabs.harvard.edu/abs/2013ApJ...769...21S/abstract" TargetMode="External"/><Relationship Id="rId121" Type="http://schemas.openxmlformats.org/officeDocument/2006/relationships/hyperlink" Target="https://ui.adsabs.harvard.edu/abs/2013ApJ...769...21S/abstract" TargetMode="External"/><Relationship Id="rId120" Type="http://schemas.openxmlformats.org/officeDocument/2006/relationships/hyperlink" Target="https://ui.adsabs.harvard.edu/abs/2013ApJ...769...21S/abstract" TargetMode="External"/><Relationship Id="rId125" Type="http://schemas.openxmlformats.org/officeDocument/2006/relationships/hyperlink" Target="https://ui.adsabs.harvard.edu/abs/2013ApJ...769...21S/abstract" TargetMode="External"/><Relationship Id="rId124" Type="http://schemas.openxmlformats.org/officeDocument/2006/relationships/hyperlink" Target="https://ui.adsabs.harvard.edu/abs/2013ApJ...769...21S/abstract" TargetMode="External"/><Relationship Id="rId123" Type="http://schemas.openxmlformats.org/officeDocument/2006/relationships/hyperlink" Target="https://ui.adsabs.harvard.edu/abs/2013ApJ...769...21S/abstract" TargetMode="External"/><Relationship Id="rId122" Type="http://schemas.openxmlformats.org/officeDocument/2006/relationships/hyperlink" Target="https://ui.adsabs.harvard.edu/abs/2013ApJ...769...21S/abstract" TargetMode="External"/><Relationship Id="rId95" Type="http://schemas.openxmlformats.org/officeDocument/2006/relationships/hyperlink" Target="https://ui.adsabs.harvard.edu/abs/2013ApJ...769...21S/abstract" TargetMode="External"/><Relationship Id="rId94" Type="http://schemas.openxmlformats.org/officeDocument/2006/relationships/hyperlink" Target="https://ui.adsabs.harvard.edu/abs/2013ApJ...769...21S/abstract" TargetMode="External"/><Relationship Id="rId97" Type="http://schemas.openxmlformats.org/officeDocument/2006/relationships/hyperlink" Target="https://ui.adsabs.harvard.edu/abs/2013ApJ...769...21S/abstract" TargetMode="External"/><Relationship Id="rId96" Type="http://schemas.openxmlformats.org/officeDocument/2006/relationships/hyperlink" Target="https://ui.adsabs.harvard.edu/abs/2013ApJ...769...21S/abstract" TargetMode="External"/><Relationship Id="rId99" Type="http://schemas.openxmlformats.org/officeDocument/2006/relationships/hyperlink" Target="https://ui.adsabs.harvard.edu/abs/2013ApJ...769...21S/abstract" TargetMode="External"/><Relationship Id="rId98" Type="http://schemas.openxmlformats.org/officeDocument/2006/relationships/hyperlink" Target="https://ui.adsabs.harvard.edu/abs/2013ApJ...769...21S/abstract" TargetMode="External"/><Relationship Id="rId91" Type="http://schemas.openxmlformats.org/officeDocument/2006/relationships/hyperlink" Target="https://ui.adsabs.harvard.edu/abs/2013ApJ...769...21S/abstract" TargetMode="External"/><Relationship Id="rId90" Type="http://schemas.openxmlformats.org/officeDocument/2006/relationships/hyperlink" Target="https://ui.adsabs.harvard.edu/abs/2013ApJ...769...21S/abstract" TargetMode="External"/><Relationship Id="rId93" Type="http://schemas.openxmlformats.org/officeDocument/2006/relationships/hyperlink" Target="https://ui.adsabs.harvard.edu/abs/2013ApJ...769...21S/abstract" TargetMode="External"/><Relationship Id="rId92" Type="http://schemas.openxmlformats.org/officeDocument/2006/relationships/hyperlink" Target="https://ui.adsabs.harvard.edu/abs/2013ApJ...769...21S/abstract" TargetMode="External"/><Relationship Id="rId118" Type="http://schemas.openxmlformats.org/officeDocument/2006/relationships/hyperlink" Target="https://ui.adsabs.harvard.edu/abs/2013ApJ...769...21S/abstract" TargetMode="External"/><Relationship Id="rId117" Type="http://schemas.openxmlformats.org/officeDocument/2006/relationships/hyperlink" Target="https://ui.adsabs.harvard.edu/abs/2013ApJ...769...21S/abstract" TargetMode="External"/><Relationship Id="rId116" Type="http://schemas.openxmlformats.org/officeDocument/2006/relationships/hyperlink" Target="https://ui.adsabs.harvard.edu/abs/2013ApJ...769...21S/abstract" TargetMode="External"/><Relationship Id="rId115" Type="http://schemas.openxmlformats.org/officeDocument/2006/relationships/hyperlink" Target="https://ui.adsabs.harvard.edu/abs/2013ApJ...769...21S/abstract" TargetMode="External"/><Relationship Id="rId119" Type="http://schemas.openxmlformats.org/officeDocument/2006/relationships/hyperlink" Target="https://ui.adsabs.harvard.edu/abs/2013ApJ...769...21S/abstract" TargetMode="External"/><Relationship Id="rId110" Type="http://schemas.openxmlformats.org/officeDocument/2006/relationships/hyperlink" Target="https://ui.adsabs.harvard.edu/abs/2013ApJ...769...21S/abstract" TargetMode="External"/><Relationship Id="rId114" Type="http://schemas.openxmlformats.org/officeDocument/2006/relationships/hyperlink" Target="https://ui.adsabs.harvard.edu/abs/2013ApJ...769...21S/abstract" TargetMode="External"/><Relationship Id="rId113" Type="http://schemas.openxmlformats.org/officeDocument/2006/relationships/hyperlink" Target="https://ui.adsabs.harvard.edu/abs/2013ApJ...769...21S/abstract" TargetMode="External"/><Relationship Id="rId112" Type="http://schemas.openxmlformats.org/officeDocument/2006/relationships/hyperlink" Target="https://ui.adsabs.harvard.edu/abs/2013ApJ...769...21S/abstract" TargetMode="External"/><Relationship Id="rId111" Type="http://schemas.openxmlformats.org/officeDocument/2006/relationships/hyperlink" Target="https://ui.adsabs.harvard.edu/abs/2013ApJ...769...21S/abstrac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2.0"/>
    <col customWidth="1" min="2" max="2" width="25.57"/>
    <col customWidth="1" min="6" max="6" width="13.86"/>
    <col customWidth="1" min="7" max="7" width="15.29"/>
    <col customWidth="1" min="9" max="9" width="23.14"/>
    <col customWidth="1" min="10" max="10" width="11.71"/>
    <col customWidth="1" min="17" max="17" width="9.57"/>
    <col customWidth="1" min="35" max="35" width="23.43"/>
    <col customWidth="1" min="37" max="37" width="30.71"/>
    <col customWidth="1" min="52" max="52" width="22.57"/>
    <col customWidth="1" min="53" max="53" width="25.86"/>
    <col customWidth="1" min="57" max="57" width="17.0"/>
    <col customWidth="1" min="62" max="62" width="17.0"/>
    <col customWidth="1" min="98" max="99" width="17.57"/>
    <col customWidth="1" min="101" max="101" width="17.57"/>
    <col customWidth="1" min="103" max="104" width="17.57"/>
    <col customWidth="1" min="106" max="109" width="17.57"/>
    <col customWidth="1" min="110" max="116" width="19.71"/>
    <col customWidth="1" min="117" max="125" width="17.57"/>
    <col customWidth="1" min="126" max="126" width="23.0"/>
    <col customWidth="1" min="127" max="127" width="24.86"/>
    <col customWidth="1" min="128" max="128" width="17.14"/>
    <col customWidth="1" min="129" max="129" width="16.86"/>
    <col customWidth="1" min="130" max="130" width="36.71"/>
    <col customWidth="1" min="131" max="131" width="37.14"/>
    <col customWidth="1" min="132" max="132" width="69.86"/>
  </cols>
  <sheetData>
    <row r="1" ht="67.5" customHeight="1">
      <c r="A1" s="1" t="s">
        <v>0</v>
      </c>
      <c r="B1" s="2" t="s">
        <v>1</v>
      </c>
      <c r="C1" s="3"/>
      <c r="D1" s="4"/>
      <c r="E1" s="4"/>
      <c r="F1" s="4"/>
      <c r="G1" s="5"/>
      <c r="H1" s="5"/>
      <c r="I1" s="6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7"/>
      <c r="AK1" s="7"/>
      <c r="AL1" s="7"/>
      <c r="AM1" s="7"/>
      <c r="AN1" s="8"/>
      <c r="AO1" s="7"/>
      <c r="AP1" s="7"/>
      <c r="AQ1" s="7"/>
      <c r="AR1" s="9"/>
      <c r="AS1" s="7"/>
      <c r="AT1" s="10"/>
      <c r="AU1" s="7"/>
      <c r="AV1" s="7"/>
      <c r="AW1" s="7"/>
      <c r="AX1" s="7"/>
      <c r="AY1" s="7"/>
      <c r="AZ1" s="11"/>
      <c r="BA1" s="12"/>
      <c r="BB1" s="11"/>
      <c r="BC1" s="11"/>
      <c r="BD1" s="11"/>
      <c r="BE1" s="11"/>
      <c r="BF1" s="12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2"/>
      <c r="CI1" s="12"/>
      <c r="CJ1" s="11"/>
      <c r="CK1" s="11"/>
      <c r="CL1" s="11"/>
      <c r="CM1" s="11"/>
      <c r="CN1" s="12"/>
      <c r="CO1" s="12"/>
      <c r="CP1" s="12"/>
      <c r="CQ1" s="12"/>
      <c r="CR1" s="12"/>
      <c r="CS1" s="12"/>
      <c r="CT1" s="12"/>
      <c r="CU1" s="12"/>
      <c r="CV1" s="11"/>
      <c r="CW1" s="12"/>
      <c r="CX1" s="11"/>
      <c r="CY1" s="12"/>
      <c r="CZ1" s="12"/>
      <c r="DA1" s="11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3"/>
      <c r="DW1" s="10"/>
      <c r="DX1" s="13"/>
      <c r="DY1" s="7"/>
      <c r="DZ1" s="7"/>
      <c r="EA1" s="7"/>
      <c r="EB1" s="7"/>
    </row>
    <row r="2">
      <c r="A2" s="14" t="s">
        <v>2</v>
      </c>
      <c r="B2" s="15" t="s">
        <v>3</v>
      </c>
      <c r="C2" s="16" t="s">
        <v>4</v>
      </c>
      <c r="D2" s="17" t="s">
        <v>5</v>
      </c>
      <c r="E2" s="18" t="s">
        <v>6</v>
      </c>
      <c r="F2" s="18" t="s">
        <v>7</v>
      </c>
      <c r="G2" s="19" t="s">
        <v>8</v>
      </c>
      <c r="H2" s="19" t="s">
        <v>9</v>
      </c>
      <c r="I2" s="20" t="s">
        <v>10</v>
      </c>
      <c r="J2" s="19" t="s">
        <v>11</v>
      </c>
      <c r="K2" s="19" t="s">
        <v>12</v>
      </c>
      <c r="L2" s="21" t="s">
        <v>13</v>
      </c>
      <c r="M2" s="21" t="s">
        <v>14</v>
      </c>
      <c r="N2" s="21" t="s">
        <v>15</v>
      </c>
      <c r="O2" s="22" t="s">
        <v>16</v>
      </c>
      <c r="P2" s="22" t="s">
        <v>17</v>
      </c>
      <c r="Q2" s="22" t="s">
        <v>18</v>
      </c>
      <c r="R2" s="22" t="s">
        <v>19</v>
      </c>
      <c r="S2" s="22" t="s">
        <v>20</v>
      </c>
      <c r="T2" s="22" t="s">
        <v>21</v>
      </c>
      <c r="U2" s="22" t="s">
        <v>22</v>
      </c>
      <c r="V2" s="22" t="s">
        <v>23</v>
      </c>
      <c r="W2" s="22" t="s">
        <v>24</v>
      </c>
      <c r="X2" s="22" t="s">
        <v>25</v>
      </c>
      <c r="Y2" s="22" t="s">
        <v>26</v>
      </c>
      <c r="Z2" s="22" t="s">
        <v>27</v>
      </c>
      <c r="AA2" s="22" t="s">
        <v>28</v>
      </c>
      <c r="AB2" s="21" t="s">
        <v>29</v>
      </c>
      <c r="AC2" s="22" t="s">
        <v>30</v>
      </c>
      <c r="AD2" s="22" t="s">
        <v>31</v>
      </c>
      <c r="AE2" s="22" t="s">
        <v>32</v>
      </c>
      <c r="AF2" s="22" t="s">
        <v>33</v>
      </c>
      <c r="AG2" s="22" t="s">
        <v>34</v>
      </c>
      <c r="AH2" s="22" t="s">
        <v>35</v>
      </c>
      <c r="AI2" s="22" t="s">
        <v>36</v>
      </c>
      <c r="AJ2" s="23" t="s">
        <v>37</v>
      </c>
      <c r="AK2" s="23" t="s">
        <v>38</v>
      </c>
      <c r="AL2" s="24" t="s">
        <v>39</v>
      </c>
      <c r="AM2" s="24" t="s">
        <v>40</v>
      </c>
      <c r="AN2" s="25" t="s">
        <v>41</v>
      </c>
      <c r="AO2" s="23" t="s">
        <v>42</v>
      </c>
      <c r="AP2" s="24" t="s">
        <v>43</v>
      </c>
      <c r="AQ2" s="24" t="s">
        <v>44</v>
      </c>
      <c r="AR2" s="26" t="s">
        <v>45</v>
      </c>
      <c r="AS2" s="24" t="s">
        <v>46</v>
      </c>
      <c r="AT2" s="27" t="s">
        <v>47</v>
      </c>
      <c r="AU2" s="28" t="s">
        <v>48</v>
      </c>
      <c r="AV2" s="24" t="s">
        <v>49</v>
      </c>
      <c r="AW2" s="24" t="s">
        <v>50</v>
      </c>
      <c r="AX2" s="24" t="s">
        <v>51</v>
      </c>
      <c r="AY2" s="28" t="s">
        <v>52</v>
      </c>
      <c r="AZ2" s="29" t="s">
        <v>53</v>
      </c>
      <c r="BA2" s="30" t="s">
        <v>54</v>
      </c>
      <c r="BB2" s="31" t="s">
        <v>55</v>
      </c>
      <c r="BC2" s="31" t="s">
        <v>56</v>
      </c>
      <c r="BD2" s="31" t="s">
        <v>57</v>
      </c>
      <c r="BE2" s="32" t="s">
        <v>58</v>
      </c>
      <c r="BF2" s="32" t="s">
        <v>59</v>
      </c>
      <c r="BG2" s="32" t="s">
        <v>60</v>
      </c>
      <c r="BH2" s="31" t="s">
        <v>61</v>
      </c>
      <c r="BI2" s="32" t="s">
        <v>62</v>
      </c>
      <c r="BJ2" s="31" t="s">
        <v>63</v>
      </c>
      <c r="BK2" s="32" t="s">
        <v>64</v>
      </c>
      <c r="BL2" s="32" t="s">
        <v>65</v>
      </c>
      <c r="BM2" s="32" t="s">
        <v>66</v>
      </c>
      <c r="BN2" s="32" t="s">
        <v>67</v>
      </c>
      <c r="BO2" s="32" t="s">
        <v>68</v>
      </c>
      <c r="BP2" s="32" t="s">
        <v>69</v>
      </c>
      <c r="BQ2" s="32" t="s">
        <v>70</v>
      </c>
      <c r="BR2" s="33" t="s">
        <v>71</v>
      </c>
      <c r="BS2" s="33" t="s">
        <v>72</v>
      </c>
      <c r="BT2" s="33" t="s">
        <v>73</v>
      </c>
      <c r="BU2" s="33" t="s">
        <v>74</v>
      </c>
      <c r="BV2" s="33" t="s">
        <v>75</v>
      </c>
      <c r="BW2" s="33" t="s">
        <v>76</v>
      </c>
      <c r="BX2" s="33" t="s">
        <v>77</v>
      </c>
      <c r="BY2" s="33" t="s">
        <v>78</v>
      </c>
      <c r="BZ2" s="31" t="s">
        <v>79</v>
      </c>
      <c r="CA2" s="32" t="s">
        <v>80</v>
      </c>
      <c r="CB2" s="31" t="s">
        <v>81</v>
      </c>
      <c r="CC2" s="32" t="s">
        <v>82</v>
      </c>
      <c r="CD2" s="32" t="s">
        <v>83</v>
      </c>
      <c r="CE2" s="32" t="s">
        <v>84</v>
      </c>
      <c r="CF2" s="31" t="s">
        <v>85</v>
      </c>
      <c r="CG2" s="32" t="s">
        <v>86</v>
      </c>
      <c r="CH2" s="32" t="s">
        <v>87</v>
      </c>
      <c r="CI2" s="32" t="s">
        <v>88</v>
      </c>
      <c r="CJ2" s="32" t="s">
        <v>89</v>
      </c>
      <c r="CK2" s="32" t="s">
        <v>90</v>
      </c>
      <c r="CL2" s="32" t="s">
        <v>91</v>
      </c>
      <c r="CM2" s="32" t="s">
        <v>92</v>
      </c>
      <c r="CN2" s="32" t="s">
        <v>93</v>
      </c>
      <c r="CO2" s="32" t="s">
        <v>94</v>
      </c>
      <c r="CP2" s="33" t="s">
        <v>95</v>
      </c>
      <c r="CQ2" s="33" t="s">
        <v>96</v>
      </c>
      <c r="CR2" s="33" t="s">
        <v>97</v>
      </c>
      <c r="CS2" s="33" t="s">
        <v>98</v>
      </c>
      <c r="CT2" s="32" t="s">
        <v>99</v>
      </c>
      <c r="CU2" s="32" t="s">
        <v>100</v>
      </c>
      <c r="CV2" s="32" t="s">
        <v>101</v>
      </c>
      <c r="CW2" s="32" t="s">
        <v>102</v>
      </c>
      <c r="CX2" s="32" t="s">
        <v>103</v>
      </c>
      <c r="CY2" s="32" t="s">
        <v>104</v>
      </c>
      <c r="CZ2" s="32" t="s">
        <v>105</v>
      </c>
      <c r="DA2" s="32" t="s">
        <v>106</v>
      </c>
      <c r="DB2" s="33" t="s">
        <v>107</v>
      </c>
      <c r="DC2" s="33" t="s">
        <v>108</v>
      </c>
      <c r="DD2" s="33" t="s">
        <v>109</v>
      </c>
      <c r="DE2" s="33" t="s">
        <v>110</v>
      </c>
      <c r="DF2" s="33" t="s">
        <v>111</v>
      </c>
      <c r="DG2" s="33" t="s">
        <v>112</v>
      </c>
      <c r="DH2" s="32" t="s">
        <v>113</v>
      </c>
      <c r="DI2" s="33" t="s">
        <v>114</v>
      </c>
      <c r="DJ2" s="33" t="s">
        <v>115</v>
      </c>
      <c r="DK2" s="32" t="s">
        <v>116</v>
      </c>
      <c r="DL2" s="33" t="s">
        <v>117</v>
      </c>
      <c r="DM2" s="33" t="s">
        <v>118</v>
      </c>
      <c r="DN2" s="33" t="s">
        <v>119</v>
      </c>
      <c r="DO2" s="33" t="s">
        <v>120</v>
      </c>
      <c r="DP2" s="33" t="s">
        <v>121</v>
      </c>
      <c r="DQ2" s="32" t="s">
        <v>122</v>
      </c>
      <c r="DR2" s="33" t="s">
        <v>123</v>
      </c>
      <c r="DS2" s="33" t="s">
        <v>124</v>
      </c>
      <c r="DT2" s="33" t="s">
        <v>125</v>
      </c>
      <c r="DU2" s="33" t="s">
        <v>126</v>
      </c>
      <c r="DV2" s="34" t="s">
        <v>127</v>
      </c>
      <c r="DW2" s="35" t="s">
        <v>128</v>
      </c>
      <c r="DX2" s="28" t="s">
        <v>129</v>
      </c>
      <c r="DY2" s="36" t="s">
        <v>130</v>
      </c>
      <c r="DZ2" s="37" t="s">
        <v>131</v>
      </c>
      <c r="EA2" s="36" t="s">
        <v>132</v>
      </c>
      <c r="EB2" s="37" t="s">
        <v>133</v>
      </c>
    </row>
    <row r="3">
      <c r="A3" s="38" t="s">
        <v>134</v>
      </c>
      <c r="B3" s="39"/>
      <c r="C3" s="40" t="s">
        <v>135</v>
      </c>
      <c r="D3" s="41" t="s">
        <v>136</v>
      </c>
      <c r="E3" s="40" t="s">
        <v>137</v>
      </c>
      <c r="F3" s="41" t="s">
        <v>138</v>
      </c>
      <c r="G3" s="42" t="s">
        <v>139</v>
      </c>
      <c r="H3" s="42" t="s">
        <v>139</v>
      </c>
      <c r="I3" s="43"/>
      <c r="J3" s="43"/>
      <c r="K3" s="43" t="s">
        <v>140</v>
      </c>
      <c r="L3" s="44" t="s">
        <v>140</v>
      </c>
      <c r="M3" s="43"/>
      <c r="N3" s="43" t="s">
        <v>141</v>
      </c>
      <c r="O3" s="43" t="s">
        <v>142</v>
      </c>
      <c r="P3" s="42" t="s">
        <v>143</v>
      </c>
      <c r="Q3" s="42" t="s">
        <v>143</v>
      </c>
      <c r="R3" s="43" t="s">
        <v>143</v>
      </c>
      <c r="S3" s="44" t="s">
        <v>144</v>
      </c>
      <c r="T3" s="44" t="s">
        <v>144</v>
      </c>
      <c r="U3" s="43" t="s">
        <v>145</v>
      </c>
      <c r="V3" s="43" t="s">
        <v>145</v>
      </c>
      <c r="W3" s="43" t="s">
        <v>145</v>
      </c>
      <c r="X3" s="43" t="s">
        <v>145</v>
      </c>
      <c r="Y3" s="43" t="s">
        <v>145</v>
      </c>
      <c r="Z3" s="43" t="s">
        <v>145</v>
      </c>
      <c r="AA3" s="43" t="s">
        <v>145</v>
      </c>
      <c r="AB3" s="42" t="s">
        <v>145</v>
      </c>
      <c r="AC3" s="43" t="s">
        <v>145</v>
      </c>
      <c r="AD3" s="42" t="s">
        <v>145</v>
      </c>
      <c r="AE3" s="42" t="s">
        <v>145</v>
      </c>
      <c r="AF3" s="43" t="s">
        <v>145</v>
      </c>
      <c r="AG3" s="43" t="s">
        <v>145</v>
      </c>
      <c r="AH3" s="44" t="s">
        <v>145</v>
      </c>
      <c r="AI3" s="44" t="s">
        <v>145</v>
      </c>
      <c r="AJ3" s="45"/>
      <c r="AK3" s="45"/>
      <c r="AL3" s="45"/>
      <c r="AM3" s="45"/>
      <c r="AN3" s="46" t="s">
        <v>141</v>
      </c>
      <c r="AO3" s="45" t="s">
        <v>141</v>
      </c>
      <c r="AP3" s="47"/>
      <c r="AQ3" s="47"/>
      <c r="AR3" s="48" t="s">
        <v>146</v>
      </c>
      <c r="AS3" s="45" t="s">
        <v>146</v>
      </c>
      <c r="AT3" s="49" t="s">
        <v>147</v>
      </c>
      <c r="AU3" s="45" t="s">
        <v>147</v>
      </c>
      <c r="AV3" s="45" t="s">
        <v>148</v>
      </c>
      <c r="AW3" s="45" t="s">
        <v>148</v>
      </c>
      <c r="AX3" s="45" t="s">
        <v>149</v>
      </c>
      <c r="AY3" s="45" t="s">
        <v>149</v>
      </c>
      <c r="AZ3" s="50"/>
      <c r="BA3" s="51"/>
      <c r="BB3" s="50" t="s">
        <v>150</v>
      </c>
      <c r="BC3" s="50" t="s">
        <v>150</v>
      </c>
      <c r="BD3" s="51" t="s">
        <v>151</v>
      </c>
      <c r="BE3" s="51" t="s">
        <v>151</v>
      </c>
      <c r="BF3" s="52" t="s">
        <v>150</v>
      </c>
      <c r="BG3" s="52" t="s">
        <v>150</v>
      </c>
      <c r="BH3" s="50" t="s">
        <v>151</v>
      </c>
      <c r="BI3" s="50" t="s">
        <v>151</v>
      </c>
      <c r="BJ3" s="50" t="s">
        <v>150</v>
      </c>
      <c r="BK3" s="50" t="s">
        <v>150</v>
      </c>
      <c r="BL3" s="50" t="s">
        <v>151</v>
      </c>
      <c r="BM3" s="50" t="s">
        <v>151</v>
      </c>
      <c r="BN3" s="50" t="s">
        <v>150</v>
      </c>
      <c r="BO3" s="50" t="s">
        <v>150</v>
      </c>
      <c r="BP3" s="50" t="s">
        <v>151</v>
      </c>
      <c r="BQ3" s="50" t="s">
        <v>151</v>
      </c>
      <c r="BR3" s="50" t="s">
        <v>150</v>
      </c>
      <c r="BS3" s="50" t="s">
        <v>150</v>
      </c>
      <c r="BT3" s="50" t="s">
        <v>151</v>
      </c>
      <c r="BU3" s="50" t="s">
        <v>151</v>
      </c>
      <c r="BV3" s="50" t="s">
        <v>150</v>
      </c>
      <c r="BW3" s="50" t="s">
        <v>150</v>
      </c>
      <c r="BX3" s="50" t="s">
        <v>151</v>
      </c>
      <c r="BY3" s="50" t="s">
        <v>151</v>
      </c>
      <c r="BZ3" s="50" t="s">
        <v>150</v>
      </c>
      <c r="CA3" s="50" t="s">
        <v>150</v>
      </c>
      <c r="CB3" s="50" t="s">
        <v>151</v>
      </c>
      <c r="CC3" s="50" t="s">
        <v>151</v>
      </c>
      <c r="CD3" s="50" t="s">
        <v>150</v>
      </c>
      <c r="CE3" s="50" t="s">
        <v>150</v>
      </c>
      <c r="CF3" s="50" t="s">
        <v>151</v>
      </c>
      <c r="CG3" s="50" t="s">
        <v>151</v>
      </c>
      <c r="CH3" s="50" t="s">
        <v>150</v>
      </c>
      <c r="CI3" s="50" t="s">
        <v>150</v>
      </c>
      <c r="CJ3" s="50" t="s">
        <v>151</v>
      </c>
      <c r="CK3" s="50" t="s">
        <v>151</v>
      </c>
      <c r="CL3" s="50" t="s">
        <v>150</v>
      </c>
      <c r="CM3" s="50" t="s">
        <v>150</v>
      </c>
      <c r="CN3" s="50" t="s">
        <v>151</v>
      </c>
      <c r="CO3" s="50" t="s">
        <v>151</v>
      </c>
      <c r="CP3" s="50" t="s">
        <v>150</v>
      </c>
      <c r="CQ3" s="50" t="s">
        <v>150</v>
      </c>
      <c r="CR3" s="50" t="s">
        <v>151</v>
      </c>
      <c r="CS3" s="50" t="s">
        <v>151</v>
      </c>
      <c r="CT3" s="50" t="s">
        <v>150</v>
      </c>
      <c r="CU3" s="50" t="s">
        <v>150</v>
      </c>
      <c r="CV3" s="50" t="s">
        <v>151</v>
      </c>
      <c r="CW3" s="50" t="s">
        <v>151</v>
      </c>
      <c r="CX3" s="50" t="s">
        <v>150</v>
      </c>
      <c r="CY3" s="50" t="s">
        <v>150</v>
      </c>
      <c r="CZ3" s="50" t="s">
        <v>151</v>
      </c>
      <c r="DA3" s="50" t="s">
        <v>151</v>
      </c>
      <c r="DB3" s="50" t="s">
        <v>150</v>
      </c>
      <c r="DC3" s="50" t="s">
        <v>150</v>
      </c>
      <c r="DD3" s="50" t="s">
        <v>151</v>
      </c>
      <c r="DE3" s="50" t="s">
        <v>151</v>
      </c>
      <c r="DF3" s="52" t="s">
        <v>150</v>
      </c>
      <c r="DG3" s="52" t="s">
        <v>150</v>
      </c>
      <c r="DH3" s="50" t="s">
        <v>151</v>
      </c>
      <c r="DI3" s="50" t="s">
        <v>151</v>
      </c>
      <c r="DJ3" s="52" t="s">
        <v>150</v>
      </c>
      <c r="DK3" s="50" t="s">
        <v>151</v>
      </c>
      <c r="DL3" s="50" t="s">
        <v>151</v>
      </c>
      <c r="DM3" s="52" t="s">
        <v>150</v>
      </c>
      <c r="DN3" s="52" t="s">
        <v>150</v>
      </c>
      <c r="DO3" s="50" t="s">
        <v>151</v>
      </c>
      <c r="DP3" s="50" t="s">
        <v>152</v>
      </c>
      <c r="DQ3" s="50" t="s">
        <v>150</v>
      </c>
      <c r="DR3" s="52" t="s">
        <v>150</v>
      </c>
      <c r="DS3" s="52" t="s">
        <v>150</v>
      </c>
      <c r="DT3" s="50" t="s">
        <v>151</v>
      </c>
      <c r="DU3" s="50" t="s">
        <v>151</v>
      </c>
      <c r="DV3" s="45" t="s">
        <v>148</v>
      </c>
      <c r="DW3" s="53" t="s">
        <v>148</v>
      </c>
      <c r="DX3" s="45" t="s">
        <v>153</v>
      </c>
      <c r="DY3" s="54" t="s">
        <v>153</v>
      </c>
      <c r="DZ3" s="47"/>
      <c r="EA3" s="47"/>
      <c r="EB3" s="47"/>
    </row>
    <row r="4">
      <c r="A4" s="55" t="s">
        <v>154</v>
      </c>
      <c r="B4" s="56" t="s">
        <v>155</v>
      </c>
      <c r="C4" s="4" t="s">
        <v>156</v>
      </c>
      <c r="D4" s="57">
        <v>4.15</v>
      </c>
      <c r="E4" s="57" t="s">
        <v>137</v>
      </c>
      <c r="F4" s="57" t="s">
        <v>157</v>
      </c>
      <c r="G4" s="58">
        <v>246.925</v>
      </c>
      <c r="H4" s="58">
        <v>-24.7792</v>
      </c>
      <c r="I4" s="6" t="s">
        <v>158</v>
      </c>
      <c r="J4" s="6" t="s">
        <v>159</v>
      </c>
      <c r="K4" s="58">
        <v>1.0</v>
      </c>
      <c r="L4" s="5"/>
      <c r="M4" s="59"/>
      <c r="N4" s="60"/>
      <c r="O4" s="60"/>
      <c r="P4" s="60"/>
      <c r="Q4" s="60"/>
      <c r="R4" s="60"/>
      <c r="S4" s="60"/>
      <c r="T4" s="60"/>
      <c r="U4" s="59">
        <v>3.5</v>
      </c>
      <c r="V4" s="5"/>
      <c r="W4" s="61">
        <v>1.0</v>
      </c>
      <c r="X4" s="5"/>
      <c r="Y4" s="62" t="s">
        <v>160</v>
      </c>
      <c r="Z4" s="60"/>
      <c r="AA4" s="60"/>
      <c r="AB4" s="60">
        <v>18.47</v>
      </c>
      <c r="AC4" s="60">
        <v>0.09</v>
      </c>
      <c r="AD4" s="60">
        <v>13.933</v>
      </c>
      <c r="AE4" s="60">
        <v>0.043</v>
      </c>
      <c r="AF4" s="60">
        <v>11.216</v>
      </c>
      <c r="AG4" s="60">
        <v>0.027</v>
      </c>
      <c r="AH4" s="6"/>
      <c r="AI4" s="6"/>
      <c r="AJ4" s="63" t="s">
        <v>160</v>
      </c>
      <c r="AK4" s="64" t="s">
        <v>161</v>
      </c>
      <c r="AL4" s="64">
        <v>2004.0</v>
      </c>
      <c r="AM4" s="7"/>
      <c r="AN4" s="8"/>
      <c r="AO4" s="13"/>
      <c r="AP4" s="7"/>
      <c r="AQ4" s="65"/>
      <c r="AR4" s="66">
        <v>2290.867653</v>
      </c>
      <c r="AS4" s="7"/>
      <c r="AT4" s="67">
        <v>0.005888436554</v>
      </c>
      <c r="AU4" s="7"/>
      <c r="AV4" s="64">
        <v>8.511380382E-4</v>
      </c>
      <c r="AW4" s="7"/>
      <c r="AX4" s="7"/>
      <c r="AY4" s="7"/>
      <c r="AZ4" s="11" t="s">
        <v>162</v>
      </c>
      <c r="BA4" s="68" t="s">
        <v>163</v>
      </c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68" t="s">
        <v>164</v>
      </c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2"/>
      <c r="DK4" s="12"/>
      <c r="DL4" s="12"/>
      <c r="DM4" s="69"/>
      <c r="DN4" s="69"/>
      <c r="DO4" s="69"/>
      <c r="DP4" s="69"/>
      <c r="DQ4" s="11"/>
      <c r="DR4" s="69"/>
      <c r="DS4" s="69"/>
      <c r="DT4" s="69"/>
      <c r="DU4" s="69"/>
      <c r="DV4" s="70">
        <v>-3.06</v>
      </c>
      <c r="DW4" s="10"/>
      <c r="DX4" s="71">
        <v>7.59E-10</v>
      </c>
      <c r="DY4" s="7"/>
      <c r="DZ4" s="64" t="s">
        <v>165</v>
      </c>
      <c r="EA4" s="72" t="s">
        <v>166</v>
      </c>
      <c r="EB4" s="7"/>
    </row>
    <row r="5">
      <c r="A5" s="55" t="s">
        <v>167</v>
      </c>
      <c r="B5" s="56" t="s">
        <v>167</v>
      </c>
      <c r="C5" s="4"/>
      <c r="D5" s="3"/>
      <c r="E5" s="57" t="s">
        <v>137</v>
      </c>
      <c r="F5" s="57" t="s">
        <v>168</v>
      </c>
      <c r="G5" s="58">
        <v>246.898593</v>
      </c>
      <c r="H5" s="58">
        <v>-24.75903471</v>
      </c>
      <c r="I5" s="6" t="s">
        <v>158</v>
      </c>
      <c r="J5" s="6" t="s">
        <v>169</v>
      </c>
      <c r="K5" s="58">
        <v>1.0</v>
      </c>
      <c r="L5" s="5"/>
      <c r="M5" s="59">
        <v>2.0</v>
      </c>
      <c r="N5" s="61">
        <v>143.270580818934</v>
      </c>
      <c r="O5" s="61">
        <v>-7.973</v>
      </c>
      <c r="P5" s="61">
        <v>0.478</v>
      </c>
      <c r="Q5" s="61">
        <v>-26.738</v>
      </c>
      <c r="R5" s="61">
        <v>0.276</v>
      </c>
      <c r="S5" s="60"/>
      <c r="T5" s="60"/>
      <c r="U5" s="5"/>
      <c r="V5" s="5"/>
      <c r="W5" s="61">
        <v>1.4</v>
      </c>
      <c r="X5" s="5"/>
      <c r="Y5" s="62" t="s">
        <v>160</v>
      </c>
      <c r="Z5" s="60"/>
      <c r="AA5" s="60"/>
      <c r="AB5" s="60">
        <v>12.713</v>
      </c>
      <c r="AC5" s="60">
        <v>0.026</v>
      </c>
      <c r="AD5" s="60">
        <v>11.466</v>
      </c>
      <c r="AE5" s="60">
        <v>0.026</v>
      </c>
      <c r="AF5" s="60">
        <v>10.881</v>
      </c>
      <c r="AG5" s="60">
        <v>0.027</v>
      </c>
      <c r="AH5" s="6"/>
      <c r="AI5" s="6"/>
      <c r="AJ5" s="63" t="s">
        <v>160</v>
      </c>
      <c r="AK5" s="64" t="s">
        <v>161</v>
      </c>
      <c r="AL5" s="64">
        <v>2004.0</v>
      </c>
      <c r="AM5" s="7"/>
      <c r="AN5" s="8"/>
      <c r="AO5" s="13"/>
      <c r="AP5" s="13"/>
      <c r="AQ5" s="7"/>
      <c r="AR5" s="66">
        <v>2884.031503</v>
      </c>
      <c r="AS5" s="7"/>
      <c r="AT5" s="67">
        <v>0.1096478196</v>
      </c>
      <c r="AU5" s="7"/>
      <c r="AV5" s="64">
        <v>0.1122018454</v>
      </c>
      <c r="AW5" s="7"/>
      <c r="AX5" s="73">
        <v>1.35</v>
      </c>
      <c r="AY5" s="7"/>
      <c r="AZ5" s="11" t="s">
        <v>162</v>
      </c>
      <c r="BA5" s="68" t="s">
        <v>163</v>
      </c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68" t="s">
        <v>170</v>
      </c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2"/>
      <c r="DK5" s="12"/>
      <c r="DL5" s="12"/>
      <c r="DM5" s="69"/>
      <c r="DN5" s="69"/>
      <c r="DO5" s="69"/>
      <c r="DP5" s="69"/>
      <c r="DQ5" s="11"/>
      <c r="DR5" s="69"/>
      <c r="DS5" s="69"/>
      <c r="DT5" s="69"/>
      <c r="DU5" s="69"/>
      <c r="DV5" s="70">
        <v>-2.08</v>
      </c>
      <c r="DW5" s="10"/>
      <c r="DX5" s="71">
        <v>2.88E-9</v>
      </c>
      <c r="DY5" s="7"/>
      <c r="DZ5" s="64" t="s">
        <v>165</v>
      </c>
      <c r="EA5" s="72" t="s">
        <v>166</v>
      </c>
      <c r="EB5" s="7"/>
    </row>
    <row r="6">
      <c r="A6" s="55" t="s">
        <v>171</v>
      </c>
      <c r="B6" s="56" t="s">
        <v>171</v>
      </c>
      <c r="C6" s="4"/>
      <c r="D6" s="3"/>
      <c r="E6" s="57" t="s">
        <v>137</v>
      </c>
      <c r="F6" s="57" t="s">
        <v>168</v>
      </c>
      <c r="G6" s="58">
        <v>246.9582039</v>
      </c>
      <c r="H6" s="58">
        <v>-24.73804605</v>
      </c>
      <c r="I6" s="6" t="s">
        <v>158</v>
      </c>
      <c r="J6" s="6" t="s">
        <v>169</v>
      </c>
      <c r="K6" s="58">
        <v>1.0</v>
      </c>
      <c r="L6" s="5"/>
      <c r="M6" s="59">
        <v>2.0</v>
      </c>
      <c r="N6" s="61">
        <v>127.326899080699</v>
      </c>
      <c r="O6" s="61">
        <v>-8.094</v>
      </c>
      <c r="P6" s="61">
        <v>2.867</v>
      </c>
      <c r="Q6" s="61">
        <v>-28.156</v>
      </c>
      <c r="R6" s="61">
        <v>2.002</v>
      </c>
      <c r="S6" s="60"/>
      <c r="T6" s="60"/>
      <c r="U6" s="5"/>
      <c r="V6" s="5"/>
      <c r="W6" s="61">
        <v>2.8</v>
      </c>
      <c r="X6" s="5"/>
      <c r="Y6" s="62" t="s">
        <v>160</v>
      </c>
      <c r="Z6" s="60"/>
      <c r="AA6" s="60"/>
      <c r="AB6" s="60">
        <v>13.849</v>
      </c>
      <c r="AC6" s="60">
        <v>0.032</v>
      </c>
      <c r="AD6" s="60">
        <v>11.97</v>
      </c>
      <c r="AE6" s="60">
        <v>0.023</v>
      </c>
      <c r="AF6" s="60">
        <v>10.936</v>
      </c>
      <c r="AG6" s="60">
        <v>0.025</v>
      </c>
      <c r="AH6" s="6"/>
      <c r="AI6" s="6"/>
      <c r="AJ6" s="63" t="s">
        <v>160</v>
      </c>
      <c r="AK6" s="64" t="s">
        <v>161</v>
      </c>
      <c r="AL6" s="64">
        <v>2004.0</v>
      </c>
      <c r="AM6" s="7"/>
      <c r="AN6" s="8"/>
      <c r="AO6" s="13"/>
      <c r="AP6" s="13"/>
      <c r="AQ6" s="7"/>
      <c r="AR6" s="66">
        <v>2884.031503</v>
      </c>
      <c r="AS6" s="7"/>
      <c r="AT6" s="67">
        <v>0.1288249552</v>
      </c>
      <c r="AU6" s="7"/>
      <c r="AV6" s="64">
        <v>0.1445439771</v>
      </c>
      <c r="AW6" s="7"/>
      <c r="AX6" s="73">
        <v>1.53</v>
      </c>
      <c r="AY6" s="7"/>
      <c r="AZ6" s="11" t="s">
        <v>162</v>
      </c>
      <c r="BA6" s="68" t="s">
        <v>163</v>
      </c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68" t="s">
        <v>172</v>
      </c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2"/>
      <c r="DK6" s="12"/>
      <c r="DL6" s="12"/>
      <c r="DM6" s="69"/>
      <c r="DN6" s="69"/>
      <c r="DO6" s="69"/>
      <c r="DP6" s="69"/>
      <c r="DQ6" s="11"/>
      <c r="DR6" s="69"/>
      <c r="DS6" s="69"/>
      <c r="DT6" s="69"/>
      <c r="DU6" s="69"/>
      <c r="DV6" s="70">
        <v>-1.94</v>
      </c>
      <c r="DW6" s="10"/>
      <c r="DX6" s="71">
        <v>3.8E-9</v>
      </c>
      <c r="DY6" s="7"/>
      <c r="DZ6" s="64" t="s">
        <v>165</v>
      </c>
      <c r="EA6" s="72" t="s">
        <v>166</v>
      </c>
      <c r="EB6" s="7"/>
    </row>
    <row r="7">
      <c r="A7" s="55" t="s">
        <v>173</v>
      </c>
      <c r="B7" s="56" t="s">
        <v>173</v>
      </c>
      <c r="C7" s="4"/>
      <c r="D7" s="3"/>
      <c r="E7" s="57" t="s">
        <v>137</v>
      </c>
      <c r="F7" s="57" t="s">
        <v>168</v>
      </c>
      <c r="G7" s="58">
        <v>246.859523</v>
      </c>
      <c r="H7" s="58">
        <v>-24.712814</v>
      </c>
      <c r="I7" s="6" t="s">
        <v>158</v>
      </c>
      <c r="J7" s="6" t="s">
        <v>169</v>
      </c>
      <c r="K7" s="58">
        <v>1.0</v>
      </c>
      <c r="L7" s="5"/>
      <c r="M7" s="59"/>
      <c r="N7" s="60"/>
      <c r="O7" s="60">
        <v>-6.4</v>
      </c>
      <c r="P7" s="60">
        <v>0.6</v>
      </c>
      <c r="Q7" s="60">
        <v>-28.7</v>
      </c>
      <c r="R7" s="60">
        <v>0.6</v>
      </c>
      <c r="S7" s="60"/>
      <c r="T7" s="60"/>
      <c r="U7" s="5"/>
      <c r="V7" s="5"/>
      <c r="W7" s="61">
        <v>8.2</v>
      </c>
      <c r="X7" s="5"/>
      <c r="Y7" s="62" t="s">
        <v>160</v>
      </c>
      <c r="Z7" s="60"/>
      <c r="AA7" s="60"/>
      <c r="AB7" s="60"/>
      <c r="AC7" s="60"/>
      <c r="AD7" s="60">
        <v>15.182</v>
      </c>
      <c r="AE7" s="60">
        <v>0.079</v>
      </c>
      <c r="AF7" s="60">
        <v>12.659</v>
      </c>
      <c r="AG7" s="60">
        <v>0.027</v>
      </c>
      <c r="AH7" s="6"/>
      <c r="AI7" s="6"/>
      <c r="AJ7" s="63" t="s">
        <v>160</v>
      </c>
      <c r="AK7" s="64" t="s">
        <v>161</v>
      </c>
      <c r="AL7" s="64">
        <v>2004.0</v>
      </c>
      <c r="AM7" s="7"/>
      <c r="AN7" s="8"/>
      <c r="AO7" s="13"/>
      <c r="AP7" s="13"/>
      <c r="AQ7" s="7"/>
      <c r="AR7" s="66">
        <v>2884.031503</v>
      </c>
      <c r="AS7" s="7"/>
      <c r="AT7" s="67">
        <v>0.1513561248</v>
      </c>
      <c r="AU7" s="7"/>
      <c r="AV7" s="64">
        <v>0.1862087137</v>
      </c>
      <c r="AW7" s="7"/>
      <c r="AX7" s="73">
        <v>1.73</v>
      </c>
      <c r="AY7" s="7"/>
      <c r="AZ7" s="11" t="s">
        <v>162</v>
      </c>
      <c r="BA7" s="68" t="s">
        <v>163</v>
      </c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68" t="s">
        <v>174</v>
      </c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2"/>
      <c r="DK7" s="12"/>
      <c r="DL7" s="12"/>
      <c r="DM7" s="69"/>
      <c r="DN7" s="69"/>
      <c r="DO7" s="69"/>
      <c r="DP7" s="69"/>
      <c r="DQ7" s="11"/>
      <c r="DR7" s="69"/>
      <c r="DS7" s="69"/>
      <c r="DT7" s="69"/>
      <c r="DU7" s="69"/>
      <c r="DV7" s="70">
        <v>-0.77</v>
      </c>
      <c r="DW7" s="10"/>
      <c r="DX7" s="71">
        <v>5.37E-8</v>
      </c>
      <c r="DY7" s="7"/>
      <c r="DZ7" s="64" t="s">
        <v>165</v>
      </c>
      <c r="EA7" s="72" t="s">
        <v>166</v>
      </c>
      <c r="EB7" s="7"/>
    </row>
    <row r="8">
      <c r="A8" s="55" t="s">
        <v>175</v>
      </c>
      <c r="B8" s="56" t="s">
        <v>175</v>
      </c>
      <c r="C8" s="4"/>
      <c r="D8" s="3"/>
      <c r="E8" s="57" t="s">
        <v>137</v>
      </c>
      <c r="F8" s="57" t="s">
        <v>168</v>
      </c>
      <c r="G8" s="58">
        <v>246.716546</v>
      </c>
      <c r="H8" s="58">
        <v>-24.510971</v>
      </c>
      <c r="I8" s="6" t="s">
        <v>158</v>
      </c>
      <c r="J8" s="6" t="s">
        <v>169</v>
      </c>
      <c r="K8" s="58">
        <v>1.0</v>
      </c>
      <c r="L8" s="5"/>
      <c r="M8" s="59"/>
      <c r="N8" s="60"/>
      <c r="O8" s="60"/>
      <c r="P8" s="60"/>
      <c r="Q8" s="60"/>
      <c r="R8" s="60"/>
      <c r="S8" s="60"/>
      <c r="T8" s="60"/>
      <c r="U8" s="5"/>
      <c r="V8" s="5"/>
      <c r="W8" s="61">
        <v>10.4</v>
      </c>
      <c r="X8" s="5"/>
      <c r="Y8" s="62" t="s">
        <v>160</v>
      </c>
      <c r="Z8" s="60"/>
      <c r="AA8" s="60"/>
      <c r="AB8" s="60">
        <v>21.3</v>
      </c>
      <c r="AC8" s="60">
        <v>0.14</v>
      </c>
      <c r="AD8" s="60">
        <v>16.52</v>
      </c>
      <c r="AE8" s="60">
        <v>0.22</v>
      </c>
      <c r="AF8" s="60">
        <v>13.458</v>
      </c>
      <c r="AG8" s="60">
        <v>0.043</v>
      </c>
      <c r="AH8" s="6"/>
      <c r="AI8" s="6"/>
      <c r="AJ8" s="63" t="s">
        <v>160</v>
      </c>
      <c r="AK8" s="64" t="s">
        <v>161</v>
      </c>
      <c r="AL8" s="64">
        <v>2004.0</v>
      </c>
      <c r="AM8" s="7"/>
      <c r="AN8" s="8"/>
      <c r="AO8" s="13"/>
      <c r="AP8" s="13"/>
      <c r="AQ8" s="7"/>
      <c r="AR8" s="66">
        <v>2951.209227</v>
      </c>
      <c r="AS8" s="7"/>
      <c r="AT8" s="67">
        <v>0.1584893192</v>
      </c>
      <c r="AU8" s="7"/>
      <c r="AV8" s="64">
        <v>0.2041737945</v>
      </c>
      <c r="AW8" s="7"/>
      <c r="AX8" s="73">
        <v>1.73</v>
      </c>
      <c r="AY8" s="7"/>
      <c r="AZ8" s="11" t="s">
        <v>162</v>
      </c>
      <c r="BA8" s="68" t="s">
        <v>163</v>
      </c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68" t="s">
        <v>176</v>
      </c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2"/>
      <c r="DK8" s="12"/>
      <c r="DL8" s="12"/>
      <c r="DM8" s="69"/>
      <c r="DN8" s="69"/>
      <c r="DO8" s="69"/>
      <c r="DP8" s="69"/>
      <c r="DQ8" s="11"/>
      <c r="DR8" s="69"/>
      <c r="DS8" s="69"/>
      <c r="DT8" s="69"/>
      <c r="DU8" s="69"/>
      <c r="DV8" s="70">
        <v>-0.4</v>
      </c>
      <c r="DW8" s="10"/>
      <c r="DX8" s="71">
        <v>1.2E-7</v>
      </c>
      <c r="DY8" s="7"/>
      <c r="DZ8" s="64" t="s">
        <v>165</v>
      </c>
      <c r="EA8" s="72" t="s">
        <v>166</v>
      </c>
      <c r="EB8" s="7"/>
    </row>
    <row r="9">
      <c r="A9" s="55" t="s">
        <v>177</v>
      </c>
      <c r="B9" s="56" t="s">
        <v>177</v>
      </c>
      <c r="C9" s="4"/>
      <c r="D9" s="4"/>
      <c r="E9" s="57" t="s">
        <v>137</v>
      </c>
      <c r="F9" s="57" t="s">
        <v>168</v>
      </c>
      <c r="G9" s="58">
        <v>246.62932</v>
      </c>
      <c r="H9" s="58">
        <v>-24.518118</v>
      </c>
      <c r="I9" s="6" t="s">
        <v>158</v>
      </c>
      <c r="J9" s="6" t="s">
        <v>169</v>
      </c>
      <c r="K9" s="58">
        <v>1.0</v>
      </c>
      <c r="L9" s="5"/>
      <c r="M9" s="59"/>
      <c r="N9" s="60"/>
      <c r="O9" s="60"/>
      <c r="P9" s="60"/>
      <c r="Q9" s="60"/>
      <c r="R9" s="60"/>
      <c r="S9" s="60"/>
      <c r="T9" s="60"/>
      <c r="U9" s="5"/>
      <c r="V9" s="5"/>
      <c r="W9" s="61">
        <v>4.6</v>
      </c>
      <c r="X9" s="5"/>
      <c r="Y9" s="62" t="s">
        <v>160</v>
      </c>
      <c r="Z9" s="60"/>
      <c r="AA9" s="60"/>
      <c r="AB9" s="60">
        <v>14.958</v>
      </c>
      <c r="AC9" s="60">
        <v>0.043</v>
      </c>
      <c r="AD9" s="60">
        <v>12.318</v>
      </c>
      <c r="AE9" s="60">
        <v>0.026</v>
      </c>
      <c r="AF9" s="60">
        <v>10.859</v>
      </c>
      <c r="AG9" s="60">
        <v>0.024</v>
      </c>
      <c r="AH9" s="6"/>
      <c r="AI9" s="6"/>
      <c r="AJ9" s="63" t="s">
        <v>160</v>
      </c>
      <c r="AK9" s="64" t="s">
        <v>161</v>
      </c>
      <c r="AL9" s="64">
        <v>2004.0</v>
      </c>
      <c r="AM9" s="7"/>
      <c r="AN9" s="8"/>
      <c r="AO9" s="13"/>
      <c r="AP9" s="13"/>
      <c r="AQ9" s="7"/>
      <c r="AR9" s="66">
        <v>3162.27766</v>
      </c>
      <c r="AS9" s="7"/>
      <c r="AT9" s="67">
        <v>0.2089296131</v>
      </c>
      <c r="AU9" s="7"/>
      <c r="AV9" s="64">
        <v>0.3235936569</v>
      </c>
      <c r="AW9" s="7"/>
      <c r="AX9" s="73">
        <v>1.9</v>
      </c>
      <c r="AY9" s="7"/>
      <c r="AZ9" s="11" t="s">
        <v>162</v>
      </c>
      <c r="BA9" s="68" t="s">
        <v>163</v>
      </c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68" t="s">
        <v>170</v>
      </c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2"/>
      <c r="DK9" s="12"/>
      <c r="DL9" s="12"/>
      <c r="DM9" s="69"/>
      <c r="DN9" s="69"/>
      <c r="DO9" s="69"/>
      <c r="DP9" s="69"/>
      <c r="DQ9" s="11"/>
      <c r="DR9" s="69"/>
      <c r="DS9" s="69"/>
      <c r="DT9" s="69"/>
      <c r="DU9" s="69"/>
      <c r="DV9" s="70">
        <v>-1.34</v>
      </c>
      <c r="DW9" s="10"/>
      <c r="DX9" s="71">
        <v>1.17E-8</v>
      </c>
      <c r="DY9" s="7"/>
      <c r="DZ9" s="64" t="s">
        <v>165</v>
      </c>
      <c r="EA9" s="72" t="s">
        <v>166</v>
      </c>
      <c r="EB9" s="7"/>
    </row>
    <row r="10">
      <c r="A10" s="55" t="s">
        <v>178</v>
      </c>
      <c r="B10" s="56" t="s">
        <v>178</v>
      </c>
      <c r="C10" s="4"/>
      <c r="D10" s="4"/>
      <c r="E10" s="57" t="s">
        <v>137</v>
      </c>
      <c r="F10" s="57" t="s">
        <v>168</v>
      </c>
      <c r="G10" s="58">
        <v>246.675597</v>
      </c>
      <c r="H10" s="58">
        <v>-24.517485</v>
      </c>
      <c r="I10" s="6" t="s">
        <v>158</v>
      </c>
      <c r="J10" s="6" t="s">
        <v>169</v>
      </c>
      <c r="K10" s="58">
        <v>1.0</v>
      </c>
      <c r="L10" s="5"/>
      <c r="M10" s="59"/>
      <c r="N10" s="60"/>
      <c r="O10" s="60"/>
      <c r="P10" s="60"/>
      <c r="Q10" s="60"/>
      <c r="R10" s="60"/>
      <c r="S10" s="60"/>
      <c r="T10" s="60"/>
      <c r="U10" s="5"/>
      <c r="V10" s="5"/>
      <c r="W10" s="61">
        <v>4.6</v>
      </c>
      <c r="X10" s="5"/>
      <c r="Y10" s="62" t="s">
        <v>160</v>
      </c>
      <c r="Z10" s="60"/>
      <c r="AA10" s="60"/>
      <c r="AB10" s="60">
        <v>17.029</v>
      </c>
      <c r="AC10" s="60">
        <v>0.183</v>
      </c>
      <c r="AD10" s="60">
        <v>13.525</v>
      </c>
      <c r="AE10" s="60">
        <v>0.032</v>
      </c>
      <c r="AF10" s="60">
        <v>11.525</v>
      </c>
      <c r="AG10" s="60">
        <v>0.024</v>
      </c>
      <c r="AH10" s="6"/>
      <c r="AI10" s="6"/>
      <c r="AJ10" s="63" t="s">
        <v>160</v>
      </c>
      <c r="AK10" s="64" t="s">
        <v>161</v>
      </c>
      <c r="AL10" s="64">
        <v>2004.0</v>
      </c>
      <c r="AM10" s="7"/>
      <c r="AN10" s="8"/>
      <c r="AO10" s="13"/>
      <c r="AP10" s="7"/>
      <c r="AQ10" s="65"/>
      <c r="AR10" s="66">
        <v>3162.27766</v>
      </c>
      <c r="AS10" s="7"/>
      <c r="AT10" s="67">
        <v>0.2089296131</v>
      </c>
      <c r="AU10" s="7"/>
      <c r="AV10" s="64">
        <v>0.3235936569</v>
      </c>
      <c r="AW10" s="7"/>
      <c r="AX10" s="73">
        <v>6.15</v>
      </c>
      <c r="AY10" s="7"/>
      <c r="AZ10" s="11" t="s">
        <v>162</v>
      </c>
      <c r="BA10" s="68" t="s">
        <v>163</v>
      </c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68" t="s">
        <v>179</v>
      </c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2"/>
      <c r="DK10" s="12"/>
      <c r="DL10" s="12"/>
      <c r="DM10" s="69"/>
      <c r="DN10" s="69"/>
      <c r="DO10" s="69"/>
      <c r="DP10" s="69"/>
      <c r="DQ10" s="11"/>
      <c r="DR10" s="69"/>
      <c r="DS10" s="69"/>
      <c r="DT10" s="69"/>
      <c r="DU10" s="69"/>
      <c r="DV10" s="70">
        <v>-1.54</v>
      </c>
      <c r="DW10" s="10"/>
      <c r="DX10" s="71">
        <v>7.41E-9</v>
      </c>
      <c r="DY10" s="7"/>
      <c r="DZ10" s="64" t="s">
        <v>165</v>
      </c>
      <c r="EA10" s="72" t="s">
        <v>166</v>
      </c>
      <c r="EB10" s="7"/>
    </row>
    <row r="11">
      <c r="A11" s="55" t="s">
        <v>180</v>
      </c>
      <c r="B11" s="56" t="s">
        <v>180</v>
      </c>
      <c r="C11" s="4"/>
      <c r="D11" s="4"/>
      <c r="E11" s="57" t="s">
        <v>137</v>
      </c>
      <c r="F11" s="57" t="s">
        <v>168</v>
      </c>
      <c r="G11" s="58">
        <v>246.722789</v>
      </c>
      <c r="H11" s="58">
        <v>-24.543402</v>
      </c>
      <c r="I11" s="6" t="s">
        <v>158</v>
      </c>
      <c r="J11" s="6" t="s">
        <v>169</v>
      </c>
      <c r="K11" s="58">
        <v>1.0</v>
      </c>
      <c r="L11" s="5"/>
      <c r="M11" s="59"/>
      <c r="N11" s="60"/>
      <c r="O11" s="60"/>
      <c r="P11" s="60"/>
      <c r="Q11" s="60"/>
      <c r="R11" s="60"/>
      <c r="S11" s="60"/>
      <c r="T11" s="60"/>
      <c r="U11" s="5"/>
      <c r="V11" s="5"/>
      <c r="W11" s="61">
        <v>10.7</v>
      </c>
      <c r="X11" s="5"/>
      <c r="Y11" s="62" t="s">
        <v>160</v>
      </c>
      <c r="Z11" s="60"/>
      <c r="AA11" s="60"/>
      <c r="AB11" s="60">
        <v>21.83</v>
      </c>
      <c r="AC11" s="60">
        <v>0.22</v>
      </c>
      <c r="AD11" s="60"/>
      <c r="AE11" s="60"/>
      <c r="AF11" s="60">
        <v>13.119</v>
      </c>
      <c r="AG11" s="60">
        <v>0.03</v>
      </c>
      <c r="AH11" s="6"/>
      <c r="AI11" s="6"/>
      <c r="AJ11" s="63" t="s">
        <v>160</v>
      </c>
      <c r="AK11" s="64" t="s">
        <v>161</v>
      </c>
      <c r="AL11" s="64">
        <v>2004.0</v>
      </c>
      <c r="AM11" s="7"/>
      <c r="AN11" s="8"/>
      <c r="AO11" s="13"/>
      <c r="AP11" s="13"/>
      <c r="AQ11" s="7"/>
      <c r="AR11" s="66">
        <v>3162.27766</v>
      </c>
      <c r="AS11" s="7"/>
      <c r="AT11" s="67">
        <v>0.213796209</v>
      </c>
      <c r="AU11" s="7"/>
      <c r="AV11" s="64">
        <v>0.3311311215</v>
      </c>
      <c r="AW11" s="7"/>
      <c r="AX11" s="73">
        <v>1.92</v>
      </c>
      <c r="AY11" s="7"/>
      <c r="AZ11" s="11" t="s">
        <v>162</v>
      </c>
      <c r="BA11" s="68" t="s">
        <v>163</v>
      </c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68" t="s">
        <v>181</v>
      </c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2"/>
      <c r="DK11" s="12"/>
      <c r="DL11" s="12"/>
      <c r="DM11" s="69"/>
      <c r="DN11" s="69"/>
      <c r="DO11" s="69"/>
      <c r="DP11" s="69"/>
      <c r="DQ11" s="11"/>
      <c r="DR11" s="69"/>
      <c r="DS11" s="69"/>
      <c r="DT11" s="69"/>
      <c r="DU11" s="69"/>
      <c r="DV11" s="70">
        <v>-0.32</v>
      </c>
      <c r="DW11" s="10"/>
      <c r="DX11" s="71">
        <v>1.2E-7</v>
      </c>
      <c r="DY11" s="7"/>
      <c r="DZ11" s="64" t="s">
        <v>165</v>
      </c>
      <c r="EA11" s="72" t="s">
        <v>166</v>
      </c>
      <c r="EB11" s="7"/>
    </row>
    <row r="12">
      <c r="A12" s="55" t="s">
        <v>182</v>
      </c>
      <c r="B12" s="56" t="s">
        <v>182</v>
      </c>
      <c r="C12" s="4"/>
      <c r="D12" s="3"/>
      <c r="E12" s="57" t="s">
        <v>137</v>
      </c>
      <c r="F12" s="57" t="s">
        <v>168</v>
      </c>
      <c r="G12" s="58">
        <v>246.905206</v>
      </c>
      <c r="H12" s="58">
        <v>-24.71056</v>
      </c>
      <c r="I12" s="6" t="s">
        <v>158</v>
      </c>
      <c r="J12" s="6" t="s">
        <v>169</v>
      </c>
      <c r="K12" s="58">
        <v>1.0</v>
      </c>
      <c r="L12" s="5"/>
      <c r="M12" s="59"/>
      <c r="N12" s="60"/>
      <c r="O12" s="60"/>
      <c r="P12" s="60"/>
      <c r="Q12" s="60"/>
      <c r="R12" s="60"/>
      <c r="S12" s="60"/>
      <c r="T12" s="60"/>
      <c r="U12" s="5"/>
      <c r="V12" s="5"/>
      <c r="W12" s="61">
        <v>10.5</v>
      </c>
      <c r="X12" s="5"/>
      <c r="Y12" s="62" t="s">
        <v>160</v>
      </c>
      <c r="Z12" s="60"/>
      <c r="AA12" s="60"/>
      <c r="AB12" s="60"/>
      <c r="AC12" s="60"/>
      <c r="AD12" s="60">
        <v>14.524</v>
      </c>
      <c r="AE12" s="60">
        <v>0.05</v>
      </c>
      <c r="AF12" s="60">
        <v>11.457</v>
      </c>
      <c r="AG12" s="60">
        <v>0.033</v>
      </c>
      <c r="AH12" s="6"/>
      <c r="AI12" s="6"/>
      <c r="AJ12" s="63" t="s">
        <v>160</v>
      </c>
      <c r="AK12" s="64" t="s">
        <v>161</v>
      </c>
      <c r="AL12" s="64">
        <v>2004.0</v>
      </c>
      <c r="AM12" s="7"/>
      <c r="AN12" s="8"/>
      <c r="AO12" s="13"/>
      <c r="AP12" s="13"/>
      <c r="AQ12" s="7"/>
      <c r="AR12" s="66">
        <v>3981.071706</v>
      </c>
      <c r="AS12" s="7"/>
      <c r="AT12" s="67">
        <v>0.6025595861</v>
      </c>
      <c r="AU12" s="7"/>
      <c r="AV12" s="64">
        <v>1.862087137</v>
      </c>
      <c r="AW12" s="7"/>
      <c r="AX12" s="73">
        <v>2.88</v>
      </c>
      <c r="AY12" s="7"/>
      <c r="AZ12" s="11" t="s">
        <v>162</v>
      </c>
      <c r="BA12" s="68" t="s">
        <v>163</v>
      </c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68" t="s">
        <v>183</v>
      </c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2"/>
      <c r="DK12" s="12"/>
      <c r="DL12" s="12"/>
      <c r="DM12" s="69"/>
      <c r="DN12" s="69"/>
      <c r="DO12" s="69"/>
      <c r="DP12" s="69"/>
      <c r="DQ12" s="11"/>
      <c r="DR12" s="69"/>
      <c r="DS12" s="69"/>
      <c r="DT12" s="69"/>
      <c r="DU12" s="69"/>
      <c r="DV12" s="70">
        <v>-0.3</v>
      </c>
      <c r="DW12" s="10"/>
      <c r="DX12" s="71">
        <v>6.76E-8</v>
      </c>
      <c r="DY12" s="7"/>
      <c r="DZ12" s="64" t="s">
        <v>165</v>
      </c>
      <c r="EA12" s="72" t="s">
        <v>166</v>
      </c>
      <c r="EB12" s="7"/>
    </row>
    <row r="13">
      <c r="A13" s="55" t="s">
        <v>184</v>
      </c>
      <c r="B13" s="56" t="s">
        <v>184</v>
      </c>
      <c r="C13" s="4"/>
      <c r="D13" s="3"/>
      <c r="E13" s="3"/>
      <c r="F13" s="57" t="s">
        <v>168</v>
      </c>
      <c r="G13" s="58">
        <v>246.789293</v>
      </c>
      <c r="H13" s="58">
        <v>-24.621881</v>
      </c>
      <c r="I13" s="6" t="s">
        <v>158</v>
      </c>
      <c r="J13" s="6" t="s">
        <v>169</v>
      </c>
      <c r="K13" s="58">
        <v>1.0</v>
      </c>
      <c r="L13" s="5"/>
      <c r="M13" s="59"/>
      <c r="N13" s="60"/>
      <c r="O13" s="60"/>
      <c r="P13" s="60"/>
      <c r="Q13" s="60"/>
      <c r="R13" s="60"/>
      <c r="S13" s="60"/>
      <c r="T13" s="60"/>
      <c r="U13" s="5"/>
      <c r="V13" s="5"/>
      <c r="W13" s="61">
        <v>10.5</v>
      </c>
      <c r="X13" s="5"/>
      <c r="Y13" s="62" t="s">
        <v>160</v>
      </c>
      <c r="Z13" s="60"/>
      <c r="AA13" s="60"/>
      <c r="AB13" s="60">
        <v>16.788</v>
      </c>
      <c r="AC13" s="60">
        <v>0.178</v>
      </c>
      <c r="AD13" s="60">
        <v>11.049</v>
      </c>
      <c r="AE13" s="60">
        <v>0.044</v>
      </c>
      <c r="AF13" s="60">
        <v>7.14</v>
      </c>
      <c r="AG13" s="60">
        <v>0.021</v>
      </c>
      <c r="AH13" s="6"/>
      <c r="AI13" s="6"/>
      <c r="AJ13" s="63" t="s">
        <v>160</v>
      </c>
      <c r="AK13" s="64" t="s">
        <v>161</v>
      </c>
      <c r="AL13" s="64">
        <v>2004.0</v>
      </c>
      <c r="AM13" s="7"/>
      <c r="AN13" s="8"/>
      <c r="AO13" s="13"/>
      <c r="AP13" s="13"/>
      <c r="AQ13" s="7"/>
      <c r="AR13" s="66">
        <v>5754.399373</v>
      </c>
      <c r="AS13" s="7"/>
      <c r="AT13" s="67">
        <v>3.01995172</v>
      </c>
      <c r="AU13" s="7"/>
      <c r="AV13" s="64">
        <v>27.54228703</v>
      </c>
      <c r="AW13" s="7"/>
      <c r="AX13" s="7"/>
      <c r="AY13" s="7"/>
      <c r="AZ13" s="11" t="s">
        <v>162</v>
      </c>
      <c r="BA13" s="68" t="s">
        <v>163</v>
      </c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68">
        <v>-1.3</v>
      </c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2"/>
      <c r="DK13" s="12"/>
      <c r="DL13" s="12"/>
      <c r="DM13" s="69"/>
      <c r="DN13" s="69"/>
      <c r="DO13" s="69"/>
      <c r="DP13" s="69"/>
      <c r="DQ13" s="11"/>
      <c r="DR13" s="69"/>
      <c r="DS13" s="69"/>
      <c r="DT13" s="69"/>
      <c r="DU13" s="69"/>
      <c r="DV13" s="70">
        <v>1.46</v>
      </c>
      <c r="DW13" s="10"/>
      <c r="DX13" s="71">
        <v>1.45E-6</v>
      </c>
      <c r="DY13" s="7"/>
      <c r="DZ13" s="64" t="s">
        <v>165</v>
      </c>
      <c r="EA13" s="72" t="s">
        <v>166</v>
      </c>
      <c r="EB13" s="7"/>
    </row>
    <row r="14">
      <c r="A14" s="74" t="s">
        <v>185</v>
      </c>
      <c r="B14" s="56" t="s">
        <v>186</v>
      </c>
      <c r="C14" s="3" t="s">
        <v>156</v>
      </c>
      <c r="D14" s="57">
        <v>8.7</v>
      </c>
      <c r="E14" s="4"/>
      <c r="F14" s="57" t="s">
        <v>187</v>
      </c>
      <c r="G14" s="58">
        <v>246.8333</v>
      </c>
      <c r="H14" s="58">
        <v>-24.5831</v>
      </c>
      <c r="I14" s="6" t="s">
        <v>188</v>
      </c>
      <c r="J14" s="6" t="s">
        <v>189</v>
      </c>
      <c r="K14" s="58">
        <v>2.0</v>
      </c>
      <c r="L14" s="5"/>
      <c r="M14" s="5"/>
      <c r="N14" s="60"/>
      <c r="O14" s="60">
        <v>-5.9</v>
      </c>
      <c r="P14" s="60">
        <v>0.5</v>
      </c>
      <c r="Q14" s="60">
        <v>-24.4</v>
      </c>
      <c r="R14" s="60">
        <v>0.4</v>
      </c>
      <c r="S14" s="5"/>
      <c r="T14" s="5"/>
      <c r="U14" s="58">
        <v>1.77</v>
      </c>
      <c r="V14" s="58">
        <v>0.71</v>
      </c>
      <c r="W14" s="5"/>
      <c r="X14" s="5"/>
      <c r="Y14" s="75" t="s">
        <v>190</v>
      </c>
      <c r="Z14" s="5"/>
      <c r="AA14" s="6"/>
      <c r="AB14" s="60">
        <v>16.069</v>
      </c>
      <c r="AC14" s="60">
        <v>0.01</v>
      </c>
      <c r="AD14" s="61">
        <v>15.321</v>
      </c>
      <c r="AE14" s="61">
        <v>0.09</v>
      </c>
      <c r="AF14" s="59">
        <v>14.57</v>
      </c>
      <c r="AG14" s="60">
        <v>0.009</v>
      </c>
      <c r="AH14" s="6"/>
      <c r="AI14" s="6"/>
      <c r="AJ14" s="76" t="s">
        <v>191</v>
      </c>
      <c r="AK14" s="64" t="s">
        <v>192</v>
      </c>
      <c r="AL14" s="64">
        <v>2016.0</v>
      </c>
      <c r="AM14" s="64">
        <v>4.0</v>
      </c>
      <c r="AN14" s="77">
        <v>125.0</v>
      </c>
      <c r="AO14" s="64">
        <v>25.0</v>
      </c>
      <c r="AP14" s="13" t="s">
        <v>193</v>
      </c>
      <c r="AQ14" s="64">
        <v>1.0</v>
      </c>
      <c r="AR14" s="78">
        <v>2600.0</v>
      </c>
      <c r="AS14" s="64">
        <v>100.0</v>
      </c>
      <c r="AT14" s="79">
        <v>0.013</v>
      </c>
      <c r="AU14" s="64">
        <v>0.007</v>
      </c>
      <c r="AV14" s="13"/>
      <c r="AW14" s="7"/>
      <c r="AX14" s="73">
        <v>0.19</v>
      </c>
      <c r="AY14" s="7"/>
      <c r="AZ14" s="11" t="s">
        <v>162</v>
      </c>
      <c r="BA14" s="68" t="s">
        <v>194</v>
      </c>
      <c r="BB14" s="68">
        <v>-57.39</v>
      </c>
      <c r="BC14" s="68">
        <v>17.71</v>
      </c>
      <c r="BD14" s="80">
        <v>1.34E-15</v>
      </c>
      <c r="BE14" s="80">
        <v>5.0E-17</v>
      </c>
      <c r="BF14" s="68">
        <v>-46.9</v>
      </c>
      <c r="BG14" s="68">
        <v>4.21</v>
      </c>
      <c r="BH14" s="80">
        <v>2.19E-16</v>
      </c>
      <c r="BI14" s="80">
        <v>3.0E-18</v>
      </c>
      <c r="BJ14" s="68">
        <v>-23.06</v>
      </c>
      <c r="BK14" s="68">
        <v>2.28</v>
      </c>
      <c r="BL14" s="80">
        <v>6.57E-16</v>
      </c>
      <c r="BM14" s="80">
        <v>4.0E-18</v>
      </c>
      <c r="BN14" s="11"/>
      <c r="BO14" s="11"/>
      <c r="BP14" s="11"/>
      <c r="BQ14" s="11"/>
      <c r="BR14" s="11"/>
      <c r="BS14" s="11"/>
      <c r="BT14" s="11"/>
      <c r="BU14" s="11"/>
      <c r="BV14" s="68">
        <v>-9.37</v>
      </c>
      <c r="BW14" s="68">
        <v>0.44</v>
      </c>
      <c r="BX14" s="80">
        <v>8.93E-17</v>
      </c>
      <c r="BY14" s="80">
        <v>1.2E-18</v>
      </c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69"/>
      <c r="DN14" s="69"/>
      <c r="DO14" s="69"/>
      <c r="DP14" s="69"/>
      <c r="DQ14" s="11"/>
      <c r="DR14" s="68">
        <v>-6.97</v>
      </c>
      <c r="DS14" s="68">
        <v>0.5</v>
      </c>
      <c r="DT14" s="80">
        <v>1.61E-16</v>
      </c>
      <c r="DU14" s="80">
        <v>1.29E-16</v>
      </c>
      <c r="DV14" s="13"/>
      <c r="DW14" s="10"/>
      <c r="DX14" s="81">
        <v>4.57E-12</v>
      </c>
      <c r="DY14" s="7"/>
      <c r="DZ14" s="64" t="s">
        <v>195</v>
      </c>
      <c r="EA14" s="82"/>
      <c r="EB14" s="82" t="s">
        <v>196</v>
      </c>
    </row>
    <row r="15">
      <c r="A15" s="55" t="s">
        <v>197</v>
      </c>
      <c r="B15" s="56" t="s">
        <v>198</v>
      </c>
      <c r="C15" s="4"/>
      <c r="D15" s="4"/>
      <c r="E15" s="4"/>
      <c r="F15" s="57" t="s">
        <v>187</v>
      </c>
      <c r="G15" s="58">
        <v>66.8667</v>
      </c>
      <c r="H15" s="58">
        <v>26.2014</v>
      </c>
      <c r="I15" s="6" t="s">
        <v>199</v>
      </c>
      <c r="J15" s="6" t="s">
        <v>159</v>
      </c>
      <c r="K15" s="61">
        <v>1.5</v>
      </c>
      <c r="L15" s="5"/>
      <c r="M15" s="60">
        <v>2.0</v>
      </c>
      <c r="N15" s="61">
        <v>134.692832994356</v>
      </c>
      <c r="O15" s="61">
        <v>1.805</v>
      </c>
      <c r="P15" s="61">
        <v>2.433</v>
      </c>
      <c r="Q15" s="61">
        <v>-23.448</v>
      </c>
      <c r="R15" s="61">
        <v>2.328</v>
      </c>
      <c r="S15" s="60"/>
      <c r="T15" s="60"/>
      <c r="U15" s="58">
        <v>2.16</v>
      </c>
      <c r="V15" s="58">
        <v>0.85</v>
      </c>
      <c r="W15" s="5"/>
      <c r="X15" s="5"/>
      <c r="Y15" s="83" t="s">
        <v>200</v>
      </c>
      <c r="Z15" s="60">
        <v>20.54</v>
      </c>
      <c r="AA15" s="60"/>
      <c r="AB15" s="60">
        <v>15.0</v>
      </c>
      <c r="AC15" s="60">
        <v>0.04</v>
      </c>
      <c r="AD15" s="60">
        <v>14.03</v>
      </c>
      <c r="AE15" s="60">
        <v>0.04</v>
      </c>
      <c r="AF15" s="60">
        <v>13.28</v>
      </c>
      <c r="AG15" s="60">
        <v>0.03</v>
      </c>
      <c r="AH15" s="6"/>
      <c r="AI15" s="6"/>
      <c r="AJ15" s="63" t="s">
        <v>201</v>
      </c>
      <c r="AK15" s="64" t="s">
        <v>202</v>
      </c>
      <c r="AL15" s="72" t="s">
        <v>203</v>
      </c>
      <c r="AM15" s="64">
        <v>4.0</v>
      </c>
      <c r="AN15" s="8"/>
      <c r="AO15" s="13"/>
      <c r="AP15" s="13" t="s">
        <v>204</v>
      </c>
      <c r="AQ15" s="64">
        <v>0.5</v>
      </c>
      <c r="AR15" s="78">
        <v>2300.0</v>
      </c>
      <c r="AS15" s="64">
        <v>200.0</v>
      </c>
      <c r="AT15" s="79">
        <v>0.015</v>
      </c>
      <c r="AU15" s="7"/>
      <c r="AV15" s="7"/>
      <c r="AW15" s="7"/>
      <c r="AX15" s="7"/>
      <c r="AY15" s="7"/>
      <c r="AZ15" s="11" t="s">
        <v>162</v>
      </c>
      <c r="BA15" s="68" t="s">
        <v>194</v>
      </c>
      <c r="BB15" s="68">
        <v>-68.4</v>
      </c>
      <c r="BC15" s="11">
        <f t="shared" ref="BC15:BC20" si="1">abs(BB15*0.1)</f>
        <v>6.84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84">
        <v>-0.3</v>
      </c>
      <c r="DN15" s="84">
        <v>0.1</v>
      </c>
      <c r="DO15" s="69">
        <v>12022.644346174131</v>
      </c>
      <c r="DP15" s="84">
        <v>4.08</v>
      </c>
      <c r="DQ15" s="11"/>
      <c r="DR15" s="84"/>
      <c r="DS15" s="84"/>
      <c r="DT15" s="84"/>
      <c r="DU15" s="84"/>
      <c r="DV15" s="13"/>
      <c r="DW15" s="10"/>
      <c r="DX15" s="81">
        <v>6.31E-12</v>
      </c>
      <c r="DY15" s="7"/>
      <c r="DZ15" s="64" t="s">
        <v>201</v>
      </c>
      <c r="EA15" s="72" t="s">
        <v>205</v>
      </c>
      <c r="EB15" s="85" t="s">
        <v>206</v>
      </c>
    </row>
    <row r="16">
      <c r="A16" s="55" t="s">
        <v>197</v>
      </c>
      <c r="B16" s="56" t="s">
        <v>198</v>
      </c>
      <c r="C16" s="4"/>
      <c r="D16" s="4"/>
      <c r="E16" s="4"/>
      <c r="F16" s="57" t="s">
        <v>187</v>
      </c>
      <c r="G16" s="58">
        <v>66.8667</v>
      </c>
      <c r="H16" s="58">
        <v>26.2014</v>
      </c>
      <c r="I16" s="6" t="s">
        <v>199</v>
      </c>
      <c r="J16" s="6" t="s">
        <v>159</v>
      </c>
      <c r="K16" s="61">
        <v>1.5</v>
      </c>
      <c r="L16" s="5"/>
      <c r="M16" s="60">
        <v>2.0</v>
      </c>
      <c r="N16" s="61">
        <v>134.692832994356</v>
      </c>
      <c r="O16" s="61">
        <v>1.805</v>
      </c>
      <c r="P16" s="61">
        <v>2.433</v>
      </c>
      <c r="Q16" s="61">
        <v>-23.448</v>
      </c>
      <c r="R16" s="61">
        <v>2.328</v>
      </c>
      <c r="S16" s="60"/>
      <c r="T16" s="60"/>
      <c r="U16" s="58">
        <v>2.16</v>
      </c>
      <c r="V16" s="58">
        <v>0.85</v>
      </c>
      <c r="W16" s="5"/>
      <c r="X16" s="5"/>
      <c r="Y16" s="83" t="s">
        <v>200</v>
      </c>
      <c r="Z16" s="60">
        <v>20.54</v>
      </c>
      <c r="AA16" s="60"/>
      <c r="AB16" s="60">
        <v>15.0</v>
      </c>
      <c r="AC16" s="60">
        <v>0.04</v>
      </c>
      <c r="AD16" s="60">
        <v>14.03</v>
      </c>
      <c r="AE16" s="60">
        <v>0.04</v>
      </c>
      <c r="AF16" s="60">
        <v>13.28</v>
      </c>
      <c r="AG16" s="60">
        <v>0.03</v>
      </c>
      <c r="AH16" s="6"/>
      <c r="AI16" s="6"/>
      <c r="AJ16" s="63" t="s">
        <v>201</v>
      </c>
      <c r="AK16" s="64" t="s">
        <v>202</v>
      </c>
      <c r="AL16" s="72" t="s">
        <v>203</v>
      </c>
      <c r="AM16" s="64">
        <v>4.0</v>
      </c>
      <c r="AN16" s="8"/>
      <c r="AO16" s="13"/>
      <c r="AP16" s="13" t="s">
        <v>204</v>
      </c>
      <c r="AQ16" s="64">
        <v>0.5</v>
      </c>
      <c r="AR16" s="78">
        <v>2300.0</v>
      </c>
      <c r="AS16" s="64">
        <v>200.0</v>
      </c>
      <c r="AT16" s="79">
        <v>0.015</v>
      </c>
      <c r="AU16" s="7"/>
      <c r="AV16" s="7"/>
      <c r="AW16" s="7"/>
      <c r="AX16" s="7"/>
      <c r="AY16" s="7"/>
      <c r="AZ16" s="11" t="s">
        <v>162</v>
      </c>
      <c r="BA16" s="68" t="s">
        <v>194</v>
      </c>
      <c r="BB16" s="68">
        <v>-68.4</v>
      </c>
      <c r="BC16" s="11">
        <f t="shared" si="1"/>
        <v>6.84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84">
        <v>-0.3</v>
      </c>
      <c r="DN16" s="84">
        <v>0.1</v>
      </c>
      <c r="DO16" s="69">
        <v>12022.644346174131</v>
      </c>
      <c r="DP16" s="84">
        <v>4.08</v>
      </c>
      <c r="DQ16" s="11"/>
      <c r="DR16" s="84"/>
      <c r="DS16" s="84"/>
      <c r="DT16" s="84"/>
      <c r="DU16" s="84"/>
      <c r="DV16" s="13"/>
      <c r="DW16" s="10"/>
      <c r="DX16" s="81">
        <v>7.94E-12</v>
      </c>
      <c r="DY16" s="7"/>
      <c r="DZ16" s="64" t="s">
        <v>201</v>
      </c>
      <c r="EA16" s="72" t="s">
        <v>205</v>
      </c>
      <c r="EB16" s="85" t="s">
        <v>207</v>
      </c>
    </row>
    <row r="17">
      <c r="A17" s="55" t="s">
        <v>208</v>
      </c>
      <c r="B17" s="56" t="s">
        <v>209</v>
      </c>
      <c r="C17" s="4"/>
      <c r="D17" s="4"/>
      <c r="E17" s="4"/>
      <c r="F17" s="57" t="s">
        <v>187</v>
      </c>
      <c r="G17" s="58">
        <v>64.7542</v>
      </c>
      <c r="H17" s="58">
        <v>28.0467</v>
      </c>
      <c r="I17" s="6" t="s">
        <v>199</v>
      </c>
      <c r="J17" s="6" t="s">
        <v>169</v>
      </c>
      <c r="K17" s="61">
        <v>1.5</v>
      </c>
      <c r="L17" s="5"/>
      <c r="M17" s="5"/>
      <c r="N17" s="60"/>
      <c r="O17" s="60">
        <v>7.09</v>
      </c>
      <c r="P17" s="60">
        <v>5.6</v>
      </c>
      <c r="Q17" s="60">
        <v>-28.41</v>
      </c>
      <c r="R17" s="60">
        <v>5.27</v>
      </c>
      <c r="S17" s="60"/>
      <c r="T17" s="60"/>
      <c r="U17" s="59">
        <v>0.02</v>
      </c>
      <c r="V17" s="59">
        <v>0.85</v>
      </c>
      <c r="W17" s="5"/>
      <c r="X17" s="5"/>
      <c r="Y17" s="83" t="s">
        <v>200</v>
      </c>
      <c r="Z17" s="60"/>
      <c r="AA17" s="60"/>
      <c r="AB17" s="60">
        <v>16.3</v>
      </c>
      <c r="AC17" s="60">
        <v>0.09</v>
      </c>
      <c r="AD17" s="60">
        <v>15.48</v>
      </c>
      <c r="AE17" s="60">
        <v>0.1</v>
      </c>
      <c r="AF17" s="60">
        <v>14.93</v>
      </c>
      <c r="AG17" s="60">
        <v>0.09</v>
      </c>
      <c r="AH17" s="6"/>
      <c r="AI17" s="6"/>
      <c r="AJ17" s="63" t="s">
        <v>201</v>
      </c>
      <c r="AK17" s="64" t="s">
        <v>202</v>
      </c>
      <c r="AL17" s="72" t="s">
        <v>203</v>
      </c>
      <c r="AM17" s="64">
        <v>4.0</v>
      </c>
      <c r="AN17" s="8"/>
      <c r="AO17" s="13"/>
      <c r="AP17" s="13" t="s">
        <v>210</v>
      </c>
      <c r="AQ17" s="64">
        <v>0.5</v>
      </c>
      <c r="AR17" s="78">
        <v>2400.0</v>
      </c>
      <c r="AS17" s="64">
        <v>200.0</v>
      </c>
      <c r="AT17" s="79">
        <v>0.02</v>
      </c>
      <c r="AU17" s="7"/>
      <c r="AV17" s="7"/>
      <c r="AW17" s="7"/>
      <c r="AX17" s="7"/>
      <c r="AY17" s="7"/>
      <c r="AZ17" s="11" t="s">
        <v>162</v>
      </c>
      <c r="BA17" s="68" t="s">
        <v>194</v>
      </c>
      <c r="BB17" s="68">
        <v>-207.0</v>
      </c>
      <c r="BC17" s="11">
        <f t="shared" si="1"/>
        <v>20.7</v>
      </c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68">
        <v>-1.1</v>
      </c>
      <c r="CY17" s="11">
        <f t="shared" ref="CY17:CY18" si="2">abs(CX17*0.1)</f>
        <v>0.11</v>
      </c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84">
        <v>-0.6</v>
      </c>
      <c r="DN17" s="84">
        <v>0.1</v>
      </c>
      <c r="DO17" s="69">
        <v>41686.93834703355</v>
      </c>
      <c r="DP17" s="84">
        <v>4.62</v>
      </c>
      <c r="DQ17" s="11"/>
      <c r="DR17" s="84"/>
      <c r="DS17" s="84"/>
      <c r="DT17" s="84"/>
      <c r="DU17" s="84"/>
      <c r="DV17" s="13"/>
      <c r="DW17" s="10"/>
      <c r="DX17" s="81">
        <v>2.0E-11</v>
      </c>
      <c r="DY17" s="7"/>
      <c r="DZ17" s="64" t="s">
        <v>201</v>
      </c>
      <c r="EA17" s="72" t="s">
        <v>205</v>
      </c>
      <c r="EB17" s="82" t="s">
        <v>206</v>
      </c>
    </row>
    <row r="18">
      <c r="A18" s="55" t="s">
        <v>208</v>
      </c>
      <c r="B18" s="56" t="s">
        <v>209</v>
      </c>
      <c r="C18" s="4"/>
      <c r="D18" s="4"/>
      <c r="E18" s="4"/>
      <c r="F18" s="57" t="s">
        <v>187</v>
      </c>
      <c r="G18" s="58">
        <v>64.7542</v>
      </c>
      <c r="H18" s="58">
        <v>28.0467</v>
      </c>
      <c r="I18" s="6" t="s">
        <v>199</v>
      </c>
      <c r="J18" s="6" t="s">
        <v>169</v>
      </c>
      <c r="K18" s="61">
        <v>1.5</v>
      </c>
      <c r="L18" s="5"/>
      <c r="M18" s="5"/>
      <c r="N18" s="60"/>
      <c r="O18" s="60">
        <v>7.09</v>
      </c>
      <c r="P18" s="60">
        <v>5.6</v>
      </c>
      <c r="Q18" s="60">
        <v>-28.41</v>
      </c>
      <c r="R18" s="60">
        <v>5.27</v>
      </c>
      <c r="S18" s="60"/>
      <c r="T18" s="60"/>
      <c r="U18" s="59">
        <v>0.02</v>
      </c>
      <c r="V18" s="59">
        <v>0.85</v>
      </c>
      <c r="W18" s="5"/>
      <c r="X18" s="5"/>
      <c r="Y18" s="83" t="s">
        <v>200</v>
      </c>
      <c r="Z18" s="60"/>
      <c r="AA18" s="60"/>
      <c r="AB18" s="60">
        <v>16.3</v>
      </c>
      <c r="AC18" s="60">
        <v>0.09</v>
      </c>
      <c r="AD18" s="60">
        <v>15.48</v>
      </c>
      <c r="AE18" s="60">
        <v>0.1</v>
      </c>
      <c r="AF18" s="60">
        <v>14.93</v>
      </c>
      <c r="AG18" s="60">
        <v>0.09</v>
      </c>
      <c r="AH18" s="6"/>
      <c r="AI18" s="6"/>
      <c r="AJ18" s="63" t="s">
        <v>201</v>
      </c>
      <c r="AK18" s="64" t="s">
        <v>202</v>
      </c>
      <c r="AL18" s="72" t="s">
        <v>203</v>
      </c>
      <c r="AM18" s="64">
        <v>4.0</v>
      </c>
      <c r="AN18" s="8"/>
      <c r="AO18" s="13"/>
      <c r="AP18" s="13" t="s">
        <v>210</v>
      </c>
      <c r="AQ18" s="64">
        <v>0.5</v>
      </c>
      <c r="AR18" s="78">
        <v>2400.0</v>
      </c>
      <c r="AS18" s="64">
        <v>200.0</v>
      </c>
      <c r="AT18" s="79">
        <v>0.02</v>
      </c>
      <c r="AU18" s="7"/>
      <c r="AV18" s="7"/>
      <c r="AW18" s="7"/>
      <c r="AX18" s="7"/>
      <c r="AY18" s="7"/>
      <c r="AZ18" s="11" t="s">
        <v>162</v>
      </c>
      <c r="BA18" s="68" t="s">
        <v>194</v>
      </c>
      <c r="BB18" s="68">
        <v>-207.0</v>
      </c>
      <c r="BC18" s="11">
        <f t="shared" si="1"/>
        <v>20.7</v>
      </c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68">
        <v>-1.1</v>
      </c>
      <c r="CY18" s="11">
        <f t="shared" si="2"/>
        <v>0.11</v>
      </c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84">
        <v>-0.6</v>
      </c>
      <c r="DN18" s="84">
        <v>0.1</v>
      </c>
      <c r="DO18" s="69">
        <v>41686.93834703355</v>
      </c>
      <c r="DP18" s="84">
        <v>4.62</v>
      </c>
      <c r="DQ18" s="11"/>
      <c r="DR18" s="84"/>
      <c r="DS18" s="84"/>
      <c r="DT18" s="84"/>
      <c r="DU18" s="84"/>
      <c r="DV18" s="13"/>
      <c r="DW18" s="10"/>
      <c r="DX18" s="81">
        <v>3.16E-11</v>
      </c>
      <c r="DY18" s="7"/>
      <c r="DZ18" s="64" t="s">
        <v>201</v>
      </c>
      <c r="EA18" s="72" t="s">
        <v>205</v>
      </c>
      <c r="EB18" s="82" t="s">
        <v>207</v>
      </c>
    </row>
    <row r="19">
      <c r="A19" s="55" t="s">
        <v>211</v>
      </c>
      <c r="B19" s="56" t="s">
        <v>212</v>
      </c>
      <c r="C19" s="4"/>
      <c r="D19" s="4"/>
      <c r="E19" s="4"/>
      <c r="F19" s="57" t="s">
        <v>187</v>
      </c>
      <c r="G19" s="58">
        <v>67.5292</v>
      </c>
      <c r="H19" s="58">
        <v>26.1392</v>
      </c>
      <c r="I19" s="6" t="s">
        <v>199</v>
      </c>
      <c r="J19" s="6" t="s">
        <v>169</v>
      </c>
      <c r="K19" s="61">
        <v>1.5</v>
      </c>
      <c r="L19" s="5"/>
      <c r="M19" s="60">
        <v>2.0</v>
      </c>
      <c r="N19" s="61">
        <v>116.059097292341</v>
      </c>
      <c r="O19" s="61">
        <v>2.667</v>
      </c>
      <c r="P19" s="61">
        <v>1.193</v>
      </c>
      <c r="Q19" s="61">
        <v>-21.925</v>
      </c>
      <c r="R19" s="61">
        <v>0.86</v>
      </c>
      <c r="S19" s="60"/>
      <c r="T19" s="60"/>
      <c r="U19" s="58">
        <v>0.68</v>
      </c>
      <c r="V19" s="58">
        <v>0.85</v>
      </c>
      <c r="W19" s="5"/>
      <c r="X19" s="5"/>
      <c r="Y19" s="83" t="s">
        <v>200</v>
      </c>
      <c r="Z19" s="60">
        <v>20.56</v>
      </c>
      <c r="AA19" s="60"/>
      <c r="AB19" s="60">
        <v>14.99</v>
      </c>
      <c r="AC19" s="60">
        <v>0.03</v>
      </c>
      <c r="AD19" s="60">
        <v>14.2</v>
      </c>
      <c r="AE19" s="60">
        <v>0.04</v>
      </c>
      <c r="AF19" s="60">
        <v>13.69</v>
      </c>
      <c r="AG19" s="60">
        <v>0.04</v>
      </c>
      <c r="AH19" s="6"/>
      <c r="AI19" s="6"/>
      <c r="AJ19" s="63" t="s">
        <v>201</v>
      </c>
      <c r="AK19" s="64" t="s">
        <v>202</v>
      </c>
      <c r="AL19" s="72" t="s">
        <v>203</v>
      </c>
      <c r="AM19" s="64">
        <v>4.0</v>
      </c>
      <c r="AN19" s="8"/>
      <c r="AO19" s="13"/>
      <c r="AP19" s="13" t="s">
        <v>213</v>
      </c>
      <c r="AQ19" s="64">
        <v>0.5</v>
      </c>
      <c r="AR19" s="78">
        <v>2550.0</v>
      </c>
      <c r="AS19" s="64">
        <v>200.0</v>
      </c>
      <c r="AT19" s="79">
        <v>0.025</v>
      </c>
      <c r="AU19" s="7"/>
      <c r="AV19" s="7"/>
      <c r="AW19" s="7"/>
      <c r="AX19" s="7"/>
      <c r="AY19" s="7"/>
      <c r="AZ19" s="11" t="s">
        <v>162</v>
      </c>
      <c r="BA19" s="68" t="s">
        <v>194</v>
      </c>
      <c r="BB19" s="68">
        <v>-77.5</v>
      </c>
      <c r="BC19" s="11">
        <f t="shared" si="1"/>
        <v>7.75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68">
        <v>-1.6</v>
      </c>
      <c r="CY19" s="68">
        <v>0.16</v>
      </c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84">
        <v>-0.2</v>
      </c>
      <c r="DN19" s="84">
        <v>0.1</v>
      </c>
      <c r="DO19" s="69">
        <v>21877.616239495517</v>
      </c>
      <c r="DP19" s="84">
        <v>4.34</v>
      </c>
      <c r="DQ19" s="11"/>
      <c r="DR19" s="84"/>
      <c r="DS19" s="84"/>
      <c r="DT19" s="84"/>
      <c r="DU19" s="84"/>
      <c r="DV19" s="13"/>
      <c r="DW19" s="10"/>
      <c r="DX19" s="81">
        <v>1.0E-11</v>
      </c>
      <c r="DY19" s="7"/>
      <c r="DZ19" s="64" t="s">
        <v>201</v>
      </c>
      <c r="EA19" s="72" t="s">
        <v>205</v>
      </c>
      <c r="EB19" s="85" t="s">
        <v>206</v>
      </c>
    </row>
    <row r="20">
      <c r="A20" s="55" t="s">
        <v>211</v>
      </c>
      <c r="B20" s="56" t="s">
        <v>212</v>
      </c>
      <c r="C20" s="4"/>
      <c r="D20" s="4"/>
      <c r="E20" s="4"/>
      <c r="F20" s="57" t="s">
        <v>187</v>
      </c>
      <c r="G20" s="58">
        <v>67.5292</v>
      </c>
      <c r="H20" s="58">
        <v>26.1392</v>
      </c>
      <c r="I20" s="6" t="s">
        <v>199</v>
      </c>
      <c r="J20" s="6" t="s">
        <v>169</v>
      </c>
      <c r="K20" s="61">
        <v>1.5</v>
      </c>
      <c r="L20" s="5"/>
      <c r="M20" s="60">
        <v>2.0</v>
      </c>
      <c r="N20" s="61">
        <v>116.059097292341</v>
      </c>
      <c r="O20" s="61">
        <v>2.667</v>
      </c>
      <c r="P20" s="61">
        <v>1.193</v>
      </c>
      <c r="Q20" s="61">
        <v>-21.925</v>
      </c>
      <c r="R20" s="61">
        <v>0.86</v>
      </c>
      <c r="S20" s="60"/>
      <c r="T20" s="60"/>
      <c r="U20" s="58">
        <v>0.68</v>
      </c>
      <c r="V20" s="58">
        <v>0.85</v>
      </c>
      <c r="W20" s="5"/>
      <c r="X20" s="5"/>
      <c r="Y20" s="83" t="s">
        <v>200</v>
      </c>
      <c r="Z20" s="60">
        <v>20.56</v>
      </c>
      <c r="AA20" s="60"/>
      <c r="AB20" s="60">
        <v>14.99</v>
      </c>
      <c r="AC20" s="60">
        <v>0.03</v>
      </c>
      <c r="AD20" s="60">
        <v>14.2</v>
      </c>
      <c r="AE20" s="60">
        <v>0.04</v>
      </c>
      <c r="AF20" s="60">
        <v>13.69</v>
      </c>
      <c r="AG20" s="60">
        <v>0.04</v>
      </c>
      <c r="AH20" s="6"/>
      <c r="AI20" s="6"/>
      <c r="AJ20" s="63" t="s">
        <v>201</v>
      </c>
      <c r="AK20" s="64" t="s">
        <v>202</v>
      </c>
      <c r="AL20" s="72" t="s">
        <v>203</v>
      </c>
      <c r="AM20" s="64">
        <v>4.0</v>
      </c>
      <c r="AN20" s="8"/>
      <c r="AO20" s="13"/>
      <c r="AP20" s="13" t="s">
        <v>213</v>
      </c>
      <c r="AQ20" s="64">
        <v>0.5</v>
      </c>
      <c r="AR20" s="78">
        <v>2550.0</v>
      </c>
      <c r="AS20" s="64">
        <v>200.0</v>
      </c>
      <c r="AT20" s="79">
        <v>0.025</v>
      </c>
      <c r="AU20" s="7"/>
      <c r="AV20" s="7"/>
      <c r="AW20" s="7"/>
      <c r="AX20" s="7"/>
      <c r="AY20" s="7"/>
      <c r="AZ20" s="11" t="s">
        <v>162</v>
      </c>
      <c r="BA20" s="68" t="s">
        <v>194</v>
      </c>
      <c r="BB20" s="68">
        <v>-77.5</v>
      </c>
      <c r="BC20" s="11">
        <f t="shared" si="1"/>
        <v>7.75</v>
      </c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68">
        <v>-1.6</v>
      </c>
      <c r="CY20" s="68">
        <v>0.16</v>
      </c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84">
        <v>-0.2</v>
      </c>
      <c r="DN20" s="84">
        <v>0.1</v>
      </c>
      <c r="DO20" s="69">
        <v>21877.616239495517</v>
      </c>
      <c r="DP20" s="84">
        <v>4.34</v>
      </c>
      <c r="DQ20" s="11"/>
      <c r="DR20" s="84"/>
      <c r="DS20" s="84"/>
      <c r="DT20" s="84"/>
      <c r="DU20" s="84"/>
      <c r="DV20" s="13"/>
      <c r="DW20" s="10"/>
      <c r="DX20" s="81">
        <v>1.58E-11</v>
      </c>
      <c r="DY20" s="7"/>
      <c r="DZ20" s="64" t="s">
        <v>201</v>
      </c>
      <c r="EA20" s="72" t="s">
        <v>205</v>
      </c>
      <c r="EB20" s="85" t="s">
        <v>207</v>
      </c>
    </row>
    <row r="21">
      <c r="A21" s="55" t="s">
        <v>214</v>
      </c>
      <c r="B21" s="56" t="s">
        <v>214</v>
      </c>
      <c r="C21" s="4"/>
      <c r="D21" s="4"/>
      <c r="E21" s="4"/>
      <c r="F21" s="57" t="s">
        <v>187</v>
      </c>
      <c r="G21" s="58">
        <v>246.592788</v>
      </c>
      <c r="H21" s="58">
        <v>-24.401962</v>
      </c>
      <c r="I21" s="6" t="s">
        <v>158</v>
      </c>
      <c r="J21" s="6" t="s">
        <v>169</v>
      </c>
      <c r="K21" s="58">
        <v>1.0</v>
      </c>
      <c r="L21" s="5"/>
      <c r="M21" s="5"/>
      <c r="N21" s="6"/>
      <c r="O21" s="5"/>
      <c r="P21" s="5"/>
      <c r="Q21" s="5"/>
      <c r="R21" s="5"/>
      <c r="S21" s="5"/>
      <c r="T21" s="5"/>
      <c r="U21" s="58">
        <v>8.0</v>
      </c>
      <c r="V21" s="5"/>
      <c r="W21" s="60">
        <v>2.67</v>
      </c>
      <c r="X21" s="5"/>
      <c r="Y21" s="83" t="s">
        <v>215</v>
      </c>
      <c r="Z21" s="6"/>
      <c r="AA21" s="6"/>
      <c r="AB21" s="59">
        <v>16.45</v>
      </c>
      <c r="AC21" s="60">
        <v>0.136</v>
      </c>
      <c r="AD21" s="61">
        <v>15.086</v>
      </c>
      <c r="AE21" s="61">
        <v>0.075</v>
      </c>
      <c r="AF21" s="59">
        <v>13.94</v>
      </c>
      <c r="AG21" s="60">
        <v>0.045</v>
      </c>
      <c r="AH21" s="6"/>
      <c r="AI21" s="6"/>
      <c r="AJ21" s="76" t="s">
        <v>215</v>
      </c>
      <c r="AK21" s="13" t="s">
        <v>216</v>
      </c>
      <c r="AL21" s="72">
        <v>2003.0</v>
      </c>
      <c r="AM21" s="64">
        <v>3.5</v>
      </c>
      <c r="AN21" s="77">
        <v>119.0</v>
      </c>
      <c r="AO21" s="64">
        <v>6.0</v>
      </c>
      <c r="AP21" s="13" t="s">
        <v>217</v>
      </c>
      <c r="AQ21" s="64">
        <v>1.5</v>
      </c>
      <c r="AR21" s="78">
        <v>2700.0</v>
      </c>
      <c r="AS21" s="73">
        <v>100.0</v>
      </c>
      <c r="AT21" s="79">
        <v>0.02863</v>
      </c>
      <c r="AU21" s="7"/>
      <c r="AV21" s="13"/>
      <c r="AW21" s="7"/>
      <c r="AX21" s="73">
        <v>0.32</v>
      </c>
      <c r="AY21" s="7"/>
      <c r="AZ21" s="11" t="s">
        <v>162</v>
      </c>
      <c r="BA21" s="68" t="s">
        <v>194</v>
      </c>
      <c r="BB21" s="68">
        <v>220.0</v>
      </c>
      <c r="BC21" s="68">
        <v>50.0</v>
      </c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80">
        <v>6.6</v>
      </c>
      <c r="DN21" s="80">
        <v>0.5</v>
      </c>
      <c r="DO21" s="80">
        <v>1020000.0</v>
      </c>
      <c r="DP21" s="69"/>
      <c r="DQ21" s="11"/>
      <c r="DR21" s="69"/>
      <c r="DS21" s="69"/>
      <c r="DT21" s="69"/>
      <c r="DU21" s="69"/>
      <c r="DV21" s="64"/>
      <c r="DW21" s="10"/>
      <c r="DX21" s="81">
        <v>9.5E-10</v>
      </c>
      <c r="DY21" s="64"/>
      <c r="DZ21" s="64" t="s">
        <v>201</v>
      </c>
      <c r="EA21" s="64" t="s">
        <v>218</v>
      </c>
      <c r="EB21" s="13"/>
    </row>
    <row r="22">
      <c r="A22" s="55" t="s">
        <v>219</v>
      </c>
      <c r="B22" s="56" t="s">
        <v>220</v>
      </c>
      <c r="C22" s="4"/>
      <c r="D22" s="4"/>
      <c r="E22" s="4"/>
      <c r="F22" s="57" t="s">
        <v>187</v>
      </c>
      <c r="G22" s="58">
        <v>67.7375</v>
      </c>
      <c r="H22" s="58">
        <v>25.9444</v>
      </c>
      <c r="I22" s="6" t="s">
        <v>199</v>
      </c>
      <c r="J22" s="6" t="s">
        <v>169</v>
      </c>
      <c r="K22" s="61">
        <v>1.5</v>
      </c>
      <c r="L22" s="5"/>
      <c r="M22" s="60">
        <v>2.0</v>
      </c>
      <c r="N22" s="61">
        <v>122.821454451663</v>
      </c>
      <c r="O22" s="61">
        <v>5.424</v>
      </c>
      <c r="P22" s="61">
        <v>0.886</v>
      </c>
      <c r="Q22" s="61">
        <v>-23.019</v>
      </c>
      <c r="R22" s="61">
        <v>0.596</v>
      </c>
      <c r="S22" s="60"/>
      <c r="T22" s="60"/>
      <c r="U22" s="58">
        <v>0.93</v>
      </c>
      <c r="V22" s="58">
        <v>0.85</v>
      </c>
      <c r="W22" s="5"/>
      <c r="X22" s="5"/>
      <c r="Y22" s="83" t="s">
        <v>200</v>
      </c>
      <c r="Z22" s="60"/>
      <c r="AA22" s="60"/>
      <c r="AB22" s="60">
        <v>14.52</v>
      </c>
      <c r="AC22" s="60">
        <v>0.03</v>
      </c>
      <c r="AD22" s="60">
        <v>13.828</v>
      </c>
      <c r="AE22" s="60">
        <v>0.027</v>
      </c>
      <c r="AF22" s="60">
        <v>13.27</v>
      </c>
      <c r="AG22" s="60">
        <v>0.03</v>
      </c>
      <c r="AH22" s="6"/>
      <c r="AI22" s="6"/>
      <c r="AJ22" s="63" t="s">
        <v>201</v>
      </c>
      <c r="AK22" s="64" t="s">
        <v>202</v>
      </c>
      <c r="AL22" s="72" t="s">
        <v>203</v>
      </c>
      <c r="AM22" s="64">
        <v>4.0</v>
      </c>
      <c r="AN22" s="8"/>
      <c r="AO22" s="13"/>
      <c r="AP22" s="13" t="s">
        <v>221</v>
      </c>
      <c r="AQ22" s="64">
        <v>0.5</v>
      </c>
      <c r="AR22" s="78">
        <v>2650.0</v>
      </c>
      <c r="AS22" s="64">
        <v>200.0</v>
      </c>
      <c r="AT22" s="79">
        <v>0.03</v>
      </c>
      <c r="AU22" s="7"/>
      <c r="AV22" s="7"/>
      <c r="AW22" s="7"/>
      <c r="AX22" s="7"/>
      <c r="AY22" s="7"/>
      <c r="AZ22" s="11" t="s">
        <v>162</v>
      </c>
      <c r="BA22" s="68" t="s">
        <v>194</v>
      </c>
      <c r="BB22" s="68">
        <v>-122.0</v>
      </c>
      <c r="BC22" s="11">
        <f t="shared" ref="BC22:BC59" si="3">abs(BB22*0.1)</f>
        <v>12.2</v>
      </c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68">
        <v>-0.9</v>
      </c>
      <c r="CY22" s="68">
        <v>0.1</v>
      </c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84">
        <v>-0.1</v>
      </c>
      <c r="DN22" s="84">
        <v>0.1</v>
      </c>
      <c r="DO22" s="69">
        <v>15135.612484362071</v>
      </c>
      <c r="DP22" s="84">
        <v>4.18</v>
      </c>
      <c r="DQ22" s="11"/>
      <c r="DR22" s="84"/>
      <c r="DS22" s="84"/>
      <c r="DT22" s="84"/>
      <c r="DU22" s="84"/>
      <c r="DV22" s="13"/>
      <c r="DW22" s="10"/>
      <c r="DX22" s="81">
        <v>6.31E-12</v>
      </c>
      <c r="DY22" s="7"/>
      <c r="DZ22" s="64" t="s">
        <v>201</v>
      </c>
      <c r="EA22" s="72" t="s">
        <v>205</v>
      </c>
      <c r="EB22" s="85" t="s">
        <v>206</v>
      </c>
    </row>
    <row r="23">
      <c r="A23" s="55" t="s">
        <v>219</v>
      </c>
      <c r="B23" s="56" t="s">
        <v>220</v>
      </c>
      <c r="C23" s="4"/>
      <c r="D23" s="4"/>
      <c r="E23" s="4"/>
      <c r="F23" s="57" t="s">
        <v>187</v>
      </c>
      <c r="G23" s="58">
        <v>67.7375</v>
      </c>
      <c r="H23" s="58">
        <v>25.9444</v>
      </c>
      <c r="I23" s="6" t="s">
        <v>199</v>
      </c>
      <c r="J23" s="6" t="s">
        <v>169</v>
      </c>
      <c r="K23" s="61">
        <v>1.5</v>
      </c>
      <c r="L23" s="5"/>
      <c r="M23" s="60">
        <v>2.0</v>
      </c>
      <c r="N23" s="61">
        <v>122.821454451663</v>
      </c>
      <c r="O23" s="61">
        <v>5.424</v>
      </c>
      <c r="P23" s="61">
        <v>0.886</v>
      </c>
      <c r="Q23" s="61">
        <v>-23.019</v>
      </c>
      <c r="R23" s="61">
        <v>0.596</v>
      </c>
      <c r="S23" s="60"/>
      <c r="T23" s="60"/>
      <c r="U23" s="58">
        <v>0.93</v>
      </c>
      <c r="V23" s="58">
        <v>0.85</v>
      </c>
      <c r="W23" s="5"/>
      <c r="X23" s="5"/>
      <c r="Y23" s="83" t="s">
        <v>200</v>
      </c>
      <c r="Z23" s="60"/>
      <c r="AA23" s="60"/>
      <c r="AB23" s="60">
        <v>14.52</v>
      </c>
      <c r="AC23" s="60">
        <v>0.03</v>
      </c>
      <c r="AD23" s="60">
        <v>13.828</v>
      </c>
      <c r="AE23" s="60">
        <v>0.027</v>
      </c>
      <c r="AF23" s="60">
        <v>13.27</v>
      </c>
      <c r="AG23" s="60">
        <v>0.03</v>
      </c>
      <c r="AH23" s="6"/>
      <c r="AI23" s="6"/>
      <c r="AJ23" s="63" t="s">
        <v>201</v>
      </c>
      <c r="AK23" s="64" t="s">
        <v>202</v>
      </c>
      <c r="AL23" s="72" t="s">
        <v>203</v>
      </c>
      <c r="AM23" s="64">
        <v>4.0</v>
      </c>
      <c r="AN23" s="8"/>
      <c r="AO23" s="13"/>
      <c r="AP23" s="13" t="s">
        <v>221</v>
      </c>
      <c r="AQ23" s="64">
        <v>0.5</v>
      </c>
      <c r="AR23" s="78">
        <v>2650.0</v>
      </c>
      <c r="AS23" s="64">
        <v>200.0</v>
      </c>
      <c r="AT23" s="79">
        <v>0.03</v>
      </c>
      <c r="AU23" s="7"/>
      <c r="AV23" s="7"/>
      <c r="AW23" s="7"/>
      <c r="AX23" s="7"/>
      <c r="AY23" s="7"/>
      <c r="AZ23" s="11" t="s">
        <v>162</v>
      </c>
      <c r="BA23" s="68" t="s">
        <v>194</v>
      </c>
      <c r="BB23" s="68">
        <v>-122.0</v>
      </c>
      <c r="BC23" s="11">
        <f t="shared" si="3"/>
        <v>12.2</v>
      </c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68">
        <v>-0.9</v>
      </c>
      <c r="CY23" s="68">
        <v>0.1</v>
      </c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84">
        <v>-0.1</v>
      </c>
      <c r="DN23" s="84">
        <v>0.1</v>
      </c>
      <c r="DO23" s="69">
        <v>15135.612484362071</v>
      </c>
      <c r="DP23" s="84">
        <v>4.18</v>
      </c>
      <c r="DQ23" s="11"/>
      <c r="DR23" s="84"/>
      <c r="DS23" s="84"/>
      <c r="DT23" s="84"/>
      <c r="DU23" s="84"/>
      <c r="DV23" s="13"/>
      <c r="DW23" s="10"/>
      <c r="DX23" s="81">
        <v>1.0E-11</v>
      </c>
      <c r="DY23" s="7"/>
      <c r="DZ23" s="64" t="s">
        <v>201</v>
      </c>
      <c r="EA23" s="72" t="s">
        <v>205</v>
      </c>
      <c r="EB23" s="85" t="s">
        <v>207</v>
      </c>
    </row>
    <row r="24">
      <c r="A24" s="55" t="s">
        <v>222</v>
      </c>
      <c r="B24" s="56" t="s">
        <v>223</v>
      </c>
      <c r="C24" s="4"/>
      <c r="D24" s="3"/>
      <c r="E24" s="57" t="s">
        <v>137</v>
      </c>
      <c r="F24" s="57" t="s">
        <v>187</v>
      </c>
      <c r="G24" s="58">
        <v>181.8875</v>
      </c>
      <c r="H24" s="58">
        <v>-39.5483</v>
      </c>
      <c r="I24" s="6" t="s">
        <v>224</v>
      </c>
      <c r="J24" s="6" t="s">
        <v>189</v>
      </c>
      <c r="K24" s="58">
        <v>8.0</v>
      </c>
      <c r="L24" s="5"/>
      <c r="M24" s="59">
        <v>2.0</v>
      </c>
      <c r="N24" s="61">
        <v>64.4155576454825</v>
      </c>
      <c r="O24" s="61">
        <v>-64.083</v>
      </c>
      <c r="P24" s="61">
        <v>0.233</v>
      </c>
      <c r="Q24" s="61">
        <v>-23.72</v>
      </c>
      <c r="R24" s="61">
        <v>0.13</v>
      </c>
      <c r="S24" s="60">
        <v>7.5</v>
      </c>
      <c r="T24" s="60">
        <v>2.0</v>
      </c>
      <c r="U24" s="58">
        <v>0.0</v>
      </c>
      <c r="V24" s="5"/>
      <c r="W24" s="5"/>
      <c r="X24" s="5"/>
      <c r="Y24" s="83" t="s">
        <v>225</v>
      </c>
      <c r="Z24" s="60">
        <v>17.99</v>
      </c>
      <c r="AA24" s="60">
        <v>0.07</v>
      </c>
      <c r="AB24" s="60">
        <v>12.995</v>
      </c>
      <c r="AC24" s="60">
        <v>0.026</v>
      </c>
      <c r="AD24" s="60">
        <v>12.388</v>
      </c>
      <c r="AE24" s="60">
        <v>0.027</v>
      </c>
      <c r="AF24" s="60">
        <v>11.945</v>
      </c>
      <c r="AG24" s="60">
        <v>0.026</v>
      </c>
      <c r="AH24" s="6"/>
      <c r="AI24" s="6"/>
      <c r="AJ24" s="63" t="s">
        <v>201</v>
      </c>
      <c r="AK24" s="64" t="s">
        <v>226</v>
      </c>
      <c r="AL24" s="72" t="s">
        <v>203</v>
      </c>
      <c r="AM24" s="64">
        <v>4.0</v>
      </c>
      <c r="AN24" s="8"/>
      <c r="AO24" s="13"/>
      <c r="AP24" s="13" t="s">
        <v>227</v>
      </c>
      <c r="AQ24" s="64">
        <v>0.5</v>
      </c>
      <c r="AR24" s="78">
        <v>2700.0</v>
      </c>
      <c r="AS24" s="64">
        <v>200.0</v>
      </c>
      <c r="AT24" s="79">
        <v>0.035</v>
      </c>
      <c r="AU24" s="7"/>
      <c r="AV24" s="7"/>
      <c r="AW24" s="7"/>
      <c r="AX24" s="7"/>
      <c r="AY24" s="7"/>
      <c r="AZ24" s="11" t="s">
        <v>162</v>
      </c>
      <c r="BA24" s="68" t="s">
        <v>194</v>
      </c>
      <c r="BB24" s="80">
        <v>-27.7</v>
      </c>
      <c r="BC24" s="11">
        <f t="shared" si="3"/>
        <v>2.77</v>
      </c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68">
        <v>-0.8</v>
      </c>
      <c r="CY24" s="68">
        <v>0.1</v>
      </c>
      <c r="CZ24" s="11"/>
      <c r="DA24" s="11"/>
      <c r="DB24" s="11"/>
      <c r="DC24" s="11"/>
      <c r="DD24" s="11"/>
      <c r="DE24" s="11"/>
      <c r="DF24" s="86"/>
      <c r="DG24" s="86"/>
      <c r="DH24" s="86"/>
      <c r="DI24" s="86"/>
      <c r="DJ24" s="11"/>
      <c r="DK24" s="11"/>
      <c r="DL24" s="11"/>
      <c r="DM24" s="69"/>
      <c r="DN24" s="69"/>
      <c r="DO24" s="69">
        <v>15848.93192461114</v>
      </c>
      <c r="DP24" s="84">
        <v>4.2</v>
      </c>
      <c r="DQ24" s="11"/>
      <c r="DR24" s="84"/>
      <c r="DS24" s="84"/>
      <c r="DT24" s="84"/>
      <c r="DU24" s="84"/>
      <c r="DV24" s="13"/>
      <c r="DW24" s="10"/>
      <c r="DX24" s="81">
        <v>7.94E-12</v>
      </c>
      <c r="DY24" s="7"/>
      <c r="DZ24" s="64" t="s">
        <v>201</v>
      </c>
      <c r="EA24" s="72" t="s">
        <v>205</v>
      </c>
      <c r="EB24" s="85" t="s">
        <v>228</v>
      </c>
    </row>
    <row r="25">
      <c r="A25" s="55" t="s">
        <v>222</v>
      </c>
      <c r="B25" s="56" t="s">
        <v>223</v>
      </c>
      <c r="C25" s="4"/>
      <c r="D25" s="3"/>
      <c r="E25" s="57" t="s">
        <v>137</v>
      </c>
      <c r="F25" s="57" t="s">
        <v>187</v>
      </c>
      <c r="G25" s="58">
        <v>181.8875</v>
      </c>
      <c r="H25" s="58">
        <v>-39.5483</v>
      </c>
      <c r="I25" s="6" t="s">
        <v>224</v>
      </c>
      <c r="J25" s="6" t="s">
        <v>189</v>
      </c>
      <c r="K25" s="58">
        <v>8.0</v>
      </c>
      <c r="L25" s="5"/>
      <c r="M25" s="59">
        <v>2.0</v>
      </c>
      <c r="N25" s="61">
        <v>64.4155576454825</v>
      </c>
      <c r="O25" s="61">
        <v>-64.083</v>
      </c>
      <c r="P25" s="61">
        <v>0.233</v>
      </c>
      <c r="Q25" s="61">
        <v>-23.72</v>
      </c>
      <c r="R25" s="61">
        <v>0.13</v>
      </c>
      <c r="S25" s="60">
        <v>7.5</v>
      </c>
      <c r="T25" s="60">
        <v>2.0</v>
      </c>
      <c r="U25" s="58">
        <v>0.0</v>
      </c>
      <c r="V25" s="5"/>
      <c r="W25" s="5"/>
      <c r="X25" s="5"/>
      <c r="Y25" s="83" t="s">
        <v>225</v>
      </c>
      <c r="Z25" s="60">
        <v>17.99</v>
      </c>
      <c r="AA25" s="60">
        <v>0.07</v>
      </c>
      <c r="AB25" s="60">
        <v>12.995</v>
      </c>
      <c r="AC25" s="60">
        <v>0.026</v>
      </c>
      <c r="AD25" s="60">
        <v>12.388</v>
      </c>
      <c r="AE25" s="60">
        <v>0.027</v>
      </c>
      <c r="AF25" s="60">
        <v>11.945</v>
      </c>
      <c r="AG25" s="60">
        <v>0.026</v>
      </c>
      <c r="AH25" s="6"/>
      <c r="AI25" s="6"/>
      <c r="AJ25" s="63" t="s">
        <v>201</v>
      </c>
      <c r="AK25" s="64" t="s">
        <v>226</v>
      </c>
      <c r="AL25" s="72" t="s">
        <v>203</v>
      </c>
      <c r="AM25" s="64">
        <v>4.0</v>
      </c>
      <c r="AN25" s="8"/>
      <c r="AO25" s="13"/>
      <c r="AP25" s="13" t="s">
        <v>227</v>
      </c>
      <c r="AQ25" s="64">
        <v>0.5</v>
      </c>
      <c r="AR25" s="78">
        <v>2700.0</v>
      </c>
      <c r="AS25" s="64">
        <v>200.0</v>
      </c>
      <c r="AT25" s="79">
        <v>0.035</v>
      </c>
      <c r="AU25" s="7"/>
      <c r="AV25" s="7"/>
      <c r="AW25" s="7"/>
      <c r="AX25" s="7"/>
      <c r="AY25" s="7"/>
      <c r="AZ25" s="11" t="s">
        <v>162</v>
      </c>
      <c r="BA25" s="68" t="s">
        <v>194</v>
      </c>
      <c r="BB25" s="80">
        <v>-27.7</v>
      </c>
      <c r="BC25" s="11">
        <f t="shared" si="3"/>
        <v>2.77</v>
      </c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68">
        <v>-0.8</v>
      </c>
      <c r="CY25" s="68">
        <v>0.1</v>
      </c>
      <c r="CZ25" s="11"/>
      <c r="DA25" s="11"/>
      <c r="DB25" s="11"/>
      <c r="DC25" s="11"/>
      <c r="DD25" s="11"/>
      <c r="DE25" s="11"/>
      <c r="DF25" s="86"/>
      <c r="DG25" s="86"/>
      <c r="DH25" s="86"/>
      <c r="DI25" s="86"/>
      <c r="DJ25" s="11"/>
      <c r="DK25" s="11"/>
      <c r="DL25" s="11"/>
      <c r="DM25" s="69"/>
      <c r="DN25" s="69"/>
      <c r="DO25" s="69">
        <v>15848.93192461114</v>
      </c>
      <c r="DP25" s="84">
        <v>4.2</v>
      </c>
      <c r="DQ25" s="11"/>
      <c r="DR25" s="84"/>
      <c r="DS25" s="84"/>
      <c r="DT25" s="84"/>
      <c r="DU25" s="84"/>
      <c r="DV25" s="7"/>
      <c r="DW25" s="10"/>
      <c r="DX25" s="81">
        <v>1.26E-11</v>
      </c>
      <c r="DY25" s="7"/>
      <c r="DZ25" s="64" t="s">
        <v>201</v>
      </c>
      <c r="EA25" s="72" t="s">
        <v>205</v>
      </c>
      <c r="EB25" s="85" t="s">
        <v>229</v>
      </c>
    </row>
    <row r="26">
      <c r="A26" s="55" t="s">
        <v>230</v>
      </c>
      <c r="B26" s="56" t="s">
        <v>231</v>
      </c>
      <c r="C26" s="4"/>
      <c r="D26" s="4"/>
      <c r="E26" s="57" t="s">
        <v>137</v>
      </c>
      <c r="F26" s="57" t="s">
        <v>187</v>
      </c>
      <c r="G26" s="58">
        <v>241.5167</v>
      </c>
      <c r="H26" s="58">
        <v>-20.9456</v>
      </c>
      <c r="I26" s="6" t="s">
        <v>224</v>
      </c>
      <c r="J26" s="6" t="s">
        <v>189</v>
      </c>
      <c r="K26" s="58">
        <v>11.0</v>
      </c>
      <c r="L26" s="5"/>
      <c r="M26" s="59">
        <v>2.0</v>
      </c>
      <c r="N26" s="61">
        <v>137.149753816191</v>
      </c>
      <c r="O26" s="61">
        <v>-13.191</v>
      </c>
      <c r="P26" s="61">
        <v>0.547</v>
      </c>
      <c r="Q26" s="61">
        <v>-21.976</v>
      </c>
      <c r="R26" s="61">
        <v>0.274</v>
      </c>
      <c r="S26" s="60"/>
      <c r="T26" s="60"/>
      <c r="U26" s="58">
        <v>0.0</v>
      </c>
      <c r="V26" s="5"/>
      <c r="W26" s="5"/>
      <c r="X26" s="5"/>
      <c r="Y26" s="83" t="s">
        <v>225</v>
      </c>
      <c r="Z26" s="60"/>
      <c r="AA26" s="60"/>
      <c r="AB26" s="60">
        <v>13.528</v>
      </c>
      <c r="AC26" s="60">
        <v>0.03</v>
      </c>
      <c r="AD26" s="60">
        <v>12.906</v>
      </c>
      <c r="AE26" s="60">
        <v>0.023</v>
      </c>
      <c r="AF26" s="60">
        <v>12.475</v>
      </c>
      <c r="AG26" s="60">
        <v>0.027</v>
      </c>
      <c r="AH26" s="6"/>
      <c r="AI26" s="6"/>
      <c r="AJ26" s="63" t="s">
        <v>201</v>
      </c>
      <c r="AK26" s="64" t="s">
        <v>226</v>
      </c>
      <c r="AL26" s="72" t="s">
        <v>203</v>
      </c>
      <c r="AM26" s="64">
        <v>4.0</v>
      </c>
      <c r="AN26" s="8"/>
      <c r="AO26" s="13"/>
      <c r="AP26" s="13" t="s">
        <v>232</v>
      </c>
      <c r="AQ26" s="64">
        <v>0.5</v>
      </c>
      <c r="AR26" s="78">
        <v>2800.0</v>
      </c>
      <c r="AS26" s="64">
        <v>200.0</v>
      </c>
      <c r="AT26" s="79">
        <v>0.04</v>
      </c>
      <c r="AU26" s="7"/>
      <c r="AV26" s="7"/>
      <c r="AW26" s="7"/>
      <c r="AX26" s="7"/>
      <c r="AY26" s="7"/>
      <c r="AZ26" s="11" t="s">
        <v>162</v>
      </c>
      <c r="BA26" s="68" t="s">
        <v>194</v>
      </c>
      <c r="BB26" s="68">
        <v>-70.0</v>
      </c>
      <c r="BC26" s="11">
        <f t="shared" si="3"/>
        <v>7</v>
      </c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69"/>
      <c r="DN26" s="69"/>
      <c r="DO26" s="69">
        <v>20892.96130854041</v>
      </c>
      <c r="DP26" s="84">
        <v>4.32</v>
      </c>
      <c r="DQ26" s="11"/>
      <c r="DR26" s="84"/>
      <c r="DS26" s="84"/>
      <c r="DT26" s="84"/>
      <c r="DU26" s="84"/>
      <c r="DV26" s="13"/>
      <c r="DW26" s="10"/>
      <c r="DX26" s="81">
        <v>1.0E-11</v>
      </c>
      <c r="DY26" s="7"/>
      <c r="DZ26" s="64" t="s">
        <v>201</v>
      </c>
      <c r="EA26" s="72" t="s">
        <v>205</v>
      </c>
      <c r="EB26" s="85" t="s">
        <v>228</v>
      </c>
    </row>
    <row r="27">
      <c r="A27" s="55" t="s">
        <v>230</v>
      </c>
      <c r="B27" s="56" t="s">
        <v>231</v>
      </c>
      <c r="C27" s="4"/>
      <c r="D27" s="4"/>
      <c r="E27" s="57" t="s">
        <v>137</v>
      </c>
      <c r="F27" s="57" t="s">
        <v>187</v>
      </c>
      <c r="G27" s="58">
        <v>241.5167</v>
      </c>
      <c r="H27" s="58">
        <v>-20.9456</v>
      </c>
      <c r="I27" s="6" t="s">
        <v>224</v>
      </c>
      <c r="J27" s="6" t="s">
        <v>189</v>
      </c>
      <c r="K27" s="58">
        <v>11.0</v>
      </c>
      <c r="L27" s="5"/>
      <c r="M27" s="59">
        <v>2.0</v>
      </c>
      <c r="N27" s="61">
        <v>137.149753816191</v>
      </c>
      <c r="O27" s="61">
        <v>-13.191</v>
      </c>
      <c r="P27" s="61">
        <v>0.547</v>
      </c>
      <c r="Q27" s="61">
        <v>-21.976</v>
      </c>
      <c r="R27" s="61">
        <v>0.274</v>
      </c>
      <c r="S27" s="60"/>
      <c r="T27" s="60"/>
      <c r="U27" s="58">
        <v>0.0</v>
      </c>
      <c r="V27" s="5"/>
      <c r="W27" s="5"/>
      <c r="X27" s="5"/>
      <c r="Y27" s="83" t="s">
        <v>225</v>
      </c>
      <c r="Z27" s="60"/>
      <c r="AA27" s="60"/>
      <c r="AB27" s="60">
        <v>13.528</v>
      </c>
      <c r="AC27" s="60">
        <v>0.03</v>
      </c>
      <c r="AD27" s="60">
        <v>12.906</v>
      </c>
      <c r="AE27" s="60">
        <v>0.023</v>
      </c>
      <c r="AF27" s="60">
        <v>12.475</v>
      </c>
      <c r="AG27" s="60">
        <v>0.027</v>
      </c>
      <c r="AH27" s="6"/>
      <c r="AI27" s="6"/>
      <c r="AJ27" s="63" t="s">
        <v>201</v>
      </c>
      <c r="AK27" s="64" t="s">
        <v>226</v>
      </c>
      <c r="AL27" s="72" t="s">
        <v>203</v>
      </c>
      <c r="AM27" s="64">
        <v>4.0</v>
      </c>
      <c r="AN27" s="8"/>
      <c r="AO27" s="13"/>
      <c r="AP27" s="13" t="s">
        <v>232</v>
      </c>
      <c r="AQ27" s="64">
        <v>0.5</v>
      </c>
      <c r="AR27" s="78">
        <v>2800.0</v>
      </c>
      <c r="AS27" s="64">
        <v>200.0</v>
      </c>
      <c r="AT27" s="79">
        <v>0.04</v>
      </c>
      <c r="AU27" s="7"/>
      <c r="AV27" s="7"/>
      <c r="AW27" s="7"/>
      <c r="AX27" s="7"/>
      <c r="AY27" s="7"/>
      <c r="AZ27" s="11" t="s">
        <v>162</v>
      </c>
      <c r="BA27" s="68" t="s">
        <v>194</v>
      </c>
      <c r="BB27" s="68">
        <v>-70.0</v>
      </c>
      <c r="BC27" s="11">
        <f t="shared" si="3"/>
        <v>7</v>
      </c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69"/>
      <c r="DN27" s="69"/>
      <c r="DO27" s="69">
        <v>20892.96130854041</v>
      </c>
      <c r="DP27" s="84">
        <v>4.32</v>
      </c>
      <c r="DQ27" s="11"/>
      <c r="DR27" s="84"/>
      <c r="DS27" s="84"/>
      <c r="DT27" s="84"/>
      <c r="DU27" s="84"/>
      <c r="DV27" s="13"/>
      <c r="DW27" s="10"/>
      <c r="DX27" s="81">
        <v>1.58E-11</v>
      </c>
      <c r="DY27" s="7"/>
      <c r="DZ27" s="64" t="s">
        <v>201</v>
      </c>
      <c r="EA27" s="72" t="s">
        <v>205</v>
      </c>
      <c r="EB27" s="85" t="s">
        <v>229</v>
      </c>
    </row>
    <row r="28">
      <c r="A28" s="55" t="s">
        <v>233</v>
      </c>
      <c r="B28" s="56" t="s">
        <v>234</v>
      </c>
      <c r="C28" s="4"/>
      <c r="D28" s="4"/>
      <c r="E28" s="57" t="s">
        <v>137</v>
      </c>
      <c r="F28" s="57" t="s">
        <v>187</v>
      </c>
      <c r="G28" s="58">
        <v>56.1417</v>
      </c>
      <c r="H28" s="58">
        <v>32.1158</v>
      </c>
      <c r="I28" s="6" t="s">
        <v>235</v>
      </c>
      <c r="J28" s="6" t="s">
        <v>189</v>
      </c>
      <c r="K28" s="61">
        <v>2.0</v>
      </c>
      <c r="L28" s="5"/>
      <c r="M28" s="59">
        <v>2.0</v>
      </c>
      <c r="N28" s="61">
        <v>234.94032515741</v>
      </c>
      <c r="O28" s="61">
        <v>5.071</v>
      </c>
      <c r="P28" s="61">
        <v>0.894</v>
      </c>
      <c r="Q28" s="61">
        <v>-7.546</v>
      </c>
      <c r="R28" s="61">
        <v>0.56</v>
      </c>
      <c r="S28" s="60"/>
      <c r="T28" s="60"/>
      <c r="U28" s="59">
        <v>1.06</v>
      </c>
      <c r="V28" s="5"/>
      <c r="W28" s="5"/>
      <c r="X28" s="5"/>
      <c r="Y28" s="83" t="s">
        <v>236</v>
      </c>
      <c r="Z28" s="60">
        <v>19.47</v>
      </c>
      <c r="AA28" s="60"/>
      <c r="AB28" s="60">
        <v>14.02</v>
      </c>
      <c r="AC28" s="60"/>
      <c r="AD28" s="60"/>
      <c r="AE28" s="60"/>
      <c r="AF28" s="60"/>
      <c r="AG28" s="60"/>
      <c r="AH28" s="6"/>
      <c r="AI28" s="6"/>
      <c r="AJ28" s="63" t="s">
        <v>201</v>
      </c>
      <c r="AK28" s="64" t="s">
        <v>202</v>
      </c>
      <c r="AL28" s="72" t="s">
        <v>203</v>
      </c>
      <c r="AM28" s="64">
        <v>4.0</v>
      </c>
      <c r="AN28" s="8"/>
      <c r="AO28" s="13"/>
      <c r="AP28" s="13" t="s">
        <v>237</v>
      </c>
      <c r="AQ28" s="64">
        <v>0.5</v>
      </c>
      <c r="AR28" s="78">
        <v>2850.0</v>
      </c>
      <c r="AS28" s="64">
        <v>200.0</v>
      </c>
      <c r="AT28" s="79">
        <v>0.05</v>
      </c>
      <c r="AU28" s="7"/>
      <c r="AV28" s="7"/>
      <c r="AW28" s="7"/>
      <c r="AX28" s="7"/>
      <c r="AY28" s="7"/>
      <c r="AZ28" s="11" t="s">
        <v>162</v>
      </c>
      <c r="BA28" s="68" t="s">
        <v>194</v>
      </c>
      <c r="BB28" s="68">
        <v>-32.4</v>
      </c>
      <c r="BC28" s="11">
        <f t="shared" si="3"/>
        <v>3.24</v>
      </c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86"/>
      <c r="DN28" s="86"/>
      <c r="DO28" s="69">
        <v>22908.676527677748</v>
      </c>
      <c r="DP28" s="84">
        <v>4.36</v>
      </c>
      <c r="DQ28" s="11"/>
      <c r="DR28" s="84"/>
      <c r="DS28" s="84"/>
      <c r="DT28" s="84"/>
      <c r="DU28" s="84"/>
      <c r="DV28" s="13"/>
      <c r="DW28" s="10"/>
      <c r="DX28" s="81">
        <v>1.0E-11</v>
      </c>
      <c r="DY28" s="7"/>
      <c r="DZ28" s="64" t="s">
        <v>201</v>
      </c>
      <c r="EA28" s="72" t="s">
        <v>205</v>
      </c>
      <c r="EB28" s="82" t="s">
        <v>228</v>
      </c>
    </row>
    <row r="29">
      <c r="A29" s="55" t="s">
        <v>233</v>
      </c>
      <c r="B29" s="56" t="s">
        <v>234</v>
      </c>
      <c r="C29" s="4"/>
      <c r="D29" s="4"/>
      <c r="E29" s="57" t="s">
        <v>137</v>
      </c>
      <c r="F29" s="57" t="s">
        <v>187</v>
      </c>
      <c r="G29" s="58">
        <v>56.1417</v>
      </c>
      <c r="H29" s="58">
        <v>32.1158</v>
      </c>
      <c r="I29" s="6" t="s">
        <v>235</v>
      </c>
      <c r="J29" s="6" t="s">
        <v>189</v>
      </c>
      <c r="K29" s="61">
        <v>2.0</v>
      </c>
      <c r="L29" s="5"/>
      <c r="M29" s="59">
        <v>2.0</v>
      </c>
      <c r="N29" s="61">
        <v>234.94032515741</v>
      </c>
      <c r="O29" s="61">
        <v>5.071</v>
      </c>
      <c r="P29" s="61">
        <v>0.894</v>
      </c>
      <c r="Q29" s="61">
        <v>-7.546</v>
      </c>
      <c r="R29" s="61">
        <v>0.56</v>
      </c>
      <c r="S29" s="60"/>
      <c r="T29" s="60"/>
      <c r="U29" s="59">
        <v>1.06</v>
      </c>
      <c r="V29" s="5"/>
      <c r="W29" s="5"/>
      <c r="X29" s="5"/>
      <c r="Y29" s="83" t="s">
        <v>236</v>
      </c>
      <c r="Z29" s="60">
        <v>19.47</v>
      </c>
      <c r="AA29" s="60"/>
      <c r="AB29" s="60">
        <v>14.02</v>
      </c>
      <c r="AC29" s="60"/>
      <c r="AD29" s="60"/>
      <c r="AE29" s="60"/>
      <c r="AF29" s="60"/>
      <c r="AG29" s="60"/>
      <c r="AH29" s="6"/>
      <c r="AI29" s="6"/>
      <c r="AJ29" s="63" t="s">
        <v>201</v>
      </c>
      <c r="AK29" s="64" t="s">
        <v>202</v>
      </c>
      <c r="AL29" s="72" t="s">
        <v>203</v>
      </c>
      <c r="AM29" s="64">
        <v>4.0</v>
      </c>
      <c r="AN29" s="8"/>
      <c r="AO29" s="13"/>
      <c r="AP29" s="13" t="s">
        <v>237</v>
      </c>
      <c r="AQ29" s="64">
        <v>0.5</v>
      </c>
      <c r="AR29" s="78">
        <v>2850.0</v>
      </c>
      <c r="AS29" s="64">
        <v>200.0</v>
      </c>
      <c r="AT29" s="79">
        <v>0.05</v>
      </c>
      <c r="AU29" s="7"/>
      <c r="AV29" s="7"/>
      <c r="AW29" s="7"/>
      <c r="AX29" s="7"/>
      <c r="AY29" s="7"/>
      <c r="AZ29" s="11" t="s">
        <v>162</v>
      </c>
      <c r="BA29" s="68" t="s">
        <v>194</v>
      </c>
      <c r="BB29" s="68">
        <v>-32.4</v>
      </c>
      <c r="BC29" s="11">
        <f t="shared" si="3"/>
        <v>3.24</v>
      </c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86"/>
      <c r="DN29" s="86"/>
      <c r="DO29" s="69">
        <v>22908.676527677748</v>
      </c>
      <c r="DP29" s="84">
        <v>4.36</v>
      </c>
      <c r="DQ29" s="11"/>
      <c r="DR29" s="84"/>
      <c r="DS29" s="84"/>
      <c r="DT29" s="84"/>
      <c r="DU29" s="84"/>
      <c r="DV29" s="13"/>
      <c r="DW29" s="10"/>
      <c r="DX29" s="81">
        <v>1.58E-11</v>
      </c>
      <c r="DY29" s="7"/>
      <c r="DZ29" s="64" t="s">
        <v>201</v>
      </c>
      <c r="EA29" s="72" t="s">
        <v>205</v>
      </c>
      <c r="EB29" s="82" t="s">
        <v>229</v>
      </c>
    </row>
    <row r="30">
      <c r="A30" s="87" t="s">
        <v>238</v>
      </c>
      <c r="B30" s="88" t="s">
        <v>239</v>
      </c>
      <c r="C30" s="4"/>
      <c r="D30" s="4"/>
      <c r="E30" s="4"/>
      <c r="F30" s="57" t="s">
        <v>187</v>
      </c>
      <c r="G30" s="58">
        <v>69.9458</v>
      </c>
      <c r="H30" s="58">
        <v>26.0281</v>
      </c>
      <c r="I30" s="6" t="s">
        <v>199</v>
      </c>
      <c r="J30" s="6" t="s">
        <v>169</v>
      </c>
      <c r="K30" s="61">
        <v>1.5</v>
      </c>
      <c r="L30" s="5"/>
      <c r="M30" s="60">
        <v>2.0</v>
      </c>
      <c r="N30" s="61">
        <v>147.132389724273</v>
      </c>
      <c r="O30" s="61">
        <v>6.628</v>
      </c>
      <c r="P30" s="61">
        <v>0.483</v>
      </c>
      <c r="Q30" s="61">
        <v>-21.865</v>
      </c>
      <c r="R30" s="61">
        <v>0.309</v>
      </c>
      <c r="S30" s="60">
        <v>16.687</v>
      </c>
      <c r="T30" s="60"/>
      <c r="U30" s="58">
        <v>6.37</v>
      </c>
      <c r="V30" s="59">
        <v>0.85</v>
      </c>
      <c r="W30" s="5"/>
      <c r="X30" s="5"/>
      <c r="Y30" s="83" t="s">
        <v>200</v>
      </c>
      <c r="Z30" s="60"/>
      <c r="AA30" s="60"/>
      <c r="AB30" s="60">
        <v>12.168</v>
      </c>
      <c r="AC30" s="60">
        <v>0.023</v>
      </c>
      <c r="AD30" s="60">
        <v>11.008</v>
      </c>
      <c r="AE30" s="60">
        <v>0.021</v>
      </c>
      <c r="AF30" s="60">
        <v>10.332</v>
      </c>
      <c r="AG30" s="60">
        <v>0.018</v>
      </c>
      <c r="AH30" s="6"/>
      <c r="AI30" s="6"/>
      <c r="AJ30" s="63" t="s">
        <v>201</v>
      </c>
      <c r="AK30" s="64" t="s">
        <v>202</v>
      </c>
      <c r="AL30" s="72" t="s">
        <v>203</v>
      </c>
      <c r="AM30" s="64">
        <v>4.0</v>
      </c>
      <c r="AN30" s="8"/>
      <c r="AO30" s="13"/>
      <c r="AP30" s="13" t="s">
        <v>240</v>
      </c>
      <c r="AQ30" s="64">
        <v>0.5</v>
      </c>
      <c r="AR30" s="78">
        <v>2900.0</v>
      </c>
      <c r="AS30" s="64">
        <v>200.0</v>
      </c>
      <c r="AT30" s="79">
        <v>0.06</v>
      </c>
      <c r="AU30" s="7"/>
      <c r="AV30" s="7"/>
      <c r="AW30" s="7"/>
      <c r="AX30" s="7"/>
      <c r="AY30" s="7"/>
      <c r="AZ30" s="11" t="s">
        <v>162</v>
      </c>
      <c r="BA30" s="68" t="s">
        <v>194</v>
      </c>
      <c r="BB30" s="68">
        <v>-79.0</v>
      </c>
      <c r="BC30" s="11">
        <f t="shared" si="3"/>
        <v>7.9</v>
      </c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2"/>
      <c r="DG30" s="12"/>
      <c r="DH30" s="12"/>
      <c r="DI30" s="12"/>
      <c r="DJ30" s="11"/>
      <c r="DK30" s="11"/>
      <c r="DL30" s="11"/>
      <c r="DM30" s="84">
        <v>-0.1</v>
      </c>
      <c r="DN30" s="84">
        <v>0.1</v>
      </c>
      <c r="DO30" s="69">
        <v>25118.864315095823</v>
      </c>
      <c r="DP30" s="84">
        <v>4.4</v>
      </c>
      <c r="DQ30" s="11"/>
      <c r="DR30" s="84"/>
      <c r="DS30" s="84"/>
      <c r="DT30" s="84"/>
      <c r="DU30" s="84"/>
      <c r="DV30" s="13"/>
      <c r="DW30" s="10"/>
      <c r="DX30" s="81">
        <v>1.26E-11</v>
      </c>
      <c r="DY30" s="7"/>
      <c r="DZ30" s="64" t="s">
        <v>201</v>
      </c>
      <c r="EA30" s="72" t="s">
        <v>205</v>
      </c>
      <c r="EB30" s="89" t="s">
        <v>206</v>
      </c>
    </row>
    <row r="31">
      <c r="A31" s="87" t="s">
        <v>238</v>
      </c>
      <c r="B31" s="88" t="s">
        <v>239</v>
      </c>
      <c r="C31" s="4"/>
      <c r="D31" s="4"/>
      <c r="E31" s="4"/>
      <c r="F31" s="57" t="s">
        <v>187</v>
      </c>
      <c r="G31" s="58">
        <v>69.9458</v>
      </c>
      <c r="H31" s="58">
        <v>26.0281</v>
      </c>
      <c r="I31" s="6" t="s">
        <v>199</v>
      </c>
      <c r="J31" s="6" t="s">
        <v>169</v>
      </c>
      <c r="K31" s="61">
        <v>1.5</v>
      </c>
      <c r="L31" s="5"/>
      <c r="M31" s="60">
        <v>2.0</v>
      </c>
      <c r="N31" s="61">
        <v>147.132389724273</v>
      </c>
      <c r="O31" s="61">
        <v>6.628</v>
      </c>
      <c r="P31" s="61">
        <v>0.483</v>
      </c>
      <c r="Q31" s="61">
        <v>-21.865</v>
      </c>
      <c r="R31" s="61">
        <v>0.309</v>
      </c>
      <c r="S31" s="60">
        <v>16.687</v>
      </c>
      <c r="T31" s="60"/>
      <c r="U31" s="58">
        <v>6.37</v>
      </c>
      <c r="V31" s="59">
        <v>0.85</v>
      </c>
      <c r="W31" s="5"/>
      <c r="X31" s="5"/>
      <c r="Y31" s="83" t="s">
        <v>200</v>
      </c>
      <c r="Z31" s="60"/>
      <c r="AA31" s="60"/>
      <c r="AB31" s="60">
        <v>12.168</v>
      </c>
      <c r="AC31" s="60">
        <v>0.023</v>
      </c>
      <c r="AD31" s="60">
        <v>11.008</v>
      </c>
      <c r="AE31" s="60">
        <v>0.021</v>
      </c>
      <c r="AF31" s="60">
        <v>10.332</v>
      </c>
      <c r="AG31" s="60">
        <v>0.018</v>
      </c>
      <c r="AH31" s="6"/>
      <c r="AI31" s="6"/>
      <c r="AJ31" s="63" t="s">
        <v>201</v>
      </c>
      <c r="AK31" s="64" t="s">
        <v>202</v>
      </c>
      <c r="AL31" s="72" t="s">
        <v>203</v>
      </c>
      <c r="AM31" s="64">
        <v>4.0</v>
      </c>
      <c r="AN31" s="8"/>
      <c r="AO31" s="13"/>
      <c r="AP31" s="13" t="s">
        <v>240</v>
      </c>
      <c r="AQ31" s="64">
        <v>0.5</v>
      </c>
      <c r="AR31" s="78">
        <v>2900.0</v>
      </c>
      <c r="AS31" s="64">
        <v>200.0</v>
      </c>
      <c r="AT31" s="79">
        <v>0.06</v>
      </c>
      <c r="AU31" s="7"/>
      <c r="AV31" s="7"/>
      <c r="AW31" s="7"/>
      <c r="AX31" s="7"/>
      <c r="AY31" s="7"/>
      <c r="AZ31" s="11" t="s">
        <v>162</v>
      </c>
      <c r="BA31" s="68" t="s">
        <v>194</v>
      </c>
      <c r="BB31" s="68">
        <v>-79.0</v>
      </c>
      <c r="BC31" s="11">
        <f t="shared" si="3"/>
        <v>7.9</v>
      </c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2"/>
      <c r="DG31" s="12"/>
      <c r="DH31" s="12"/>
      <c r="DI31" s="12"/>
      <c r="DJ31" s="11"/>
      <c r="DK31" s="11"/>
      <c r="DL31" s="11"/>
      <c r="DM31" s="84">
        <v>-0.1</v>
      </c>
      <c r="DN31" s="84">
        <v>0.1</v>
      </c>
      <c r="DO31" s="69">
        <v>25118.864315095823</v>
      </c>
      <c r="DP31" s="84">
        <v>4.4</v>
      </c>
      <c r="DQ31" s="11"/>
      <c r="DR31" s="84"/>
      <c r="DS31" s="84"/>
      <c r="DT31" s="84"/>
      <c r="DU31" s="84"/>
      <c r="DV31" s="13"/>
      <c r="DW31" s="10"/>
      <c r="DX31" s="81">
        <v>2.0E-11</v>
      </c>
      <c r="DY31" s="7"/>
      <c r="DZ31" s="64" t="s">
        <v>201</v>
      </c>
      <c r="EA31" s="72" t="s">
        <v>205</v>
      </c>
      <c r="EB31" s="89" t="s">
        <v>207</v>
      </c>
    </row>
    <row r="32">
      <c r="A32" s="55" t="s">
        <v>241</v>
      </c>
      <c r="B32" s="56" t="s">
        <v>242</v>
      </c>
      <c r="C32" s="4"/>
      <c r="D32" s="4"/>
      <c r="E32" s="57" t="s">
        <v>137</v>
      </c>
      <c r="F32" s="57" t="s">
        <v>187</v>
      </c>
      <c r="G32" s="58">
        <v>246.9125</v>
      </c>
      <c r="H32" s="58">
        <v>-24.6442</v>
      </c>
      <c r="I32" s="6" t="s">
        <v>158</v>
      </c>
      <c r="J32" s="6" t="s">
        <v>159</v>
      </c>
      <c r="K32" s="58">
        <v>1.0</v>
      </c>
      <c r="L32" s="5"/>
      <c r="M32" s="60">
        <v>2.0</v>
      </c>
      <c r="N32" s="61">
        <v>142.663528069049</v>
      </c>
      <c r="O32" s="61">
        <v>-6.904</v>
      </c>
      <c r="P32" s="61">
        <v>1.086</v>
      </c>
      <c r="Q32" s="61">
        <v>-24.646</v>
      </c>
      <c r="R32" s="61">
        <v>0.719</v>
      </c>
      <c r="S32" s="60"/>
      <c r="T32" s="60"/>
      <c r="U32" s="58">
        <v>6.0</v>
      </c>
      <c r="V32" s="5"/>
      <c r="W32" s="5"/>
      <c r="X32" s="5"/>
      <c r="Y32" s="83" t="s">
        <v>243</v>
      </c>
      <c r="Z32" s="60"/>
      <c r="AA32" s="60"/>
      <c r="AB32" s="60">
        <v>13.271</v>
      </c>
      <c r="AC32" s="60">
        <v>0.026</v>
      </c>
      <c r="AD32" s="60">
        <v>11.932</v>
      </c>
      <c r="AE32" s="60">
        <v>0.024</v>
      </c>
      <c r="AF32" s="60">
        <v>11.076</v>
      </c>
      <c r="AG32" s="60">
        <v>0.025</v>
      </c>
      <c r="AH32" s="6"/>
      <c r="AI32" s="6"/>
      <c r="AJ32" s="63" t="s">
        <v>201</v>
      </c>
      <c r="AK32" s="64" t="s">
        <v>202</v>
      </c>
      <c r="AL32" s="72" t="s">
        <v>203</v>
      </c>
      <c r="AM32" s="64">
        <v>4.0</v>
      </c>
      <c r="AN32" s="8"/>
      <c r="AO32" s="13"/>
      <c r="AP32" s="13" t="s">
        <v>240</v>
      </c>
      <c r="AQ32" s="64">
        <v>0.5</v>
      </c>
      <c r="AR32" s="78">
        <v>2900.0</v>
      </c>
      <c r="AS32" s="64">
        <v>200.0</v>
      </c>
      <c r="AT32" s="79">
        <v>0.06</v>
      </c>
      <c r="AU32" s="7"/>
      <c r="AV32" s="7"/>
      <c r="AW32" s="7"/>
      <c r="AX32" s="7"/>
      <c r="AY32" s="7"/>
      <c r="AZ32" s="11" t="s">
        <v>162</v>
      </c>
      <c r="BA32" s="68" t="s">
        <v>194</v>
      </c>
      <c r="BB32" s="68">
        <v>-17.2</v>
      </c>
      <c r="BC32" s="11">
        <f t="shared" si="3"/>
        <v>1.72</v>
      </c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84">
        <v>-0.2</v>
      </c>
      <c r="DN32" s="84">
        <v>0.1</v>
      </c>
      <c r="DO32" s="69">
        <v>50118.72336272725</v>
      </c>
      <c r="DP32" s="84">
        <v>4.7</v>
      </c>
      <c r="DQ32" s="11"/>
      <c r="DR32" s="84"/>
      <c r="DS32" s="84"/>
      <c r="DT32" s="84"/>
      <c r="DU32" s="84"/>
      <c r="DV32" s="13"/>
      <c r="DW32" s="10"/>
      <c r="DX32" s="81">
        <v>2.51E-11</v>
      </c>
      <c r="DY32" s="7"/>
      <c r="DZ32" s="64" t="s">
        <v>201</v>
      </c>
      <c r="EA32" s="72" t="s">
        <v>205</v>
      </c>
      <c r="EB32" s="82" t="s">
        <v>244</v>
      </c>
    </row>
    <row r="33">
      <c r="A33" s="55" t="s">
        <v>241</v>
      </c>
      <c r="B33" s="56" t="s">
        <v>242</v>
      </c>
      <c r="C33" s="4"/>
      <c r="D33" s="4"/>
      <c r="E33" s="4"/>
      <c r="F33" s="57" t="s">
        <v>187</v>
      </c>
      <c r="G33" s="58">
        <v>246.9125</v>
      </c>
      <c r="H33" s="58">
        <v>-24.6442</v>
      </c>
      <c r="I33" s="6" t="s">
        <v>158</v>
      </c>
      <c r="J33" s="6" t="s">
        <v>159</v>
      </c>
      <c r="K33" s="58">
        <v>1.0</v>
      </c>
      <c r="L33" s="5"/>
      <c r="M33" s="60">
        <v>2.0</v>
      </c>
      <c r="N33" s="61">
        <v>142.663528069049</v>
      </c>
      <c r="O33" s="61">
        <v>-6.904</v>
      </c>
      <c r="P33" s="61">
        <v>1.086</v>
      </c>
      <c r="Q33" s="61">
        <v>-24.646</v>
      </c>
      <c r="R33" s="61">
        <v>0.719</v>
      </c>
      <c r="S33" s="60"/>
      <c r="T33" s="60"/>
      <c r="U33" s="58">
        <v>6.0</v>
      </c>
      <c r="V33" s="5"/>
      <c r="W33" s="5"/>
      <c r="X33" s="5"/>
      <c r="Y33" s="83" t="s">
        <v>243</v>
      </c>
      <c r="Z33" s="60"/>
      <c r="AA33" s="60"/>
      <c r="AB33" s="60">
        <v>13.271</v>
      </c>
      <c r="AC33" s="60">
        <v>0.026</v>
      </c>
      <c r="AD33" s="60">
        <v>11.932</v>
      </c>
      <c r="AE33" s="60">
        <v>0.024</v>
      </c>
      <c r="AF33" s="60">
        <v>11.076</v>
      </c>
      <c r="AG33" s="60">
        <v>0.025</v>
      </c>
      <c r="AH33" s="6"/>
      <c r="AI33" s="6"/>
      <c r="AJ33" s="63" t="s">
        <v>201</v>
      </c>
      <c r="AK33" s="64" t="s">
        <v>202</v>
      </c>
      <c r="AL33" s="72" t="s">
        <v>203</v>
      </c>
      <c r="AM33" s="64">
        <v>4.0</v>
      </c>
      <c r="AN33" s="8"/>
      <c r="AO33" s="13"/>
      <c r="AP33" s="13" t="s">
        <v>240</v>
      </c>
      <c r="AQ33" s="64">
        <v>0.5</v>
      </c>
      <c r="AR33" s="78">
        <v>2900.0</v>
      </c>
      <c r="AS33" s="64">
        <v>200.0</v>
      </c>
      <c r="AT33" s="79">
        <v>0.06</v>
      </c>
      <c r="AU33" s="7"/>
      <c r="AV33" s="7"/>
      <c r="AW33" s="7"/>
      <c r="AX33" s="7"/>
      <c r="AY33" s="7"/>
      <c r="AZ33" s="11" t="s">
        <v>162</v>
      </c>
      <c r="BA33" s="68" t="s">
        <v>194</v>
      </c>
      <c r="BB33" s="68">
        <v>-17.2</v>
      </c>
      <c r="BC33" s="11">
        <f t="shared" si="3"/>
        <v>1.72</v>
      </c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84">
        <v>-0.2</v>
      </c>
      <c r="DN33" s="84">
        <v>0.1</v>
      </c>
      <c r="DO33" s="69">
        <v>50118.72336272725</v>
      </c>
      <c r="DP33" s="84">
        <v>4.7</v>
      </c>
      <c r="DQ33" s="11"/>
      <c r="DR33" s="84"/>
      <c r="DS33" s="84"/>
      <c r="DT33" s="84"/>
      <c r="DU33" s="84"/>
      <c r="DV33" s="13"/>
      <c r="DW33" s="10"/>
      <c r="DX33" s="81">
        <v>3.98E-11</v>
      </c>
      <c r="DY33" s="7"/>
      <c r="DZ33" s="64" t="s">
        <v>201</v>
      </c>
      <c r="EA33" s="72" t="s">
        <v>205</v>
      </c>
      <c r="EB33" s="82" t="s">
        <v>245</v>
      </c>
    </row>
    <row r="34">
      <c r="A34" s="55" t="s">
        <v>246</v>
      </c>
      <c r="B34" s="56" t="s">
        <v>247</v>
      </c>
      <c r="C34" s="4"/>
      <c r="D34" s="3"/>
      <c r="E34" s="3"/>
      <c r="F34" s="57" t="s">
        <v>187</v>
      </c>
      <c r="G34" s="58">
        <v>56.125</v>
      </c>
      <c r="H34" s="58">
        <v>32.1611</v>
      </c>
      <c r="I34" s="6" t="s">
        <v>235</v>
      </c>
      <c r="J34" s="6" t="s">
        <v>169</v>
      </c>
      <c r="K34" s="61">
        <v>2.0</v>
      </c>
      <c r="L34" s="5"/>
      <c r="M34" s="59">
        <v>2.0</v>
      </c>
      <c r="N34" s="61">
        <v>417.955362367299</v>
      </c>
      <c r="O34" s="61">
        <v>3.938</v>
      </c>
      <c r="P34" s="61">
        <v>1.984</v>
      </c>
      <c r="Q34" s="61">
        <v>-6.118</v>
      </c>
      <c r="R34" s="61">
        <v>1.302</v>
      </c>
      <c r="S34" s="60"/>
      <c r="T34" s="60"/>
      <c r="U34" s="61">
        <v>1.35</v>
      </c>
      <c r="V34" s="5"/>
      <c r="W34" s="5"/>
      <c r="X34" s="5"/>
      <c r="Y34" s="62" t="s">
        <v>248</v>
      </c>
      <c r="Z34" s="60"/>
      <c r="AA34" s="60"/>
      <c r="AB34" s="60">
        <v>15.218</v>
      </c>
      <c r="AC34" s="60">
        <v>0.038</v>
      </c>
      <c r="AD34" s="60">
        <v>14.371</v>
      </c>
      <c r="AE34" s="60">
        <v>0.047</v>
      </c>
      <c r="AF34" s="60">
        <v>13.748</v>
      </c>
      <c r="AG34" s="60">
        <v>0.039</v>
      </c>
      <c r="AH34" s="6"/>
      <c r="AI34" s="6"/>
      <c r="AJ34" s="63" t="s">
        <v>201</v>
      </c>
      <c r="AK34" s="64" t="s">
        <v>202</v>
      </c>
      <c r="AL34" s="72" t="s">
        <v>203</v>
      </c>
      <c r="AM34" s="64">
        <v>4.0</v>
      </c>
      <c r="AN34" s="8"/>
      <c r="AO34" s="13"/>
      <c r="AP34" s="13" t="s">
        <v>217</v>
      </c>
      <c r="AQ34" s="64">
        <v>0.5</v>
      </c>
      <c r="AR34" s="78">
        <v>2950.0</v>
      </c>
      <c r="AS34" s="64">
        <v>200.0</v>
      </c>
      <c r="AT34" s="79">
        <v>0.07</v>
      </c>
      <c r="AU34" s="7"/>
      <c r="AV34" s="7"/>
      <c r="AW34" s="7"/>
      <c r="AX34" s="7"/>
      <c r="AY34" s="7"/>
      <c r="AZ34" s="11" t="s">
        <v>162</v>
      </c>
      <c r="BA34" s="68" t="s">
        <v>194</v>
      </c>
      <c r="BB34" s="68">
        <v>-80.0</v>
      </c>
      <c r="BC34" s="11">
        <f t="shared" si="3"/>
        <v>8</v>
      </c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2"/>
      <c r="CU34" s="11"/>
      <c r="CV34" s="11"/>
      <c r="CW34" s="12"/>
      <c r="CX34" s="11"/>
      <c r="CY34" s="11"/>
      <c r="CZ34" s="11"/>
      <c r="DA34" s="11"/>
      <c r="DB34" s="11"/>
      <c r="DC34" s="11"/>
      <c r="DD34" s="11"/>
      <c r="DE34" s="11"/>
      <c r="DF34" s="12"/>
      <c r="DG34" s="12"/>
      <c r="DH34" s="12"/>
      <c r="DI34" s="12"/>
      <c r="DJ34" s="11"/>
      <c r="DK34" s="11"/>
      <c r="DL34" s="11"/>
      <c r="DM34" s="84">
        <v>-1.7</v>
      </c>
      <c r="DN34" s="84">
        <v>0.17</v>
      </c>
      <c r="DO34" s="69">
        <v>478630.092322638</v>
      </c>
      <c r="DP34" s="84">
        <v>5.68</v>
      </c>
      <c r="DQ34" s="12"/>
      <c r="DR34" s="84"/>
      <c r="DS34" s="84"/>
      <c r="DT34" s="84"/>
      <c r="DU34" s="84"/>
      <c r="DV34" s="13"/>
      <c r="DW34" s="10"/>
      <c r="DX34" s="81">
        <v>1.58E-10</v>
      </c>
      <c r="DY34" s="7"/>
      <c r="DZ34" s="64" t="s">
        <v>201</v>
      </c>
      <c r="EA34" s="72" t="s">
        <v>205</v>
      </c>
      <c r="EB34" s="82" t="s">
        <v>249</v>
      </c>
    </row>
    <row r="35">
      <c r="A35" s="55" t="s">
        <v>246</v>
      </c>
      <c r="B35" s="56" t="s">
        <v>247</v>
      </c>
      <c r="C35" s="4"/>
      <c r="D35" s="3"/>
      <c r="E35" s="3"/>
      <c r="F35" s="57" t="s">
        <v>187</v>
      </c>
      <c r="G35" s="58">
        <v>56.125</v>
      </c>
      <c r="H35" s="58">
        <v>32.1611</v>
      </c>
      <c r="I35" s="6" t="s">
        <v>235</v>
      </c>
      <c r="J35" s="6" t="s">
        <v>169</v>
      </c>
      <c r="K35" s="61">
        <v>2.0</v>
      </c>
      <c r="L35" s="5"/>
      <c r="M35" s="59">
        <v>2.0</v>
      </c>
      <c r="N35" s="61">
        <v>417.955362367299</v>
      </c>
      <c r="O35" s="61">
        <v>3.938</v>
      </c>
      <c r="P35" s="61">
        <v>1.984</v>
      </c>
      <c r="Q35" s="61">
        <v>-6.118</v>
      </c>
      <c r="R35" s="61">
        <v>1.302</v>
      </c>
      <c r="S35" s="60"/>
      <c r="T35" s="60"/>
      <c r="U35" s="61">
        <v>1.35</v>
      </c>
      <c r="V35" s="5"/>
      <c r="W35" s="5"/>
      <c r="X35" s="5"/>
      <c r="Y35" s="62" t="s">
        <v>248</v>
      </c>
      <c r="Z35" s="60"/>
      <c r="AA35" s="60"/>
      <c r="AB35" s="60">
        <v>15.218</v>
      </c>
      <c r="AC35" s="60">
        <v>0.038</v>
      </c>
      <c r="AD35" s="60">
        <v>14.371</v>
      </c>
      <c r="AE35" s="60">
        <v>0.047</v>
      </c>
      <c r="AF35" s="60">
        <v>13.748</v>
      </c>
      <c r="AG35" s="60">
        <v>0.039</v>
      </c>
      <c r="AH35" s="6"/>
      <c r="AI35" s="6"/>
      <c r="AJ35" s="63" t="s">
        <v>201</v>
      </c>
      <c r="AK35" s="64" t="s">
        <v>202</v>
      </c>
      <c r="AL35" s="72" t="s">
        <v>203</v>
      </c>
      <c r="AM35" s="64">
        <v>4.0</v>
      </c>
      <c r="AN35" s="8"/>
      <c r="AO35" s="13"/>
      <c r="AP35" s="13" t="s">
        <v>217</v>
      </c>
      <c r="AQ35" s="64">
        <v>0.5</v>
      </c>
      <c r="AR35" s="78">
        <v>2950.0</v>
      </c>
      <c r="AS35" s="64">
        <v>200.0</v>
      </c>
      <c r="AT35" s="79">
        <v>0.07</v>
      </c>
      <c r="AU35" s="7"/>
      <c r="AV35" s="7"/>
      <c r="AW35" s="7"/>
      <c r="AX35" s="7"/>
      <c r="AY35" s="7"/>
      <c r="AZ35" s="11" t="s">
        <v>162</v>
      </c>
      <c r="BA35" s="68" t="s">
        <v>194</v>
      </c>
      <c r="BB35" s="68">
        <v>-80.0</v>
      </c>
      <c r="BC35" s="11">
        <f t="shared" si="3"/>
        <v>8</v>
      </c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2"/>
      <c r="CU35" s="11"/>
      <c r="CV35" s="11"/>
      <c r="CW35" s="12"/>
      <c r="CX35" s="11"/>
      <c r="CY35" s="11"/>
      <c r="CZ35" s="11"/>
      <c r="DA35" s="11"/>
      <c r="DB35" s="11"/>
      <c r="DC35" s="11"/>
      <c r="DD35" s="11"/>
      <c r="DE35" s="11"/>
      <c r="DF35" s="12"/>
      <c r="DG35" s="12"/>
      <c r="DH35" s="12"/>
      <c r="DI35" s="12"/>
      <c r="DJ35" s="11"/>
      <c r="DK35" s="11"/>
      <c r="DL35" s="11"/>
      <c r="DM35" s="84">
        <v>-1.7</v>
      </c>
      <c r="DN35" s="84">
        <v>0.17</v>
      </c>
      <c r="DO35" s="69">
        <v>478630.092322638</v>
      </c>
      <c r="DP35" s="84">
        <v>5.68</v>
      </c>
      <c r="DQ35" s="12"/>
      <c r="DR35" s="84"/>
      <c r="DS35" s="84"/>
      <c r="DT35" s="84"/>
      <c r="DU35" s="84"/>
      <c r="DV35" s="13"/>
      <c r="DW35" s="10"/>
      <c r="DX35" s="81">
        <v>3.98E-10</v>
      </c>
      <c r="DY35" s="7"/>
      <c r="DZ35" s="64" t="s">
        <v>201</v>
      </c>
      <c r="EA35" s="72" t="s">
        <v>205</v>
      </c>
      <c r="EB35" s="82" t="s">
        <v>250</v>
      </c>
    </row>
    <row r="36">
      <c r="A36" s="55" t="s">
        <v>251</v>
      </c>
      <c r="B36" s="56" t="s">
        <v>252</v>
      </c>
      <c r="C36" s="4"/>
      <c r="D36" s="4"/>
      <c r="E36" s="4"/>
      <c r="F36" s="57" t="s">
        <v>168</v>
      </c>
      <c r="G36" s="58">
        <v>66.6208</v>
      </c>
      <c r="H36" s="58">
        <v>26.4039</v>
      </c>
      <c r="I36" s="6" t="s">
        <v>199</v>
      </c>
      <c r="J36" s="6" t="s">
        <v>169</v>
      </c>
      <c r="K36" s="61">
        <v>1.5</v>
      </c>
      <c r="L36" s="5"/>
      <c r="M36" s="60">
        <v>2.0</v>
      </c>
      <c r="N36" s="61">
        <v>155.879785509415</v>
      </c>
      <c r="O36" s="61">
        <v>10.898</v>
      </c>
      <c r="P36" s="61">
        <v>0.364</v>
      </c>
      <c r="Q36" s="61">
        <v>-17.854</v>
      </c>
      <c r="R36" s="61">
        <v>0.289</v>
      </c>
      <c r="S36" s="60">
        <v>17.55</v>
      </c>
      <c r="T36" s="60">
        <v>0.263</v>
      </c>
      <c r="U36" s="60">
        <v>0.82</v>
      </c>
      <c r="V36" s="60">
        <v>0.85</v>
      </c>
      <c r="W36" s="5"/>
      <c r="X36" s="5"/>
      <c r="Y36" s="83" t="s">
        <v>200</v>
      </c>
      <c r="Z36" s="60"/>
      <c r="AA36" s="60"/>
      <c r="AB36" s="60">
        <v>13.323</v>
      </c>
      <c r="AC36" s="60">
        <v>0.022</v>
      </c>
      <c r="AD36" s="60">
        <v>12.501</v>
      </c>
      <c r="AE36" s="60">
        <v>0.022</v>
      </c>
      <c r="AF36" s="60">
        <v>12.079</v>
      </c>
      <c r="AG36" s="60">
        <v>0.021</v>
      </c>
      <c r="AH36" s="6"/>
      <c r="AI36" s="6"/>
      <c r="AJ36" s="63" t="s">
        <v>201</v>
      </c>
      <c r="AK36" s="64" t="s">
        <v>202</v>
      </c>
      <c r="AL36" s="72" t="s">
        <v>203</v>
      </c>
      <c r="AM36" s="64">
        <v>4.0</v>
      </c>
      <c r="AN36" s="8"/>
      <c r="AO36" s="13"/>
      <c r="AP36" s="13" t="s">
        <v>253</v>
      </c>
      <c r="AQ36" s="64">
        <v>0.5</v>
      </c>
      <c r="AR36" s="78">
        <v>3000.0</v>
      </c>
      <c r="AS36" s="64">
        <v>200.0</v>
      </c>
      <c r="AT36" s="79">
        <v>0.08</v>
      </c>
      <c r="AU36" s="7"/>
      <c r="AV36" s="7"/>
      <c r="AW36" s="7"/>
      <c r="AX36" s="7"/>
      <c r="AY36" s="7"/>
      <c r="AZ36" s="11" t="s">
        <v>162</v>
      </c>
      <c r="BA36" s="68" t="s">
        <v>194</v>
      </c>
      <c r="BB36" s="68">
        <v>-97.7</v>
      </c>
      <c r="BC36" s="11">
        <f t="shared" si="3"/>
        <v>9.77</v>
      </c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68">
        <v>-1.6</v>
      </c>
      <c r="CY36" s="68">
        <v>0.16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84">
        <v>-0.5</v>
      </c>
      <c r="DN36" s="84">
        <v>0.1</v>
      </c>
      <c r="DO36" s="69">
        <v>151356.12484362072</v>
      </c>
      <c r="DP36" s="84">
        <v>5.18</v>
      </c>
      <c r="DQ36" s="11"/>
      <c r="DR36" s="84"/>
      <c r="DS36" s="84"/>
      <c r="DT36" s="84"/>
      <c r="DU36" s="84"/>
      <c r="DV36" s="13"/>
      <c r="DW36" s="10"/>
      <c r="DX36" s="81">
        <v>6.31E-11</v>
      </c>
      <c r="DY36" s="7"/>
      <c r="DZ36" s="64" t="s">
        <v>201</v>
      </c>
      <c r="EA36" s="72" t="s">
        <v>205</v>
      </c>
      <c r="EB36" s="85" t="s">
        <v>206</v>
      </c>
    </row>
    <row r="37">
      <c r="A37" s="55" t="s">
        <v>251</v>
      </c>
      <c r="B37" s="56" t="s">
        <v>252</v>
      </c>
      <c r="C37" s="4"/>
      <c r="D37" s="4"/>
      <c r="E37" s="4"/>
      <c r="F37" s="57" t="s">
        <v>168</v>
      </c>
      <c r="G37" s="58">
        <v>66.6208</v>
      </c>
      <c r="H37" s="58">
        <v>26.4039</v>
      </c>
      <c r="I37" s="6" t="s">
        <v>199</v>
      </c>
      <c r="J37" s="6" t="s">
        <v>169</v>
      </c>
      <c r="K37" s="61">
        <v>1.5</v>
      </c>
      <c r="L37" s="5"/>
      <c r="M37" s="60">
        <v>2.0</v>
      </c>
      <c r="N37" s="61">
        <v>155.879785509415</v>
      </c>
      <c r="O37" s="61">
        <v>10.898</v>
      </c>
      <c r="P37" s="61">
        <v>0.364</v>
      </c>
      <c r="Q37" s="61">
        <v>-17.854</v>
      </c>
      <c r="R37" s="61">
        <v>0.289</v>
      </c>
      <c r="S37" s="60">
        <v>17.55</v>
      </c>
      <c r="T37" s="60">
        <v>0.263</v>
      </c>
      <c r="U37" s="60">
        <v>0.82</v>
      </c>
      <c r="V37" s="60">
        <v>0.85</v>
      </c>
      <c r="W37" s="5"/>
      <c r="X37" s="5"/>
      <c r="Y37" s="83" t="s">
        <v>200</v>
      </c>
      <c r="Z37" s="60"/>
      <c r="AA37" s="60"/>
      <c r="AB37" s="60">
        <v>13.323</v>
      </c>
      <c r="AC37" s="60">
        <v>0.022</v>
      </c>
      <c r="AD37" s="60">
        <v>12.501</v>
      </c>
      <c r="AE37" s="60">
        <v>0.022</v>
      </c>
      <c r="AF37" s="60">
        <v>12.079</v>
      </c>
      <c r="AG37" s="60">
        <v>0.021</v>
      </c>
      <c r="AH37" s="6"/>
      <c r="AI37" s="6"/>
      <c r="AJ37" s="63" t="s">
        <v>201</v>
      </c>
      <c r="AK37" s="64" t="s">
        <v>202</v>
      </c>
      <c r="AL37" s="72" t="s">
        <v>203</v>
      </c>
      <c r="AM37" s="64">
        <v>4.0</v>
      </c>
      <c r="AN37" s="8"/>
      <c r="AO37" s="13"/>
      <c r="AP37" s="13" t="s">
        <v>253</v>
      </c>
      <c r="AQ37" s="64">
        <v>0.5</v>
      </c>
      <c r="AR37" s="78">
        <v>3000.0</v>
      </c>
      <c r="AS37" s="64">
        <v>200.0</v>
      </c>
      <c r="AT37" s="79">
        <v>0.08</v>
      </c>
      <c r="AU37" s="7"/>
      <c r="AV37" s="7"/>
      <c r="AW37" s="7"/>
      <c r="AX37" s="7"/>
      <c r="AY37" s="7"/>
      <c r="AZ37" s="11" t="s">
        <v>162</v>
      </c>
      <c r="BA37" s="68" t="s">
        <v>194</v>
      </c>
      <c r="BB37" s="68">
        <v>-97.7</v>
      </c>
      <c r="BC37" s="11">
        <f t="shared" si="3"/>
        <v>9.77</v>
      </c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68">
        <v>-1.6</v>
      </c>
      <c r="CY37" s="68">
        <v>0.16</v>
      </c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84">
        <v>-0.5</v>
      </c>
      <c r="DN37" s="84">
        <v>0.1</v>
      </c>
      <c r="DO37" s="69">
        <v>151356.12484362072</v>
      </c>
      <c r="DP37" s="84">
        <v>5.18</v>
      </c>
      <c r="DQ37" s="11"/>
      <c r="DR37" s="84"/>
      <c r="DS37" s="84"/>
      <c r="DT37" s="84"/>
      <c r="DU37" s="84"/>
      <c r="DV37" s="13"/>
      <c r="DW37" s="10"/>
      <c r="DX37" s="81">
        <v>1.26E-10</v>
      </c>
      <c r="DY37" s="7"/>
      <c r="DZ37" s="64" t="s">
        <v>201</v>
      </c>
      <c r="EA37" s="72" t="s">
        <v>205</v>
      </c>
      <c r="EB37" s="85" t="s">
        <v>207</v>
      </c>
    </row>
    <row r="38">
      <c r="A38" s="55" t="s">
        <v>254</v>
      </c>
      <c r="B38" s="56" t="s">
        <v>255</v>
      </c>
      <c r="C38" s="4"/>
      <c r="D38" s="4"/>
      <c r="E38" s="4"/>
      <c r="F38" s="57" t="s">
        <v>168</v>
      </c>
      <c r="G38" s="58">
        <v>285.389904</v>
      </c>
      <c r="H38" s="58">
        <v>-37.00846541</v>
      </c>
      <c r="I38" s="6" t="s">
        <v>256</v>
      </c>
      <c r="J38" s="6" t="s">
        <v>257</v>
      </c>
      <c r="K38" s="58">
        <v>10.0</v>
      </c>
      <c r="L38" s="5"/>
      <c r="M38" s="59">
        <v>2.0</v>
      </c>
      <c r="N38" s="61">
        <v>147.544853635505</v>
      </c>
      <c r="O38" s="61">
        <v>4.467</v>
      </c>
      <c r="P38" s="61">
        <v>0.71</v>
      </c>
      <c r="Q38" s="61">
        <v>-26.064</v>
      </c>
      <c r="R38" s="61">
        <v>0.617</v>
      </c>
      <c r="S38" s="60"/>
      <c r="T38" s="60"/>
      <c r="U38" s="6"/>
      <c r="V38" s="5"/>
      <c r="W38" s="5"/>
      <c r="X38" s="5"/>
      <c r="Y38" s="6"/>
      <c r="Z38" s="60"/>
      <c r="AA38" s="60"/>
      <c r="AB38" s="60">
        <v>15.178</v>
      </c>
      <c r="AC38" s="60">
        <v>0.052</v>
      </c>
      <c r="AD38" s="60">
        <v>14.526</v>
      </c>
      <c r="AE38" s="60">
        <v>0.061</v>
      </c>
      <c r="AF38" s="60">
        <v>13.972</v>
      </c>
      <c r="AG38" s="60">
        <v>0.053</v>
      </c>
      <c r="AH38" s="6"/>
      <c r="AI38" s="6"/>
      <c r="AJ38" s="63" t="s">
        <v>201</v>
      </c>
      <c r="AK38" s="64" t="s">
        <v>226</v>
      </c>
      <c r="AL38" s="72" t="s">
        <v>203</v>
      </c>
      <c r="AM38" s="64">
        <v>4.0</v>
      </c>
      <c r="AN38" s="8"/>
      <c r="AO38" s="13"/>
      <c r="AP38" s="13" t="s">
        <v>217</v>
      </c>
      <c r="AQ38" s="64">
        <v>0.5</v>
      </c>
      <c r="AR38" s="78">
        <v>2950.0</v>
      </c>
      <c r="AS38" s="64">
        <v>200.0</v>
      </c>
      <c r="AT38" s="79">
        <v>0.08</v>
      </c>
      <c r="AU38" s="7"/>
      <c r="AV38" s="7"/>
      <c r="AW38" s="7"/>
      <c r="AX38" s="7"/>
      <c r="AY38" s="7"/>
      <c r="AZ38" s="11" t="s">
        <v>162</v>
      </c>
      <c r="BA38" s="68" t="s">
        <v>194</v>
      </c>
      <c r="BB38" s="68">
        <v>-53.0</v>
      </c>
      <c r="BC38" s="11">
        <f t="shared" si="3"/>
        <v>5.3</v>
      </c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84">
        <v>-9.6</v>
      </c>
      <c r="DN38" s="86">
        <f>abs(DM38)*0.1</f>
        <v>0.96</v>
      </c>
      <c r="DO38" s="69">
        <v>3162277.6601683795</v>
      </c>
      <c r="DP38" s="84">
        <v>6.5</v>
      </c>
      <c r="DQ38" s="11"/>
      <c r="DR38" s="84"/>
      <c r="DS38" s="84"/>
      <c r="DT38" s="84"/>
      <c r="DU38" s="84"/>
      <c r="DV38" s="13"/>
      <c r="DW38" s="10"/>
      <c r="DX38" s="73">
        <v>1.0E-9</v>
      </c>
      <c r="DY38" s="7"/>
      <c r="DZ38" s="64" t="s">
        <v>201</v>
      </c>
      <c r="EA38" s="72" t="s">
        <v>205</v>
      </c>
      <c r="EB38" s="85" t="s">
        <v>258</v>
      </c>
    </row>
    <row r="39">
      <c r="A39" s="55" t="s">
        <v>254</v>
      </c>
      <c r="B39" s="56" t="s">
        <v>255</v>
      </c>
      <c r="C39" s="4"/>
      <c r="D39" s="4"/>
      <c r="E39" s="4"/>
      <c r="F39" s="57" t="s">
        <v>168</v>
      </c>
      <c r="G39" s="58">
        <v>285.389904</v>
      </c>
      <c r="H39" s="58">
        <v>-37.00846541</v>
      </c>
      <c r="I39" s="6" t="s">
        <v>256</v>
      </c>
      <c r="J39" s="6" t="s">
        <v>257</v>
      </c>
      <c r="K39" s="58">
        <v>10.0</v>
      </c>
      <c r="L39" s="5"/>
      <c r="M39" s="59">
        <v>2.0</v>
      </c>
      <c r="N39" s="61">
        <v>147.544853635505</v>
      </c>
      <c r="O39" s="61">
        <v>4.467</v>
      </c>
      <c r="P39" s="61">
        <v>0.71</v>
      </c>
      <c r="Q39" s="61">
        <v>-26.064</v>
      </c>
      <c r="R39" s="61">
        <v>0.617</v>
      </c>
      <c r="S39" s="60"/>
      <c r="T39" s="60"/>
      <c r="U39" s="6"/>
      <c r="V39" s="5"/>
      <c r="W39" s="5"/>
      <c r="X39" s="5"/>
      <c r="Y39" s="6"/>
      <c r="Z39" s="60"/>
      <c r="AA39" s="60"/>
      <c r="AB39" s="60">
        <v>15.178</v>
      </c>
      <c r="AC39" s="60">
        <v>0.052</v>
      </c>
      <c r="AD39" s="60">
        <v>14.526</v>
      </c>
      <c r="AE39" s="60">
        <v>0.061</v>
      </c>
      <c r="AF39" s="60">
        <v>13.972</v>
      </c>
      <c r="AG39" s="60">
        <v>0.053</v>
      </c>
      <c r="AH39" s="6"/>
      <c r="AI39" s="6"/>
      <c r="AJ39" s="63" t="s">
        <v>201</v>
      </c>
      <c r="AK39" s="64" t="s">
        <v>226</v>
      </c>
      <c r="AL39" s="72" t="s">
        <v>203</v>
      </c>
      <c r="AM39" s="64">
        <v>4.0</v>
      </c>
      <c r="AN39" s="8"/>
      <c r="AO39" s="13"/>
      <c r="AP39" s="13" t="s">
        <v>217</v>
      </c>
      <c r="AQ39" s="64">
        <v>0.5</v>
      </c>
      <c r="AR39" s="78">
        <v>2950.0</v>
      </c>
      <c r="AS39" s="64">
        <v>200.0</v>
      </c>
      <c r="AT39" s="79">
        <v>0.08</v>
      </c>
      <c r="AU39" s="7"/>
      <c r="AV39" s="7"/>
      <c r="AW39" s="7"/>
      <c r="AX39" s="7"/>
      <c r="AY39" s="7"/>
      <c r="AZ39" s="11" t="s">
        <v>162</v>
      </c>
      <c r="BA39" s="68" t="s">
        <v>194</v>
      </c>
      <c r="BB39" s="68">
        <v>-53.0</v>
      </c>
      <c r="BC39" s="11">
        <f t="shared" si="3"/>
        <v>5.3</v>
      </c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84">
        <v>-9.6</v>
      </c>
      <c r="DN39" s="84">
        <v>0.96</v>
      </c>
      <c r="DO39" s="69">
        <v>3162277.6601683795</v>
      </c>
      <c r="DP39" s="84">
        <v>6.5</v>
      </c>
      <c r="DQ39" s="11"/>
      <c r="DR39" s="84"/>
      <c r="DS39" s="84"/>
      <c r="DT39" s="84"/>
      <c r="DU39" s="84"/>
      <c r="DV39" s="13"/>
      <c r="DW39" s="10"/>
      <c r="DX39" s="81">
        <v>3.16E-9</v>
      </c>
      <c r="DY39" s="7"/>
      <c r="DZ39" s="64" t="s">
        <v>201</v>
      </c>
      <c r="EA39" s="72" t="s">
        <v>205</v>
      </c>
      <c r="EB39" s="85" t="s">
        <v>259</v>
      </c>
    </row>
    <row r="40">
      <c r="A40" s="55" t="s">
        <v>260</v>
      </c>
      <c r="B40" s="56" t="s">
        <v>260</v>
      </c>
      <c r="C40" s="4"/>
      <c r="D40" s="4"/>
      <c r="E40" s="57" t="s">
        <v>137</v>
      </c>
      <c r="F40" s="57" t="s">
        <v>168</v>
      </c>
      <c r="G40" s="58">
        <v>68.06693976</v>
      </c>
      <c r="H40" s="58">
        <v>18.21288431</v>
      </c>
      <c r="I40" s="6" t="s">
        <v>199</v>
      </c>
      <c r="J40" s="6" t="s">
        <v>169</v>
      </c>
      <c r="K40" s="61">
        <v>1.5</v>
      </c>
      <c r="L40" s="5"/>
      <c r="M40" s="59">
        <v>2.0</v>
      </c>
      <c r="N40" s="61">
        <v>144.62152546785</v>
      </c>
      <c r="O40" s="61">
        <v>13.081</v>
      </c>
      <c r="P40" s="61">
        <v>0.202</v>
      </c>
      <c r="Q40" s="61">
        <v>-17.566</v>
      </c>
      <c r="R40" s="61">
        <v>0.114</v>
      </c>
      <c r="S40" s="60"/>
      <c r="T40" s="60"/>
      <c r="U40" s="61">
        <v>0.11</v>
      </c>
      <c r="V40" s="5"/>
      <c r="W40" s="5"/>
      <c r="X40" s="5"/>
      <c r="Y40" s="62" t="s">
        <v>248</v>
      </c>
      <c r="Z40" s="60"/>
      <c r="AA40" s="60"/>
      <c r="AB40" s="60">
        <v>11.07</v>
      </c>
      <c r="AC40" s="60">
        <v>0.026</v>
      </c>
      <c r="AD40" s="60">
        <v>10.39</v>
      </c>
      <c r="AE40" s="60">
        <v>0.03</v>
      </c>
      <c r="AF40" s="60">
        <v>10.063</v>
      </c>
      <c r="AG40" s="60">
        <v>0.022</v>
      </c>
      <c r="AH40" s="6"/>
      <c r="AI40" s="6"/>
      <c r="AJ40" s="63" t="s">
        <v>201</v>
      </c>
      <c r="AK40" s="64" t="s">
        <v>202</v>
      </c>
      <c r="AL40" s="72" t="s">
        <v>203</v>
      </c>
      <c r="AM40" s="64">
        <v>4.0</v>
      </c>
      <c r="AN40" s="8"/>
      <c r="AO40" s="13"/>
      <c r="AP40" s="13" t="s">
        <v>253</v>
      </c>
      <c r="AQ40" s="64">
        <v>0.5</v>
      </c>
      <c r="AR40" s="78">
        <v>3000.0</v>
      </c>
      <c r="AS40" s="64">
        <v>200.0</v>
      </c>
      <c r="AT40" s="79">
        <v>0.1</v>
      </c>
      <c r="AU40" s="7"/>
      <c r="AV40" s="7"/>
      <c r="AW40" s="7"/>
      <c r="AX40" s="7"/>
      <c r="AY40" s="7"/>
      <c r="AZ40" s="11" t="s">
        <v>162</v>
      </c>
      <c r="BA40" s="68" t="s">
        <v>194</v>
      </c>
      <c r="BB40" s="68">
        <v>-37.0</v>
      </c>
      <c r="BC40" s="11">
        <f t="shared" si="3"/>
        <v>3.7</v>
      </c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86"/>
      <c r="DN40" s="86"/>
      <c r="DO40" s="69">
        <v>30199.51720402019</v>
      </c>
      <c r="DP40" s="84">
        <v>4.48</v>
      </c>
      <c r="DQ40" s="11"/>
      <c r="DR40" s="84"/>
      <c r="DS40" s="84"/>
      <c r="DT40" s="84"/>
      <c r="DU40" s="84"/>
      <c r="DV40" s="13"/>
      <c r="DW40" s="10"/>
      <c r="DX40" s="81">
        <v>1.26E-11</v>
      </c>
      <c r="DY40" s="7"/>
      <c r="DZ40" s="64" t="s">
        <v>201</v>
      </c>
      <c r="EA40" s="72" t="s">
        <v>205</v>
      </c>
      <c r="EB40" s="82" t="s">
        <v>206</v>
      </c>
    </row>
    <row r="41">
      <c r="A41" s="55" t="s">
        <v>260</v>
      </c>
      <c r="B41" s="56" t="s">
        <v>260</v>
      </c>
      <c r="C41" s="4"/>
      <c r="D41" s="4"/>
      <c r="E41" s="57" t="s">
        <v>137</v>
      </c>
      <c r="F41" s="57" t="s">
        <v>168</v>
      </c>
      <c r="G41" s="58">
        <v>68.06693976</v>
      </c>
      <c r="H41" s="58">
        <v>18.21288431</v>
      </c>
      <c r="I41" s="6" t="s">
        <v>199</v>
      </c>
      <c r="J41" s="6" t="s">
        <v>169</v>
      </c>
      <c r="K41" s="61">
        <v>1.5</v>
      </c>
      <c r="L41" s="5"/>
      <c r="M41" s="59">
        <v>2.0</v>
      </c>
      <c r="N41" s="61">
        <v>144.62152546785</v>
      </c>
      <c r="O41" s="61">
        <v>13.081</v>
      </c>
      <c r="P41" s="61">
        <v>0.202</v>
      </c>
      <c r="Q41" s="61">
        <v>-17.566</v>
      </c>
      <c r="R41" s="61">
        <v>0.114</v>
      </c>
      <c r="S41" s="60"/>
      <c r="T41" s="60"/>
      <c r="U41" s="61">
        <v>0.11</v>
      </c>
      <c r="V41" s="5"/>
      <c r="W41" s="5"/>
      <c r="X41" s="5"/>
      <c r="Y41" s="62" t="s">
        <v>248</v>
      </c>
      <c r="Z41" s="60"/>
      <c r="AA41" s="60"/>
      <c r="AB41" s="60">
        <v>11.07</v>
      </c>
      <c r="AC41" s="60">
        <v>0.026</v>
      </c>
      <c r="AD41" s="60">
        <v>10.39</v>
      </c>
      <c r="AE41" s="60">
        <v>0.03</v>
      </c>
      <c r="AF41" s="60">
        <v>10.063</v>
      </c>
      <c r="AG41" s="60">
        <v>0.022</v>
      </c>
      <c r="AH41" s="6"/>
      <c r="AI41" s="6"/>
      <c r="AJ41" s="63" t="s">
        <v>201</v>
      </c>
      <c r="AK41" s="64" t="s">
        <v>202</v>
      </c>
      <c r="AL41" s="72" t="s">
        <v>203</v>
      </c>
      <c r="AM41" s="64">
        <v>4.0</v>
      </c>
      <c r="AN41" s="8"/>
      <c r="AO41" s="13"/>
      <c r="AP41" s="13" t="s">
        <v>253</v>
      </c>
      <c r="AQ41" s="64">
        <v>0.5</v>
      </c>
      <c r="AR41" s="78">
        <v>3000.0</v>
      </c>
      <c r="AS41" s="64">
        <v>200.0</v>
      </c>
      <c r="AT41" s="79">
        <v>0.1</v>
      </c>
      <c r="AU41" s="7"/>
      <c r="AV41" s="7"/>
      <c r="AW41" s="7"/>
      <c r="AX41" s="7"/>
      <c r="AY41" s="7"/>
      <c r="AZ41" s="11" t="s">
        <v>162</v>
      </c>
      <c r="BA41" s="68" t="s">
        <v>194</v>
      </c>
      <c r="BB41" s="68">
        <v>-37.0</v>
      </c>
      <c r="BC41" s="11">
        <f t="shared" si="3"/>
        <v>3.7</v>
      </c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86"/>
      <c r="DN41" s="86"/>
      <c r="DO41" s="69">
        <v>30199.51720402019</v>
      </c>
      <c r="DP41" s="84">
        <v>4.48</v>
      </c>
      <c r="DQ41" s="11"/>
      <c r="DR41" s="84"/>
      <c r="DS41" s="84"/>
      <c r="DT41" s="84"/>
      <c r="DU41" s="84"/>
      <c r="DV41" s="13"/>
      <c r="DW41" s="10"/>
      <c r="DX41" s="81">
        <v>2.0E-11</v>
      </c>
      <c r="DY41" s="7"/>
      <c r="DZ41" s="64" t="s">
        <v>201</v>
      </c>
      <c r="EA41" s="72" t="s">
        <v>205</v>
      </c>
      <c r="EB41" s="85" t="s">
        <v>207</v>
      </c>
    </row>
    <row r="42">
      <c r="A42" s="55" t="s">
        <v>261</v>
      </c>
      <c r="B42" s="56" t="s">
        <v>262</v>
      </c>
      <c r="C42" s="4"/>
      <c r="D42" s="4"/>
      <c r="E42" s="4"/>
      <c r="F42" s="57" t="s">
        <v>168</v>
      </c>
      <c r="G42" s="61">
        <v>56.1241766666666</v>
      </c>
      <c r="H42" s="61">
        <v>32.0151666666666</v>
      </c>
      <c r="I42" s="6" t="s">
        <v>235</v>
      </c>
      <c r="J42" s="6" t="s">
        <v>169</v>
      </c>
      <c r="K42" s="61">
        <v>2.0</v>
      </c>
      <c r="L42" s="5"/>
      <c r="M42" s="59">
        <v>2.0</v>
      </c>
      <c r="N42" s="61">
        <v>490.436488474742</v>
      </c>
      <c r="O42" s="61">
        <v>3.016</v>
      </c>
      <c r="P42" s="61">
        <v>0.94</v>
      </c>
      <c r="Q42" s="61">
        <v>-7.614</v>
      </c>
      <c r="R42" s="61">
        <v>0.501</v>
      </c>
      <c r="S42" s="60">
        <v>15.43</v>
      </c>
      <c r="T42" s="60">
        <v>0.189</v>
      </c>
      <c r="U42" s="59">
        <v>1.21</v>
      </c>
      <c r="V42" s="5"/>
      <c r="W42" s="5"/>
      <c r="X42" s="5"/>
      <c r="Y42" s="62" t="s">
        <v>248</v>
      </c>
      <c r="Z42" s="60"/>
      <c r="AA42" s="60"/>
      <c r="AB42" s="60">
        <v>13.668</v>
      </c>
      <c r="AC42" s="60">
        <v>0.022</v>
      </c>
      <c r="AD42" s="60">
        <v>12.867</v>
      </c>
      <c r="AE42" s="60">
        <v>0.021</v>
      </c>
      <c r="AF42" s="60">
        <v>12.327</v>
      </c>
      <c r="AG42" s="60">
        <v>0.023</v>
      </c>
      <c r="AH42" s="6"/>
      <c r="AI42" s="6"/>
      <c r="AJ42" s="63" t="s">
        <v>201</v>
      </c>
      <c r="AK42" s="64" t="s">
        <v>202</v>
      </c>
      <c r="AL42" s="64" t="s">
        <v>203</v>
      </c>
      <c r="AM42" s="64">
        <v>4.0</v>
      </c>
      <c r="AN42" s="8"/>
      <c r="AO42" s="13"/>
      <c r="AP42" s="13" t="s">
        <v>253</v>
      </c>
      <c r="AQ42" s="64">
        <v>0.5</v>
      </c>
      <c r="AR42" s="78">
        <v>3000.0</v>
      </c>
      <c r="AS42" s="64">
        <v>200.0</v>
      </c>
      <c r="AT42" s="79">
        <v>0.1</v>
      </c>
      <c r="AU42" s="7"/>
      <c r="AV42" s="7"/>
      <c r="AW42" s="7"/>
      <c r="AX42" s="7"/>
      <c r="AY42" s="7"/>
      <c r="AZ42" s="11" t="s">
        <v>162</v>
      </c>
      <c r="BA42" s="68" t="s">
        <v>194</v>
      </c>
      <c r="BB42" s="90">
        <v>-93.0</v>
      </c>
      <c r="BC42" s="11">
        <f t="shared" si="3"/>
        <v>9.3</v>
      </c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91">
        <v>-0.4</v>
      </c>
      <c r="DN42" s="84">
        <v>0.1</v>
      </c>
      <c r="DO42" s="69">
        <v>120226.4434617413</v>
      </c>
      <c r="DP42" s="91">
        <v>5.08</v>
      </c>
      <c r="DQ42" s="11"/>
      <c r="DR42" s="91"/>
      <c r="DS42" s="91"/>
      <c r="DT42" s="91"/>
      <c r="DU42" s="91"/>
      <c r="DV42" s="92"/>
      <c r="DW42" s="10"/>
      <c r="DX42" s="81">
        <v>5.01E-11</v>
      </c>
      <c r="DY42" s="7"/>
      <c r="DZ42" s="64" t="s">
        <v>201</v>
      </c>
      <c r="EA42" s="72" t="s">
        <v>205</v>
      </c>
      <c r="EB42" s="82" t="s">
        <v>249</v>
      </c>
    </row>
    <row r="43">
      <c r="A43" s="55" t="s">
        <v>261</v>
      </c>
      <c r="B43" s="56" t="s">
        <v>262</v>
      </c>
      <c r="C43" s="4"/>
      <c r="D43" s="4"/>
      <c r="E43" s="4"/>
      <c r="F43" s="57" t="s">
        <v>168</v>
      </c>
      <c r="G43" s="61">
        <v>56.1241766666666</v>
      </c>
      <c r="H43" s="61">
        <v>32.0151666666666</v>
      </c>
      <c r="I43" s="6" t="s">
        <v>235</v>
      </c>
      <c r="J43" s="6" t="s">
        <v>169</v>
      </c>
      <c r="K43" s="61">
        <v>2.0</v>
      </c>
      <c r="L43" s="5"/>
      <c r="M43" s="59">
        <v>2.0</v>
      </c>
      <c r="N43" s="61">
        <v>490.436488474742</v>
      </c>
      <c r="O43" s="61">
        <v>3.016</v>
      </c>
      <c r="P43" s="61">
        <v>0.94</v>
      </c>
      <c r="Q43" s="61">
        <v>-7.614</v>
      </c>
      <c r="R43" s="61">
        <v>0.501</v>
      </c>
      <c r="S43" s="60">
        <v>15.43</v>
      </c>
      <c r="T43" s="60">
        <v>0.189</v>
      </c>
      <c r="U43" s="59">
        <v>1.21</v>
      </c>
      <c r="V43" s="5"/>
      <c r="W43" s="5"/>
      <c r="X43" s="5"/>
      <c r="Y43" s="62" t="s">
        <v>248</v>
      </c>
      <c r="Z43" s="60"/>
      <c r="AA43" s="60"/>
      <c r="AB43" s="60">
        <v>13.668</v>
      </c>
      <c r="AC43" s="60">
        <v>0.022</v>
      </c>
      <c r="AD43" s="60">
        <v>12.867</v>
      </c>
      <c r="AE43" s="60">
        <v>0.021</v>
      </c>
      <c r="AF43" s="60">
        <v>12.327</v>
      </c>
      <c r="AG43" s="60">
        <v>0.023</v>
      </c>
      <c r="AH43" s="6"/>
      <c r="AI43" s="6"/>
      <c r="AJ43" s="63" t="s">
        <v>201</v>
      </c>
      <c r="AK43" s="64" t="s">
        <v>202</v>
      </c>
      <c r="AL43" s="64" t="s">
        <v>203</v>
      </c>
      <c r="AM43" s="64">
        <v>4.0</v>
      </c>
      <c r="AN43" s="8"/>
      <c r="AO43" s="13"/>
      <c r="AP43" s="13" t="s">
        <v>253</v>
      </c>
      <c r="AQ43" s="64">
        <v>0.5</v>
      </c>
      <c r="AR43" s="78">
        <v>3000.0</v>
      </c>
      <c r="AS43" s="64">
        <v>200.0</v>
      </c>
      <c r="AT43" s="79">
        <v>0.1</v>
      </c>
      <c r="AU43" s="7"/>
      <c r="AV43" s="7"/>
      <c r="AW43" s="7"/>
      <c r="AX43" s="7"/>
      <c r="AY43" s="7"/>
      <c r="AZ43" s="11" t="s">
        <v>162</v>
      </c>
      <c r="BA43" s="68" t="s">
        <v>194</v>
      </c>
      <c r="BB43" s="90">
        <v>-93.0</v>
      </c>
      <c r="BC43" s="11">
        <f t="shared" si="3"/>
        <v>9.3</v>
      </c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91">
        <v>-0.4</v>
      </c>
      <c r="DN43" s="84">
        <v>0.1</v>
      </c>
      <c r="DO43" s="69">
        <v>120226.4434617413</v>
      </c>
      <c r="DP43" s="91">
        <v>5.08</v>
      </c>
      <c r="DQ43" s="11"/>
      <c r="DR43" s="91"/>
      <c r="DS43" s="91"/>
      <c r="DT43" s="91"/>
      <c r="DU43" s="91"/>
      <c r="DV43" s="92"/>
      <c r="DW43" s="10"/>
      <c r="DX43" s="81">
        <v>1.0E-10</v>
      </c>
      <c r="DY43" s="7"/>
      <c r="DZ43" s="64" t="s">
        <v>201</v>
      </c>
      <c r="EA43" s="72" t="s">
        <v>205</v>
      </c>
      <c r="EB43" s="82" t="s">
        <v>250</v>
      </c>
    </row>
    <row r="44">
      <c r="A44" s="55" t="s">
        <v>263</v>
      </c>
      <c r="B44" s="56" t="s">
        <v>263</v>
      </c>
      <c r="C44" s="4"/>
      <c r="D44" s="4"/>
      <c r="E44" s="4"/>
      <c r="F44" s="57" t="s">
        <v>168</v>
      </c>
      <c r="G44" s="58">
        <v>56.1291</v>
      </c>
      <c r="H44" s="58">
        <v>32.0456</v>
      </c>
      <c r="I44" s="6" t="s">
        <v>235</v>
      </c>
      <c r="J44" s="6" t="s">
        <v>169</v>
      </c>
      <c r="K44" s="61">
        <v>2.0</v>
      </c>
      <c r="L44" s="5"/>
      <c r="M44" s="5"/>
      <c r="N44" s="60"/>
      <c r="O44" s="60"/>
      <c r="P44" s="60"/>
      <c r="Q44" s="60"/>
      <c r="R44" s="60"/>
      <c r="S44" s="60">
        <v>14.801207</v>
      </c>
      <c r="T44" s="60">
        <v>2.610948</v>
      </c>
      <c r="U44" s="61">
        <v>2.77</v>
      </c>
      <c r="V44" s="5"/>
      <c r="W44" s="5"/>
      <c r="X44" s="5"/>
      <c r="Y44" s="62" t="s">
        <v>248</v>
      </c>
      <c r="Z44" s="60"/>
      <c r="AA44" s="60"/>
      <c r="AB44" s="60">
        <v>15.534</v>
      </c>
      <c r="AC44" s="60">
        <v>0.055</v>
      </c>
      <c r="AD44" s="60">
        <v>14.446</v>
      </c>
      <c r="AE44" s="60">
        <v>0.049</v>
      </c>
      <c r="AF44" s="60">
        <v>13.72</v>
      </c>
      <c r="AG44" s="60">
        <v>0.04</v>
      </c>
      <c r="AH44" s="6"/>
      <c r="AI44" s="6"/>
      <c r="AJ44" s="63" t="s">
        <v>201</v>
      </c>
      <c r="AK44" s="64" t="s">
        <v>202</v>
      </c>
      <c r="AL44" s="72" t="s">
        <v>203</v>
      </c>
      <c r="AM44" s="64">
        <v>4.0</v>
      </c>
      <c r="AN44" s="8"/>
      <c r="AO44" s="13"/>
      <c r="AP44" s="13" t="s">
        <v>264</v>
      </c>
      <c r="AQ44" s="64">
        <v>0.5</v>
      </c>
      <c r="AR44" s="78">
        <v>3050.0</v>
      </c>
      <c r="AS44" s="64">
        <v>200.0</v>
      </c>
      <c r="AT44" s="79">
        <v>0.11</v>
      </c>
      <c r="AU44" s="7"/>
      <c r="AV44" s="7"/>
      <c r="AW44" s="7"/>
      <c r="AX44" s="7"/>
      <c r="AY44" s="7"/>
      <c r="AZ44" s="11" t="s">
        <v>162</v>
      </c>
      <c r="BA44" s="68" t="s">
        <v>194</v>
      </c>
      <c r="BB44" s="68">
        <v>-15.0</v>
      </c>
      <c r="BC44" s="11">
        <f t="shared" si="3"/>
        <v>1.5</v>
      </c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84">
        <v>-0.2</v>
      </c>
      <c r="DN44" s="84">
        <v>0.1</v>
      </c>
      <c r="DO44" s="69">
        <v>66069.34480075965</v>
      </c>
      <c r="DP44" s="84">
        <v>4.82</v>
      </c>
      <c r="DQ44" s="11"/>
      <c r="DR44" s="84"/>
      <c r="DS44" s="84"/>
      <c r="DT44" s="84"/>
      <c r="DU44" s="84"/>
      <c r="DV44" s="13"/>
      <c r="DW44" s="10"/>
      <c r="DX44" s="81">
        <v>2.51E-11</v>
      </c>
      <c r="DY44" s="7"/>
      <c r="DZ44" s="64" t="s">
        <v>201</v>
      </c>
      <c r="EA44" s="72" t="s">
        <v>205</v>
      </c>
      <c r="EB44" s="82" t="s">
        <v>249</v>
      </c>
    </row>
    <row r="45">
      <c r="A45" s="74" t="s">
        <v>265</v>
      </c>
      <c r="B45" s="56" t="s">
        <v>263</v>
      </c>
      <c r="C45" s="4"/>
      <c r="D45" s="4"/>
      <c r="E45" s="4"/>
      <c r="F45" s="57" t="s">
        <v>168</v>
      </c>
      <c r="G45" s="58">
        <v>56.1291</v>
      </c>
      <c r="H45" s="58">
        <v>32.0456</v>
      </c>
      <c r="I45" s="6" t="s">
        <v>235</v>
      </c>
      <c r="J45" s="6" t="s">
        <v>169</v>
      </c>
      <c r="K45" s="61">
        <v>2.0</v>
      </c>
      <c r="L45" s="5"/>
      <c r="M45" s="5"/>
      <c r="N45" s="60"/>
      <c r="O45" s="60"/>
      <c r="P45" s="60"/>
      <c r="Q45" s="60"/>
      <c r="R45" s="60"/>
      <c r="S45" s="60">
        <v>14.801207</v>
      </c>
      <c r="T45" s="60">
        <v>2.610948</v>
      </c>
      <c r="U45" s="61">
        <v>2.77</v>
      </c>
      <c r="V45" s="5"/>
      <c r="W45" s="5"/>
      <c r="X45" s="5"/>
      <c r="Y45" s="62" t="s">
        <v>248</v>
      </c>
      <c r="Z45" s="60"/>
      <c r="AA45" s="60"/>
      <c r="AB45" s="60">
        <v>15.534</v>
      </c>
      <c r="AC45" s="60">
        <v>0.055</v>
      </c>
      <c r="AD45" s="60">
        <v>14.446</v>
      </c>
      <c r="AE45" s="60">
        <v>0.049</v>
      </c>
      <c r="AF45" s="60">
        <v>13.72</v>
      </c>
      <c r="AG45" s="60">
        <v>0.04</v>
      </c>
      <c r="AH45" s="6"/>
      <c r="AI45" s="6"/>
      <c r="AJ45" s="63" t="s">
        <v>201</v>
      </c>
      <c r="AK45" s="64" t="s">
        <v>202</v>
      </c>
      <c r="AL45" s="72" t="s">
        <v>203</v>
      </c>
      <c r="AM45" s="64">
        <v>4.0</v>
      </c>
      <c r="AN45" s="8"/>
      <c r="AO45" s="13"/>
      <c r="AP45" s="13" t="s">
        <v>264</v>
      </c>
      <c r="AQ45" s="64">
        <v>0.5</v>
      </c>
      <c r="AR45" s="78">
        <v>3050.0</v>
      </c>
      <c r="AS45" s="64">
        <v>200.0</v>
      </c>
      <c r="AT45" s="79">
        <v>0.11</v>
      </c>
      <c r="AU45" s="7"/>
      <c r="AV45" s="7"/>
      <c r="AW45" s="7"/>
      <c r="AX45" s="7"/>
      <c r="AY45" s="7"/>
      <c r="AZ45" s="11" t="s">
        <v>162</v>
      </c>
      <c r="BA45" s="68" t="s">
        <v>194</v>
      </c>
      <c r="BB45" s="68">
        <v>-15.0</v>
      </c>
      <c r="BC45" s="11">
        <f t="shared" si="3"/>
        <v>1.5</v>
      </c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84">
        <v>-0.2</v>
      </c>
      <c r="DN45" s="84">
        <v>0.1</v>
      </c>
      <c r="DO45" s="69">
        <v>66069.34480075965</v>
      </c>
      <c r="DP45" s="84">
        <v>4.82</v>
      </c>
      <c r="DQ45" s="11"/>
      <c r="DR45" s="84"/>
      <c r="DS45" s="84"/>
      <c r="DT45" s="84"/>
      <c r="DU45" s="84"/>
      <c r="DV45" s="13"/>
      <c r="DW45" s="10"/>
      <c r="DX45" s="81">
        <v>5.01E-11</v>
      </c>
      <c r="DY45" s="7"/>
      <c r="DZ45" s="64" t="s">
        <v>201</v>
      </c>
      <c r="EA45" s="72" t="s">
        <v>205</v>
      </c>
      <c r="EB45" s="82" t="s">
        <v>250</v>
      </c>
    </row>
    <row r="46">
      <c r="A46" s="55" t="s">
        <v>266</v>
      </c>
      <c r="B46" s="56" t="s">
        <v>267</v>
      </c>
      <c r="C46" s="4"/>
      <c r="D46" s="4"/>
      <c r="E46" s="57" t="s">
        <v>137</v>
      </c>
      <c r="F46" s="57" t="s">
        <v>168</v>
      </c>
      <c r="G46" s="61">
        <v>167.164589999999</v>
      </c>
      <c r="H46" s="61">
        <v>-77.5713186111111</v>
      </c>
      <c r="I46" s="6" t="s">
        <v>268</v>
      </c>
      <c r="J46" s="6" t="s">
        <v>169</v>
      </c>
      <c r="K46" s="58">
        <v>2.0</v>
      </c>
      <c r="L46" s="5"/>
      <c r="M46" s="59">
        <v>2.0</v>
      </c>
      <c r="N46" s="61">
        <v>179.32394871335</v>
      </c>
      <c r="O46" s="61">
        <v>-23.233</v>
      </c>
      <c r="P46" s="61">
        <v>0.232</v>
      </c>
      <c r="Q46" s="61">
        <v>1.443</v>
      </c>
      <c r="R46" s="61">
        <v>0.237</v>
      </c>
      <c r="S46" s="60">
        <v>13.18</v>
      </c>
      <c r="T46" s="60">
        <v>0.84</v>
      </c>
      <c r="U46" s="58">
        <v>0.26</v>
      </c>
      <c r="V46" s="5"/>
      <c r="W46" s="5"/>
      <c r="X46" s="5"/>
      <c r="Y46" s="93" t="s">
        <v>269</v>
      </c>
      <c r="Z46" s="60"/>
      <c r="AA46" s="60"/>
      <c r="AB46" s="60">
        <v>12.263</v>
      </c>
      <c r="AC46" s="60">
        <v>0.027</v>
      </c>
      <c r="AD46" s="60">
        <v>11.479</v>
      </c>
      <c r="AE46" s="60">
        <v>0.024</v>
      </c>
      <c r="AF46" s="60">
        <v>11.038</v>
      </c>
      <c r="AG46" s="60">
        <v>0.027</v>
      </c>
      <c r="AH46" s="6"/>
      <c r="AI46" s="6"/>
      <c r="AJ46" s="63" t="s">
        <v>201</v>
      </c>
      <c r="AK46" s="64" t="s">
        <v>226</v>
      </c>
      <c r="AL46" s="64" t="s">
        <v>203</v>
      </c>
      <c r="AM46" s="64">
        <v>4.0</v>
      </c>
      <c r="AN46" s="8"/>
      <c r="AO46" s="13"/>
      <c r="AP46" s="13" t="s">
        <v>270</v>
      </c>
      <c r="AQ46" s="64">
        <v>0.5</v>
      </c>
      <c r="AR46" s="78">
        <v>3025.0</v>
      </c>
      <c r="AS46" s="64">
        <v>200.0</v>
      </c>
      <c r="AT46" s="79">
        <v>0.12</v>
      </c>
      <c r="AU46" s="7"/>
      <c r="AV46" s="7"/>
      <c r="AW46" s="7"/>
      <c r="AX46" s="7"/>
      <c r="AY46" s="7"/>
      <c r="AZ46" s="11" t="s">
        <v>162</v>
      </c>
      <c r="BA46" s="68" t="s">
        <v>194</v>
      </c>
      <c r="BB46" s="90">
        <v>-59.6</v>
      </c>
      <c r="BC46" s="11">
        <f t="shared" si="3"/>
        <v>5.96</v>
      </c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2"/>
      <c r="DG46" s="12"/>
      <c r="DH46" s="12"/>
      <c r="DI46" s="12"/>
      <c r="DJ46" s="69"/>
      <c r="DK46" s="69"/>
      <c r="DL46" s="69"/>
      <c r="DM46" s="94"/>
      <c r="DN46" s="94"/>
      <c r="DO46" s="69">
        <v>32359.36569296281</v>
      </c>
      <c r="DP46" s="91">
        <v>4.51</v>
      </c>
      <c r="DQ46" s="11"/>
      <c r="DR46" s="91"/>
      <c r="DS46" s="91"/>
      <c r="DT46" s="91"/>
      <c r="DU46" s="91"/>
      <c r="DV46" s="13"/>
      <c r="DW46" s="10"/>
      <c r="DX46" s="81">
        <v>1.58E-11</v>
      </c>
      <c r="DY46" s="7"/>
      <c r="DZ46" s="64" t="s">
        <v>201</v>
      </c>
      <c r="EA46" s="72" t="s">
        <v>205</v>
      </c>
      <c r="EB46" s="82" t="s">
        <v>271</v>
      </c>
    </row>
    <row r="47">
      <c r="A47" s="55" t="s">
        <v>266</v>
      </c>
      <c r="B47" s="56" t="s">
        <v>267</v>
      </c>
      <c r="C47" s="4"/>
      <c r="D47" s="4"/>
      <c r="E47" s="57" t="s">
        <v>137</v>
      </c>
      <c r="F47" s="57" t="s">
        <v>168</v>
      </c>
      <c r="G47" s="61">
        <v>167.164589999999</v>
      </c>
      <c r="H47" s="61">
        <v>-77.5713186111111</v>
      </c>
      <c r="I47" s="6" t="s">
        <v>268</v>
      </c>
      <c r="J47" s="6" t="s">
        <v>169</v>
      </c>
      <c r="K47" s="58">
        <v>2.0</v>
      </c>
      <c r="L47" s="5"/>
      <c r="M47" s="59">
        <v>2.0</v>
      </c>
      <c r="N47" s="61">
        <v>179.32394871335</v>
      </c>
      <c r="O47" s="61">
        <v>-23.233</v>
      </c>
      <c r="P47" s="61">
        <v>0.232</v>
      </c>
      <c r="Q47" s="61">
        <v>1.443</v>
      </c>
      <c r="R47" s="61">
        <v>0.237</v>
      </c>
      <c r="S47" s="60">
        <v>13.18</v>
      </c>
      <c r="T47" s="60">
        <v>0.84</v>
      </c>
      <c r="U47" s="58">
        <v>0.26</v>
      </c>
      <c r="V47" s="5"/>
      <c r="W47" s="5"/>
      <c r="X47" s="5"/>
      <c r="Y47" s="93" t="s">
        <v>269</v>
      </c>
      <c r="Z47" s="60"/>
      <c r="AA47" s="60"/>
      <c r="AB47" s="60">
        <v>12.263</v>
      </c>
      <c r="AC47" s="60">
        <v>0.027</v>
      </c>
      <c r="AD47" s="60">
        <v>11.479</v>
      </c>
      <c r="AE47" s="60">
        <v>0.024</v>
      </c>
      <c r="AF47" s="60">
        <v>11.038</v>
      </c>
      <c r="AG47" s="60">
        <v>0.027</v>
      </c>
      <c r="AH47" s="6"/>
      <c r="AI47" s="6"/>
      <c r="AJ47" s="63" t="s">
        <v>201</v>
      </c>
      <c r="AK47" s="64" t="s">
        <v>226</v>
      </c>
      <c r="AL47" s="64" t="s">
        <v>203</v>
      </c>
      <c r="AM47" s="64">
        <v>4.0</v>
      </c>
      <c r="AN47" s="8"/>
      <c r="AO47" s="13"/>
      <c r="AP47" s="13" t="s">
        <v>270</v>
      </c>
      <c r="AQ47" s="64">
        <v>0.5</v>
      </c>
      <c r="AR47" s="78">
        <v>3025.0</v>
      </c>
      <c r="AS47" s="64">
        <v>200.0</v>
      </c>
      <c r="AT47" s="79">
        <v>0.12</v>
      </c>
      <c r="AU47" s="7"/>
      <c r="AV47" s="7"/>
      <c r="AW47" s="7"/>
      <c r="AX47" s="7"/>
      <c r="AY47" s="7"/>
      <c r="AZ47" s="11" t="s">
        <v>162</v>
      </c>
      <c r="BA47" s="68" t="s">
        <v>194</v>
      </c>
      <c r="BB47" s="90">
        <v>-59.6</v>
      </c>
      <c r="BC47" s="11">
        <f t="shared" si="3"/>
        <v>5.96</v>
      </c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2"/>
      <c r="DG47" s="12"/>
      <c r="DH47" s="12"/>
      <c r="DI47" s="12"/>
      <c r="DJ47" s="69"/>
      <c r="DK47" s="69"/>
      <c r="DL47" s="69"/>
      <c r="DM47" s="94"/>
      <c r="DN47" s="94"/>
      <c r="DO47" s="69">
        <v>32359.36569296281</v>
      </c>
      <c r="DP47" s="91">
        <v>4.51</v>
      </c>
      <c r="DQ47" s="11"/>
      <c r="DR47" s="91"/>
      <c r="DS47" s="91"/>
      <c r="DT47" s="91"/>
      <c r="DU47" s="91"/>
      <c r="DV47" s="13"/>
      <c r="DW47" s="10"/>
      <c r="DX47" s="81">
        <v>2.51E-11</v>
      </c>
      <c r="DY47" s="7"/>
      <c r="DZ47" s="64" t="s">
        <v>201</v>
      </c>
      <c r="EA47" s="72" t="s">
        <v>205</v>
      </c>
      <c r="EB47" s="82" t="s">
        <v>272</v>
      </c>
    </row>
    <row r="48">
      <c r="A48" s="55" t="s">
        <v>273</v>
      </c>
      <c r="B48" s="56" t="s">
        <v>274</v>
      </c>
      <c r="C48" s="4"/>
      <c r="D48" s="4"/>
      <c r="E48" s="57" t="s">
        <v>137</v>
      </c>
      <c r="F48" s="57" t="s">
        <v>168</v>
      </c>
      <c r="G48" s="58">
        <v>246.5897456</v>
      </c>
      <c r="H48" s="58">
        <v>-24.43361126</v>
      </c>
      <c r="I48" s="6" t="s">
        <v>158</v>
      </c>
      <c r="J48" s="6" t="s">
        <v>159</v>
      </c>
      <c r="K48" s="58">
        <v>1.0</v>
      </c>
      <c r="L48" s="5"/>
      <c r="M48" s="60">
        <v>2.0</v>
      </c>
      <c r="N48" s="61">
        <v>136.593361562628</v>
      </c>
      <c r="O48" s="61">
        <v>-9.05</v>
      </c>
      <c r="P48" s="61">
        <v>0.403</v>
      </c>
      <c r="Q48" s="61">
        <v>-25.287</v>
      </c>
      <c r="R48" s="61">
        <v>0.25</v>
      </c>
      <c r="S48" s="60"/>
      <c r="T48" s="60"/>
      <c r="U48" s="60">
        <v>5.0</v>
      </c>
      <c r="V48" s="5"/>
      <c r="W48" s="5"/>
      <c r="X48" s="5"/>
      <c r="Y48" s="62" t="s">
        <v>248</v>
      </c>
      <c r="Z48" s="60">
        <v>18.3</v>
      </c>
      <c r="AA48" s="60"/>
      <c r="AB48" s="60">
        <v>12.57</v>
      </c>
      <c r="AC48" s="60">
        <v>0.022</v>
      </c>
      <c r="AD48" s="60">
        <v>11.518</v>
      </c>
      <c r="AE48" s="60">
        <v>0.026</v>
      </c>
      <c r="AF48" s="60">
        <v>10.918</v>
      </c>
      <c r="AG48" s="60">
        <v>0.023</v>
      </c>
      <c r="AH48" s="6"/>
      <c r="AI48" s="6"/>
      <c r="AJ48" s="63" t="s">
        <v>201</v>
      </c>
      <c r="AK48" s="64" t="s">
        <v>202</v>
      </c>
      <c r="AL48" s="72" t="s">
        <v>203</v>
      </c>
      <c r="AM48" s="64">
        <v>4.0</v>
      </c>
      <c r="AN48" s="8"/>
      <c r="AO48" s="13"/>
      <c r="AP48" s="13" t="s">
        <v>264</v>
      </c>
      <c r="AQ48" s="64">
        <v>0.5</v>
      </c>
      <c r="AR48" s="78">
        <v>3050.0</v>
      </c>
      <c r="AS48" s="64">
        <v>200.0</v>
      </c>
      <c r="AT48" s="79">
        <v>0.12</v>
      </c>
      <c r="AU48" s="7"/>
      <c r="AV48" s="7"/>
      <c r="AW48" s="7"/>
      <c r="AX48" s="7"/>
      <c r="AY48" s="7"/>
      <c r="AZ48" s="11" t="s">
        <v>162</v>
      </c>
      <c r="BA48" s="68" t="s">
        <v>194</v>
      </c>
      <c r="BB48" s="68">
        <v>-64.9</v>
      </c>
      <c r="BC48" s="11">
        <f t="shared" si="3"/>
        <v>6.49</v>
      </c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68">
        <v>-0.6</v>
      </c>
      <c r="CY48" s="68">
        <v>0.1</v>
      </c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69"/>
      <c r="DN48" s="69"/>
      <c r="DO48" s="69">
        <v>33113.112148259075</v>
      </c>
      <c r="DP48" s="84">
        <v>4.52</v>
      </c>
      <c r="DQ48" s="11"/>
      <c r="DR48" s="84"/>
      <c r="DS48" s="84"/>
      <c r="DT48" s="84"/>
      <c r="DU48" s="84"/>
      <c r="DV48" s="13"/>
      <c r="DW48" s="10"/>
      <c r="DX48" s="81">
        <v>1.58E-11</v>
      </c>
      <c r="DY48" s="7"/>
      <c r="DZ48" s="64" t="s">
        <v>201</v>
      </c>
      <c r="EA48" s="72" t="s">
        <v>205</v>
      </c>
      <c r="EB48" s="82" t="s">
        <v>275</v>
      </c>
    </row>
    <row r="49">
      <c r="A49" s="55" t="s">
        <v>273</v>
      </c>
      <c r="B49" s="56" t="s">
        <v>274</v>
      </c>
      <c r="C49" s="4"/>
      <c r="D49" s="4"/>
      <c r="E49" s="57" t="s">
        <v>137</v>
      </c>
      <c r="F49" s="57" t="s">
        <v>168</v>
      </c>
      <c r="G49" s="58">
        <v>246.5897456</v>
      </c>
      <c r="H49" s="58">
        <v>-24.43361126</v>
      </c>
      <c r="I49" s="6" t="s">
        <v>158</v>
      </c>
      <c r="J49" s="6" t="s">
        <v>159</v>
      </c>
      <c r="K49" s="58">
        <v>1.0</v>
      </c>
      <c r="L49" s="5"/>
      <c r="M49" s="60">
        <v>2.0</v>
      </c>
      <c r="N49" s="61">
        <v>136.593361562628</v>
      </c>
      <c r="O49" s="61">
        <v>-9.05</v>
      </c>
      <c r="P49" s="61">
        <v>0.403</v>
      </c>
      <c r="Q49" s="61">
        <v>-25.287</v>
      </c>
      <c r="R49" s="61">
        <v>0.25</v>
      </c>
      <c r="S49" s="60"/>
      <c r="T49" s="60"/>
      <c r="U49" s="60">
        <v>5.0</v>
      </c>
      <c r="V49" s="5"/>
      <c r="W49" s="5"/>
      <c r="X49" s="5"/>
      <c r="Y49" s="62" t="s">
        <v>248</v>
      </c>
      <c r="Z49" s="60">
        <v>18.3</v>
      </c>
      <c r="AA49" s="60"/>
      <c r="AB49" s="60">
        <v>12.57</v>
      </c>
      <c r="AC49" s="60">
        <v>0.022</v>
      </c>
      <c r="AD49" s="60">
        <v>11.518</v>
      </c>
      <c r="AE49" s="60">
        <v>0.026</v>
      </c>
      <c r="AF49" s="60">
        <v>10.918</v>
      </c>
      <c r="AG49" s="60">
        <v>0.023</v>
      </c>
      <c r="AH49" s="6"/>
      <c r="AI49" s="6"/>
      <c r="AJ49" s="63" t="s">
        <v>201</v>
      </c>
      <c r="AK49" s="64" t="s">
        <v>202</v>
      </c>
      <c r="AL49" s="72" t="s">
        <v>203</v>
      </c>
      <c r="AM49" s="64">
        <v>4.0</v>
      </c>
      <c r="AN49" s="8"/>
      <c r="AO49" s="13"/>
      <c r="AP49" s="13" t="s">
        <v>264</v>
      </c>
      <c r="AQ49" s="64">
        <v>0.5</v>
      </c>
      <c r="AR49" s="78">
        <v>3050.0</v>
      </c>
      <c r="AS49" s="64">
        <v>200.0</v>
      </c>
      <c r="AT49" s="79">
        <v>0.12</v>
      </c>
      <c r="AU49" s="7"/>
      <c r="AV49" s="7"/>
      <c r="AW49" s="7"/>
      <c r="AX49" s="7"/>
      <c r="AY49" s="7"/>
      <c r="AZ49" s="11" t="s">
        <v>162</v>
      </c>
      <c r="BA49" s="68" t="s">
        <v>194</v>
      </c>
      <c r="BB49" s="68">
        <v>-64.9</v>
      </c>
      <c r="BC49" s="11">
        <f t="shared" si="3"/>
        <v>6.49</v>
      </c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68">
        <v>-0.6</v>
      </c>
      <c r="CY49" s="68">
        <v>0.1</v>
      </c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69"/>
      <c r="DN49" s="69"/>
      <c r="DO49" s="69">
        <v>33113.112148259075</v>
      </c>
      <c r="DP49" s="84">
        <v>4.52</v>
      </c>
      <c r="DQ49" s="11"/>
      <c r="DR49" s="84"/>
      <c r="DS49" s="84"/>
      <c r="DT49" s="84"/>
      <c r="DU49" s="84"/>
      <c r="DV49" s="13"/>
      <c r="DW49" s="10"/>
      <c r="DX49" s="81">
        <v>2.51E-11</v>
      </c>
      <c r="DY49" s="7"/>
      <c r="DZ49" s="64" t="s">
        <v>201</v>
      </c>
      <c r="EA49" s="72" t="s">
        <v>205</v>
      </c>
      <c r="EB49" s="82" t="s">
        <v>276</v>
      </c>
    </row>
    <row r="50">
      <c r="A50" s="55" t="s">
        <v>277</v>
      </c>
      <c r="B50" s="56" t="s">
        <v>278</v>
      </c>
      <c r="C50" s="4"/>
      <c r="D50" s="4"/>
      <c r="E50" s="57" t="s">
        <v>137</v>
      </c>
      <c r="F50" s="57" t="s">
        <v>168</v>
      </c>
      <c r="G50" s="58">
        <v>55.9792</v>
      </c>
      <c r="H50" s="58">
        <v>32.1314</v>
      </c>
      <c r="I50" s="6" t="s">
        <v>235</v>
      </c>
      <c r="J50" s="6" t="s">
        <v>169</v>
      </c>
      <c r="K50" s="61">
        <v>2.0</v>
      </c>
      <c r="L50" s="5"/>
      <c r="M50" s="59">
        <v>2.0</v>
      </c>
      <c r="N50" s="61">
        <v>390.304828070723</v>
      </c>
      <c r="O50" s="61">
        <v>4.194</v>
      </c>
      <c r="P50" s="61">
        <v>0.591</v>
      </c>
      <c r="Q50" s="61">
        <v>-7.208</v>
      </c>
      <c r="R50" s="61">
        <v>0.327</v>
      </c>
      <c r="S50" s="60">
        <v>15.35</v>
      </c>
      <c r="T50" s="60">
        <v>0.404</v>
      </c>
      <c r="U50" s="60">
        <v>1.28</v>
      </c>
      <c r="V50" s="5"/>
      <c r="W50" s="5"/>
      <c r="X50" s="5"/>
      <c r="Y50" s="83" t="s">
        <v>236</v>
      </c>
      <c r="Z50" s="60"/>
      <c r="AA50" s="60"/>
      <c r="AB50" s="60">
        <v>13.682</v>
      </c>
      <c r="AC50" s="60">
        <v>0.027</v>
      </c>
      <c r="AD50" s="60">
        <v>13.01</v>
      </c>
      <c r="AE50" s="60">
        <v>0.03</v>
      </c>
      <c r="AF50" s="60">
        <v>12.634</v>
      </c>
      <c r="AG50" s="60">
        <v>0.028</v>
      </c>
      <c r="AH50" s="6"/>
      <c r="AI50" s="6"/>
      <c r="AJ50" s="63" t="s">
        <v>201</v>
      </c>
      <c r="AK50" s="64" t="s">
        <v>202</v>
      </c>
      <c r="AL50" s="64" t="s">
        <v>203</v>
      </c>
      <c r="AM50" s="64">
        <v>4.0</v>
      </c>
      <c r="AN50" s="8"/>
      <c r="AO50" s="13"/>
      <c r="AP50" s="13" t="s">
        <v>270</v>
      </c>
      <c r="AQ50" s="64">
        <v>0.5</v>
      </c>
      <c r="AR50" s="78">
        <v>3025.0</v>
      </c>
      <c r="AS50" s="64">
        <v>200.0</v>
      </c>
      <c r="AT50" s="79">
        <v>0.12</v>
      </c>
      <c r="AU50" s="7"/>
      <c r="AV50" s="7"/>
      <c r="AW50" s="7"/>
      <c r="AX50" s="7"/>
      <c r="AY50" s="7"/>
      <c r="AZ50" s="11" t="s">
        <v>162</v>
      </c>
      <c r="BA50" s="68" t="s">
        <v>194</v>
      </c>
      <c r="BB50" s="90">
        <v>-23.0</v>
      </c>
      <c r="BC50" s="11">
        <f t="shared" si="3"/>
        <v>2.3</v>
      </c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90">
        <v>-0.4</v>
      </c>
      <c r="CY50" s="68">
        <v>0.1</v>
      </c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94"/>
      <c r="DN50" s="94"/>
      <c r="DO50" s="69">
        <v>32359.36569296281</v>
      </c>
      <c r="DP50" s="91">
        <v>4.51</v>
      </c>
      <c r="DQ50" s="11"/>
      <c r="DR50" s="91"/>
      <c r="DS50" s="91"/>
      <c r="DT50" s="91"/>
      <c r="DU50" s="91"/>
      <c r="DV50" s="13"/>
      <c r="DW50" s="10"/>
      <c r="DX50" s="81">
        <v>1.58E-11</v>
      </c>
      <c r="DY50" s="7"/>
      <c r="DZ50" s="64" t="s">
        <v>201</v>
      </c>
      <c r="EA50" s="72" t="s">
        <v>205</v>
      </c>
      <c r="EB50" s="85" t="s">
        <v>271</v>
      </c>
    </row>
    <row r="51">
      <c r="A51" s="55" t="s">
        <v>277</v>
      </c>
      <c r="B51" s="56" t="s">
        <v>278</v>
      </c>
      <c r="C51" s="4"/>
      <c r="D51" s="4"/>
      <c r="E51" s="57" t="s">
        <v>137</v>
      </c>
      <c r="F51" s="57" t="s">
        <v>168</v>
      </c>
      <c r="G51" s="58">
        <v>55.9792</v>
      </c>
      <c r="H51" s="58">
        <v>32.1314</v>
      </c>
      <c r="I51" s="6" t="s">
        <v>235</v>
      </c>
      <c r="J51" s="6" t="s">
        <v>169</v>
      </c>
      <c r="K51" s="61">
        <v>2.0</v>
      </c>
      <c r="L51" s="5"/>
      <c r="M51" s="59">
        <v>2.0</v>
      </c>
      <c r="N51" s="61">
        <v>390.304828070723</v>
      </c>
      <c r="O51" s="61">
        <v>4.194</v>
      </c>
      <c r="P51" s="61">
        <v>0.591</v>
      </c>
      <c r="Q51" s="61">
        <v>-7.208</v>
      </c>
      <c r="R51" s="61">
        <v>0.327</v>
      </c>
      <c r="S51" s="60">
        <v>15.35</v>
      </c>
      <c r="T51" s="60">
        <v>0.404</v>
      </c>
      <c r="U51" s="60">
        <v>1.28</v>
      </c>
      <c r="V51" s="5"/>
      <c r="W51" s="5"/>
      <c r="X51" s="5"/>
      <c r="Y51" s="83" t="s">
        <v>236</v>
      </c>
      <c r="Z51" s="60"/>
      <c r="AA51" s="60"/>
      <c r="AB51" s="60">
        <v>13.682</v>
      </c>
      <c r="AC51" s="60">
        <v>0.027</v>
      </c>
      <c r="AD51" s="60">
        <v>13.01</v>
      </c>
      <c r="AE51" s="60">
        <v>0.03</v>
      </c>
      <c r="AF51" s="60">
        <v>12.634</v>
      </c>
      <c r="AG51" s="60">
        <v>0.028</v>
      </c>
      <c r="AH51" s="6"/>
      <c r="AI51" s="6"/>
      <c r="AJ51" s="63" t="s">
        <v>201</v>
      </c>
      <c r="AK51" s="64" t="s">
        <v>202</v>
      </c>
      <c r="AL51" s="64" t="s">
        <v>203</v>
      </c>
      <c r="AM51" s="64">
        <v>4.0</v>
      </c>
      <c r="AN51" s="8"/>
      <c r="AO51" s="13"/>
      <c r="AP51" s="13" t="s">
        <v>270</v>
      </c>
      <c r="AQ51" s="64">
        <v>0.5</v>
      </c>
      <c r="AR51" s="78">
        <v>3025.0</v>
      </c>
      <c r="AS51" s="64">
        <v>200.0</v>
      </c>
      <c r="AT51" s="79">
        <v>0.12</v>
      </c>
      <c r="AU51" s="7"/>
      <c r="AV51" s="7"/>
      <c r="AW51" s="7"/>
      <c r="AX51" s="7"/>
      <c r="AY51" s="7"/>
      <c r="AZ51" s="11" t="s">
        <v>162</v>
      </c>
      <c r="BA51" s="68" t="s">
        <v>194</v>
      </c>
      <c r="BB51" s="90">
        <v>-23.0</v>
      </c>
      <c r="BC51" s="11">
        <f t="shared" si="3"/>
        <v>2.3</v>
      </c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90">
        <v>-0.4</v>
      </c>
      <c r="CY51" s="68">
        <v>0.1</v>
      </c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94"/>
      <c r="DN51" s="94"/>
      <c r="DO51" s="69">
        <v>32359.36569296281</v>
      </c>
      <c r="DP51" s="91">
        <v>4.51</v>
      </c>
      <c r="DQ51" s="11"/>
      <c r="DR51" s="91"/>
      <c r="DS51" s="91"/>
      <c r="DT51" s="91"/>
      <c r="DU51" s="91"/>
      <c r="DV51" s="13"/>
      <c r="DW51" s="10"/>
      <c r="DX51" s="81">
        <v>2.51E-11</v>
      </c>
      <c r="DY51" s="7"/>
      <c r="DZ51" s="64" t="s">
        <v>201</v>
      </c>
      <c r="EA51" s="72" t="s">
        <v>205</v>
      </c>
      <c r="EB51" s="85" t="s">
        <v>272</v>
      </c>
    </row>
    <row r="52">
      <c r="A52" s="55" t="s">
        <v>279</v>
      </c>
      <c r="B52" s="56" t="s">
        <v>280</v>
      </c>
      <c r="C52" s="4"/>
      <c r="D52" s="4"/>
      <c r="E52" s="4" t="s">
        <v>137</v>
      </c>
      <c r="F52" s="57" t="s">
        <v>168</v>
      </c>
      <c r="G52" s="58">
        <v>64.625</v>
      </c>
      <c r="H52" s="58">
        <v>27.7225</v>
      </c>
      <c r="I52" s="6" t="s">
        <v>199</v>
      </c>
      <c r="J52" s="6" t="s">
        <v>159</v>
      </c>
      <c r="K52" s="61">
        <v>1.5</v>
      </c>
      <c r="L52" s="5"/>
      <c r="M52" s="60">
        <v>2.0</v>
      </c>
      <c r="N52" s="61">
        <v>129.893746915023</v>
      </c>
      <c r="O52" s="61">
        <v>8.733</v>
      </c>
      <c r="P52" s="61">
        <v>0.196</v>
      </c>
      <c r="Q52" s="61">
        <v>-26.265</v>
      </c>
      <c r="R52" s="61">
        <v>0.145</v>
      </c>
      <c r="S52" s="60">
        <v>15.54</v>
      </c>
      <c r="T52" s="60">
        <v>0.191</v>
      </c>
      <c r="U52" s="60">
        <v>1.5</v>
      </c>
      <c r="V52" s="60">
        <v>4.0</v>
      </c>
      <c r="W52" s="5"/>
      <c r="X52" s="5"/>
      <c r="Y52" s="83" t="s">
        <v>200</v>
      </c>
      <c r="Z52" s="60"/>
      <c r="AA52" s="60"/>
      <c r="AB52" s="60">
        <v>11.886</v>
      </c>
      <c r="AC52" s="60">
        <v>0.021</v>
      </c>
      <c r="AD52" s="60">
        <v>11.271</v>
      </c>
      <c r="AE52" s="60">
        <v>0.027</v>
      </c>
      <c r="AF52" s="60">
        <v>11.007</v>
      </c>
      <c r="AG52" s="60">
        <v>0.021</v>
      </c>
      <c r="AH52" s="6"/>
      <c r="AI52" s="6"/>
      <c r="AJ52" s="63" t="s">
        <v>201</v>
      </c>
      <c r="AK52" s="64" t="s">
        <v>202</v>
      </c>
      <c r="AL52" s="64" t="s">
        <v>203</v>
      </c>
      <c r="AM52" s="64">
        <v>4.0</v>
      </c>
      <c r="AN52" s="8"/>
      <c r="AO52" s="13"/>
      <c r="AP52" s="13" t="s">
        <v>264</v>
      </c>
      <c r="AQ52" s="64">
        <v>0.5</v>
      </c>
      <c r="AR52" s="78">
        <v>3050.0</v>
      </c>
      <c r="AS52" s="64">
        <v>200.0</v>
      </c>
      <c r="AT52" s="79">
        <v>0.13</v>
      </c>
      <c r="AU52" s="7"/>
      <c r="AV52" s="7"/>
      <c r="AW52" s="7"/>
      <c r="AX52" s="7"/>
      <c r="AY52" s="7"/>
      <c r="AZ52" s="11" t="s">
        <v>162</v>
      </c>
      <c r="BA52" s="68" t="s">
        <v>194</v>
      </c>
      <c r="BB52" s="90">
        <v>-17.7</v>
      </c>
      <c r="BC52" s="11">
        <f t="shared" si="3"/>
        <v>1.77</v>
      </c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90">
        <v>-0.3</v>
      </c>
      <c r="CY52" s="68">
        <v>0.1</v>
      </c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94"/>
      <c r="DN52" s="94"/>
      <c r="DO52" s="69">
        <v>33113.112148259075</v>
      </c>
      <c r="DP52" s="91">
        <v>4.52</v>
      </c>
      <c r="DQ52" s="11"/>
      <c r="DR52" s="91"/>
      <c r="DS52" s="91"/>
      <c r="DT52" s="91"/>
      <c r="DU52" s="91"/>
      <c r="DV52" s="13"/>
      <c r="DW52" s="10"/>
      <c r="DX52" s="81">
        <v>1.58E-11</v>
      </c>
      <c r="DY52" s="7"/>
      <c r="DZ52" s="64" t="s">
        <v>201</v>
      </c>
      <c r="EA52" s="72" t="s">
        <v>205</v>
      </c>
      <c r="EB52" s="85" t="s">
        <v>206</v>
      </c>
    </row>
    <row r="53">
      <c r="A53" s="55" t="s">
        <v>279</v>
      </c>
      <c r="B53" s="56" t="s">
        <v>280</v>
      </c>
      <c r="C53" s="4"/>
      <c r="D53" s="4"/>
      <c r="E53" s="4" t="s">
        <v>137</v>
      </c>
      <c r="F53" s="57" t="s">
        <v>168</v>
      </c>
      <c r="G53" s="58">
        <v>64.625</v>
      </c>
      <c r="H53" s="58">
        <v>27.7225</v>
      </c>
      <c r="I53" s="6" t="s">
        <v>199</v>
      </c>
      <c r="J53" s="6" t="s">
        <v>159</v>
      </c>
      <c r="K53" s="61">
        <v>1.5</v>
      </c>
      <c r="L53" s="5"/>
      <c r="M53" s="60">
        <v>2.0</v>
      </c>
      <c r="N53" s="61">
        <v>129.893746915023</v>
      </c>
      <c r="O53" s="61">
        <v>8.733</v>
      </c>
      <c r="P53" s="61">
        <v>0.196</v>
      </c>
      <c r="Q53" s="61">
        <v>-26.265</v>
      </c>
      <c r="R53" s="61">
        <v>0.145</v>
      </c>
      <c r="S53" s="60">
        <v>15.54</v>
      </c>
      <c r="T53" s="60">
        <v>0.191</v>
      </c>
      <c r="U53" s="60">
        <v>1.5</v>
      </c>
      <c r="V53" s="60">
        <v>4.0</v>
      </c>
      <c r="W53" s="5"/>
      <c r="X53" s="5"/>
      <c r="Y53" s="83" t="s">
        <v>200</v>
      </c>
      <c r="Z53" s="60"/>
      <c r="AA53" s="60"/>
      <c r="AB53" s="60">
        <v>11.886</v>
      </c>
      <c r="AC53" s="60">
        <v>0.021</v>
      </c>
      <c r="AD53" s="60">
        <v>11.271</v>
      </c>
      <c r="AE53" s="60">
        <v>0.027</v>
      </c>
      <c r="AF53" s="60">
        <v>11.007</v>
      </c>
      <c r="AG53" s="60">
        <v>0.021</v>
      </c>
      <c r="AH53" s="6"/>
      <c r="AI53" s="6"/>
      <c r="AJ53" s="63" t="s">
        <v>201</v>
      </c>
      <c r="AK53" s="64" t="s">
        <v>202</v>
      </c>
      <c r="AL53" s="64" t="s">
        <v>203</v>
      </c>
      <c r="AM53" s="64">
        <v>4.0</v>
      </c>
      <c r="AN53" s="8"/>
      <c r="AO53" s="13"/>
      <c r="AP53" s="13" t="s">
        <v>264</v>
      </c>
      <c r="AQ53" s="64">
        <v>0.5</v>
      </c>
      <c r="AR53" s="78">
        <v>3050.0</v>
      </c>
      <c r="AS53" s="64">
        <v>200.0</v>
      </c>
      <c r="AT53" s="79">
        <v>0.13</v>
      </c>
      <c r="AU53" s="7"/>
      <c r="AV53" s="7"/>
      <c r="AW53" s="7"/>
      <c r="AX53" s="7"/>
      <c r="AY53" s="7"/>
      <c r="AZ53" s="11" t="s">
        <v>162</v>
      </c>
      <c r="BA53" s="68" t="s">
        <v>194</v>
      </c>
      <c r="BB53" s="90">
        <v>-17.7</v>
      </c>
      <c r="BC53" s="11">
        <f t="shared" si="3"/>
        <v>1.77</v>
      </c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90">
        <v>-0.3</v>
      </c>
      <c r="CY53" s="68">
        <v>0.1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94"/>
      <c r="DN53" s="94"/>
      <c r="DO53" s="69">
        <v>33113.112148259075</v>
      </c>
      <c r="DP53" s="91">
        <v>4.52</v>
      </c>
      <c r="DQ53" s="11"/>
      <c r="DR53" s="91"/>
      <c r="DS53" s="91"/>
      <c r="DT53" s="91"/>
      <c r="DU53" s="91"/>
      <c r="DV53" s="13"/>
      <c r="DW53" s="10"/>
      <c r="DX53" s="81">
        <v>2.51E-11</v>
      </c>
      <c r="DY53" s="7"/>
      <c r="DZ53" s="64" t="s">
        <v>201</v>
      </c>
      <c r="EA53" s="72" t="s">
        <v>205</v>
      </c>
      <c r="EB53" s="89" t="s">
        <v>207</v>
      </c>
    </row>
    <row r="54">
      <c r="A54" s="55" t="s">
        <v>281</v>
      </c>
      <c r="B54" s="56" t="s">
        <v>282</v>
      </c>
      <c r="C54" s="4"/>
      <c r="D54" s="4"/>
      <c r="E54" s="4" t="s">
        <v>137</v>
      </c>
      <c r="F54" s="57" t="s">
        <v>168</v>
      </c>
      <c r="G54" s="58">
        <v>166.9292</v>
      </c>
      <c r="H54" s="58">
        <v>-77.5664</v>
      </c>
      <c r="I54" s="6" t="s">
        <v>268</v>
      </c>
      <c r="J54" s="6" t="s">
        <v>169</v>
      </c>
      <c r="K54" s="58">
        <v>2.0</v>
      </c>
      <c r="L54" s="5"/>
      <c r="M54" s="59"/>
      <c r="N54" s="60"/>
      <c r="O54" s="60"/>
      <c r="P54" s="60"/>
      <c r="Q54" s="60"/>
      <c r="R54" s="60"/>
      <c r="S54" s="60">
        <v>12.4</v>
      </c>
      <c r="T54" s="60">
        <v>1.68</v>
      </c>
      <c r="U54" s="59">
        <v>0.8</v>
      </c>
      <c r="V54" s="5"/>
      <c r="W54" s="5"/>
      <c r="X54" s="5"/>
      <c r="Y54" s="62" t="s">
        <v>269</v>
      </c>
      <c r="Z54" s="60"/>
      <c r="AA54" s="60"/>
      <c r="AB54" s="60">
        <v>12.21</v>
      </c>
      <c r="AC54" s="60">
        <v>0.024</v>
      </c>
      <c r="AD54" s="60">
        <v>11.243</v>
      </c>
      <c r="AE54" s="60">
        <v>0.026</v>
      </c>
      <c r="AF54" s="60">
        <v>10.675</v>
      </c>
      <c r="AG54" s="60">
        <v>0.021</v>
      </c>
      <c r="AH54" s="6"/>
      <c r="AI54" s="6"/>
      <c r="AJ54" s="63" t="s">
        <v>201</v>
      </c>
      <c r="AK54" s="64" t="s">
        <v>226</v>
      </c>
      <c r="AL54" s="64" t="s">
        <v>203</v>
      </c>
      <c r="AM54" s="64">
        <v>4.0</v>
      </c>
      <c r="AN54" s="8"/>
      <c r="AO54" s="13"/>
      <c r="AP54" s="13" t="s">
        <v>283</v>
      </c>
      <c r="AQ54" s="64">
        <v>0.5</v>
      </c>
      <c r="AR54" s="78">
        <v>3100.0</v>
      </c>
      <c r="AS54" s="64">
        <v>200.0</v>
      </c>
      <c r="AT54" s="79">
        <v>0.14</v>
      </c>
      <c r="AU54" s="7"/>
      <c r="AV54" s="7"/>
      <c r="AW54" s="7"/>
      <c r="AX54" s="7"/>
      <c r="AY54" s="7"/>
      <c r="AZ54" s="11" t="s">
        <v>162</v>
      </c>
      <c r="BA54" s="68" t="s">
        <v>194</v>
      </c>
      <c r="BB54" s="95">
        <v>-63.3</v>
      </c>
      <c r="BC54" s="11">
        <f t="shared" si="3"/>
        <v>6.33</v>
      </c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2"/>
      <c r="CU54" s="11"/>
      <c r="CV54" s="11"/>
      <c r="CW54" s="12"/>
      <c r="CX54" s="11"/>
      <c r="CY54" s="11"/>
      <c r="CZ54" s="11"/>
      <c r="DA54" s="11"/>
      <c r="DB54" s="11"/>
      <c r="DC54" s="11"/>
      <c r="DD54" s="11"/>
      <c r="DE54" s="11"/>
      <c r="DF54" s="12"/>
      <c r="DG54" s="12"/>
      <c r="DH54" s="12"/>
      <c r="DI54" s="12"/>
      <c r="DJ54" s="11"/>
      <c r="DK54" s="11"/>
      <c r="DL54" s="11"/>
      <c r="DM54" s="94"/>
      <c r="DN54" s="94"/>
      <c r="DO54" s="69">
        <v>36307.8054770101</v>
      </c>
      <c r="DP54" s="91">
        <v>4.56</v>
      </c>
      <c r="DQ54" s="11"/>
      <c r="DR54" s="91"/>
      <c r="DS54" s="91"/>
      <c r="DT54" s="91"/>
      <c r="DU54" s="91"/>
      <c r="DV54" s="13"/>
      <c r="DW54" s="10"/>
      <c r="DX54" s="81">
        <v>1.58E-11</v>
      </c>
      <c r="DY54" s="7"/>
      <c r="DZ54" s="64" t="s">
        <v>201</v>
      </c>
      <c r="EA54" s="72" t="s">
        <v>205</v>
      </c>
      <c r="EB54" s="82" t="s">
        <v>284</v>
      </c>
    </row>
    <row r="55">
      <c r="A55" s="55" t="s">
        <v>281</v>
      </c>
      <c r="B55" s="56" t="s">
        <v>282</v>
      </c>
      <c r="C55" s="4"/>
      <c r="D55" s="4"/>
      <c r="E55" s="4" t="s">
        <v>137</v>
      </c>
      <c r="F55" s="57" t="s">
        <v>168</v>
      </c>
      <c r="G55" s="58">
        <v>166.9292</v>
      </c>
      <c r="H55" s="58">
        <v>-77.5664</v>
      </c>
      <c r="I55" s="6" t="s">
        <v>268</v>
      </c>
      <c r="J55" s="6" t="s">
        <v>169</v>
      </c>
      <c r="K55" s="58">
        <v>2.0</v>
      </c>
      <c r="L55" s="5"/>
      <c r="M55" s="59"/>
      <c r="N55" s="60"/>
      <c r="O55" s="60"/>
      <c r="P55" s="60"/>
      <c r="Q55" s="60"/>
      <c r="R55" s="60"/>
      <c r="S55" s="60">
        <v>12.4</v>
      </c>
      <c r="T55" s="60">
        <v>1.68</v>
      </c>
      <c r="U55" s="59">
        <v>0.8</v>
      </c>
      <c r="V55" s="5"/>
      <c r="W55" s="5"/>
      <c r="X55" s="5"/>
      <c r="Y55" s="62" t="s">
        <v>269</v>
      </c>
      <c r="Z55" s="60"/>
      <c r="AA55" s="60"/>
      <c r="AB55" s="60">
        <v>12.21</v>
      </c>
      <c r="AC55" s="60">
        <v>0.024</v>
      </c>
      <c r="AD55" s="60">
        <v>11.243</v>
      </c>
      <c r="AE55" s="60">
        <v>0.026</v>
      </c>
      <c r="AF55" s="60">
        <v>10.675</v>
      </c>
      <c r="AG55" s="60">
        <v>0.021</v>
      </c>
      <c r="AH55" s="6"/>
      <c r="AI55" s="6"/>
      <c r="AJ55" s="63" t="s">
        <v>201</v>
      </c>
      <c r="AK55" s="64" t="s">
        <v>226</v>
      </c>
      <c r="AL55" s="64" t="s">
        <v>203</v>
      </c>
      <c r="AM55" s="64">
        <v>4.0</v>
      </c>
      <c r="AN55" s="8"/>
      <c r="AO55" s="13"/>
      <c r="AP55" s="13" t="s">
        <v>283</v>
      </c>
      <c r="AQ55" s="64">
        <v>0.5</v>
      </c>
      <c r="AR55" s="78">
        <v>3100.0</v>
      </c>
      <c r="AS55" s="64">
        <v>200.0</v>
      </c>
      <c r="AT55" s="79">
        <v>0.14</v>
      </c>
      <c r="AU55" s="7"/>
      <c r="AV55" s="7"/>
      <c r="AW55" s="7"/>
      <c r="AX55" s="7"/>
      <c r="AY55" s="7"/>
      <c r="AZ55" s="11" t="s">
        <v>162</v>
      </c>
      <c r="BA55" s="68" t="s">
        <v>194</v>
      </c>
      <c r="BB55" s="95">
        <v>-63.3</v>
      </c>
      <c r="BC55" s="11">
        <f t="shared" si="3"/>
        <v>6.33</v>
      </c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2"/>
      <c r="CU55" s="11"/>
      <c r="CV55" s="11"/>
      <c r="CW55" s="12"/>
      <c r="CX55" s="11"/>
      <c r="CY55" s="11"/>
      <c r="CZ55" s="11"/>
      <c r="DA55" s="11"/>
      <c r="DB55" s="11"/>
      <c r="DC55" s="11"/>
      <c r="DD55" s="11"/>
      <c r="DE55" s="11"/>
      <c r="DF55" s="12"/>
      <c r="DG55" s="12"/>
      <c r="DH55" s="12"/>
      <c r="DI55" s="12"/>
      <c r="DJ55" s="11"/>
      <c r="DK55" s="11"/>
      <c r="DL55" s="11"/>
      <c r="DM55" s="94"/>
      <c r="DN55" s="94"/>
      <c r="DO55" s="69">
        <v>36307.8054770101</v>
      </c>
      <c r="DP55" s="91">
        <v>4.56</v>
      </c>
      <c r="DQ55" s="11"/>
      <c r="DR55" s="91"/>
      <c r="DS55" s="91"/>
      <c r="DT55" s="91"/>
      <c r="DU55" s="91"/>
      <c r="DV55" s="13"/>
      <c r="DW55" s="10"/>
      <c r="DX55" s="81">
        <v>2.511886432E-11</v>
      </c>
      <c r="DY55" s="7"/>
      <c r="DZ55" s="64" t="s">
        <v>201</v>
      </c>
      <c r="EA55" s="72" t="s">
        <v>205</v>
      </c>
      <c r="EB55" s="7"/>
    </row>
    <row r="56">
      <c r="A56" s="55" t="s">
        <v>285</v>
      </c>
      <c r="B56" s="56" t="s">
        <v>285</v>
      </c>
      <c r="C56" s="4"/>
      <c r="D56" s="4"/>
      <c r="E56" s="4"/>
      <c r="F56" s="57" t="s">
        <v>168</v>
      </c>
      <c r="G56" s="58">
        <v>56.1458</v>
      </c>
      <c r="H56" s="58">
        <v>32.1489</v>
      </c>
      <c r="I56" s="6" t="s">
        <v>235</v>
      </c>
      <c r="J56" s="6" t="s">
        <v>169</v>
      </c>
      <c r="K56" s="61">
        <v>2.0</v>
      </c>
      <c r="L56" s="5"/>
      <c r="M56" s="59">
        <v>2.0</v>
      </c>
      <c r="N56" s="61">
        <v>321.32643552585</v>
      </c>
      <c r="O56" s="61">
        <v>6.913</v>
      </c>
      <c r="P56" s="61">
        <v>0.905</v>
      </c>
      <c r="Q56" s="61">
        <v>-8.647</v>
      </c>
      <c r="R56" s="61">
        <v>0.539</v>
      </c>
      <c r="S56" s="60">
        <v>14.39</v>
      </c>
      <c r="T56" s="60">
        <v>0.611</v>
      </c>
      <c r="U56" s="60">
        <v>2.41</v>
      </c>
      <c r="V56" s="5"/>
      <c r="W56" s="5"/>
      <c r="X56" s="5"/>
      <c r="Y56" s="62" t="s">
        <v>248</v>
      </c>
      <c r="Z56" s="60">
        <v>17.71</v>
      </c>
      <c r="AA56" s="60"/>
      <c r="AB56" s="60">
        <v>13.25</v>
      </c>
      <c r="AC56" s="60">
        <v>0.024</v>
      </c>
      <c r="AD56" s="60">
        <v>12.309</v>
      </c>
      <c r="AE56" s="60">
        <v>0.024</v>
      </c>
      <c r="AF56" s="60">
        <v>11.826</v>
      </c>
      <c r="AG56" s="60">
        <v>0.024</v>
      </c>
      <c r="AH56" s="6"/>
      <c r="AI56" s="6"/>
      <c r="AJ56" s="63" t="s">
        <v>201</v>
      </c>
      <c r="AK56" s="64" t="s">
        <v>202</v>
      </c>
      <c r="AL56" s="72" t="s">
        <v>203</v>
      </c>
      <c r="AM56" s="64">
        <v>4.0</v>
      </c>
      <c r="AN56" s="8"/>
      <c r="AO56" s="13"/>
      <c r="AP56" s="13" t="s">
        <v>283</v>
      </c>
      <c r="AQ56" s="64">
        <v>0.5</v>
      </c>
      <c r="AR56" s="78">
        <v>3100.0</v>
      </c>
      <c r="AS56" s="64">
        <v>200.0</v>
      </c>
      <c r="AT56" s="79">
        <v>0.14</v>
      </c>
      <c r="AU56" s="7"/>
      <c r="AV56" s="7"/>
      <c r="AW56" s="7"/>
      <c r="AX56" s="7"/>
      <c r="AY56" s="7"/>
      <c r="AZ56" s="11" t="s">
        <v>162</v>
      </c>
      <c r="BA56" s="68" t="s">
        <v>194</v>
      </c>
      <c r="BB56" s="68">
        <v>-23.0</v>
      </c>
      <c r="BC56" s="11">
        <f t="shared" si="3"/>
        <v>2.3</v>
      </c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68">
        <v>-0.7</v>
      </c>
      <c r="CY56" s="68">
        <v>0.1</v>
      </c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84">
        <v>-1.1</v>
      </c>
      <c r="DN56" s="84">
        <v>0.11</v>
      </c>
      <c r="DO56" s="69">
        <v>398107.1705534969</v>
      </c>
      <c r="DP56" s="84">
        <v>5.6</v>
      </c>
      <c r="DQ56" s="11"/>
      <c r="DR56" s="84"/>
      <c r="DS56" s="84"/>
      <c r="DT56" s="84"/>
      <c r="DU56" s="84"/>
      <c r="DV56" s="13"/>
      <c r="DW56" s="10"/>
      <c r="DX56" s="81">
        <v>1.26E-10</v>
      </c>
      <c r="DY56" s="7"/>
      <c r="DZ56" s="64" t="s">
        <v>201</v>
      </c>
      <c r="EA56" s="72" t="s">
        <v>205</v>
      </c>
      <c r="EB56" s="82" t="s">
        <v>249</v>
      </c>
    </row>
    <row r="57">
      <c r="A57" s="55" t="s">
        <v>285</v>
      </c>
      <c r="B57" s="56" t="s">
        <v>285</v>
      </c>
      <c r="C57" s="4"/>
      <c r="D57" s="4"/>
      <c r="E57" s="4"/>
      <c r="F57" s="57" t="s">
        <v>168</v>
      </c>
      <c r="G57" s="58">
        <v>56.1458</v>
      </c>
      <c r="H57" s="58">
        <v>32.1489</v>
      </c>
      <c r="I57" s="6" t="s">
        <v>235</v>
      </c>
      <c r="J57" s="6" t="s">
        <v>169</v>
      </c>
      <c r="K57" s="61">
        <v>2.0</v>
      </c>
      <c r="L57" s="5"/>
      <c r="M57" s="59">
        <v>2.0</v>
      </c>
      <c r="N57" s="61">
        <v>321.32643552585</v>
      </c>
      <c r="O57" s="61">
        <v>6.913</v>
      </c>
      <c r="P57" s="61">
        <v>0.905</v>
      </c>
      <c r="Q57" s="61">
        <v>-8.647</v>
      </c>
      <c r="R57" s="61">
        <v>0.539</v>
      </c>
      <c r="S57" s="60">
        <v>14.39</v>
      </c>
      <c r="T57" s="60">
        <v>0.611</v>
      </c>
      <c r="U57" s="60">
        <v>2.41</v>
      </c>
      <c r="V57" s="5"/>
      <c r="W57" s="5"/>
      <c r="X57" s="5"/>
      <c r="Y57" s="62" t="s">
        <v>248</v>
      </c>
      <c r="Z57" s="60">
        <v>17.71</v>
      </c>
      <c r="AA57" s="60"/>
      <c r="AB57" s="60">
        <v>13.25</v>
      </c>
      <c r="AC57" s="60">
        <v>0.024</v>
      </c>
      <c r="AD57" s="60">
        <v>12.309</v>
      </c>
      <c r="AE57" s="60">
        <v>0.024</v>
      </c>
      <c r="AF57" s="60">
        <v>11.826</v>
      </c>
      <c r="AG57" s="60">
        <v>0.024</v>
      </c>
      <c r="AH57" s="6"/>
      <c r="AI57" s="6"/>
      <c r="AJ57" s="63" t="s">
        <v>201</v>
      </c>
      <c r="AK57" s="64" t="s">
        <v>202</v>
      </c>
      <c r="AL57" s="72" t="s">
        <v>203</v>
      </c>
      <c r="AM57" s="64">
        <v>4.0</v>
      </c>
      <c r="AN57" s="8"/>
      <c r="AO57" s="13"/>
      <c r="AP57" s="13" t="s">
        <v>283</v>
      </c>
      <c r="AQ57" s="64">
        <v>0.5</v>
      </c>
      <c r="AR57" s="78">
        <v>3100.0</v>
      </c>
      <c r="AS57" s="64">
        <v>200.0</v>
      </c>
      <c r="AT57" s="79">
        <v>0.14</v>
      </c>
      <c r="AU57" s="7"/>
      <c r="AV57" s="7"/>
      <c r="AW57" s="7"/>
      <c r="AX57" s="7"/>
      <c r="AY57" s="7"/>
      <c r="AZ57" s="11" t="s">
        <v>162</v>
      </c>
      <c r="BA57" s="68" t="s">
        <v>194</v>
      </c>
      <c r="BB57" s="68">
        <v>-23.0</v>
      </c>
      <c r="BC57" s="11">
        <f t="shared" si="3"/>
        <v>2.3</v>
      </c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68">
        <v>-0.7</v>
      </c>
      <c r="CY57" s="68">
        <v>0.1</v>
      </c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84">
        <v>-1.1</v>
      </c>
      <c r="DN57" s="84">
        <v>0.11</v>
      </c>
      <c r="DO57" s="69">
        <v>398107.1705534969</v>
      </c>
      <c r="DP57" s="84">
        <v>5.6</v>
      </c>
      <c r="DQ57" s="11"/>
      <c r="DR57" s="84"/>
      <c r="DS57" s="84"/>
      <c r="DT57" s="84"/>
      <c r="DU57" s="84"/>
      <c r="DV57" s="13"/>
      <c r="DW57" s="10"/>
      <c r="DX57" s="81">
        <v>3.16E-10</v>
      </c>
      <c r="DY57" s="7"/>
      <c r="DZ57" s="64" t="s">
        <v>201</v>
      </c>
      <c r="EA57" s="72" t="s">
        <v>205</v>
      </c>
      <c r="EB57" s="82" t="s">
        <v>250</v>
      </c>
    </row>
    <row r="58">
      <c r="A58" s="55" t="s">
        <v>286</v>
      </c>
      <c r="B58" s="56" t="s">
        <v>287</v>
      </c>
      <c r="C58" s="4"/>
      <c r="D58" s="3"/>
      <c r="E58" s="3" t="s">
        <v>137</v>
      </c>
      <c r="F58" s="57" t="s">
        <v>168</v>
      </c>
      <c r="G58" s="58">
        <v>64.4583</v>
      </c>
      <c r="H58" s="58">
        <v>28.2256</v>
      </c>
      <c r="I58" s="6" t="s">
        <v>199</v>
      </c>
      <c r="J58" s="6" t="s">
        <v>169</v>
      </c>
      <c r="K58" s="61">
        <v>1.5</v>
      </c>
      <c r="L58" s="5"/>
      <c r="M58" s="60">
        <v>2.0</v>
      </c>
      <c r="N58" s="61">
        <v>137.370185175009</v>
      </c>
      <c r="O58" s="61">
        <v>8.81</v>
      </c>
      <c r="P58" s="61">
        <v>0.238</v>
      </c>
      <c r="Q58" s="61">
        <v>-25.219</v>
      </c>
      <c r="R58" s="61">
        <v>0.188</v>
      </c>
      <c r="S58" s="60">
        <v>15.41</v>
      </c>
      <c r="T58" s="60">
        <v>0.374</v>
      </c>
      <c r="U58" s="60">
        <v>3.51</v>
      </c>
      <c r="V58" s="60">
        <v>0.85</v>
      </c>
      <c r="W58" s="5"/>
      <c r="X58" s="5"/>
      <c r="Y58" s="83" t="s">
        <v>200</v>
      </c>
      <c r="Z58" s="60"/>
      <c r="AA58" s="60"/>
      <c r="AB58" s="60">
        <v>11.889</v>
      </c>
      <c r="AC58" s="60">
        <v>0.021</v>
      </c>
      <c r="AD58" s="60">
        <v>11.14</v>
      </c>
      <c r="AE58" s="60">
        <v>0.022</v>
      </c>
      <c r="AF58" s="60">
        <v>10.792</v>
      </c>
      <c r="AG58" s="60">
        <v>0.019</v>
      </c>
      <c r="AH58" s="6"/>
      <c r="AI58" s="6"/>
      <c r="AJ58" s="63" t="s">
        <v>201</v>
      </c>
      <c r="AK58" s="64" t="s">
        <v>202</v>
      </c>
      <c r="AL58" s="64" t="s">
        <v>203</v>
      </c>
      <c r="AM58" s="64">
        <v>4.0</v>
      </c>
      <c r="AN58" s="8"/>
      <c r="AO58" s="13"/>
      <c r="AP58" s="13" t="s">
        <v>288</v>
      </c>
      <c r="AQ58" s="64">
        <v>0.5</v>
      </c>
      <c r="AR58" s="78">
        <v>3125.0</v>
      </c>
      <c r="AS58" s="64">
        <v>200.0</v>
      </c>
      <c r="AT58" s="79">
        <v>0.16</v>
      </c>
      <c r="AU58" s="7"/>
      <c r="AV58" s="7"/>
      <c r="AW58" s="7"/>
      <c r="AX58" s="7"/>
      <c r="AY58" s="7"/>
      <c r="AZ58" s="11" t="s">
        <v>162</v>
      </c>
      <c r="BA58" s="68" t="s">
        <v>194</v>
      </c>
      <c r="BB58" s="90">
        <v>-66.7</v>
      </c>
      <c r="BC58" s="11">
        <f t="shared" si="3"/>
        <v>6.67</v>
      </c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2"/>
      <c r="CU58" s="11"/>
      <c r="CV58" s="11"/>
      <c r="CW58" s="12"/>
      <c r="CX58" s="90">
        <v>-0.4</v>
      </c>
      <c r="CY58" s="68">
        <v>0.1</v>
      </c>
      <c r="CZ58" s="11"/>
      <c r="DA58" s="11"/>
      <c r="DB58" s="11"/>
      <c r="DC58" s="11"/>
      <c r="DD58" s="11"/>
      <c r="DE58" s="11"/>
      <c r="DF58" s="12"/>
      <c r="DG58" s="12"/>
      <c r="DH58" s="12"/>
      <c r="DI58" s="12"/>
      <c r="DJ58" s="11"/>
      <c r="DK58" s="11"/>
      <c r="DL58" s="11"/>
      <c r="DM58" s="94"/>
      <c r="DN58" s="94"/>
      <c r="DO58" s="69">
        <v>38018.93963205613</v>
      </c>
      <c r="DP58" s="91">
        <v>4.58</v>
      </c>
      <c r="DQ58" s="11"/>
      <c r="DR58" s="91"/>
      <c r="DS58" s="91"/>
      <c r="DT58" s="91"/>
      <c r="DU58" s="91"/>
      <c r="DV58" s="13"/>
      <c r="DW58" s="10"/>
      <c r="DX58" s="81">
        <v>2.0E-11</v>
      </c>
      <c r="DY58" s="7"/>
      <c r="DZ58" s="64" t="s">
        <v>201</v>
      </c>
      <c r="EA58" s="72" t="s">
        <v>205</v>
      </c>
      <c r="EB58" s="82" t="s">
        <v>206</v>
      </c>
    </row>
    <row r="59">
      <c r="A59" s="55" t="s">
        <v>286</v>
      </c>
      <c r="B59" s="56" t="s">
        <v>287</v>
      </c>
      <c r="C59" s="4"/>
      <c r="D59" s="3"/>
      <c r="E59" s="3" t="s">
        <v>137</v>
      </c>
      <c r="F59" s="57" t="s">
        <v>168</v>
      </c>
      <c r="G59" s="58">
        <v>64.4583</v>
      </c>
      <c r="H59" s="58">
        <v>28.2256</v>
      </c>
      <c r="I59" s="6" t="s">
        <v>199</v>
      </c>
      <c r="J59" s="6" t="s">
        <v>169</v>
      </c>
      <c r="K59" s="61">
        <v>1.5</v>
      </c>
      <c r="L59" s="5"/>
      <c r="M59" s="60">
        <v>2.0</v>
      </c>
      <c r="N59" s="61">
        <v>137.370185175009</v>
      </c>
      <c r="O59" s="61">
        <v>8.81</v>
      </c>
      <c r="P59" s="61">
        <v>0.238</v>
      </c>
      <c r="Q59" s="61">
        <v>-25.219</v>
      </c>
      <c r="R59" s="61">
        <v>0.188</v>
      </c>
      <c r="S59" s="60">
        <v>15.41</v>
      </c>
      <c r="T59" s="60">
        <v>0.374</v>
      </c>
      <c r="U59" s="60">
        <v>3.51</v>
      </c>
      <c r="V59" s="60">
        <v>0.85</v>
      </c>
      <c r="W59" s="5"/>
      <c r="X59" s="5"/>
      <c r="Y59" s="83" t="s">
        <v>200</v>
      </c>
      <c r="Z59" s="60"/>
      <c r="AA59" s="60"/>
      <c r="AB59" s="60">
        <v>11.889</v>
      </c>
      <c r="AC59" s="60">
        <v>0.021</v>
      </c>
      <c r="AD59" s="60">
        <v>11.14</v>
      </c>
      <c r="AE59" s="60">
        <v>0.022</v>
      </c>
      <c r="AF59" s="60">
        <v>10.792</v>
      </c>
      <c r="AG59" s="60">
        <v>0.019</v>
      </c>
      <c r="AH59" s="6"/>
      <c r="AI59" s="6"/>
      <c r="AJ59" s="63" t="s">
        <v>201</v>
      </c>
      <c r="AK59" s="64" t="s">
        <v>202</v>
      </c>
      <c r="AL59" s="64" t="s">
        <v>203</v>
      </c>
      <c r="AM59" s="64">
        <v>4.0</v>
      </c>
      <c r="AN59" s="8"/>
      <c r="AO59" s="13"/>
      <c r="AP59" s="13" t="s">
        <v>288</v>
      </c>
      <c r="AQ59" s="64">
        <v>0.5</v>
      </c>
      <c r="AR59" s="78">
        <v>3125.0</v>
      </c>
      <c r="AS59" s="64">
        <v>200.0</v>
      </c>
      <c r="AT59" s="79">
        <v>0.16</v>
      </c>
      <c r="AU59" s="7"/>
      <c r="AV59" s="7"/>
      <c r="AW59" s="7"/>
      <c r="AX59" s="7"/>
      <c r="AY59" s="7"/>
      <c r="AZ59" s="11" t="s">
        <v>162</v>
      </c>
      <c r="BA59" s="68" t="s">
        <v>194</v>
      </c>
      <c r="BB59" s="90">
        <v>-66.7</v>
      </c>
      <c r="BC59" s="11">
        <f t="shared" si="3"/>
        <v>6.67</v>
      </c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2"/>
      <c r="CU59" s="11"/>
      <c r="CV59" s="11"/>
      <c r="CW59" s="12"/>
      <c r="CX59" s="90">
        <v>-0.4</v>
      </c>
      <c r="CY59" s="68">
        <v>0.1</v>
      </c>
      <c r="CZ59" s="11"/>
      <c r="DA59" s="11"/>
      <c r="DB59" s="11"/>
      <c r="DC59" s="11"/>
      <c r="DD59" s="11"/>
      <c r="DE59" s="11"/>
      <c r="DF59" s="12"/>
      <c r="DG59" s="12"/>
      <c r="DH59" s="12"/>
      <c r="DI59" s="12"/>
      <c r="DJ59" s="11"/>
      <c r="DK59" s="11"/>
      <c r="DL59" s="11"/>
      <c r="DM59" s="94"/>
      <c r="DN59" s="94"/>
      <c r="DO59" s="69">
        <v>38018.93963205613</v>
      </c>
      <c r="DP59" s="91">
        <v>4.58</v>
      </c>
      <c r="DQ59" s="11"/>
      <c r="DR59" s="91"/>
      <c r="DS59" s="91"/>
      <c r="DT59" s="91"/>
      <c r="DU59" s="91"/>
      <c r="DV59" s="13"/>
      <c r="DW59" s="10"/>
      <c r="DX59" s="81">
        <v>3.16E-11</v>
      </c>
      <c r="DY59" s="7"/>
      <c r="DZ59" s="64" t="s">
        <v>201</v>
      </c>
      <c r="EA59" s="72" t="s">
        <v>205</v>
      </c>
      <c r="EB59" s="82" t="s">
        <v>207</v>
      </c>
    </row>
    <row r="60">
      <c r="A60" s="74" t="s">
        <v>289</v>
      </c>
      <c r="B60" s="56" t="s">
        <v>290</v>
      </c>
      <c r="C60" s="3" t="s">
        <v>156</v>
      </c>
      <c r="D60" s="57">
        <v>2.31</v>
      </c>
      <c r="E60" s="4"/>
      <c r="F60" s="57" t="s">
        <v>157</v>
      </c>
      <c r="G60" s="58">
        <v>67.423583</v>
      </c>
      <c r="H60" s="58">
        <v>26.549028</v>
      </c>
      <c r="I60" s="6" t="s">
        <v>199</v>
      </c>
      <c r="J60" s="6" t="s">
        <v>169</v>
      </c>
      <c r="K60" s="58">
        <v>4.34</v>
      </c>
      <c r="L60" s="5"/>
      <c r="M60" s="5"/>
      <c r="N60" s="58">
        <v>145.0</v>
      </c>
      <c r="O60" s="5"/>
      <c r="P60" s="5"/>
      <c r="Q60" s="5"/>
      <c r="R60" s="5"/>
      <c r="S60" s="60"/>
      <c r="T60" s="60"/>
      <c r="U60" s="60">
        <v>0.7</v>
      </c>
      <c r="V60" s="60">
        <v>0.5</v>
      </c>
      <c r="W60" s="5"/>
      <c r="X60" s="5"/>
      <c r="Y60" s="83" t="s">
        <v>291</v>
      </c>
      <c r="Z60" s="60"/>
      <c r="AA60" s="60"/>
      <c r="AB60" s="60">
        <v>15.71</v>
      </c>
      <c r="AC60" s="60">
        <v>0.05</v>
      </c>
      <c r="AD60" s="60">
        <v>14.96</v>
      </c>
      <c r="AE60" s="60">
        <v>0.04</v>
      </c>
      <c r="AF60" s="60">
        <v>14.19</v>
      </c>
      <c r="AG60" s="60">
        <v>0.02</v>
      </c>
      <c r="AH60" s="6"/>
      <c r="AI60" s="96"/>
      <c r="AJ60" s="76" t="s">
        <v>291</v>
      </c>
      <c r="AK60" s="13" t="s">
        <v>292</v>
      </c>
      <c r="AL60" s="64">
        <v>2012.0</v>
      </c>
      <c r="AM60" s="7"/>
      <c r="AN60" s="77">
        <v>145.0</v>
      </c>
      <c r="AO60" s="64">
        <v>15.0</v>
      </c>
      <c r="AP60" s="13"/>
      <c r="AQ60" s="7"/>
      <c r="AR60" s="78">
        <v>2350.0</v>
      </c>
      <c r="AS60" s="97">
        <v>150.0</v>
      </c>
      <c r="AT60" s="79">
        <v>0.0105</v>
      </c>
      <c r="AU60" s="7">
        <f>10/1043</f>
        <v>0.009587727709</v>
      </c>
      <c r="AV60" s="13"/>
      <c r="AW60" s="13"/>
      <c r="AX60" s="64">
        <v>0.26718298</v>
      </c>
      <c r="AY60" s="64">
        <v>0.07193388</v>
      </c>
      <c r="AZ60" s="11" t="s">
        <v>293</v>
      </c>
      <c r="BA60" s="11" t="s">
        <v>294</v>
      </c>
      <c r="BB60" s="68">
        <v>-450.0</v>
      </c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2"/>
      <c r="DK60" s="12"/>
      <c r="DL60" s="12"/>
      <c r="DM60" s="69"/>
      <c r="DN60" s="69"/>
      <c r="DO60" s="69"/>
      <c r="DP60" s="69"/>
      <c r="DQ60" s="11"/>
      <c r="DR60" s="69"/>
      <c r="DS60" s="69"/>
      <c r="DT60" s="69"/>
      <c r="DU60" s="69"/>
      <c r="DV60" s="64">
        <v>-5.4</v>
      </c>
      <c r="DW60" s="10"/>
      <c r="DX60" s="81">
        <f>10^(-11.5)</f>
        <v>0</v>
      </c>
      <c r="DY60" s="7"/>
      <c r="DZ60" s="64" t="s">
        <v>295</v>
      </c>
      <c r="EA60" s="72" t="s">
        <v>296</v>
      </c>
      <c r="EB60" s="72" t="s">
        <v>297</v>
      </c>
    </row>
    <row r="61">
      <c r="A61" s="74" t="s">
        <v>289</v>
      </c>
      <c r="B61" s="56" t="s">
        <v>290</v>
      </c>
      <c r="C61" s="3" t="s">
        <v>156</v>
      </c>
      <c r="D61" s="57">
        <v>2.31</v>
      </c>
      <c r="E61" s="4"/>
      <c r="F61" s="57" t="s">
        <v>157</v>
      </c>
      <c r="G61" s="58">
        <v>67.423583</v>
      </c>
      <c r="H61" s="58">
        <v>26.549028</v>
      </c>
      <c r="I61" s="6" t="s">
        <v>199</v>
      </c>
      <c r="J61" s="6" t="s">
        <v>169</v>
      </c>
      <c r="K61" s="58">
        <v>4.34</v>
      </c>
      <c r="L61" s="5"/>
      <c r="M61" s="5"/>
      <c r="N61" s="58">
        <v>145.0</v>
      </c>
      <c r="O61" s="5"/>
      <c r="P61" s="5"/>
      <c r="Q61" s="5"/>
      <c r="R61" s="5"/>
      <c r="S61" s="60"/>
      <c r="T61" s="60"/>
      <c r="U61" s="58">
        <v>0.7</v>
      </c>
      <c r="V61" s="60">
        <v>0.5</v>
      </c>
      <c r="W61" s="5"/>
      <c r="X61" s="5"/>
      <c r="Y61" s="83" t="s">
        <v>291</v>
      </c>
      <c r="Z61" s="60"/>
      <c r="AA61" s="60"/>
      <c r="AB61" s="60">
        <v>15.71</v>
      </c>
      <c r="AC61" s="60">
        <v>0.05</v>
      </c>
      <c r="AD61" s="60">
        <v>14.96</v>
      </c>
      <c r="AE61" s="60">
        <v>0.04</v>
      </c>
      <c r="AF61" s="60">
        <v>14.19</v>
      </c>
      <c r="AG61" s="60">
        <v>0.02</v>
      </c>
      <c r="AH61" s="6"/>
      <c r="AI61" s="96"/>
      <c r="AJ61" s="76" t="s">
        <v>291</v>
      </c>
      <c r="AK61" s="13" t="s">
        <v>292</v>
      </c>
      <c r="AL61" s="64">
        <v>2012.0</v>
      </c>
      <c r="AM61" s="7"/>
      <c r="AN61" s="77">
        <v>145.0</v>
      </c>
      <c r="AO61" s="64">
        <v>15.0</v>
      </c>
      <c r="AP61" s="13"/>
      <c r="AQ61" s="13"/>
      <c r="AR61" s="78">
        <v>2200.0</v>
      </c>
      <c r="AS61" s="13"/>
      <c r="AT61" s="79">
        <v>0.0105</v>
      </c>
      <c r="AU61" s="7">
        <f>3/1043</f>
        <v>0.002876318313</v>
      </c>
      <c r="AV61" s="13"/>
      <c r="AW61" s="13"/>
      <c r="AX61" s="73">
        <v>0.271323</v>
      </c>
      <c r="AY61" s="73">
        <v>0.080392</v>
      </c>
      <c r="AZ61" s="11" t="s">
        <v>293</v>
      </c>
      <c r="BA61" s="11" t="s">
        <v>294</v>
      </c>
      <c r="BB61" s="68">
        <v>-450.0</v>
      </c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2"/>
      <c r="DK61" s="12"/>
      <c r="DL61" s="12"/>
      <c r="DM61" s="69"/>
      <c r="DN61" s="69"/>
      <c r="DO61" s="69"/>
      <c r="DP61" s="69"/>
      <c r="DQ61" s="11"/>
      <c r="DR61" s="69"/>
      <c r="DS61" s="69"/>
      <c r="DT61" s="69"/>
      <c r="DU61" s="69"/>
      <c r="DV61" s="64">
        <v>-5.4</v>
      </c>
      <c r="DW61" s="10"/>
      <c r="DX61" s="81">
        <f>10^(-11.3)</f>
        <v>0</v>
      </c>
      <c r="DY61" s="7"/>
      <c r="DZ61" s="64" t="s">
        <v>295</v>
      </c>
      <c r="EA61" s="72" t="s">
        <v>296</v>
      </c>
      <c r="EB61" s="72" t="s">
        <v>298</v>
      </c>
    </row>
    <row r="62">
      <c r="A62" s="55" t="s">
        <v>299</v>
      </c>
      <c r="B62" s="56" t="s">
        <v>300</v>
      </c>
      <c r="C62" s="3" t="s">
        <v>156</v>
      </c>
      <c r="D62" s="57">
        <v>2.19</v>
      </c>
      <c r="E62" s="4"/>
      <c r="F62" s="57" t="s">
        <v>187</v>
      </c>
      <c r="G62" s="58">
        <v>245.47771</v>
      </c>
      <c r="H62" s="58">
        <v>-20.71884</v>
      </c>
      <c r="I62" s="6" t="s">
        <v>301</v>
      </c>
      <c r="J62" s="6" t="s">
        <v>189</v>
      </c>
      <c r="K62" s="61">
        <v>5.0</v>
      </c>
      <c r="L62" s="60">
        <v>6.0</v>
      </c>
      <c r="M62" s="5"/>
      <c r="N62" s="58">
        <v>145.0</v>
      </c>
      <c r="O62" s="5"/>
      <c r="P62" s="5"/>
      <c r="Q62" s="5"/>
      <c r="R62" s="5"/>
      <c r="S62" s="5"/>
      <c r="T62" s="5"/>
      <c r="U62" s="58">
        <v>0.2</v>
      </c>
      <c r="V62" s="60">
        <v>0.5</v>
      </c>
      <c r="W62" s="5"/>
      <c r="X62" s="5"/>
      <c r="Y62" s="83" t="s">
        <v>302</v>
      </c>
      <c r="Z62" s="5"/>
      <c r="AA62" s="5"/>
      <c r="AB62" s="60">
        <v>16.25</v>
      </c>
      <c r="AC62" s="60">
        <v>0.04</v>
      </c>
      <c r="AD62" s="60">
        <v>15.55</v>
      </c>
      <c r="AE62" s="60">
        <v>0.04</v>
      </c>
      <c r="AF62" s="60">
        <v>14.95</v>
      </c>
      <c r="AG62" s="60">
        <v>0.03</v>
      </c>
      <c r="AH62" s="6"/>
      <c r="AI62" s="96"/>
      <c r="AJ62" s="76" t="s">
        <v>291</v>
      </c>
      <c r="AK62" s="13" t="s">
        <v>292</v>
      </c>
      <c r="AL62" s="70">
        <v>2012.0</v>
      </c>
      <c r="AM62" s="7"/>
      <c r="AN62" s="77">
        <v>145.0</v>
      </c>
      <c r="AO62" s="64">
        <v>15.0</v>
      </c>
      <c r="AP62" s="64" t="s">
        <v>204</v>
      </c>
      <c r="AQ62" s="13"/>
      <c r="AR62" s="78">
        <v>2700.0</v>
      </c>
      <c r="AS62" s="97">
        <v>200.0</v>
      </c>
      <c r="AT62" s="79">
        <v>0.01336</v>
      </c>
      <c r="AU62" s="73">
        <v>0.001908397</v>
      </c>
      <c r="AV62" s="13"/>
      <c r="AW62" s="13"/>
      <c r="AX62" s="73">
        <v>0.180882</v>
      </c>
      <c r="AY62" s="73">
        <v>0.050245</v>
      </c>
      <c r="AZ62" s="11" t="s">
        <v>293</v>
      </c>
      <c r="BA62" s="11" t="s">
        <v>294</v>
      </c>
      <c r="BB62" s="68">
        <v>-1600.0</v>
      </c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2"/>
      <c r="DK62" s="12"/>
      <c r="DL62" s="12"/>
      <c r="DM62" s="69"/>
      <c r="DN62" s="69"/>
      <c r="DO62" s="69"/>
      <c r="DP62" s="69"/>
      <c r="DQ62" s="11"/>
      <c r="DR62" s="69"/>
      <c r="DS62" s="69"/>
      <c r="DT62" s="69"/>
      <c r="DU62" s="69"/>
      <c r="DV62" s="70">
        <v>-4.7</v>
      </c>
      <c r="DW62" s="98"/>
      <c r="DX62" s="81">
        <f>10^(-11)</f>
        <v>0</v>
      </c>
      <c r="DY62" s="7"/>
      <c r="DZ62" s="64" t="s">
        <v>295</v>
      </c>
      <c r="EA62" s="72" t="s">
        <v>296</v>
      </c>
      <c r="EB62" s="72" t="s">
        <v>297</v>
      </c>
    </row>
    <row r="63">
      <c r="A63" s="55" t="s">
        <v>299</v>
      </c>
      <c r="B63" s="56" t="s">
        <v>300</v>
      </c>
      <c r="C63" s="3" t="s">
        <v>156</v>
      </c>
      <c r="D63" s="57">
        <v>2.19</v>
      </c>
      <c r="E63" s="4"/>
      <c r="F63" s="57" t="s">
        <v>187</v>
      </c>
      <c r="G63" s="58">
        <v>245.47771</v>
      </c>
      <c r="H63" s="58">
        <v>-20.71884</v>
      </c>
      <c r="I63" s="6" t="s">
        <v>301</v>
      </c>
      <c r="J63" s="6" t="s">
        <v>189</v>
      </c>
      <c r="K63" s="61">
        <v>5.0</v>
      </c>
      <c r="L63" s="60">
        <v>6.0</v>
      </c>
      <c r="M63" s="5"/>
      <c r="N63" s="58">
        <v>145.0</v>
      </c>
      <c r="O63" s="5"/>
      <c r="P63" s="5"/>
      <c r="Q63" s="5"/>
      <c r="R63" s="5"/>
      <c r="S63" s="5"/>
      <c r="T63" s="5"/>
      <c r="U63" s="58">
        <v>0.2</v>
      </c>
      <c r="V63" s="60">
        <v>0.5</v>
      </c>
      <c r="W63" s="5"/>
      <c r="X63" s="5"/>
      <c r="Y63" s="83" t="s">
        <v>302</v>
      </c>
      <c r="Z63" s="5"/>
      <c r="AA63" s="5"/>
      <c r="AB63" s="60">
        <v>16.25</v>
      </c>
      <c r="AC63" s="60">
        <v>0.04</v>
      </c>
      <c r="AD63" s="60">
        <v>15.55</v>
      </c>
      <c r="AE63" s="60">
        <v>0.04</v>
      </c>
      <c r="AF63" s="60">
        <v>14.95</v>
      </c>
      <c r="AG63" s="60">
        <v>0.03</v>
      </c>
      <c r="AH63" s="6"/>
      <c r="AI63" s="96"/>
      <c r="AJ63" s="76" t="s">
        <v>291</v>
      </c>
      <c r="AK63" s="13" t="s">
        <v>292</v>
      </c>
      <c r="AL63" s="70">
        <v>2012.0</v>
      </c>
      <c r="AM63" s="7"/>
      <c r="AN63" s="77">
        <v>145.0</v>
      </c>
      <c r="AO63" s="64">
        <v>15.0</v>
      </c>
      <c r="AP63" s="64" t="s">
        <v>204</v>
      </c>
      <c r="AQ63" s="7"/>
      <c r="AR63" s="78">
        <v>2200.0</v>
      </c>
      <c r="AS63" s="13"/>
      <c r="AT63" s="79">
        <v>0.01431</v>
      </c>
      <c r="AU63" s="73">
        <v>0.002862595</v>
      </c>
      <c r="AV63" s="13"/>
      <c r="AW63" s="13"/>
      <c r="AX63" s="73">
        <v>0.180882</v>
      </c>
      <c r="AY63" s="73">
        <v>0.050245</v>
      </c>
      <c r="AZ63" s="11" t="s">
        <v>293</v>
      </c>
      <c r="BA63" s="11" t="s">
        <v>294</v>
      </c>
      <c r="BB63" s="68">
        <v>-1600.0</v>
      </c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2"/>
      <c r="DK63" s="12"/>
      <c r="DL63" s="12"/>
      <c r="DM63" s="69"/>
      <c r="DN63" s="69"/>
      <c r="DO63" s="69"/>
      <c r="DP63" s="69"/>
      <c r="DQ63" s="11"/>
      <c r="DR63" s="69"/>
      <c r="DS63" s="69"/>
      <c r="DT63" s="69"/>
      <c r="DU63" s="69"/>
      <c r="DV63" s="70">
        <v>-4.6</v>
      </c>
      <c r="DW63" s="10"/>
      <c r="DX63" s="81">
        <f>10^(-10.8)</f>
        <v>0</v>
      </c>
      <c r="DY63" s="7"/>
      <c r="DZ63" s="64" t="s">
        <v>295</v>
      </c>
      <c r="EA63" s="72" t="s">
        <v>296</v>
      </c>
      <c r="EB63" s="72" t="s">
        <v>298</v>
      </c>
    </row>
    <row r="64">
      <c r="A64" s="74" t="s">
        <v>303</v>
      </c>
      <c r="B64" s="99" t="s">
        <v>304</v>
      </c>
      <c r="C64" s="57" t="s">
        <v>156</v>
      </c>
      <c r="D64" s="57">
        <v>2.3</v>
      </c>
      <c r="E64" s="4"/>
      <c r="F64" s="57" t="s">
        <v>187</v>
      </c>
      <c r="G64" s="58">
        <v>245.6042</v>
      </c>
      <c r="H64" s="58">
        <v>-24.0878</v>
      </c>
      <c r="I64" s="6" t="s">
        <v>305</v>
      </c>
      <c r="J64" s="6" t="s">
        <v>169</v>
      </c>
      <c r="K64" s="58">
        <v>11.0</v>
      </c>
      <c r="L64" s="5"/>
      <c r="M64" s="5"/>
      <c r="N64" s="61"/>
      <c r="O64" s="61">
        <v>-15.79</v>
      </c>
      <c r="P64" s="61">
        <v>0.698</v>
      </c>
      <c r="Q64" s="61">
        <v>-23.236</v>
      </c>
      <c r="R64" s="61">
        <v>0.52</v>
      </c>
      <c r="S64" s="60"/>
      <c r="T64" s="60"/>
      <c r="U64" s="58">
        <v>0.0</v>
      </c>
      <c r="V64" s="5"/>
      <c r="W64" s="5"/>
      <c r="X64" s="5"/>
      <c r="Y64" s="83" t="s">
        <v>306</v>
      </c>
      <c r="Z64" s="60"/>
      <c r="AA64" s="60"/>
      <c r="AB64" s="60">
        <v>15.24</v>
      </c>
      <c r="AC64" s="60">
        <v>0.03</v>
      </c>
      <c r="AD64" s="60">
        <v>14.64</v>
      </c>
      <c r="AE64" s="60">
        <v>0.03</v>
      </c>
      <c r="AF64" s="60">
        <v>14.03</v>
      </c>
      <c r="AG64" s="60">
        <v>0.03</v>
      </c>
      <c r="AH64" s="6"/>
      <c r="AI64" s="96"/>
      <c r="AJ64" s="76" t="s">
        <v>306</v>
      </c>
      <c r="AK64" s="13" t="s">
        <v>307</v>
      </c>
      <c r="AL64" s="70">
        <v>2008.0</v>
      </c>
      <c r="AM64" s="7"/>
      <c r="AN64" s="77">
        <v>145.0</v>
      </c>
      <c r="AO64" s="13"/>
      <c r="AP64" s="13" t="s">
        <v>308</v>
      </c>
      <c r="AQ64" s="7"/>
      <c r="AR64" s="78">
        <v>2478.0</v>
      </c>
      <c r="AS64" s="7"/>
      <c r="AT64" s="79">
        <v>0.021</v>
      </c>
      <c r="AU64" s="7"/>
      <c r="AV64" s="64">
        <v>0.001737800829</v>
      </c>
      <c r="AW64" s="7"/>
      <c r="AX64" s="73">
        <v>0.23</v>
      </c>
      <c r="AY64" s="7"/>
      <c r="AZ64" s="11" t="s">
        <v>293</v>
      </c>
      <c r="BA64" s="11" t="s">
        <v>294</v>
      </c>
      <c r="BB64" s="100">
        <v>-270.0</v>
      </c>
      <c r="BC64" s="11"/>
      <c r="BD64" s="80">
        <v>9.55E-16</v>
      </c>
      <c r="BE64" s="11"/>
      <c r="BF64" s="68">
        <v>-360.0</v>
      </c>
      <c r="BG64" s="11"/>
      <c r="BH64" s="80">
        <v>2.19E-16</v>
      </c>
      <c r="BI64" s="11"/>
      <c r="BJ64" s="68">
        <v>-410.0</v>
      </c>
      <c r="BK64" s="11"/>
      <c r="BL64" s="80">
        <v>8.32E-17</v>
      </c>
      <c r="BM64" s="11"/>
      <c r="BN64" s="68">
        <v>-320.0</v>
      </c>
      <c r="BO64" s="11"/>
      <c r="BP64" s="80">
        <v>5.75E-17</v>
      </c>
      <c r="BQ64" s="11"/>
      <c r="BR64" s="68">
        <v>-160.0</v>
      </c>
      <c r="BS64" s="11"/>
      <c r="BT64" s="80">
        <v>2.95E-17</v>
      </c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68" t="s">
        <v>309</v>
      </c>
      <c r="CU64" s="11"/>
      <c r="CV64" s="80" t="s">
        <v>310</v>
      </c>
      <c r="CW64" s="11"/>
      <c r="CX64" s="68" t="s">
        <v>311</v>
      </c>
      <c r="CY64" s="11"/>
      <c r="CZ64" s="80" t="s">
        <v>312</v>
      </c>
      <c r="DA64" s="11"/>
      <c r="DB64" s="11"/>
      <c r="DC64" s="11"/>
      <c r="DD64" s="11"/>
      <c r="DE64" s="11"/>
      <c r="DF64" s="68">
        <v>-190.0</v>
      </c>
      <c r="DG64" s="68"/>
      <c r="DH64" s="80">
        <v>3.47E-17</v>
      </c>
      <c r="DI64" s="68"/>
      <c r="DJ64" s="12"/>
      <c r="DK64" s="12"/>
      <c r="DL64" s="12"/>
      <c r="DM64" s="69"/>
      <c r="DN64" s="69"/>
      <c r="DO64" s="69"/>
      <c r="DP64" s="69"/>
      <c r="DQ64" s="11"/>
      <c r="DR64" s="69"/>
      <c r="DS64" s="69"/>
      <c r="DT64" s="69"/>
      <c r="DU64" s="69"/>
      <c r="DV64" s="73">
        <v>-6.2</v>
      </c>
      <c r="DW64" s="10"/>
      <c r="DX64" s="81">
        <v>2.51E-13</v>
      </c>
      <c r="DY64" s="7"/>
      <c r="DZ64" s="64" t="s">
        <v>225</v>
      </c>
      <c r="EA64" s="13"/>
      <c r="EB64" s="13"/>
    </row>
    <row r="65">
      <c r="A65" s="101" t="s">
        <v>313</v>
      </c>
      <c r="B65" s="56" t="s">
        <v>313</v>
      </c>
      <c r="C65" s="3" t="s">
        <v>156</v>
      </c>
      <c r="D65" s="57">
        <v>0.713</v>
      </c>
      <c r="E65" s="4"/>
      <c r="F65" s="57" t="s">
        <v>187</v>
      </c>
      <c r="G65" s="58">
        <v>237.300375</v>
      </c>
      <c r="H65" s="58">
        <v>-35.651083</v>
      </c>
      <c r="I65" s="6" t="s">
        <v>314</v>
      </c>
      <c r="J65" s="6" t="s">
        <v>189</v>
      </c>
      <c r="K65" s="58">
        <v>3.0</v>
      </c>
      <c r="L65" s="60">
        <v>2.0</v>
      </c>
      <c r="M65" s="5"/>
      <c r="N65" s="58">
        <v>155.0</v>
      </c>
      <c r="O65" s="5"/>
      <c r="P65" s="5"/>
      <c r="Q65" s="5"/>
      <c r="R65" s="5"/>
      <c r="S65" s="5"/>
      <c r="T65" s="5"/>
      <c r="U65" s="58">
        <v>1.6</v>
      </c>
      <c r="V65" s="60">
        <v>0.5</v>
      </c>
      <c r="W65" s="5"/>
      <c r="X65" s="5"/>
      <c r="Y65" s="83" t="s">
        <v>315</v>
      </c>
      <c r="Z65" s="5"/>
      <c r="AA65" s="5"/>
      <c r="AB65" s="5"/>
      <c r="AC65" s="5"/>
      <c r="AD65" s="5"/>
      <c r="AE65" s="5"/>
      <c r="AF65" s="5"/>
      <c r="AG65" s="5"/>
      <c r="AH65" s="6"/>
      <c r="AI65" s="5"/>
      <c r="AJ65" s="76" t="s">
        <v>291</v>
      </c>
      <c r="AK65" s="13" t="s">
        <v>292</v>
      </c>
      <c r="AL65" s="70">
        <v>2012.0</v>
      </c>
      <c r="AM65" s="7"/>
      <c r="AN65" s="77">
        <v>155.0</v>
      </c>
      <c r="AO65" s="64">
        <v>15.0</v>
      </c>
      <c r="AP65" s="64" t="s">
        <v>316</v>
      </c>
      <c r="AQ65" s="64">
        <v>1.0</v>
      </c>
      <c r="AR65" s="78">
        <v>2050.0</v>
      </c>
      <c r="AS65" s="73">
        <v>350.0</v>
      </c>
      <c r="AT65" s="79">
        <v>0.0229</v>
      </c>
      <c r="AU65" s="73">
        <v>0.011450382</v>
      </c>
      <c r="AV65" s="13"/>
      <c r="AW65" s="13"/>
      <c r="AX65" s="73">
        <v>0.462254</v>
      </c>
      <c r="AY65" s="73">
        <v>0.140686</v>
      </c>
      <c r="AZ65" s="11" t="s">
        <v>293</v>
      </c>
      <c r="BA65" s="11" t="s">
        <v>294</v>
      </c>
      <c r="BB65" s="68">
        <v>-180.0</v>
      </c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69"/>
      <c r="DN65" s="69"/>
      <c r="DO65" s="69"/>
      <c r="DP65" s="69"/>
      <c r="DQ65" s="11"/>
      <c r="DR65" s="69"/>
      <c r="DS65" s="69"/>
      <c r="DT65" s="69"/>
      <c r="DU65" s="69"/>
      <c r="DV65" s="73">
        <v>-2.9</v>
      </c>
      <c r="DW65" s="10"/>
      <c r="DX65" s="81">
        <f>10^(-9.3)</f>
        <v>0.0000000005011872336</v>
      </c>
      <c r="DY65" s="7"/>
      <c r="DZ65" s="64" t="s">
        <v>295</v>
      </c>
      <c r="EA65" s="72" t="s">
        <v>296</v>
      </c>
      <c r="EB65" s="72" t="s">
        <v>317</v>
      </c>
    </row>
    <row r="66">
      <c r="A66" s="55" t="s">
        <v>222</v>
      </c>
      <c r="B66" s="56" t="s">
        <v>222</v>
      </c>
      <c r="C66" s="4"/>
      <c r="D66" s="4"/>
      <c r="E66" s="4"/>
      <c r="F66" s="57" t="s">
        <v>187</v>
      </c>
      <c r="G66" s="61">
        <v>181.889448333333</v>
      </c>
      <c r="H66" s="61">
        <v>-39.5483377777777</v>
      </c>
      <c r="I66" s="6" t="s">
        <v>199</v>
      </c>
      <c r="J66" s="5"/>
      <c r="K66" s="58">
        <v>10.0</v>
      </c>
      <c r="L66" s="60"/>
      <c r="M66" s="60">
        <v>2.0</v>
      </c>
      <c r="N66" s="61">
        <v>64.4155576454825</v>
      </c>
      <c r="O66" s="61">
        <v>-64.083</v>
      </c>
      <c r="P66" s="61">
        <v>0.233</v>
      </c>
      <c r="Q66" s="61">
        <v>-23.72</v>
      </c>
      <c r="R66" s="61">
        <v>0.13</v>
      </c>
      <c r="S66" s="60">
        <v>7.5</v>
      </c>
      <c r="T66" s="60">
        <v>2.0</v>
      </c>
      <c r="U66" s="58">
        <v>0.0</v>
      </c>
      <c r="V66" s="58">
        <v>0.5</v>
      </c>
      <c r="W66" s="5"/>
      <c r="X66" s="5"/>
      <c r="Y66" s="83" t="s">
        <v>225</v>
      </c>
      <c r="Z66" s="60">
        <v>17.99</v>
      </c>
      <c r="AA66" s="60">
        <v>0.07</v>
      </c>
      <c r="AB66" s="60">
        <v>12.995</v>
      </c>
      <c r="AC66" s="60">
        <v>0.026</v>
      </c>
      <c r="AD66" s="60">
        <v>12.388</v>
      </c>
      <c r="AE66" s="60">
        <v>0.027</v>
      </c>
      <c r="AF66" s="60">
        <v>11.945</v>
      </c>
      <c r="AG66" s="60">
        <v>0.026</v>
      </c>
      <c r="AH66" s="6"/>
      <c r="AI66" s="96"/>
      <c r="AJ66" s="76" t="s">
        <v>225</v>
      </c>
      <c r="AK66" s="13" t="s">
        <v>307</v>
      </c>
      <c r="AL66" s="97">
        <v>2006.0</v>
      </c>
      <c r="AM66" s="13"/>
      <c r="AN66" s="102">
        <v>140.0</v>
      </c>
      <c r="AO66" s="97">
        <v>15.0</v>
      </c>
      <c r="AP66" s="13" t="s">
        <v>318</v>
      </c>
      <c r="AQ66" s="73">
        <v>0.5</v>
      </c>
      <c r="AR66" s="66">
        <v>2550.0</v>
      </c>
      <c r="AS66" s="64">
        <v>75.0</v>
      </c>
      <c r="AT66" s="67">
        <v>0.024</v>
      </c>
      <c r="AU66" s="73">
        <v>0.01</v>
      </c>
      <c r="AV66" s="64">
        <v>0.0022</v>
      </c>
      <c r="AW66" s="7"/>
      <c r="AX66" s="70">
        <v>0.24</v>
      </c>
      <c r="AY66" s="7"/>
      <c r="AZ66" s="11" t="s">
        <v>293</v>
      </c>
      <c r="BA66" s="11" t="s">
        <v>294</v>
      </c>
      <c r="BB66" s="12">
        <v>-200.0</v>
      </c>
      <c r="BC66" s="11"/>
      <c r="BD66" s="80">
        <v>1.21E-14</v>
      </c>
      <c r="BE66" s="11"/>
      <c r="BF66" s="12">
        <v>-210.0</v>
      </c>
      <c r="BG66" s="11"/>
      <c r="BH66" s="80">
        <v>1.9E-15</v>
      </c>
      <c r="BI66" s="11"/>
      <c r="BJ66" s="12">
        <v>-234.0</v>
      </c>
      <c r="BK66" s="11"/>
      <c r="BL66" s="80">
        <v>1.19E-15</v>
      </c>
      <c r="BM66" s="11"/>
      <c r="BN66" s="12">
        <v>-132.0</v>
      </c>
      <c r="BO66" s="11"/>
      <c r="BP66" s="80">
        <v>8.8E-16</v>
      </c>
      <c r="BQ66" s="11"/>
      <c r="BR66" s="12"/>
      <c r="BS66" s="11"/>
      <c r="BT66" s="80">
        <v>7.1E-16</v>
      </c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2">
        <v>-21.0</v>
      </c>
      <c r="CU66" s="11"/>
      <c r="CV66" s="80">
        <v>3.8E-16</v>
      </c>
      <c r="CW66" s="11"/>
      <c r="CX66" s="12">
        <v>-3.5</v>
      </c>
      <c r="CY66" s="11"/>
      <c r="CZ66" s="80">
        <v>1.5E-16</v>
      </c>
      <c r="DA66" s="11"/>
      <c r="DB66" s="12">
        <v>-1.2</v>
      </c>
      <c r="DC66" s="11"/>
      <c r="DD66" s="80">
        <v>1.0E-16</v>
      </c>
      <c r="DE66" s="11"/>
      <c r="DF66" s="12">
        <v>-90.0</v>
      </c>
      <c r="DG66" s="12"/>
      <c r="DH66" s="80">
        <v>1.2E-16</v>
      </c>
      <c r="DI66" s="12"/>
      <c r="DJ66" s="69">
        <v>-200.0</v>
      </c>
      <c r="DK66" s="80">
        <v>7.1E-16</v>
      </c>
      <c r="DL66" s="80"/>
      <c r="DM66" s="80" t="s">
        <v>319</v>
      </c>
      <c r="DN66" s="69"/>
      <c r="DO66" s="80">
        <v>3.0E-16</v>
      </c>
      <c r="DP66" s="69"/>
      <c r="DQ66" s="11"/>
      <c r="DR66" s="69"/>
      <c r="DS66" s="69"/>
      <c r="DT66" s="69"/>
      <c r="DU66" s="69"/>
      <c r="DV66" s="103">
        <v>-5.36</v>
      </c>
      <c r="DW66" s="98">
        <v>0.2</v>
      </c>
      <c r="DX66" s="71">
        <v>1.7E-12</v>
      </c>
      <c r="DY66" s="7"/>
      <c r="DZ66" s="64" t="s">
        <v>225</v>
      </c>
      <c r="EA66" s="7"/>
      <c r="EB66" s="64" t="s">
        <v>320</v>
      </c>
    </row>
    <row r="67">
      <c r="A67" s="55" t="s">
        <v>222</v>
      </c>
      <c r="B67" s="56" t="s">
        <v>222</v>
      </c>
      <c r="C67" s="4"/>
      <c r="D67" s="4"/>
      <c r="E67" s="4"/>
      <c r="F67" s="57" t="s">
        <v>187</v>
      </c>
      <c r="G67" s="61">
        <v>181.889448333333</v>
      </c>
      <c r="H67" s="61">
        <v>-39.5483377777777</v>
      </c>
      <c r="I67" s="6" t="s">
        <v>199</v>
      </c>
      <c r="J67" s="5"/>
      <c r="K67" s="58">
        <v>10.0</v>
      </c>
      <c r="L67" s="60"/>
      <c r="M67" s="60">
        <v>2.0</v>
      </c>
      <c r="N67" s="61">
        <v>64.4155576454825</v>
      </c>
      <c r="O67" s="61">
        <v>-64.083</v>
      </c>
      <c r="P67" s="61">
        <v>0.233</v>
      </c>
      <c r="Q67" s="61">
        <v>-23.72</v>
      </c>
      <c r="R67" s="61">
        <v>0.13</v>
      </c>
      <c r="S67" s="60">
        <v>7.5</v>
      </c>
      <c r="T67" s="60">
        <v>2.0</v>
      </c>
      <c r="U67" s="58">
        <v>0.0</v>
      </c>
      <c r="V67" s="58">
        <v>0.5</v>
      </c>
      <c r="W67" s="5"/>
      <c r="X67" s="5"/>
      <c r="Y67" s="83" t="s">
        <v>225</v>
      </c>
      <c r="Z67" s="60">
        <v>17.99</v>
      </c>
      <c r="AA67" s="60">
        <v>0.07</v>
      </c>
      <c r="AB67" s="60">
        <v>12.995</v>
      </c>
      <c r="AC67" s="60">
        <v>0.026</v>
      </c>
      <c r="AD67" s="60">
        <v>12.388</v>
      </c>
      <c r="AE67" s="60">
        <v>0.027</v>
      </c>
      <c r="AF67" s="60">
        <v>11.945</v>
      </c>
      <c r="AG67" s="60">
        <v>0.026</v>
      </c>
      <c r="AH67" s="6"/>
      <c r="AI67" s="96"/>
      <c r="AJ67" s="76" t="s">
        <v>225</v>
      </c>
      <c r="AK67" s="13" t="s">
        <v>307</v>
      </c>
      <c r="AL67" s="70">
        <v>2007.0</v>
      </c>
      <c r="AM67" s="13"/>
      <c r="AN67" s="102">
        <v>140.0</v>
      </c>
      <c r="AO67" s="97">
        <v>15.0</v>
      </c>
      <c r="AP67" s="13" t="s">
        <v>318</v>
      </c>
      <c r="AQ67" s="73">
        <v>0.5</v>
      </c>
      <c r="AR67" s="66">
        <v>2550.0</v>
      </c>
      <c r="AS67" s="64">
        <v>75.0</v>
      </c>
      <c r="AT67" s="67">
        <v>0.024</v>
      </c>
      <c r="AU67" s="73">
        <v>0.01</v>
      </c>
      <c r="AV67" s="64">
        <v>0.0022</v>
      </c>
      <c r="AW67" s="7"/>
      <c r="AX67" s="70">
        <v>0.24</v>
      </c>
      <c r="AY67" s="7"/>
      <c r="AZ67" s="11" t="s">
        <v>293</v>
      </c>
      <c r="BA67" s="11" t="s">
        <v>294</v>
      </c>
      <c r="BB67" s="12">
        <v>-396.0</v>
      </c>
      <c r="BC67" s="11"/>
      <c r="BD67" s="80">
        <v>3.7E-14</v>
      </c>
      <c r="BE67" s="11"/>
      <c r="BF67" s="12">
        <v>-341.0</v>
      </c>
      <c r="BG67" s="11"/>
      <c r="BH67" s="80">
        <v>5.3E-15</v>
      </c>
      <c r="BI67" s="11"/>
      <c r="BJ67" s="12">
        <v>-286.0</v>
      </c>
      <c r="BK67" s="11"/>
      <c r="BL67" s="80">
        <v>2.7E-15</v>
      </c>
      <c r="BM67" s="11"/>
      <c r="BN67" s="12">
        <v>-323.0</v>
      </c>
      <c r="BO67" s="11"/>
      <c r="BP67" s="80">
        <v>2.0E-15</v>
      </c>
      <c r="BQ67" s="11"/>
      <c r="BR67" s="12">
        <v>-142.0</v>
      </c>
      <c r="BS67" s="11"/>
      <c r="BT67" s="80">
        <v>1.24E-15</v>
      </c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2">
        <v>-33.0</v>
      </c>
      <c r="CU67" s="11"/>
      <c r="CV67" s="80">
        <v>7.5E-16</v>
      </c>
      <c r="CW67" s="11"/>
      <c r="CX67" s="12">
        <v>-4.2</v>
      </c>
      <c r="CY67" s="11"/>
      <c r="CZ67" s="80">
        <v>2.2E-16</v>
      </c>
      <c r="DA67" s="11"/>
      <c r="DB67" s="12">
        <v>-1.6</v>
      </c>
      <c r="DC67" s="11"/>
      <c r="DD67" s="80">
        <v>1.4E-16</v>
      </c>
      <c r="DE67" s="11"/>
      <c r="DF67" s="12">
        <v>-36.36</v>
      </c>
      <c r="DG67" s="12"/>
      <c r="DH67" s="80">
        <v>2.4E-16</v>
      </c>
      <c r="DI67" s="12"/>
      <c r="DJ67" s="69">
        <v>-196.0</v>
      </c>
      <c r="DK67" s="80">
        <v>1.78E-15</v>
      </c>
      <c r="DL67" s="80"/>
      <c r="DM67" s="80" t="s">
        <v>321</v>
      </c>
      <c r="DN67" s="69"/>
      <c r="DO67" s="80">
        <v>5.0E-16</v>
      </c>
      <c r="DP67" s="69"/>
      <c r="DQ67" s="11"/>
      <c r="DR67" s="69"/>
      <c r="DS67" s="69"/>
      <c r="DT67" s="69"/>
      <c r="DU67" s="69"/>
      <c r="DV67" s="103">
        <v>-5.21</v>
      </c>
      <c r="DW67" s="98">
        <v>0.2</v>
      </c>
      <c r="DX67" s="71">
        <v>2.3E-12</v>
      </c>
      <c r="DY67" s="7"/>
      <c r="DZ67" s="64" t="s">
        <v>225</v>
      </c>
      <c r="EA67" s="7"/>
      <c r="EB67" s="64" t="s">
        <v>320</v>
      </c>
    </row>
    <row r="68">
      <c r="A68" s="55" t="s">
        <v>322</v>
      </c>
      <c r="B68" s="56" t="s">
        <v>323</v>
      </c>
      <c r="C68" s="4"/>
      <c r="D68" s="4"/>
      <c r="E68" s="4"/>
      <c r="F68" s="57" t="s">
        <v>187</v>
      </c>
      <c r="G68" s="58">
        <v>165.5417</v>
      </c>
      <c r="H68" s="58">
        <v>-34.51</v>
      </c>
      <c r="I68" s="6" t="s">
        <v>224</v>
      </c>
      <c r="J68" s="6" t="s">
        <v>169</v>
      </c>
      <c r="K68" s="58">
        <v>8.0</v>
      </c>
      <c r="L68" s="5"/>
      <c r="M68" s="60">
        <v>2.0</v>
      </c>
      <c r="N68" s="61">
        <v>59.7692905385213</v>
      </c>
      <c r="O68" s="61">
        <v>-68.979</v>
      </c>
      <c r="P68" s="61">
        <v>0.328</v>
      </c>
      <c r="Q68" s="61">
        <v>-13.805</v>
      </c>
      <c r="R68" s="61">
        <v>0.285</v>
      </c>
      <c r="S68" s="60"/>
      <c r="T68" s="60"/>
      <c r="U68" s="58">
        <v>0.0</v>
      </c>
      <c r="V68" s="5"/>
      <c r="W68" s="5"/>
      <c r="X68" s="5"/>
      <c r="Y68" s="83" t="s">
        <v>306</v>
      </c>
      <c r="Z68" s="60">
        <v>19.14</v>
      </c>
      <c r="AA68" s="60">
        <v>0.04</v>
      </c>
      <c r="AB68" s="60">
        <v>13.034</v>
      </c>
      <c r="AC68" s="60">
        <v>0.024</v>
      </c>
      <c r="AD68" s="60">
        <v>12.356</v>
      </c>
      <c r="AE68" s="60">
        <v>0.022</v>
      </c>
      <c r="AF68" s="60">
        <v>11.887</v>
      </c>
      <c r="AG68" s="60">
        <v>0.024</v>
      </c>
      <c r="AH68" s="6"/>
      <c r="AI68" s="96"/>
      <c r="AJ68" s="76" t="s">
        <v>306</v>
      </c>
      <c r="AK68" s="13" t="s">
        <v>307</v>
      </c>
      <c r="AL68" s="70">
        <v>2008.0</v>
      </c>
      <c r="AM68" s="7"/>
      <c r="AN68" s="77">
        <v>55.2</v>
      </c>
      <c r="AO68" s="13"/>
      <c r="AP68" s="13" t="s">
        <v>213</v>
      </c>
      <c r="AQ68" s="73"/>
      <c r="AR68" s="78">
        <v>2550.0</v>
      </c>
      <c r="AS68" s="7"/>
      <c r="AT68" s="79">
        <v>0.026</v>
      </c>
      <c r="AU68" s="7"/>
      <c r="AV68" s="64">
        <v>0.0019498446</v>
      </c>
      <c r="AW68" s="7"/>
      <c r="AX68" s="73">
        <v>0.23</v>
      </c>
      <c r="AY68" s="7"/>
      <c r="AZ68" s="11" t="s">
        <v>293</v>
      </c>
      <c r="BA68" s="11" t="s">
        <v>294</v>
      </c>
      <c r="BB68" s="100">
        <v>-50.0</v>
      </c>
      <c r="BC68" s="11"/>
      <c r="BD68" s="80">
        <v>2.4E-15</v>
      </c>
      <c r="BE68" s="11"/>
      <c r="BF68" s="68">
        <v>-95.0</v>
      </c>
      <c r="BG68" s="11"/>
      <c r="BH68" s="80">
        <v>5.37E-16</v>
      </c>
      <c r="BI68" s="11"/>
      <c r="BJ68" s="68">
        <v>-150.0</v>
      </c>
      <c r="BK68" s="11"/>
      <c r="BL68" s="80">
        <v>2.95E-16</v>
      </c>
      <c r="BM68" s="11"/>
      <c r="BN68" s="68">
        <v>-130.0</v>
      </c>
      <c r="BO68" s="11"/>
      <c r="BP68" s="80">
        <v>2.0E-16</v>
      </c>
      <c r="BQ68" s="11"/>
      <c r="BR68" s="68">
        <v>-120.0</v>
      </c>
      <c r="BS68" s="11"/>
      <c r="BT68" s="80">
        <v>1.38E-16</v>
      </c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68">
        <v>-7.5</v>
      </c>
      <c r="CU68" s="11"/>
      <c r="CV68" s="80">
        <v>7.59E-17</v>
      </c>
      <c r="CW68" s="11"/>
      <c r="CX68" s="68">
        <v>-1.7</v>
      </c>
      <c r="CY68" s="11"/>
      <c r="CZ68" s="80">
        <v>4.79E-17</v>
      </c>
      <c r="DA68" s="11"/>
      <c r="DB68" s="11"/>
      <c r="DC68" s="11"/>
      <c r="DD68" s="11"/>
      <c r="DE68" s="11"/>
      <c r="DF68" s="68">
        <v>-100.0</v>
      </c>
      <c r="DG68" s="68"/>
      <c r="DH68" s="80">
        <v>1.23E-16</v>
      </c>
      <c r="DI68" s="68"/>
      <c r="DJ68" s="12"/>
      <c r="DK68" s="12"/>
      <c r="DL68" s="12"/>
      <c r="DM68" s="69"/>
      <c r="DN68" s="69"/>
      <c r="DO68" s="69"/>
      <c r="DP68" s="69"/>
      <c r="DQ68" s="11"/>
      <c r="DR68" s="69"/>
      <c r="DS68" s="69"/>
      <c r="DT68" s="69"/>
      <c r="DU68" s="69"/>
      <c r="DV68" s="73">
        <v>-6.3</v>
      </c>
      <c r="DW68" s="10"/>
      <c r="DX68" s="81">
        <v>1.58E-13</v>
      </c>
      <c r="DY68" s="7"/>
      <c r="DZ68" s="64" t="s">
        <v>225</v>
      </c>
      <c r="EA68" s="13"/>
      <c r="EB68" s="13"/>
    </row>
    <row r="69">
      <c r="A69" s="55" t="s">
        <v>324</v>
      </c>
      <c r="B69" s="99" t="s">
        <v>325</v>
      </c>
      <c r="C69" s="4"/>
      <c r="D69" s="3"/>
      <c r="E69" s="57" t="s">
        <v>137</v>
      </c>
      <c r="F69" s="57" t="s">
        <v>187</v>
      </c>
      <c r="G69" s="58">
        <v>241.85</v>
      </c>
      <c r="H69" s="58">
        <v>-22.1839</v>
      </c>
      <c r="I69" s="6" t="s">
        <v>305</v>
      </c>
      <c r="J69" s="6" t="s">
        <v>169</v>
      </c>
      <c r="K69" s="58">
        <v>11.0</v>
      </c>
      <c r="L69" s="5"/>
      <c r="M69" s="60">
        <v>2.0</v>
      </c>
      <c r="N69" s="61">
        <v>119.306115631487</v>
      </c>
      <c r="O69" s="61">
        <v>-17.958</v>
      </c>
      <c r="P69" s="61">
        <v>2.804</v>
      </c>
      <c r="Q69" s="61">
        <v>-21.801</v>
      </c>
      <c r="R69" s="61">
        <v>1.42</v>
      </c>
      <c r="S69" s="60"/>
      <c r="T69" s="60"/>
      <c r="U69" s="58">
        <v>0.3</v>
      </c>
      <c r="V69" s="5"/>
      <c r="W69" s="5"/>
      <c r="X69" s="5"/>
      <c r="Y69" s="83" t="s">
        <v>306</v>
      </c>
      <c r="Z69" s="60"/>
      <c r="AA69" s="60"/>
      <c r="AB69" s="60">
        <v>15.292</v>
      </c>
      <c r="AC69" s="60">
        <v>0.06</v>
      </c>
      <c r="AD69" s="60">
        <v>14.524</v>
      </c>
      <c r="AE69" s="60">
        <v>0.052</v>
      </c>
      <c r="AF69" s="60">
        <v>14.086</v>
      </c>
      <c r="AG69" s="60">
        <v>0.065</v>
      </c>
      <c r="AH69" s="6"/>
      <c r="AI69" s="96"/>
      <c r="AJ69" s="76" t="s">
        <v>306</v>
      </c>
      <c r="AK69" s="13" t="s">
        <v>307</v>
      </c>
      <c r="AL69" s="70">
        <v>2008.0</v>
      </c>
      <c r="AM69" s="7"/>
      <c r="AN69" s="77">
        <v>145.0</v>
      </c>
      <c r="AO69" s="13"/>
      <c r="AP69" s="13" t="s">
        <v>213</v>
      </c>
      <c r="AQ69" s="7"/>
      <c r="AR69" s="78">
        <v>2550.0</v>
      </c>
      <c r="AS69" s="7"/>
      <c r="AT69" s="79">
        <v>0.027</v>
      </c>
      <c r="AU69" s="7"/>
      <c r="AV69" s="64">
        <v>0.001819700859</v>
      </c>
      <c r="AW69" s="7"/>
      <c r="AX69" s="73">
        <v>0.22</v>
      </c>
      <c r="AY69" s="7"/>
      <c r="AZ69" s="11" t="s">
        <v>293</v>
      </c>
      <c r="BA69" s="11" t="s">
        <v>294</v>
      </c>
      <c r="BB69" s="100">
        <v>-11.5</v>
      </c>
      <c r="BC69" s="11"/>
      <c r="BD69" s="80">
        <v>1.41E16</v>
      </c>
      <c r="BE69" s="11"/>
      <c r="BF69" s="68">
        <v>0.0</v>
      </c>
      <c r="BG69" s="11"/>
      <c r="BH69" s="80">
        <v>1.0</v>
      </c>
      <c r="BI69" s="11"/>
      <c r="BJ69" s="68">
        <v>0.0</v>
      </c>
      <c r="BK69" s="11"/>
      <c r="BL69" s="80">
        <v>1.0</v>
      </c>
      <c r="BM69" s="11"/>
      <c r="BN69" s="68">
        <v>0.0</v>
      </c>
      <c r="BO69" s="11"/>
      <c r="BP69" s="80">
        <v>1.0</v>
      </c>
      <c r="BQ69" s="11"/>
      <c r="BR69" s="68">
        <v>0.0</v>
      </c>
      <c r="BS69" s="11"/>
      <c r="BT69" s="80">
        <v>1.0</v>
      </c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68" t="s">
        <v>326</v>
      </c>
      <c r="CU69" s="11"/>
      <c r="CV69" s="80" t="s">
        <v>312</v>
      </c>
      <c r="CW69" s="11"/>
      <c r="CX69" s="68" t="s">
        <v>327</v>
      </c>
      <c r="CY69" s="11"/>
      <c r="CZ69" s="80" t="s">
        <v>328</v>
      </c>
      <c r="DA69" s="11"/>
      <c r="DB69" s="11"/>
      <c r="DC69" s="11"/>
      <c r="DD69" s="11"/>
      <c r="DE69" s="11"/>
      <c r="DF69" s="68">
        <v>0.0</v>
      </c>
      <c r="DG69" s="68"/>
      <c r="DH69" s="80">
        <v>1.0</v>
      </c>
      <c r="DI69" s="68"/>
      <c r="DJ69" s="12"/>
      <c r="DK69" s="12"/>
      <c r="DL69" s="12"/>
      <c r="DM69" s="69"/>
      <c r="DN69" s="69"/>
      <c r="DO69" s="69"/>
      <c r="DP69" s="69"/>
      <c r="DQ69" s="11"/>
      <c r="DR69" s="69"/>
      <c r="DS69" s="69"/>
      <c r="DT69" s="69"/>
      <c r="DU69" s="69"/>
      <c r="DV69" s="73">
        <v>-4.8</v>
      </c>
      <c r="DW69" s="10"/>
      <c r="DX69" s="81">
        <v>5.01E-12</v>
      </c>
      <c r="DY69" s="7"/>
      <c r="DZ69" s="64" t="s">
        <v>225</v>
      </c>
      <c r="EA69" s="13"/>
      <c r="EB69" s="13"/>
    </row>
    <row r="70">
      <c r="A70" s="101" t="s">
        <v>313</v>
      </c>
      <c r="B70" s="56" t="s">
        <v>313</v>
      </c>
      <c r="C70" s="3" t="s">
        <v>156</v>
      </c>
      <c r="D70" s="57">
        <v>0.713</v>
      </c>
      <c r="E70" s="4"/>
      <c r="F70" s="57" t="s">
        <v>187</v>
      </c>
      <c r="G70" s="58">
        <v>237.300375</v>
      </c>
      <c r="H70" s="58">
        <v>-35.651083</v>
      </c>
      <c r="I70" s="6" t="s">
        <v>314</v>
      </c>
      <c r="J70" s="6" t="s">
        <v>189</v>
      </c>
      <c r="K70" s="58">
        <v>3.0</v>
      </c>
      <c r="L70" s="60">
        <v>2.0</v>
      </c>
      <c r="M70" s="5"/>
      <c r="N70" s="58">
        <v>155.0</v>
      </c>
      <c r="O70" s="5"/>
      <c r="P70" s="5"/>
      <c r="Q70" s="5"/>
      <c r="R70" s="5"/>
      <c r="S70" s="5"/>
      <c r="T70" s="5"/>
      <c r="U70" s="59">
        <v>1.6</v>
      </c>
      <c r="V70" s="60">
        <v>0.5</v>
      </c>
      <c r="W70" s="5"/>
      <c r="X70" s="5"/>
      <c r="Y70" s="83" t="s">
        <v>315</v>
      </c>
      <c r="Z70" s="5"/>
      <c r="AA70" s="5"/>
      <c r="AB70" s="5"/>
      <c r="AC70" s="5"/>
      <c r="AD70" s="5"/>
      <c r="AE70" s="5"/>
      <c r="AF70" s="5"/>
      <c r="AG70" s="5"/>
      <c r="AH70" s="6"/>
      <c r="AI70" s="5"/>
      <c r="AJ70" s="76" t="s">
        <v>291</v>
      </c>
      <c r="AK70" s="13" t="s">
        <v>292</v>
      </c>
      <c r="AL70" s="70">
        <v>2012.0</v>
      </c>
      <c r="AM70" s="7"/>
      <c r="AN70" s="77">
        <v>155.0</v>
      </c>
      <c r="AO70" s="64">
        <v>15.0</v>
      </c>
      <c r="AP70" s="64" t="s">
        <v>316</v>
      </c>
      <c r="AQ70" s="64">
        <v>1.0</v>
      </c>
      <c r="AR70" s="78">
        <v>2400.0</v>
      </c>
      <c r="AS70" s="7"/>
      <c r="AT70" s="79">
        <v>0.02958</v>
      </c>
      <c r="AU70" s="73">
        <v>0.009541985</v>
      </c>
      <c r="AV70" s="7"/>
      <c r="AW70" s="7"/>
      <c r="AX70" s="73">
        <v>0.462254</v>
      </c>
      <c r="AY70" s="73">
        <v>0.140686</v>
      </c>
      <c r="AZ70" s="11" t="s">
        <v>293</v>
      </c>
      <c r="BA70" s="11" t="s">
        <v>294</v>
      </c>
      <c r="BB70" s="68">
        <v>-180.0</v>
      </c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69"/>
      <c r="DN70" s="69"/>
      <c r="DO70" s="69"/>
      <c r="DP70" s="69"/>
      <c r="DQ70" s="11"/>
      <c r="DR70" s="69"/>
      <c r="DS70" s="69"/>
      <c r="DT70" s="69"/>
      <c r="DU70" s="69"/>
      <c r="DV70" s="73">
        <v>-2.9</v>
      </c>
      <c r="DW70" s="10"/>
      <c r="DX70" s="81">
        <f>10^(-9.3)</f>
        <v>0.0000000005011872336</v>
      </c>
      <c r="DY70" s="7"/>
      <c r="DZ70" s="64" t="s">
        <v>295</v>
      </c>
      <c r="EA70" s="72" t="s">
        <v>296</v>
      </c>
      <c r="EB70" s="72" t="s">
        <v>329</v>
      </c>
    </row>
    <row r="71">
      <c r="A71" s="55" t="s">
        <v>330</v>
      </c>
      <c r="B71" s="56" t="s">
        <v>331</v>
      </c>
      <c r="C71" s="4"/>
      <c r="D71" s="4"/>
      <c r="E71" s="4"/>
      <c r="F71" s="57" t="s">
        <v>187</v>
      </c>
      <c r="G71" s="58">
        <v>241.5167</v>
      </c>
      <c r="H71" s="58">
        <v>-22.325</v>
      </c>
      <c r="I71" s="6" t="s">
        <v>305</v>
      </c>
      <c r="J71" s="6" t="s">
        <v>169</v>
      </c>
      <c r="K71" s="58">
        <v>11.0</v>
      </c>
      <c r="L71" s="5"/>
      <c r="M71" s="5"/>
      <c r="N71" s="60"/>
      <c r="O71" s="60"/>
      <c r="P71" s="60"/>
      <c r="Q71" s="60"/>
      <c r="R71" s="60"/>
      <c r="S71" s="60"/>
      <c r="T71" s="60"/>
      <c r="U71" s="58">
        <v>0.0</v>
      </c>
      <c r="V71" s="5"/>
      <c r="W71" s="5"/>
      <c r="X71" s="5"/>
      <c r="Y71" s="83" t="s">
        <v>306</v>
      </c>
      <c r="Z71" s="60"/>
      <c r="AA71" s="60"/>
      <c r="AB71" s="60">
        <v>15.811</v>
      </c>
      <c r="AC71" s="60">
        <v>0.004</v>
      </c>
      <c r="AD71" s="60">
        <v>14.949</v>
      </c>
      <c r="AE71" s="60">
        <v>0.067</v>
      </c>
      <c r="AF71" s="60">
        <v>14.55</v>
      </c>
      <c r="AG71" s="60">
        <v>0.086</v>
      </c>
      <c r="AH71" s="6"/>
      <c r="AI71" s="96"/>
      <c r="AJ71" s="76" t="s">
        <v>306</v>
      </c>
      <c r="AK71" s="13" t="s">
        <v>307</v>
      </c>
      <c r="AL71" s="70">
        <v>2008.0</v>
      </c>
      <c r="AM71" s="7"/>
      <c r="AN71" s="77">
        <v>145.0</v>
      </c>
      <c r="AO71" s="13"/>
      <c r="AP71" s="13" t="s">
        <v>308</v>
      </c>
      <c r="AQ71" s="7"/>
      <c r="AR71" s="78">
        <v>2478.0</v>
      </c>
      <c r="AS71" s="7"/>
      <c r="AT71" s="79">
        <v>0.033</v>
      </c>
      <c r="AU71" s="7"/>
      <c r="AV71" s="64">
        <v>9.54992586E-4</v>
      </c>
      <c r="AW71" s="7"/>
      <c r="AX71" s="73">
        <v>0.17</v>
      </c>
      <c r="AY71" s="7"/>
      <c r="AZ71" s="11" t="s">
        <v>293</v>
      </c>
      <c r="BA71" s="11" t="s">
        <v>294</v>
      </c>
      <c r="BB71" s="100">
        <v>-760.0</v>
      </c>
      <c r="BC71" s="11"/>
      <c r="BD71" s="80">
        <v>2.75E-15</v>
      </c>
      <c r="BE71" s="11"/>
      <c r="BF71" s="68">
        <v>-330.0</v>
      </c>
      <c r="BG71" s="11"/>
      <c r="BH71" s="80">
        <v>3.31E-16</v>
      </c>
      <c r="BI71" s="11"/>
      <c r="BJ71" s="68">
        <v>-270.0</v>
      </c>
      <c r="BK71" s="11"/>
      <c r="BL71" s="80">
        <v>1.78E-16</v>
      </c>
      <c r="BM71" s="11"/>
      <c r="BN71" s="68">
        <v>-170.0</v>
      </c>
      <c r="BO71" s="11"/>
      <c r="BP71" s="80">
        <v>1.29E-16</v>
      </c>
      <c r="BQ71" s="11"/>
      <c r="BR71" s="68">
        <v>-83.0</v>
      </c>
      <c r="BS71" s="11"/>
      <c r="BT71" s="80">
        <v>7.94E-17</v>
      </c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68">
        <v>-46.0</v>
      </c>
      <c r="CU71" s="11"/>
      <c r="CV71" s="80">
        <v>4.79E-17</v>
      </c>
      <c r="CW71" s="11"/>
      <c r="CX71" s="68">
        <v>-8.2</v>
      </c>
      <c r="CY71" s="11"/>
      <c r="CZ71" s="80">
        <v>1.74E-17</v>
      </c>
      <c r="DA71" s="11"/>
      <c r="DB71" s="11"/>
      <c r="DC71" s="11"/>
      <c r="DD71" s="11"/>
      <c r="DE71" s="11"/>
      <c r="DF71" s="68">
        <v>-25.0</v>
      </c>
      <c r="DG71" s="68"/>
      <c r="DH71" s="80">
        <v>2.45E-17</v>
      </c>
      <c r="DI71" s="68"/>
      <c r="DJ71" s="12"/>
      <c r="DK71" s="12"/>
      <c r="DL71" s="12"/>
      <c r="DM71" s="69"/>
      <c r="DN71" s="69"/>
      <c r="DO71" s="69"/>
      <c r="DP71" s="69"/>
      <c r="DQ71" s="11"/>
      <c r="DR71" s="69"/>
      <c r="DS71" s="69"/>
      <c r="DT71" s="69"/>
      <c r="DU71" s="69"/>
      <c r="DV71" s="73">
        <v>-5.6</v>
      </c>
      <c r="DW71" s="10"/>
      <c r="DX71" s="81">
        <v>5.01E-13</v>
      </c>
      <c r="DY71" s="7"/>
      <c r="DZ71" s="64" t="s">
        <v>225</v>
      </c>
      <c r="EA71" s="13"/>
      <c r="EB71" s="13"/>
    </row>
    <row r="72">
      <c r="A72" s="74" t="s">
        <v>332</v>
      </c>
      <c r="B72" s="56" t="s">
        <v>222</v>
      </c>
      <c r="C72" s="4"/>
      <c r="D72" s="4"/>
      <c r="E72" s="4"/>
      <c r="F72" s="57" t="s">
        <v>187</v>
      </c>
      <c r="G72" s="58">
        <v>181.8875</v>
      </c>
      <c r="H72" s="58">
        <v>-39.5483</v>
      </c>
      <c r="I72" s="6" t="s">
        <v>224</v>
      </c>
      <c r="J72" s="6" t="s">
        <v>169</v>
      </c>
      <c r="K72" s="58">
        <v>8.0</v>
      </c>
      <c r="L72" s="5"/>
      <c r="M72" s="60">
        <v>2.0</v>
      </c>
      <c r="N72" s="61">
        <v>64.4155576454825</v>
      </c>
      <c r="O72" s="61">
        <v>-64.083</v>
      </c>
      <c r="P72" s="61">
        <v>0.233</v>
      </c>
      <c r="Q72" s="61">
        <v>-23.72</v>
      </c>
      <c r="R72" s="61">
        <v>0.13</v>
      </c>
      <c r="S72" s="60">
        <v>7.5</v>
      </c>
      <c r="T72" s="60">
        <v>2.0</v>
      </c>
      <c r="U72" s="58">
        <v>0.0</v>
      </c>
      <c r="V72" s="5"/>
      <c r="W72" s="5"/>
      <c r="X72" s="5"/>
      <c r="Y72" s="83" t="s">
        <v>306</v>
      </c>
      <c r="Z72" s="60">
        <v>17.99</v>
      </c>
      <c r="AA72" s="60">
        <v>0.07</v>
      </c>
      <c r="AB72" s="60">
        <v>12.995</v>
      </c>
      <c r="AC72" s="60">
        <v>0.026</v>
      </c>
      <c r="AD72" s="60">
        <v>12.388</v>
      </c>
      <c r="AE72" s="60">
        <v>0.027</v>
      </c>
      <c r="AF72" s="60">
        <v>11.945</v>
      </c>
      <c r="AG72" s="60">
        <v>0.026</v>
      </c>
      <c r="AH72" s="6"/>
      <c r="AI72" s="96"/>
      <c r="AJ72" s="76" t="s">
        <v>306</v>
      </c>
      <c r="AK72" s="13" t="s">
        <v>307</v>
      </c>
      <c r="AL72" s="70">
        <v>2008.0</v>
      </c>
      <c r="AM72" s="7"/>
      <c r="AN72" s="77">
        <v>52.4</v>
      </c>
      <c r="AO72" s="13"/>
      <c r="AP72" s="13" t="s">
        <v>221</v>
      </c>
      <c r="AQ72" s="7"/>
      <c r="AR72" s="78">
        <v>2632.0</v>
      </c>
      <c r="AS72" s="7"/>
      <c r="AT72" s="79">
        <v>0.035</v>
      </c>
      <c r="AU72" s="7"/>
      <c r="AV72" s="64">
        <v>0.001905460718</v>
      </c>
      <c r="AW72" s="7"/>
      <c r="AX72" s="73">
        <v>0.21</v>
      </c>
      <c r="AY72" s="7"/>
      <c r="AZ72" s="11" t="s">
        <v>293</v>
      </c>
      <c r="BA72" s="11" t="s">
        <v>294</v>
      </c>
      <c r="BB72" s="100">
        <v>-126.0</v>
      </c>
      <c r="BC72" s="11"/>
      <c r="BD72" s="80">
        <v>9.33E-15</v>
      </c>
      <c r="BE72" s="11"/>
      <c r="BF72" s="68">
        <v>-194.0</v>
      </c>
      <c r="BG72" s="11"/>
      <c r="BH72" s="80">
        <v>3.02E-15</v>
      </c>
      <c r="BI72" s="11"/>
      <c r="BJ72" s="68">
        <v>-260.0</v>
      </c>
      <c r="BK72" s="11"/>
      <c r="BL72" s="80">
        <v>2.09E-15</v>
      </c>
      <c r="BM72" s="11"/>
      <c r="BN72" s="68">
        <v>-230.0</v>
      </c>
      <c r="BO72" s="11"/>
      <c r="BP72" s="80">
        <v>1.62E-15</v>
      </c>
      <c r="BQ72" s="11"/>
      <c r="BR72" s="68">
        <v>-130.0</v>
      </c>
      <c r="BS72" s="11"/>
      <c r="BT72" s="80">
        <v>1.07E-15</v>
      </c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68">
        <v>-29.0</v>
      </c>
      <c r="CU72" s="11"/>
      <c r="CV72" s="80">
        <v>5.5E-16</v>
      </c>
      <c r="CW72" s="11"/>
      <c r="CX72" s="68">
        <v>-5.9</v>
      </c>
      <c r="CY72" s="11"/>
      <c r="CZ72" s="80">
        <v>2.45E-16</v>
      </c>
      <c r="DA72" s="11"/>
      <c r="DB72" s="11"/>
      <c r="DC72" s="11"/>
      <c r="DD72" s="11"/>
      <c r="DE72" s="11"/>
      <c r="DF72" s="68">
        <v>-32.0</v>
      </c>
      <c r="DG72" s="68"/>
      <c r="DH72" s="80">
        <v>2.29E-16</v>
      </c>
      <c r="DI72" s="68"/>
      <c r="DJ72" s="12"/>
      <c r="DK72" s="12"/>
      <c r="DL72" s="12"/>
      <c r="DM72" s="69"/>
      <c r="DN72" s="69"/>
      <c r="DO72" s="69"/>
      <c r="DP72" s="69"/>
      <c r="DQ72" s="11"/>
      <c r="DR72" s="69"/>
      <c r="DS72" s="69"/>
      <c r="DT72" s="69"/>
      <c r="DU72" s="69"/>
      <c r="DV72" s="73">
        <v>-5.3</v>
      </c>
      <c r="DW72" s="10"/>
      <c r="DX72" s="81">
        <v>1.26E-12</v>
      </c>
      <c r="DY72" s="92"/>
      <c r="DZ72" s="64" t="s">
        <v>225</v>
      </c>
      <c r="EA72" s="7"/>
      <c r="EB72" s="7"/>
    </row>
    <row r="73">
      <c r="A73" s="55" t="s">
        <v>333</v>
      </c>
      <c r="B73" s="56" t="s">
        <v>333</v>
      </c>
      <c r="C73" s="4"/>
      <c r="D73" s="4"/>
      <c r="E73" s="4"/>
      <c r="F73" s="57" t="s">
        <v>187</v>
      </c>
      <c r="G73" s="61">
        <v>70.4510508333333</v>
      </c>
      <c r="H73" s="61">
        <v>25.5751580555555</v>
      </c>
      <c r="I73" s="6" t="s">
        <v>199</v>
      </c>
      <c r="J73" s="5"/>
      <c r="K73" s="58">
        <v>10.0</v>
      </c>
      <c r="L73" s="60"/>
      <c r="M73" s="60">
        <v>2.0</v>
      </c>
      <c r="N73" s="61">
        <v>136.16186923014</v>
      </c>
      <c r="O73" s="61">
        <v>4.511</v>
      </c>
      <c r="P73" s="61">
        <v>0.4</v>
      </c>
      <c r="Q73" s="61">
        <v>-19.605</v>
      </c>
      <c r="R73" s="61">
        <v>0.251</v>
      </c>
      <c r="S73" s="60">
        <v>15.22</v>
      </c>
      <c r="T73" s="60">
        <v>0.333</v>
      </c>
      <c r="U73" s="58">
        <v>1.0</v>
      </c>
      <c r="V73" s="58">
        <v>0.5</v>
      </c>
      <c r="W73" s="5"/>
      <c r="X73" s="5"/>
      <c r="Y73" s="83" t="s">
        <v>225</v>
      </c>
      <c r="Z73" s="60"/>
      <c r="AA73" s="60"/>
      <c r="AB73" s="60">
        <v>13.73</v>
      </c>
      <c r="AC73" s="60">
        <v>0.026</v>
      </c>
      <c r="AD73" s="60">
        <v>12.799</v>
      </c>
      <c r="AE73" s="60">
        <v>0.021</v>
      </c>
      <c r="AF73" s="60">
        <v>12.22</v>
      </c>
      <c r="AG73" s="60">
        <v>0.023</v>
      </c>
      <c r="AH73" s="6"/>
      <c r="AI73" s="96"/>
      <c r="AJ73" s="76" t="s">
        <v>225</v>
      </c>
      <c r="AK73" s="13" t="s">
        <v>307</v>
      </c>
      <c r="AL73" s="97">
        <v>2006.0</v>
      </c>
      <c r="AM73" s="13"/>
      <c r="AN73" s="102">
        <v>140.0</v>
      </c>
      <c r="AO73" s="97">
        <v>15.0</v>
      </c>
      <c r="AP73" s="13" t="s">
        <v>334</v>
      </c>
      <c r="AQ73" s="73">
        <v>0.5</v>
      </c>
      <c r="AR73" s="66">
        <v>2752.0</v>
      </c>
      <c r="AS73" s="64">
        <v>75.0</v>
      </c>
      <c r="AT73" s="67">
        <v>0.035</v>
      </c>
      <c r="AU73" s="73">
        <v>0.017</v>
      </c>
      <c r="AV73" s="64">
        <v>0.0033</v>
      </c>
      <c r="AW73" s="7"/>
      <c r="AX73" s="70">
        <v>0.25</v>
      </c>
      <c r="AY73" s="7"/>
      <c r="AZ73" s="11" t="s">
        <v>293</v>
      </c>
      <c r="BA73" s="11" t="s">
        <v>294</v>
      </c>
      <c r="BB73" s="12">
        <v>-586.0</v>
      </c>
      <c r="BC73" s="11"/>
      <c r="BD73" s="80">
        <v>1.7E-14</v>
      </c>
      <c r="BE73" s="11"/>
      <c r="BF73" s="12">
        <v>-228.0</v>
      </c>
      <c r="BG73" s="11"/>
      <c r="BH73" s="80">
        <v>1.6E-15</v>
      </c>
      <c r="BI73" s="11"/>
      <c r="BJ73" s="12">
        <v>-158.0</v>
      </c>
      <c r="BK73" s="11"/>
      <c r="BL73" s="80">
        <v>8.5E-16</v>
      </c>
      <c r="BM73" s="11"/>
      <c r="BN73" s="12">
        <v>-135.0</v>
      </c>
      <c r="BO73" s="11"/>
      <c r="BP73" s="80">
        <v>6.1E-16</v>
      </c>
      <c r="BQ73" s="11"/>
      <c r="BR73" s="12">
        <v>-72.0</v>
      </c>
      <c r="BS73" s="11"/>
      <c r="BT73" s="80">
        <v>3.6E-16</v>
      </c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2">
        <v>-29.0</v>
      </c>
      <c r="CU73" s="11"/>
      <c r="CV73" s="80">
        <v>4.1E-16</v>
      </c>
      <c r="CW73" s="11"/>
      <c r="CX73" s="12">
        <v>-8.5</v>
      </c>
      <c r="CY73" s="11"/>
      <c r="CZ73" s="80">
        <v>2.1E-16</v>
      </c>
      <c r="DA73" s="11"/>
      <c r="DB73" s="12">
        <v>-3.6</v>
      </c>
      <c r="DC73" s="11"/>
      <c r="DD73" s="80">
        <v>1.3E-16</v>
      </c>
      <c r="DE73" s="11"/>
      <c r="DF73" s="12">
        <v>-53.0</v>
      </c>
      <c r="DG73" s="12"/>
      <c r="DH73" s="80">
        <v>2.1E-16</v>
      </c>
      <c r="DI73" s="12"/>
      <c r="DJ73" s="69">
        <v>-160.0</v>
      </c>
      <c r="DK73" s="80">
        <v>6.2E-16</v>
      </c>
      <c r="DL73" s="80"/>
      <c r="DM73" s="69">
        <v>-5.0</v>
      </c>
      <c r="DN73" s="69"/>
      <c r="DO73" s="80">
        <v>1.23E-15</v>
      </c>
      <c r="DP73" s="69"/>
      <c r="DQ73" s="11"/>
      <c r="DR73" s="69"/>
      <c r="DS73" s="69"/>
      <c r="DT73" s="69"/>
      <c r="DU73" s="69"/>
      <c r="DV73" s="103">
        <v>-4.17</v>
      </c>
      <c r="DW73" s="98">
        <v>0.2</v>
      </c>
      <c r="DX73" s="71">
        <v>1.9E-11</v>
      </c>
      <c r="DY73" s="7"/>
      <c r="DZ73" s="64" t="s">
        <v>225</v>
      </c>
      <c r="EA73" s="13"/>
      <c r="EB73" s="64" t="s">
        <v>320</v>
      </c>
    </row>
    <row r="74">
      <c r="A74" s="55" t="s">
        <v>335</v>
      </c>
      <c r="B74" s="56" t="s">
        <v>335</v>
      </c>
      <c r="C74" s="4"/>
      <c r="D74" s="4"/>
      <c r="E74" s="4"/>
      <c r="F74" s="57" t="s">
        <v>187</v>
      </c>
      <c r="G74" s="61">
        <v>71.1130920833333</v>
      </c>
      <c r="H74" s="61">
        <v>25.2045663888888</v>
      </c>
      <c r="I74" s="6" t="s">
        <v>199</v>
      </c>
      <c r="J74" s="5"/>
      <c r="K74" s="58">
        <v>3.981071706</v>
      </c>
      <c r="L74" s="60"/>
      <c r="M74" s="60">
        <v>2.0</v>
      </c>
      <c r="N74" s="61">
        <v>141.013889868152</v>
      </c>
      <c r="O74" s="61">
        <v>6.453</v>
      </c>
      <c r="P74" s="61">
        <v>0.232</v>
      </c>
      <c r="Q74" s="61">
        <v>-20.154</v>
      </c>
      <c r="R74" s="61">
        <v>0.107</v>
      </c>
      <c r="S74" s="60"/>
      <c r="T74" s="60"/>
      <c r="U74" s="60">
        <v>0.0</v>
      </c>
      <c r="V74" s="58">
        <v>0.5</v>
      </c>
      <c r="W74" s="5"/>
      <c r="X74" s="5"/>
      <c r="Y74" s="83" t="s">
        <v>225</v>
      </c>
      <c r="Z74" s="60"/>
      <c r="AA74" s="60"/>
      <c r="AB74" s="60">
        <v>12.195</v>
      </c>
      <c r="AC74" s="60">
        <v>0.021</v>
      </c>
      <c r="AD74" s="60">
        <v>11.359</v>
      </c>
      <c r="AE74" s="60">
        <v>0.017</v>
      </c>
      <c r="AF74" s="60">
        <v>10.761</v>
      </c>
      <c r="AG74" s="60">
        <v>0.018</v>
      </c>
      <c r="AH74" s="6"/>
      <c r="AI74" s="96"/>
      <c r="AJ74" s="76" t="s">
        <v>225</v>
      </c>
      <c r="AK74" s="13" t="s">
        <v>307</v>
      </c>
      <c r="AL74" s="97">
        <v>2006.0</v>
      </c>
      <c r="AM74" s="13"/>
      <c r="AN74" s="102">
        <v>140.0</v>
      </c>
      <c r="AO74" s="97">
        <v>15.0</v>
      </c>
      <c r="AP74" s="13" t="s">
        <v>237</v>
      </c>
      <c r="AQ74" s="73">
        <v>0.5</v>
      </c>
      <c r="AR74" s="66">
        <v>2838.0</v>
      </c>
      <c r="AS74" s="64">
        <v>75.0</v>
      </c>
      <c r="AT74" s="67">
        <v>0.05</v>
      </c>
      <c r="AU74" s="73">
        <v>0.024</v>
      </c>
      <c r="AV74" s="64">
        <v>0.012</v>
      </c>
      <c r="AW74" s="7"/>
      <c r="AX74" s="70">
        <v>0.45</v>
      </c>
      <c r="AY74" s="7"/>
      <c r="AZ74" s="11" t="s">
        <v>293</v>
      </c>
      <c r="BA74" s="11" t="s">
        <v>294</v>
      </c>
      <c r="BB74" s="12">
        <v>-100.0</v>
      </c>
      <c r="BC74" s="11"/>
      <c r="BD74" s="80">
        <v>1.7E-14</v>
      </c>
      <c r="BE74" s="11"/>
      <c r="BF74" s="12">
        <v>-126.0</v>
      </c>
      <c r="BG74" s="11"/>
      <c r="BH74" s="80">
        <v>3.4E-15</v>
      </c>
      <c r="BI74" s="11"/>
      <c r="BJ74" s="12">
        <v>-94.0</v>
      </c>
      <c r="BK74" s="11"/>
      <c r="BL74" s="80">
        <v>1.5E-15</v>
      </c>
      <c r="BM74" s="11"/>
      <c r="BN74" s="12">
        <v>-62.0</v>
      </c>
      <c r="BO74" s="11"/>
      <c r="BP74" s="80">
        <v>8.5E-16</v>
      </c>
      <c r="BQ74" s="11"/>
      <c r="BR74" s="12">
        <v>-49.0</v>
      </c>
      <c r="BS74" s="11"/>
      <c r="BT74" s="80">
        <v>5.8E-16</v>
      </c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2">
        <v>-12.4</v>
      </c>
      <c r="CU74" s="11"/>
      <c r="CV74" s="80">
        <v>5.4E-16</v>
      </c>
      <c r="CW74" s="11"/>
      <c r="CX74" s="12">
        <v>-1.4</v>
      </c>
      <c r="CY74" s="11"/>
      <c r="CZ74" s="80">
        <v>1.4E-16</v>
      </c>
      <c r="DA74" s="11"/>
      <c r="DB74" s="12">
        <v>-0.7</v>
      </c>
      <c r="DC74" s="11"/>
      <c r="DD74" s="80">
        <v>1.3E-16</v>
      </c>
      <c r="DE74" s="11"/>
      <c r="DF74" s="12">
        <v>-49.0</v>
      </c>
      <c r="DG74" s="12"/>
      <c r="DH74" s="80">
        <v>5.3E-16</v>
      </c>
      <c r="DI74" s="12"/>
      <c r="DJ74" s="69">
        <v>-83.0</v>
      </c>
      <c r="DK74" s="80">
        <v>1.01E-15</v>
      </c>
      <c r="DL74" s="80"/>
      <c r="DM74" s="69">
        <v>-0.29</v>
      </c>
      <c r="DN74" s="69"/>
      <c r="DO74" s="80">
        <v>2.8E-16</v>
      </c>
      <c r="DP74" s="69"/>
      <c r="DQ74" s="11"/>
      <c r="DR74" s="69"/>
      <c r="DS74" s="69"/>
      <c r="DT74" s="69"/>
      <c r="DU74" s="69"/>
      <c r="DV74" s="103">
        <v>-4.59</v>
      </c>
      <c r="DW74" s="98">
        <v>0.2</v>
      </c>
      <c r="DX74" s="71">
        <v>9.2E-12</v>
      </c>
      <c r="DY74" s="7"/>
      <c r="DZ74" s="64" t="s">
        <v>225</v>
      </c>
      <c r="EA74" s="7"/>
      <c r="EB74" s="64" t="s">
        <v>320</v>
      </c>
    </row>
    <row r="75">
      <c r="A75" s="55" t="s">
        <v>336</v>
      </c>
      <c r="B75" s="56" t="s">
        <v>336</v>
      </c>
      <c r="C75" s="4"/>
      <c r="D75" s="4"/>
      <c r="E75" s="4"/>
      <c r="F75" s="57" t="s">
        <v>187</v>
      </c>
      <c r="G75" s="61">
        <v>69.7665012499999</v>
      </c>
      <c r="H75" s="61">
        <v>25.7406491666666</v>
      </c>
      <c r="I75" s="6" t="s">
        <v>199</v>
      </c>
      <c r="J75" s="5"/>
      <c r="K75" s="58">
        <v>3.16227766</v>
      </c>
      <c r="L75" s="60"/>
      <c r="M75" s="60">
        <v>2.0</v>
      </c>
      <c r="N75" s="61">
        <v>143.988480921526</v>
      </c>
      <c r="O75" s="61">
        <v>7.037</v>
      </c>
      <c r="P75" s="61">
        <v>0.362</v>
      </c>
      <c r="Q75" s="61">
        <v>-20.606</v>
      </c>
      <c r="R75" s="61">
        <v>0.249</v>
      </c>
      <c r="S75" s="60">
        <v>16.5</v>
      </c>
      <c r="T75" s="60">
        <v>0.219</v>
      </c>
      <c r="U75" s="58">
        <v>0.8</v>
      </c>
      <c r="V75" s="58">
        <v>0.5</v>
      </c>
      <c r="W75" s="5"/>
      <c r="X75" s="5"/>
      <c r="Y75" s="83" t="s">
        <v>225</v>
      </c>
      <c r="Z75" s="60">
        <v>18.4</v>
      </c>
      <c r="AA75" s="60"/>
      <c r="AB75" s="60">
        <v>12.646</v>
      </c>
      <c r="AC75" s="60">
        <v>0.022</v>
      </c>
      <c r="AD75" s="60">
        <v>11.841</v>
      </c>
      <c r="AE75" s="60">
        <v>0.021</v>
      </c>
      <c r="AF75" s="60">
        <v>11.368</v>
      </c>
      <c r="AG75" s="60">
        <v>0.02</v>
      </c>
      <c r="AH75" s="6"/>
      <c r="AI75" s="96"/>
      <c r="AJ75" s="76" t="s">
        <v>225</v>
      </c>
      <c r="AK75" s="13" t="s">
        <v>307</v>
      </c>
      <c r="AL75" s="97">
        <v>2006.0</v>
      </c>
      <c r="AM75" s="13"/>
      <c r="AN75" s="102">
        <v>140.0</v>
      </c>
      <c r="AO75" s="97">
        <v>15.0</v>
      </c>
      <c r="AP75" s="13" t="s">
        <v>237</v>
      </c>
      <c r="AQ75" s="73">
        <v>0.5</v>
      </c>
      <c r="AR75" s="66">
        <v>2838.0</v>
      </c>
      <c r="AS75" s="64">
        <v>75.0</v>
      </c>
      <c r="AT75" s="67">
        <v>0.05</v>
      </c>
      <c r="AU75" s="73">
        <v>0.02</v>
      </c>
      <c r="AV75" s="64">
        <v>0.015</v>
      </c>
      <c r="AW75" s="7"/>
      <c r="AX75" s="70">
        <v>0.51</v>
      </c>
      <c r="AY75" s="7"/>
      <c r="AZ75" s="11" t="s">
        <v>293</v>
      </c>
      <c r="BA75" s="11" t="s">
        <v>294</v>
      </c>
      <c r="BB75" s="12">
        <v>-158.0</v>
      </c>
      <c r="BC75" s="11"/>
      <c r="BD75" s="80">
        <v>1.7E-14</v>
      </c>
      <c r="BE75" s="11"/>
      <c r="BF75" s="12">
        <v>-93.0</v>
      </c>
      <c r="BG75" s="11"/>
      <c r="BH75" s="80">
        <v>1.2E-15</v>
      </c>
      <c r="BI75" s="11"/>
      <c r="BJ75" s="12">
        <v>-93.0</v>
      </c>
      <c r="BK75" s="11"/>
      <c r="BL75" s="80">
        <v>5.4E-16</v>
      </c>
      <c r="BM75" s="11"/>
      <c r="BN75" s="12">
        <v>-87.0</v>
      </c>
      <c r="BO75" s="11"/>
      <c r="BP75" s="80">
        <v>3.5E-16</v>
      </c>
      <c r="BQ75" s="11"/>
      <c r="BR75" s="12">
        <v>-73.0</v>
      </c>
      <c r="BS75" s="11"/>
      <c r="BT75" s="80">
        <v>2.2E-16</v>
      </c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2">
        <v>-11.2</v>
      </c>
      <c r="CU75" s="11"/>
      <c r="CV75" s="80">
        <v>2.8E-16</v>
      </c>
      <c r="CW75" s="11"/>
      <c r="CX75" s="12">
        <v>-1.8</v>
      </c>
      <c r="CY75" s="11"/>
      <c r="CZ75" s="80">
        <v>1.3E-16</v>
      </c>
      <c r="DA75" s="11"/>
      <c r="DB75" s="12">
        <v>-0.5</v>
      </c>
      <c r="DC75" s="11"/>
      <c r="DD75" s="80">
        <v>7.5E-17</v>
      </c>
      <c r="DE75" s="11"/>
      <c r="DF75" s="12">
        <v>-38.0</v>
      </c>
      <c r="DG75" s="12"/>
      <c r="DH75" s="80">
        <v>1.3E-16</v>
      </c>
      <c r="DI75" s="12"/>
      <c r="DJ75" s="69">
        <v>-93.0</v>
      </c>
      <c r="DK75" s="80">
        <v>3.7E-16</v>
      </c>
      <c r="DL75" s="80"/>
      <c r="DM75" s="80" t="s">
        <v>321</v>
      </c>
      <c r="DN75" s="69"/>
      <c r="DO75" s="80">
        <v>8.0E-16</v>
      </c>
      <c r="DP75" s="69"/>
      <c r="DQ75" s="11"/>
      <c r="DR75" s="69"/>
      <c r="DS75" s="69"/>
      <c r="DT75" s="69"/>
      <c r="DU75" s="69"/>
      <c r="DV75" s="103">
        <v>-4.77</v>
      </c>
      <c r="DW75" s="98">
        <v>0.2</v>
      </c>
      <c r="DX75" s="71">
        <v>6.9E-12</v>
      </c>
      <c r="DY75" s="7"/>
      <c r="DZ75" s="64" t="s">
        <v>225</v>
      </c>
      <c r="EA75" s="13"/>
      <c r="EB75" s="64" t="s">
        <v>320</v>
      </c>
    </row>
    <row r="76">
      <c r="A76" s="55" t="s">
        <v>230</v>
      </c>
      <c r="B76" s="56" t="s">
        <v>337</v>
      </c>
      <c r="C76" s="4"/>
      <c r="D76" s="4"/>
      <c r="E76" s="4"/>
      <c r="F76" s="57" t="s">
        <v>187</v>
      </c>
      <c r="G76" s="58">
        <v>241.5163271</v>
      </c>
      <c r="H76" s="58">
        <v>-20.94567913</v>
      </c>
      <c r="I76" s="6" t="s">
        <v>305</v>
      </c>
      <c r="J76" s="6" t="s">
        <v>169</v>
      </c>
      <c r="K76" s="58">
        <v>11.0</v>
      </c>
      <c r="L76" s="5"/>
      <c r="M76" s="60">
        <v>2.0</v>
      </c>
      <c r="N76" s="61">
        <v>137.149753816191</v>
      </c>
      <c r="O76" s="61">
        <v>-13.191</v>
      </c>
      <c r="P76" s="61">
        <v>0.547</v>
      </c>
      <c r="Q76" s="61">
        <v>-21.976</v>
      </c>
      <c r="R76" s="61">
        <v>0.274</v>
      </c>
      <c r="S76" s="60"/>
      <c r="T76" s="60"/>
      <c r="U76" s="58">
        <v>0.0</v>
      </c>
      <c r="V76" s="5"/>
      <c r="W76" s="5"/>
      <c r="X76" s="5"/>
      <c r="Y76" s="83" t="s">
        <v>306</v>
      </c>
      <c r="Z76" s="60"/>
      <c r="AA76" s="60"/>
      <c r="AB76" s="60">
        <v>13.528</v>
      </c>
      <c r="AC76" s="60">
        <v>0.03</v>
      </c>
      <c r="AD76" s="60">
        <v>12.906</v>
      </c>
      <c r="AE76" s="60">
        <v>0.023</v>
      </c>
      <c r="AF76" s="60">
        <v>12.475</v>
      </c>
      <c r="AG76" s="60">
        <v>0.027</v>
      </c>
      <c r="AH76" s="6"/>
      <c r="AI76" s="96"/>
      <c r="AJ76" s="76" t="s">
        <v>306</v>
      </c>
      <c r="AK76" s="13" t="s">
        <v>307</v>
      </c>
      <c r="AL76" s="70">
        <v>2008.0</v>
      </c>
      <c r="AM76" s="7"/>
      <c r="AN76" s="77">
        <v>145.0</v>
      </c>
      <c r="AO76" s="13"/>
      <c r="AP76" s="13" t="s">
        <v>237</v>
      </c>
      <c r="AQ76" s="7"/>
      <c r="AR76" s="78">
        <v>2838.0</v>
      </c>
      <c r="AS76" s="7"/>
      <c r="AT76" s="79">
        <v>0.05</v>
      </c>
      <c r="AU76" s="7"/>
      <c r="AV76" s="64">
        <v>0.009332543008</v>
      </c>
      <c r="AW76" s="7"/>
      <c r="AX76" s="73">
        <v>0.41</v>
      </c>
      <c r="AY76" s="7"/>
      <c r="AZ76" s="11" t="s">
        <v>293</v>
      </c>
      <c r="BA76" s="11" t="s">
        <v>294</v>
      </c>
      <c r="BB76" s="100">
        <v>-131.0</v>
      </c>
      <c r="BC76" s="11"/>
      <c r="BD76" s="80">
        <v>8.32E-15</v>
      </c>
      <c r="BE76" s="11"/>
      <c r="BF76" s="68">
        <v>-93.0</v>
      </c>
      <c r="BG76" s="11"/>
      <c r="BH76" s="80">
        <v>9.77E-16</v>
      </c>
      <c r="BI76" s="11"/>
      <c r="BJ76" s="68">
        <v>-110.0</v>
      </c>
      <c r="BK76" s="11"/>
      <c r="BL76" s="80">
        <v>3.72E-16</v>
      </c>
      <c r="BM76" s="11"/>
      <c r="BN76" s="68">
        <v>-70.0</v>
      </c>
      <c r="BO76" s="11"/>
      <c r="BP76" s="80">
        <v>2.29E-16</v>
      </c>
      <c r="BQ76" s="11"/>
      <c r="BR76" s="68">
        <v>-63.0</v>
      </c>
      <c r="BS76" s="11"/>
      <c r="BT76" s="80">
        <v>1.58E-16</v>
      </c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68">
        <v>4.5</v>
      </c>
      <c r="CU76" s="11"/>
      <c r="CV76" s="80">
        <v>8.51E-17</v>
      </c>
      <c r="CW76" s="11"/>
      <c r="CX76" s="68">
        <v>-2.4</v>
      </c>
      <c r="CY76" s="11"/>
      <c r="CZ76" s="80">
        <v>8.71E-17</v>
      </c>
      <c r="DA76" s="11"/>
      <c r="DB76" s="11"/>
      <c r="DC76" s="11"/>
      <c r="DD76" s="11"/>
      <c r="DE76" s="11"/>
      <c r="DF76" s="68">
        <v>-170.0</v>
      </c>
      <c r="DG76" s="68"/>
      <c r="DH76" s="80">
        <v>4.37E-16</v>
      </c>
      <c r="DI76" s="68"/>
      <c r="DJ76" s="12"/>
      <c r="DK76" s="12"/>
      <c r="DL76" s="12"/>
      <c r="DM76" s="69"/>
      <c r="DN76" s="69"/>
      <c r="DO76" s="69"/>
      <c r="DP76" s="69"/>
      <c r="DQ76" s="11"/>
      <c r="DR76" s="69"/>
      <c r="DS76" s="69"/>
      <c r="DT76" s="69"/>
      <c r="DU76" s="69"/>
      <c r="DV76" s="73">
        <v>-5.1</v>
      </c>
      <c r="DW76" s="10"/>
      <c r="DX76" s="81">
        <v>2.51E-12</v>
      </c>
      <c r="DY76" s="7"/>
      <c r="DZ76" s="64" t="s">
        <v>225</v>
      </c>
      <c r="EA76" s="7"/>
      <c r="EB76" s="7"/>
    </row>
    <row r="77">
      <c r="A77" s="74" t="s">
        <v>338</v>
      </c>
      <c r="B77" s="56" t="s">
        <v>339</v>
      </c>
      <c r="C77" s="57" t="s">
        <v>156</v>
      </c>
      <c r="D77" s="57">
        <v>2.3</v>
      </c>
      <c r="E77" s="4" t="s">
        <v>137</v>
      </c>
      <c r="F77" s="57" t="s">
        <v>187</v>
      </c>
      <c r="G77" s="58">
        <v>245.6042</v>
      </c>
      <c r="H77" s="58">
        <v>-24.0872</v>
      </c>
      <c r="I77" s="6" t="s">
        <v>305</v>
      </c>
      <c r="J77" s="6" t="s">
        <v>169</v>
      </c>
      <c r="K77" s="58">
        <v>11.0</v>
      </c>
      <c r="L77" s="5"/>
      <c r="M77" s="60">
        <v>2.0</v>
      </c>
      <c r="N77" s="61">
        <v>136.165577342047</v>
      </c>
      <c r="O77" s="61">
        <v>-15.79</v>
      </c>
      <c r="P77" s="61">
        <v>0.698</v>
      </c>
      <c r="Q77" s="61">
        <v>-23.236</v>
      </c>
      <c r="R77" s="61">
        <v>0.52</v>
      </c>
      <c r="S77" s="60"/>
      <c r="T77" s="60"/>
      <c r="U77" s="59">
        <v>0.0</v>
      </c>
      <c r="V77" s="5"/>
      <c r="W77" s="5"/>
      <c r="X77" s="5"/>
      <c r="Y77" s="83" t="s">
        <v>306</v>
      </c>
      <c r="Z77" s="60"/>
      <c r="AA77" s="60"/>
      <c r="AB77" s="60">
        <v>14.53</v>
      </c>
      <c r="AC77" s="60">
        <v>0.03</v>
      </c>
      <c r="AD77" s="60">
        <v>14.01</v>
      </c>
      <c r="AE77" s="60">
        <v>0.03</v>
      </c>
      <c r="AF77" s="60">
        <v>13.55</v>
      </c>
      <c r="AG77" s="60">
        <v>0.03</v>
      </c>
      <c r="AH77" s="6"/>
      <c r="AI77" s="96"/>
      <c r="AJ77" s="76" t="s">
        <v>306</v>
      </c>
      <c r="AK77" s="13" t="s">
        <v>307</v>
      </c>
      <c r="AL77" s="70">
        <v>2008.0</v>
      </c>
      <c r="AM77" s="7"/>
      <c r="AN77" s="77">
        <v>145.0</v>
      </c>
      <c r="AO77" s="13"/>
      <c r="AP77" s="13" t="s">
        <v>237</v>
      </c>
      <c r="AQ77" s="7"/>
      <c r="AR77" s="78">
        <v>2838.0</v>
      </c>
      <c r="AS77" s="7"/>
      <c r="AT77" s="79">
        <v>0.054</v>
      </c>
      <c r="AU77" s="7"/>
      <c r="AV77" s="64">
        <v>0.003715352291</v>
      </c>
      <c r="AW77" s="7"/>
      <c r="AX77" s="73">
        <v>0.25</v>
      </c>
      <c r="AY77" s="7"/>
      <c r="AZ77" s="11" t="s">
        <v>293</v>
      </c>
      <c r="BA77" s="11" t="s">
        <v>294</v>
      </c>
      <c r="BB77" s="100">
        <v>-20.0</v>
      </c>
      <c r="BC77" s="11"/>
      <c r="BD77" s="80">
        <v>3.24E-16</v>
      </c>
      <c r="BE77" s="11"/>
      <c r="BF77" s="68">
        <v>-11.0</v>
      </c>
      <c r="BG77" s="11"/>
      <c r="BH77" s="80">
        <v>5.5E-17</v>
      </c>
      <c r="BI77" s="11"/>
      <c r="BJ77" s="68">
        <v>-38.0</v>
      </c>
      <c r="BK77" s="11"/>
      <c r="BL77" s="80">
        <v>2.4E-17</v>
      </c>
      <c r="BM77" s="11"/>
      <c r="BN77" s="68">
        <v>-19.0</v>
      </c>
      <c r="BO77" s="11"/>
      <c r="BP77" s="80">
        <v>1.2E-17</v>
      </c>
      <c r="BQ77" s="11"/>
      <c r="BR77" s="68">
        <v>-3.0</v>
      </c>
      <c r="BS77" s="11"/>
      <c r="BT77" s="80">
        <v>7.94E-19</v>
      </c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68" t="s">
        <v>340</v>
      </c>
      <c r="CU77" s="11"/>
      <c r="CV77" s="80" t="s">
        <v>341</v>
      </c>
      <c r="CW77" s="11"/>
      <c r="CX77" s="68" t="s">
        <v>342</v>
      </c>
      <c r="CY77" s="11"/>
      <c r="CZ77" s="80" t="s">
        <v>341</v>
      </c>
      <c r="DA77" s="11"/>
      <c r="DB77" s="11"/>
      <c r="DC77" s="11"/>
      <c r="DD77" s="11"/>
      <c r="DE77" s="11"/>
      <c r="DF77" s="68">
        <v>-40.0</v>
      </c>
      <c r="DG77" s="68"/>
      <c r="DH77" s="80">
        <v>1.58E-17</v>
      </c>
      <c r="DI77" s="68"/>
      <c r="DJ77" s="12"/>
      <c r="DK77" s="12"/>
      <c r="DL77" s="12"/>
      <c r="DM77" s="69"/>
      <c r="DN77" s="69"/>
      <c r="DO77" s="69"/>
      <c r="DP77" s="69"/>
      <c r="DQ77" s="11"/>
      <c r="DR77" s="69"/>
      <c r="DS77" s="69"/>
      <c r="DT77" s="69"/>
      <c r="DU77" s="69"/>
      <c r="DV77" s="73">
        <v>-6.6</v>
      </c>
      <c r="DW77" s="10"/>
      <c r="DX77" s="81">
        <v>5.01E-14</v>
      </c>
      <c r="DY77" s="7"/>
      <c r="DZ77" s="64" t="s">
        <v>225</v>
      </c>
      <c r="EA77" s="7"/>
      <c r="EB77" s="7"/>
    </row>
    <row r="78">
      <c r="A78" s="55" t="s">
        <v>343</v>
      </c>
      <c r="B78" s="56" t="s">
        <v>344</v>
      </c>
      <c r="C78" s="4"/>
      <c r="D78" s="4"/>
      <c r="E78" s="4"/>
      <c r="F78" s="57" t="s">
        <v>187</v>
      </c>
      <c r="G78" s="58">
        <v>239.7958</v>
      </c>
      <c r="H78" s="58">
        <v>-23.6333</v>
      </c>
      <c r="I78" s="6" t="s">
        <v>305</v>
      </c>
      <c r="J78" s="6" t="s">
        <v>169</v>
      </c>
      <c r="K78" s="58">
        <v>11.0</v>
      </c>
      <c r="L78" s="5"/>
      <c r="M78" s="60">
        <v>2.0</v>
      </c>
      <c r="N78" s="61">
        <v>139.940385395821</v>
      </c>
      <c r="O78" s="61">
        <v>-12.811</v>
      </c>
      <c r="P78" s="61">
        <v>0.646</v>
      </c>
      <c r="Q78" s="61">
        <v>-25.735</v>
      </c>
      <c r="R78" s="61">
        <v>0.358</v>
      </c>
      <c r="S78" s="60"/>
      <c r="T78" s="60"/>
      <c r="U78" s="59">
        <v>0.0</v>
      </c>
      <c r="V78" s="5"/>
      <c r="W78" s="5"/>
      <c r="X78" s="5"/>
      <c r="Y78" s="83" t="s">
        <v>306</v>
      </c>
      <c r="Z78" s="60"/>
      <c r="AA78" s="60"/>
      <c r="AB78" s="60">
        <v>14.395</v>
      </c>
      <c r="AC78" s="60">
        <v>0.035</v>
      </c>
      <c r="AD78" s="60">
        <v>13.61</v>
      </c>
      <c r="AE78" s="60">
        <v>0.04</v>
      </c>
      <c r="AF78" s="60">
        <v>13.207</v>
      </c>
      <c r="AG78" s="60">
        <v>0.035</v>
      </c>
      <c r="AH78" s="6"/>
      <c r="AI78" s="96"/>
      <c r="AJ78" s="76" t="s">
        <v>306</v>
      </c>
      <c r="AK78" s="13" t="s">
        <v>307</v>
      </c>
      <c r="AL78" s="70">
        <v>2008.0</v>
      </c>
      <c r="AM78" s="7"/>
      <c r="AN78" s="77">
        <v>145.0</v>
      </c>
      <c r="AO78" s="13"/>
      <c r="AP78" s="13" t="s">
        <v>345</v>
      </c>
      <c r="AQ78" s="7"/>
      <c r="AR78" s="78">
        <v>2880.0</v>
      </c>
      <c r="AS78" s="7"/>
      <c r="AT78" s="79">
        <v>0.06</v>
      </c>
      <c r="AU78" s="7"/>
      <c r="AV78" s="64">
        <v>0.004168693835</v>
      </c>
      <c r="AW78" s="7"/>
      <c r="AX78" s="73">
        <v>0.26</v>
      </c>
      <c r="AY78" s="7"/>
      <c r="AZ78" s="11" t="s">
        <v>293</v>
      </c>
      <c r="BA78" s="11" t="s">
        <v>294</v>
      </c>
      <c r="BB78" s="100">
        <v>-102.0</v>
      </c>
      <c r="BC78" s="11"/>
      <c r="BD78" s="80">
        <v>5.37E-15</v>
      </c>
      <c r="BE78" s="11"/>
      <c r="BF78" s="68">
        <v>-160.0</v>
      </c>
      <c r="BG78" s="11"/>
      <c r="BH78" s="80">
        <v>2.29E-15</v>
      </c>
      <c r="BI78" s="11"/>
      <c r="BJ78" s="68">
        <v>-230.0</v>
      </c>
      <c r="BK78" s="11"/>
      <c r="BL78" s="80">
        <v>1.74E-15</v>
      </c>
      <c r="BM78" s="11"/>
      <c r="BN78" s="68">
        <v>-200.0</v>
      </c>
      <c r="BO78" s="11"/>
      <c r="BP78" s="80">
        <v>1.35E-15</v>
      </c>
      <c r="BQ78" s="11"/>
      <c r="BR78" s="68">
        <v>-120.0</v>
      </c>
      <c r="BS78" s="11"/>
      <c r="BT78" s="80">
        <v>8.32E-16</v>
      </c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68">
        <v>-24.0</v>
      </c>
      <c r="CU78" s="11"/>
      <c r="CV78" s="80">
        <v>4.27E-15</v>
      </c>
      <c r="CW78" s="11"/>
      <c r="CX78" s="68">
        <v>-6.0</v>
      </c>
      <c r="CY78" s="11"/>
      <c r="CZ78" s="80">
        <v>1.91E-16</v>
      </c>
      <c r="DA78" s="11"/>
      <c r="DB78" s="11"/>
      <c r="DC78" s="11"/>
      <c r="DD78" s="11"/>
      <c r="DE78" s="11"/>
      <c r="DF78" s="68">
        <v>-54.0</v>
      </c>
      <c r="DG78" s="68"/>
      <c r="DH78" s="80">
        <v>3.02E-16</v>
      </c>
      <c r="DI78" s="68"/>
      <c r="DJ78" s="12"/>
      <c r="DK78" s="12"/>
      <c r="DL78" s="12"/>
      <c r="DM78" s="69"/>
      <c r="DN78" s="69"/>
      <c r="DO78" s="69"/>
      <c r="DP78" s="69"/>
      <c r="DQ78" s="11"/>
      <c r="DR78" s="69"/>
      <c r="DS78" s="69"/>
      <c r="DT78" s="69"/>
      <c r="DU78" s="69"/>
      <c r="DV78" s="73">
        <v>-4.6</v>
      </c>
      <c r="DW78" s="10"/>
      <c r="DX78" s="81">
        <v>3.98E-12</v>
      </c>
      <c r="DY78" s="7"/>
      <c r="DZ78" s="64" t="s">
        <v>225</v>
      </c>
      <c r="EA78" s="7"/>
      <c r="EB78" s="7"/>
    </row>
    <row r="79">
      <c r="A79" s="55" t="s">
        <v>346</v>
      </c>
      <c r="B79" s="99" t="s">
        <v>347</v>
      </c>
      <c r="C79" s="4"/>
      <c r="D79" s="4"/>
      <c r="E79" s="4"/>
      <c r="F79" s="57" t="s">
        <v>187</v>
      </c>
      <c r="G79" s="61">
        <v>63.5495095833333</v>
      </c>
      <c r="H79" s="61">
        <v>28.1981694444444</v>
      </c>
      <c r="I79" s="6" t="s">
        <v>199</v>
      </c>
      <c r="J79" s="5"/>
      <c r="K79" s="58">
        <v>3.16227766</v>
      </c>
      <c r="L79" s="60"/>
      <c r="M79" s="60">
        <v>2.0</v>
      </c>
      <c r="N79" s="61">
        <v>131.087369731926</v>
      </c>
      <c r="O79" s="61">
        <v>9.077</v>
      </c>
      <c r="P79" s="61">
        <v>0.421</v>
      </c>
      <c r="Q79" s="61">
        <v>-23.889</v>
      </c>
      <c r="R79" s="61">
        <v>0.211</v>
      </c>
      <c r="S79" s="60"/>
      <c r="T79" s="60"/>
      <c r="U79" s="58">
        <v>1.0</v>
      </c>
      <c r="V79" s="58">
        <v>0.5</v>
      </c>
      <c r="W79" s="5"/>
      <c r="X79" s="5"/>
      <c r="Y79" s="83" t="s">
        <v>225</v>
      </c>
      <c r="Z79" s="60"/>
      <c r="AA79" s="60"/>
      <c r="AB79" s="60">
        <v>13.161</v>
      </c>
      <c r="AC79" s="60">
        <v>0.024</v>
      </c>
      <c r="AD79" s="60">
        <v>12.329</v>
      </c>
      <c r="AE79" s="60">
        <v>0.022</v>
      </c>
      <c r="AF79" s="60">
        <v>11.639</v>
      </c>
      <c r="AG79" s="60">
        <v>0.021</v>
      </c>
      <c r="AH79" s="6"/>
      <c r="AI79" s="6"/>
      <c r="AJ79" s="76" t="s">
        <v>225</v>
      </c>
      <c r="AK79" s="13" t="s">
        <v>307</v>
      </c>
      <c r="AL79" s="97">
        <v>2006.0</v>
      </c>
      <c r="AM79" s="13"/>
      <c r="AN79" s="102">
        <v>140.0</v>
      </c>
      <c r="AO79" s="97">
        <v>15.0</v>
      </c>
      <c r="AP79" s="13" t="s">
        <v>217</v>
      </c>
      <c r="AQ79" s="73">
        <v>0.5</v>
      </c>
      <c r="AR79" s="66">
        <v>2935.0</v>
      </c>
      <c r="AS79" s="64">
        <v>75.0</v>
      </c>
      <c r="AT79" s="67">
        <v>0.065</v>
      </c>
      <c r="AU79" s="73">
        <v>0.03</v>
      </c>
      <c r="AV79" s="70">
        <v>0.014</v>
      </c>
      <c r="AW79" s="7"/>
      <c r="AX79" s="70">
        <v>0.46</v>
      </c>
      <c r="AY79" s="13"/>
      <c r="AZ79" s="11" t="s">
        <v>293</v>
      </c>
      <c r="BA79" s="11" t="s">
        <v>294</v>
      </c>
      <c r="BB79" s="104">
        <v>-280.0</v>
      </c>
      <c r="BC79" s="11"/>
      <c r="BD79" s="95">
        <v>1.5E-13</v>
      </c>
      <c r="BE79" s="12"/>
      <c r="BF79" s="104">
        <v>-103.0</v>
      </c>
      <c r="BG79" s="11"/>
      <c r="BH79" s="95">
        <v>2.5E-14</v>
      </c>
      <c r="BI79" s="11"/>
      <c r="BJ79" s="104">
        <v>-72.0</v>
      </c>
      <c r="BK79" s="11"/>
      <c r="BL79" s="95">
        <v>1.3E-14</v>
      </c>
      <c r="BM79" s="11"/>
      <c r="BN79" s="12">
        <v>-58.0</v>
      </c>
      <c r="BO79" s="11"/>
      <c r="BP79" s="80">
        <v>9.7E-15</v>
      </c>
      <c r="BQ79" s="11"/>
      <c r="BR79" s="12">
        <v>-30.0</v>
      </c>
      <c r="BS79" s="11"/>
      <c r="BT79" s="80">
        <v>5.7E-15</v>
      </c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69"/>
      <c r="CM79" s="69"/>
      <c r="CN79" s="11"/>
      <c r="CO79" s="11"/>
      <c r="CP79" s="11"/>
      <c r="CQ79" s="11"/>
      <c r="CR79" s="11"/>
      <c r="CS79" s="11"/>
      <c r="CT79" s="69">
        <v>-7.3</v>
      </c>
      <c r="CU79" s="11"/>
      <c r="CV79" s="95">
        <v>2.3E-15</v>
      </c>
      <c r="CW79" s="69"/>
      <c r="CX79" s="105">
        <v>-2.4</v>
      </c>
      <c r="CY79" s="11"/>
      <c r="CZ79" s="95">
        <v>1.1E-15</v>
      </c>
      <c r="DA79" s="11"/>
      <c r="DB79" s="69">
        <v>-1.5</v>
      </c>
      <c r="DC79" s="11"/>
      <c r="DD79" s="80">
        <v>8.4E-16</v>
      </c>
      <c r="DE79" s="69"/>
      <c r="DF79" s="105">
        <v>-116.0</v>
      </c>
      <c r="DG79" s="105"/>
      <c r="DH79" s="95">
        <v>1.9E-14</v>
      </c>
      <c r="DI79" s="105"/>
      <c r="DJ79" s="105">
        <v>-142.0</v>
      </c>
      <c r="DK79" s="95">
        <v>2.3E-14</v>
      </c>
      <c r="DL79" s="95"/>
      <c r="DM79" s="69">
        <v>-30.0</v>
      </c>
      <c r="DN79" s="69"/>
      <c r="DO79" s="80">
        <v>5.1E-14</v>
      </c>
      <c r="DP79" s="69"/>
      <c r="DQ79" s="11"/>
      <c r="DR79" s="69"/>
      <c r="DS79" s="69"/>
      <c r="DT79" s="69"/>
      <c r="DU79" s="69"/>
      <c r="DV79" s="103">
        <v>-2.49</v>
      </c>
      <c r="DW79" s="98">
        <v>0.2</v>
      </c>
      <c r="DX79" s="71">
        <v>9.0E-10</v>
      </c>
      <c r="DY79" s="7"/>
      <c r="DZ79" s="64" t="s">
        <v>225</v>
      </c>
      <c r="EA79" s="85"/>
      <c r="EB79" s="64" t="s">
        <v>320</v>
      </c>
    </row>
    <row r="80">
      <c r="A80" s="55" t="s">
        <v>348</v>
      </c>
      <c r="B80" s="56" t="s">
        <v>349</v>
      </c>
      <c r="C80" s="4"/>
      <c r="D80" s="3"/>
      <c r="E80" s="3"/>
      <c r="F80" s="57" t="s">
        <v>168</v>
      </c>
      <c r="G80" s="58">
        <v>84.6042</v>
      </c>
      <c r="H80" s="58">
        <v>-2.7114</v>
      </c>
      <c r="I80" s="6" t="s">
        <v>350</v>
      </c>
      <c r="J80" s="6" t="s">
        <v>169</v>
      </c>
      <c r="K80" s="58">
        <v>3.0</v>
      </c>
      <c r="L80" s="5"/>
      <c r="M80" s="60">
        <v>2.0</v>
      </c>
      <c r="N80" s="58">
        <v>338.9026333</v>
      </c>
      <c r="O80" s="58">
        <v>1.967</v>
      </c>
      <c r="P80" s="58">
        <v>0.829</v>
      </c>
      <c r="Q80" s="58">
        <v>-1.2</v>
      </c>
      <c r="R80" s="58">
        <v>0.85</v>
      </c>
      <c r="S80" s="60"/>
      <c r="T80" s="60"/>
      <c r="U80" s="5"/>
      <c r="V80" s="5"/>
      <c r="W80" s="60">
        <v>0.1934</v>
      </c>
      <c r="X80" s="5"/>
      <c r="Y80" s="106" t="s">
        <v>351</v>
      </c>
      <c r="Z80" s="60">
        <v>19.08</v>
      </c>
      <c r="AA80" s="60">
        <v>0.1</v>
      </c>
      <c r="AB80" s="60">
        <v>14.88</v>
      </c>
      <c r="AC80" s="60">
        <v>0.03</v>
      </c>
      <c r="AD80" s="60">
        <v>14.16</v>
      </c>
      <c r="AE80" s="60">
        <v>0.04</v>
      </c>
      <c r="AF80" s="60">
        <v>13.57</v>
      </c>
      <c r="AG80" s="60">
        <v>0.03</v>
      </c>
      <c r="AH80" s="6"/>
      <c r="AI80" s="6"/>
      <c r="AJ80" s="76" t="s">
        <v>352</v>
      </c>
      <c r="AK80" s="64" t="s">
        <v>192</v>
      </c>
      <c r="AL80" s="64">
        <v>2009.0</v>
      </c>
      <c r="AM80" s="64">
        <v>4.0</v>
      </c>
      <c r="AN80" s="102">
        <v>360.0</v>
      </c>
      <c r="AO80" s="13"/>
      <c r="AP80" s="13" t="s">
        <v>353</v>
      </c>
      <c r="AQ80" s="7"/>
      <c r="AR80" s="78">
        <v>2990.0</v>
      </c>
      <c r="AS80" s="64">
        <v>150.0</v>
      </c>
      <c r="AT80" s="79">
        <v>0.08</v>
      </c>
      <c r="AU80" s="7"/>
      <c r="AV80" s="64">
        <v>0.02</v>
      </c>
      <c r="AW80" s="7"/>
      <c r="AX80" s="73">
        <v>0.47</v>
      </c>
      <c r="AY80" s="7"/>
      <c r="AZ80" s="11" t="s">
        <v>293</v>
      </c>
      <c r="BA80" s="11" t="s">
        <v>294</v>
      </c>
      <c r="BB80" s="68">
        <v>-121.5</v>
      </c>
      <c r="BC80" s="68">
        <v>1.5</v>
      </c>
      <c r="BD80" s="80">
        <v>7.47E-15</v>
      </c>
      <c r="BE80" s="11"/>
      <c r="BF80" s="68">
        <v>-80.9</v>
      </c>
      <c r="BG80" s="68">
        <v>0.4</v>
      </c>
      <c r="BH80" s="80">
        <v>8.71E-16</v>
      </c>
      <c r="BI80" s="11"/>
      <c r="BJ80" s="68">
        <v>-62.6</v>
      </c>
      <c r="BK80" s="68">
        <v>1.3</v>
      </c>
      <c r="BL80" s="80">
        <v>3.53E-16</v>
      </c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68">
        <v>-1.4</v>
      </c>
      <c r="CA80" s="68">
        <v>0.7</v>
      </c>
      <c r="CB80" s="80">
        <v>5.19E-16</v>
      </c>
      <c r="CC80" s="11"/>
      <c r="CD80" s="68">
        <v>-0.9</v>
      </c>
      <c r="CE80" s="68">
        <v>0.9</v>
      </c>
      <c r="CF80" s="80">
        <v>3.61E-16</v>
      </c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68">
        <v>-2.1</v>
      </c>
      <c r="CU80" s="68">
        <v>0.3</v>
      </c>
      <c r="CV80" s="80">
        <v>3.65E-17</v>
      </c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2"/>
      <c r="DK80" s="12"/>
      <c r="DL80" s="12"/>
      <c r="DM80" s="68">
        <v>-1.9</v>
      </c>
      <c r="DN80" s="68">
        <v>0.2</v>
      </c>
      <c r="DO80" s="80">
        <v>4.0E-16</v>
      </c>
      <c r="DP80" s="69"/>
      <c r="DQ80" s="11"/>
      <c r="DR80" s="69"/>
      <c r="DS80" s="69"/>
      <c r="DT80" s="69"/>
      <c r="DU80" s="69"/>
      <c r="DV80" s="73">
        <v>-3.95</v>
      </c>
      <c r="DW80" s="10"/>
      <c r="DX80" s="81">
        <v>5.37E-11</v>
      </c>
      <c r="DY80" s="7"/>
      <c r="DZ80" s="64" t="s">
        <v>352</v>
      </c>
      <c r="EA80" s="64" t="s">
        <v>354</v>
      </c>
      <c r="EB80" s="64" t="s">
        <v>355</v>
      </c>
    </row>
    <row r="81">
      <c r="A81" s="55" t="s">
        <v>356</v>
      </c>
      <c r="B81" s="56" t="s">
        <v>356</v>
      </c>
      <c r="C81" s="4"/>
      <c r="D81" s="4"/>
      <c r="E81" s="57" t="s">
        <v>137</v>
      </c>
      <c r="F81" s="57" t="s">
        <v>168</v>
      </c>
      <c r="G81" s="58">
        <v>240.1125</v>
      </c>
      <c r="H81" s="58">
        <v>-20.9422</v>
      </c>
      <c r="I81" s="6" t="s">
        <v>305</v>
      </c>
      <c r="J81" s="6" t="s">
        <v>169</v>
      </c>
      <c r="K81" s="58">
        <v>11.0</v>
      </c>
      <c r="L81" s="5"/>
      <c r="M81" s="60">
        <v>2.0</v>
      </c>
      <c r="N81" s="61">
        <v>162.292873719914</v>
      </c>
      <c r="O81" s="61">
        <v>-10.546</v>
      </c>
      <c r="P81" s="61">
        <v>0.481</v>
      </c>
      <c r="Q81" s="61">
        <v>-17.225</v>
      </c>
      <c r="R81" s="61">
        <v>0.323</v>
      </c>
      <c r="S81" s="60"/>
      <c r="T81" s="60"/>
      <c r="U81" s="58">
        <v>0.0</v>
      </c>
      <c r="V81" s="5"/>
      <c r="W81" s="5"/>
      <c r="X81" s="5"/>
      <c r="Y81" s="83" t="s">
        <v>306</v>
      </c>
      <c r="Z81" s="60"/>
      <c r="AA81" s="60"/>
      <c r="AB81" s="60">
        <v>13.463</v>
      </c>
      <c r="AC81" s="60">
        <v>0.029</v>
      </c>
      <c r="AD81" s="60">
        <v>12.898</v>
      </c>
      <c r="AE81" s="60">
        <v>0.023</v>
      </c>
      <c r="AF81" s="60">
        <v>12.507</v>
      </c>
      <c r="AG81" s="60">
        <v>0.023</v>
      </c>
      <c r="AH81" s="6"/>
      <c r="AI81" s="96"/>
      <c r="AJ81" s="76" t="s">
        <v>306</v>
      </c>
      <c r="AK81" s="13" t="s">
        <v>307</v>
      </c>
      <c r="AL81" s="70">
        <v>2008.0</v>
      </c>
      <c r="AM81" s="7"/>
      <c r="AN81" s="77">
        <v>145.0</v>
      </c>
      <c r="AO81" s="13"/>
      <c r="AP81" s="13" t="s">
        <v>264</v>
      </c>
      <c r="AQ81" s="7"/>
      <c r="AR81" s="78">
        <v>3058.0</v>
      </c>
      <c r="AS81" s="7"/>
      <c r="AT81" s="79">
        <v>0.09</v>
      </c>
      <c r="AU81" s="7"/>
      <c r="AV81" s="64">
        <v>0.01071519305</v>
      </c>
      <c r="AW81" s="7"/>
      <c r="AX81" s="73">
        <v>0.37</v>
      </c>
      <c r="AY81" s="7"/>
      <c r="AZ81" s="11" t="s">
        <v>293</v>
      </c>
      <c r="BA81" s="11" t="s">
        <v>294</v>
      </c>
      <c r="BB81" s="100">
        <v>-21.0</v>
      </c>
      <c r="BC81" s="11"/>
      <c r="BD81" s="80">
        <v>3.89E-15</v>
      </c>
      <c r="BE81" s="11"/>
      <c r="BF81" s="68">
        <v>-16.0</v>
      </c>
      <c r="BG81" s="11"/>
      <c r="BH81" s="80">
        <v>6.03E-16</v>
      </c>
      <c r="BI81" s="11"/>
      <c r="BJ81" s="68">
        <v>-17.0</v>
      </c>
      <c r="BK81" s="11"/>
      <c r="BL81" s="80">
        <v>2.95E-16</v>
      </c>
      <c r="BM81" s="11"/>
      <c r="BN81" s="68">
        <v>-14.0</v>
      </c>
      <c r="BO81" s="11"/>
      <c r="BP81" s="80">
        <v>1.86E-16</v>
      </c>
      <c r="BQ81" s="11"/>
      <c r="BR81" s="68">
        <v>-14.0</v>
      </c>
      <c r="BS81" s="11"/>
      <c r="BT81" s="80">
        <v>1.05E-16</v>
      </c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68" t="s">
        <v>357</v>
      </c>
      <c r="CU81" s="11"/>
      <c r="CV81" s="80" t="s">
        <v>358</v>
      </c>
      <c r="CW81" s="11"/>
      <c r="CX81" s="68" t="s">
        <v>359</v>
      </c>
      <c r="CY81" s="11"/>
      <c r="CZ81" s="80" t="s">
        <v>360</v>
      </c>
      <c r="DA81" s="11"/>
      <c r="DB81" s="11"/>
      <c r="DC81" s="11"/>
      <c r="DD81" s="11"/>
      <c r="DE81" s="11"/>
      <c r="DF81" s="68">
        <v>-25.0</v>
      </c>
      <c r="DG81" s="68"/>
      <c r="DH81" s="80">
        <v>1.95E-16</v>
      </c>
      <c r="DI81" s="68"/>
      <c r="DJ81" s="12"/>
      <c r="DK81" s="12"/>
      <c r="DL81" s="12"/>
      <c r="DM81" s="69"/>
      <c r="DN81" s="69"/>
      <c r="DO81" s="69"/>
      <c r="DP81" s="69"/>
      <c r="DQ81" s="11"/>
      <c r="DR81" s="69"/>
      <c r="DS81" s="69"/>
      <c r="DT81" s="69"/>
      <c r="DU81" s="69"/>
      <c r="DV81" s="73">
        <v>-5.4</v>
      </c>
      <c r="DW81" s="10"/>
      <c r="DX81" s="81">
        <v>6.31E-13</v>
      </c>
      <c r="DY81" s="7"/>
      <c r="DZ81" s="64" t="s">
        <v>225</v>
      </c>
      <c r="EA81" s="13"/>
      <c r="EB81" s="13"/>
    </row>
    <row r="82">
      <c r="A82" s="74" t="s">
        <v>361</v>
      </c>
      <c r="B82" s="99" t="s">
        <v>260</v>
      </c>
      <c r="C82" s="4"/>
      <c r="D82" s="4"/>
      <c r="E82" s="4"/>
      <c r="F82" s="57" t="s">
        <v>168</v>
      </c>
      <c r="G82" s="61">
        <v>68.0669395833333</v>
      </c>
      <c r="H82" s="61">
        <v>18.2128841666666</v>
      </c>
      <c r="I82" s="6" t="s">
        <v>199</v>
      </c>
      <c r="J82" s="5"/>
      <c r="K82" s="61">
        <v>1.5</v>
      </c>
      <c r="L82" s="60"/>
      <c r="M82" s="60">
        <v>2.0</v>
      </c>
      <c r="N82" s="61">
        <v>144.62152546785</v>
      </c>
      <c r="O82" s="61">
        <v>13.081</v>
      </c>
      <c r="P82" s="61">
        <v>0.202</v>
      </c>
      <c r="Q82" s="61">
        <v>-17.566</v>
      </c>
      <c r="R82" s="61">
        <v>0.114</v>
      </c>
      <c r="S82" s="60"/>
      <c r="T82" s="60"/>
      <c r="U82" s="61">
        <v>0.3</v>
      </c>
      <c r="V82" s="58">
        <v>0.5</v>
      </c>
      <c r="W82" s="5"/>
      <c r="X82" s="5"/>
      <c r="Y82" s="93" t="s">
        <v>225</v>
      </c>
      <c r="Z82" s="60"/>
      <c r="AA82" s="60"/>
      <c r="AB82" s="60">
        <v>11.07</v>
      </c>
      <c r="AC82" s="60">
        <v>0.026</v>
      </c>
      <c r="AD82" s="60">
        <v>10.39</v>
      </c>
      <c r="AE82" s="60">
        <v>0.03</v>
      </c>
      <c r="AF82" s="60">
        <v>10.063</v>
      </c>
      <c r="AG82" s="60">
        <v>0.022</v>
      </c>
      <c r="AH82" s="6"/>
      <c r="AI82" s="96"/>
      <c r="AJ82" s="76" t="s">
        <v>225</v>
      </c>
      <c r="AK82" s="13" t="s">
        <v>307</v>
      </c>
      <c r="AL82" s="97">
        <v>2006.0</v>
      </c>
      <c r="AM82" s="13"/>
      <c r="AN82" s="102">
        <v>140.0</v>
      </c>
      <c r="AO82" s="97">
        <v>15.0</v>
      </c>
      <c r="AP82" s="64" t="s">
        <v>353</v>
      </c>
      <c r="AQ82" s="73">
        <v>0.5</v>
      </c>
      <c r="AR82" s="66">
        <v>2990.0</v>
      </c>
      <c r="AS82" s="64">
        <v>75.0</v>
      </c>
      <c r="AT82" s="67">
        <v>0.1</v>
      </c>
      <c r="AU82" s="73"/>
      <c r="AV82" s="64">
        <v>0.098</v>
      </c>
      <c r="AW82" s="7"/>
      <c r="AX82" s="70">
        <v>1.17</v>
      </c>
      <c r="AY82" s="7"/>
      <c r="AZ82" s="11" t="s">
        <v>293</v>
      </c>
      <c r="BA82" s="11" t="s">
        <v>294</v>
      </c>
      <c r="BB82" s="12">
        <v>-43.0</v>
      </c>
      <c r="BC82" s="11"/>
      <c r="BD82" s="80">
        <v>6.6E-14</v>
      </c>
      <c r="BE82" s="11"/>
      <c r="BF82" s="12">
        <v>-30.0</v>
      </c>
      <c r="BG82" s="11"/>
      <c r="BH82" s="80">
        <v>8.3E-15</v>
      </c>
      <c r="BI82" s="11"/>
      <c r="BJ82" s="12">
        <v>-19.0</v>
      </c>
      <c r="BK82" s="11"/>
      <c r="BL82" s="80">
        <v>3.4E-15</v>
      </c>
      <c r="BM82" s="11"/>
      <c r="BN82" s="12">
        <v>-13.4</v>
      </c>
      <c r="BO82" s="11"/>
      <c r="BP82" s="80">
        <v>2.0E-15</v>
      </c>
      <c r="BQ82" s="11"/>
      <c r="BR82" s="12">
        <v>-13.1</v>
      </c>
      <c r="BS82" s="11"/>
      <c r="BT82" s="80">
        <v>1.19E-15</v>
      </c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2">
        <v>-1.3</v>
      </c>
      <c r="CU82" s="11"/>
      <c r="CV82" s="80">
        <v>5.55E-16</v>
      </c>
      <c r="CW82" s="11"/>
      <c r="CX82" s="68" t="s">
        <v>362</v>
      </c>
      <c r="CY82" s="11"/>
      <c r="CZ82" s="80">
        <v>2.5E-16</v>
      </c>
      <c r="DA82" s="11"/>
      <c r="DB82" s="68" t="s">
        <v>363</v>
      </c>
      <c r="DC82" s="11"/>
      <c r="DD82" s="80">
        <v>2.5E-16</v>
      </c>
      <c r="DE82" s="11"/>
      <c r="DF82" s="12">
        <v>-48.0</v>
      </c>
      <c r="DG82" s="12"/>
      <c r="DH82" s="80">
        <v>4.3E-15</v>
      </c>
      <c r="DI82" s="12"/>
      <c r="DJ82" s="69">
        <v>-42.0</v>
      </c>
      <c r="DK82" s="80">
        <v>5.1E-15</v>
      </c>
      <c r="DL82" s="80"/>
      <c r="DM82" s="80" t="s">
        <v>364</v>
      </c>
      <c r="DN82" s="69"/>
      <c r="DO82" s="80">
        <v>6.0E-15</v>
      </c>
      <c r="DP82" s="69"/>
      <c r="DQ82" s="11"/>
      <c r="DR82" s="69"/>
      <c r="DS82" s="69"/>
      <c r="DT82" s="69"/>
      <c r="DU82" s="69"/>
      <c r="DV82" s="103">
        <v>-4.34</v>
      </c>
      <c r="DW82" s="98">
        <v>0.2</v>
      </c>
      <c r="DX82" s="71">
        <v>2.2E-11</v>
      </c>
      <c r="DY82" s="7"/>
      <c r="DZ82" s="64" t="s">
        <v>225</v>
      </c>
      <c r="EA82" s="13"/>
      <c r="EB82" s="64" t="s">
        <v>320</v>
      </c>
    </row>
    <row r="83">
      <c r="A83" s="74" t="s">
        <v>365</v>
      </c>
      <c r="B83" s="99" t="s">
        <v>366</v>
      </c>
      <c r="C83" s="4"/>
      <c r="D83" s="4"/>
      <c r="E83" s="4"/>
      <c r="F83" s="57" t="s">
        <v>168</v>
      </c>
      <c r="G83" s="61">
        <v>64.6262587499999</v>
      </c>
      <c r="H83" s="61">
        <v>27.7224024999999</v>
      </c>
      <c r="I83" s="6" t="s">
        <v>199</v>
      </c>
      <c r="J83" s="5"/>
      <c r="K83" s="58">
        <f>(10^6.5)/1000000</f>
        <v>3.16227766</v>
      </c>
      <c r="L83" s="60"/>
      <c r="M83" s="60">
        <v>2.0</v>
      </c>
      <c r="N83" s="61">
        <v>129.893746915023</v>
      </c>
      <c r="O83" s="61">
        <v>8.733</v>
      </c>
      <c r="P83" s="61">
        <v>0.196</v>
      </c>
      <c r="Q83" s="61">
        <v>-26.265</v>
      </c>
      <c r="R83" s="61">
        <v>0.145</v>
      </c>
      <c r="S83" s="60">
        <v>15.54</v>
      </c>
      <c r="T83" s="60">
        <v>0.191</v>
      </c>
      <c r="U83" s="61">
        <v>0.3</v>
      </c>
      <c r="V83" s="58">
        <v>0.5</v>
      </c>
      <c r="W83" s="5"/>
      <c r="X83" s="5"/>
      <c r="Y83" s="93" t="s">
        <v>225</v>
      </c>
      <c r="Z83" s="60"/>
      <c r="AA83" s="60"/>
      <c r="AB83" s="60">
        <v>11.886</v>
      </c>
      <c r="AC83" s="60">
        <v>0.021</v>
      </c>
      <c r="AD83" s="60">
        <v>11.271</v>
      </c>
      <c r="AE83" s="60">
        <v>0.027</v>
      </c>
      <c r="AF83" s="60">
        <v>11.007</v>
      </c>
      <c r="AG83" s="60">
        <v>0.021</v>
      </c>
      <c r="AH83" s="6"/>
      <c r="AI83" s="96"/>
      <c r="AJ83" s="76" t="s">
        <v>225</v>
      </c>
      <c r="AK83" s="13" t="s">
        <v>307</v>
      </c>
      <c r="AL83" s="97">
        <v>2006.0</v>
      </c>
      <c r="AM83" s="13"/>
      <c r="AN83" s="102">
        <v>140.0</v>
      </c>
      <c r="AO83" s="97">
        <v>15.0</v>
      </c>
      <c r="AP83" s="64" t="s">
        <v>270</v>
      </c>
      <c r="AQ83" s="73">
        <v>0.5</v>
      </c>
      <c r="AR83" s="66">
        <v>3023.0</v>
      </c>
      <c r="AS83" s="64">
        <v>75.0</v>
      </c>
      <c r="AT83" s="67">
        <v>0.1</v>
      </c>
      <c r="AU83" s="73"/>
      <c r="AV83" s="64">
        <v>0.037</v>
      </c>
      <c r="AW83" s="7"/>
      <c r="AX83" s="70">
        <v>0.7</v>
      </c>
      <c r="AY83" s="7"/>
      <c r="AZ83" s="11" t="s">
        <v>293</v>
      </c>
      <c r="BA83" s="11" t="s">
        <v>294</v>
      </c>
      <c r="BB83" s="12">
        <v>-13.6</v>
      </c>
      <c r="BC83" s="11"/>
      <c r="BD83" s="80">
        <v>1.03E-14</v>
      </c>
      <c r="BE83" s="11"/>
      <c r="BF83" s="12">
        <v>-12.5</v>
      </c>
      <c r="BG83" s="11"/>
      <c r="BH83" s="80">
        <v>1.8E-15</v>
      </c>
      <c r="BI83" s="11"/>
      <c r="BJ83" s="12">
        <v>-9.5</v>
      </c>
      <c r="BK83" s="11"/>
      <c r="BL83" s="80">
        <v>8.7E-16</v>
      </c>
      <c r="BM83" s="11"/>
      <c r="BN83" s="12">
        <v>-7.6</v>
      </c>
      <c r="BO83" s="11"/>
      <c r="BP83" s="80">
        <v>5.4E-16</v>
      </c>
      <c r="BQ83" s="11"/>
      <c r="BR83" s="12">
        <v>-8.4</v>
      </c>
      <c r="BS83" s="11"/>
      <c r="BT83" s="80">
        <v>3.3E-16</v>
      </c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2">
        <v>-0.4</v>
      </c>
      <c r="CU83" s="11"/>
      <c r="CV83" s="80">
        <v>9.2E-17</v>
      </c>
      <c r="CW83" s="11"/>
      <c r="CX83" s="80">
        <v>0.1</v>
      </c>
      <c r="CY83" s="11"/>
      <c r="CZ83" s="80">
        <v>6.1E-17</v>
      </c>
      <c r="DA83" s="11"/>
      <c r="DB83" s="68" t="s">
        <v>359</v>
      </c>
      <c r="DC83" s="11"/>
      <c r="DD83" s="80">
        <v>1.5E-16</v>
      </c>
      <c r="DE83" s="11"/>
      <c r="DF83" s="12">
        <v>-32.0</v>
      </c>
      <c r="DG83" s="12"/>
      <c r="DH83" s="80">
        <v>1.25E-15</v>
      </c>
      <c r="DI83" s="12"/>
      <c r="DJ83" s="69">
        <v>-26.0</v>
      </c>
      <c r="DK83" s="80">
        <v>1.43E-15</v>
      </c>
      <c r="DL83" s="80"/>
      <c r="DM83" s="69">
        <v>-0.28</v>
      </c>
      <c r="DN83" s="69"/>
      <c r="DO83" s="80">
        <v>1.23E-15</v>
      </c>
      <c r="DP83" s="69"/>
      <c r="DQ83" s="11"/>
      <c r="DR83" s="69"/>
      <c r="DS83" s="69"/>
      <c r="DT83" s="69"/>
      <c r="DU83" s="69"/>
      <c r="DV83" s="103">
        <v>-4.64</v>
      </c>
      <c r="DW83" s="98">
        <v>0.2</v>
      </c>
      <c r="DX83" s="71">
        <v>6.2E-12</v>
      </c>
      <c r="DY83" s="7"/>
      <c r="DZ83" s="64" t="s">
        <v>225</v>
      </c>
      <c r="EA83" s="13"/>
      <c r="EB83" s="64" t="s">
        <v>320</v>
      </c>
    </row>
    <row r="84">
      <c r="A84" s="107" t="s">
        <v>367</v>
      </c>
      <c r="B84" s="99" t="s">
        <v>368</v>
      </c>
      <c r="C84" s="4"/>
      <c r="D84" s="4"/>
      <c r="E84" s="4"/>
      <c r="F84" s="57" t="s">
        <v>168</v>
      </c>
      <c r="G84" s="61">
        <v>79.5118783333333</v>
      </c>
      <c r="H84" s="61">
        <v>23.4535222222222</v>
      </c>
      <c r="I84" s="6" t="s">
        <v>199</v>
      </c>
      <c r="J84" s="5"/>
      <c r="K84" s="58">
        <f>(10^6.9)/1000000</f>
        <v>7.943282347</v>
      </c>
      <c r="L84" s="60"/>
      <c r="M84" s="60">
        <v>2.0</v>
      </c>
      <c r="N84" s="61">
        <v>106.472460897988</v>
      </c>
      <c r="O84" s="61">
        <v>9.088</v>
      </c>
      <c r="P84" s="61">
        <v>0.207</v>
      </c>
      <c r="Q84" s="61">
        <v>-38.72</v>
      </c>
      <c r="R84" s="61">
        <v>0.137</v>
      </c>
      <c r="S84" s="60">
        <v>14.4</v>
      </c>
      <c r="T84" s="60">
        <v>0.7</v>
      </c>
      <c r="U84" s="61">
        <v>1.0</v>
      </c>
      <c r="V84" s="58">
        <v>0.5</v>
      </c>
      <c r="W84" s="5"/>
      <c r="X84" s="5"/>
      <c r="Y84" s="83" t="s">
        <v>225</v>
      </c>
      <c r="Z84" s="60">
        <v>17.2</v>
      </c>
      <c r="AA84" s="60"/>
      <c r="AB84" s="60">
        <v>12.996</v>
      </c>
      <c r="AC84" s="60">
        <v>0.021</v>
      </c>
      <c r="AD84" s="60">
        <v>12.32</v>
      </c>
      <c r="AE84" s="60">
        <v>0.026</v>
      </c>
      <c r="AF84" s="60">
        <v>11.885</v>
      </c>
      <c r="AG84" s="60">
        <v>0.02</v>
      </c>
      <c r="AH84" s="6"/>
      <c r="AI84" s="96"/>
      <c r="AJ84" s="76" t="s">
        <v>225</v>
      </c>
      <c r="AK84" s="13" t="s">
        <v>307</v>
      </c>
      <c r="AL84" s="97">
        <v>2006.0</v>
      </c>
      <c r="AM84" s="13"/>
      <c r="AN84" s="102">
        <v>140.0</v>
      </c>
      <c r="AO84" s="97">
        <v>15.0</v>
      </c>
      <c r="AP84" s="64" t="s">
        <v>264</v>
      </c>
      <c r="AQ84" s="73">
        <v>0.5</v>
      </c>
      <c r="AR84" s="66">
        <v>3091.0</v>
      </c>
      <c r="AS84" s="64">
        <v>75.0</v>
      </c>
      <c r="AT84" s="67">
        <v>0.1</v>
      </c>
      <c r="AU84" s="73"/>
      <c r="AV84" s="64">
        <v>0.016</v>
      </c>
      <c r="AW84" s="7"/>
      <c r="AX84" s="70">
        <v>0.44</v>
      </c>
      <c r="AY84" s="7"/>
      <c r="AZ84" s="11" t="s">
        <v>293</v>
      </c>
      <c r="BA84" s="11" t="s">
        <v>294</v>
      </c>
      <c r="BB84" s="12">
        <v>-50.0</v>
      </c>
      <c r="BC84" s="11"/>
      <c r="BD84" s="80">
        <v>2.5E-14</v>
      </c>
      <c r="BE84" s="11"/>
      <c r="BF84" s="12">
        <v>-67.0</v>
      </c>
      <c r="BG84" s="11"/>
      <c r="BH84" s="80">
        <v>1.51E-14</v>
      </c>
      <c r="BI84" s="11"/>
      <c r="BJ84" s="12">
        <v>-60.0</v>
      </c>
      <c r="BK84" s="11"/>
      <c r="BL84" s="80">
        <v>1.27E-14</v>
      </c>
      <c r="BM84" s="11"/>
      <c r="BN84" s="12">
        <v>-54.0</v>
      </c>
      <c r="BO84" s="11"/>
      <c r="BP84" s="80">
        <v>1.11E-14</v>
      </c>
      <c r="BQ84" s="11"/>
      <c r="BR84" s="12">
        <v>-28.0</v>
      </c>
      <c r="BS84" s="11"/>
      <c r="BT84" s="80">
        <v>6.9E-15</v>
      </c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2">
        <v>-7.7</v>
      </c>
      <c r="CU84" s="11"/>
      <c r="CV84" s="80">
        <v>1.9E-15</v>
      </c>
      <c r="CW84" s="11"/>
      <c r="CX84" s="12">
        <v>-2.4</v>
      </c>
      <c r="CY84" s="11"/>
      <c r="CZ84" s="80">
        <v>8.7E-16</v>
      </c>
      <c r="DA84" s="11"/>
      <c r="DB84" s="12">
        <v>-0.9</v>
      </c>
      <c r="DC84" s="11"/>
      <c r="DD84" s="80">
        <v>4.1E-16</v>
      </c>
      <c r="DE84" s="11"/>
      <c r="DF84" s="12">
        <v>-20.0</v>
      </c>
      <c r="DG84" s="12"/>
      <c r="DH84" s="80">
        <v>4.3E-15</v>
      </c>
      <c r="DI84" s="12"/>
      <c r="DJ84" s="12">
        <v>-59.0</v>
      </c>
      <c r="DK84" s="80">
        <v>1.21E-14</v>
      </c>
      <c r="DL84" s="80"/>
      <c r="DM84" s="69">
        <v>-1.94</v>
      </c>
      <c r="DN84" s="69"/>
      <c r="DO84" s="80">
        <v>3.2E-15</v>
      </c>
      <c r="DP84" s="69"/>
      <c r="DQ84" s="11"/>
      <c r="DR84" s="69"/>
      <c r="DS84" s="69"/>
      <c r="DT84" s="69"/>
      <c r="DU84" s="69"/>
      <c r="DV84" s="103">
        <v>-2.55</v>
      </c>
      <c r="DW84" s="98">
        <v>0.2</v>
      </c>
      <c r="DX84" s="71">
        <v>5.0E-10</v>
      </c>
      <c r="DY84" s="7"/>
      <c r="DZ84" s="64" t="s">
        <v>225</v>
      </c>
      <c r="EA84" s="13"/>
      <c r="EB84" s="64" t="s">
        <v>320</v>
      </c>
    </row>
    <row r="85">
      <c r="A85" s="74" t="s">
        <v>369</v>
      </c>
      <c r="B85" s="99" t="s">
        <v>370</v>
      </c>
      <c r="C85" s="4"/>
      <c r="D85" s="4"/>
      <c r="E85" s="4"/>
      <c r="F85" s="57" t="s">
        <v>168</v>
      </c>
      <c r="G85" s="61">
        <v>69.0896420833333</v>
      </c>
      <c r="H85" s="61">
        <v>23.8546188888888</v>
      </c>
      <c r="I85" s="6" t="s">
        <v>199</v>
      </c>
      <c r="J85" s="5"/>
      <c r="K85" s="58">
        <f>(10^7.1)/1000000</f>
        <v>12.58925412</v>
      </c>
      <c r="L85" s="60"/>
      <c r="M85" s="60">
        <v>2.0</v>
      </c>
      <c r="N85" s="61">
        <v>115.462774801404</v>
      </c>
      <c r="O85" s="61">
        <v>-1.54</v>
      </c>
      <c r="P85" s="61">
        <v>0.247</v>
      </c>
      <c r="Q85" s="61">
        <v>-19.482</v>
      </c>
      <c r="R85" s="61">
        <v>0.159</v>
      </c>
      <c r="S85" s="60">
        <v>15.86</v>
      </c>
      <c r="T85" s="60">
        <v>0.226</v>
      </c>
      <c r="U85" s="61">
        <v>1.0</v>
      </c>
      <c r="V85" s="58">
        <v>0.5</v>
      </c>
      <c r="W85" s="5"/>
      <c r="X85" s="5"/>
      <c r="Y85" s="83" t="s">
        <v>225</v>
      </c>
      <c r="Z85" s="60"/>
      <c r="AA85" s="60"/>
      <c r="AB85" s="60">
        <v>13.164</v>
      </c>
      <c r="AC85" s="60">
        <v>0.025</v>
      </c>
      <c r="AD85" s="60">
        <v>12.537</v>
      </c>
      <c r="AE85" s="60">
        <v>0.022</v>
      </c>
      <c r="AF85" s="60">
        <v>12.245</v>
      </c>
      <c r="AG85" s="60">
        <v>0.021</v>
      </c>
      <c r="AH85" s="6"/>
      <c r="AI85" s="96"/>
      <c r="AJ85" s="76" t="s">
        <v>225</v>
      </c>
      <c r="AK85" s="13" t="s">
        <v>307</v>
      </c>
      <c r="AL85" s="97">
        <v>2006.0</v>
      </c>
      <c r="AM85" s="13"/>
      <c r="AN85" s="102">
        <v>140.0</v>
      </c>
      <c r="AO85" s="97">
        <v>15.0</v>
      </c>
      <c r="AP85" s="64" t="s">
        <v>371</v>
      </c>
      <c r="AQ85" s="73">
        <v>0.5</v>
      </c>
      <c r="AR85" s="66">
        <v>3125.0</v>
      </c>
      <c r="AS85" s="64">
        <v>75.0</v>
      </c>
      <c r="AT85" s="67">
        <v>0.11</v>
      </c>
      <c r="AU85" s="73"/>
      <c r="AV85" s="64">
        <v>0.013</v>
      </c>
      <c r="AW85" s="7"/>
      <c r="AX85" s="70">
        <v>0.39</v>
      </c>
      <c r="AY85" s="7"/>
      <c r="AZ85" s="11" t="s">
        <v>293</v>
      </c>
      <c r="BA85" s="11" t="s">
        <v>294</v>
      </c>
      <c r="BB85" s="12">
        <v>-28.0</v>
      </c>
      <c r="BC85" s="11"/>
      <c r="BD85" s="80">
        <v>9.7E-15</v>
      </c>
      <c r="BE85" s="11"/>
      <c r="BF85" s="12">
        <v>-47.0</v>
      </c>
      <c r="BG85" s="11"/>
      <c r="BH85" s="80">
        <v>4.8E-15</v>
      </c>
      <c r="BI85" s="11"/>
      <c r="BJ85" s="12">
        <v>-74.0</v>
      </c>
      <c r="BK85" s="11"/>
      <c r="BL85" s="80">
        <v>3.8E-15</v>
      </c>
      <c r="BM85" s="11"/>
      <c r="BN85" s="12">
        <v>-62.0</v>
      </c>
      <c r="BO85" s="11"/>
      <c r="BP85" s="80">
        <v>2.9E-15</v>
      </c>
      <c r="BQ85" s="11"/>
      <c r="BR85" s="12">
        <v>-46.0</v>
      </c>
      <c r="BS85" s="11"/>
      <c r="BT85" s="80">
        <v>1.9E-15</v>
      </c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2">
        <v>-2.9</v>
      </c>
      <c r="CU85" s="11"/>
      <c r="CV85" s="80">
        <v>5.2E-16</v>
      </c>
      <c r="CW85" s="11"/>
      <c r="CX85" s="12">
        <v>-1.7</v>
      </c>
      <c r="CY85" s="11"/>
      <c r="CZ85" s="80">
        <v>3.6E-16</v>
      </c>
      <c r="DA85" s="11"/>
      <c r="DB85" s="12">
        <v>-2.3</v>
      </c>
      <c r="DC85" s="11"/>
      <c r="DD85" s="80">
        <v>1.03E-15</v>
      </c>
      <c r="DE85" s="11"/>
      <c r="DF85" s="12">
        <v>-41.0</v>
      </c>
      <c r="DG85" s="12"/>
      <c r="DH85" s="80">
        <v>1.3E-15</v>
      </c>
      <c r="DI85" s="12"/>
      <c r="DJ85" s="69">
        <v>-79.0</v>
      </c>
      <c r="DK85" s="80">
        <v>3.5E-15</v>
      </c>
      <c r="DL85" s="80"/>
      <c r="DM85" s="69">
        <v>-1.1</v>
      </c>
      <c r="DN85" s="69"/>
      <c r="DO85" s="80">
        <v>1.2E-15</v>
      </c>
      <c r="DP85" s="69"/>
      <c r="DQ85" s="11"/>
      <c r="DR85" s="69"/>
      <c r="DS85" s="69"/>
      <c r="DT85" s="69"/>
      <c r="DU85" s="69"/>
      <c r="DV85" s="103">
        <v>-3.42</v>
      </c>
      <c r="DW85" s="98">
        <v>0.2</v>
      </c>
      <c r="DX85" s="71">
        <v>5.3E-11</v>
      </c>
      <c r="DY85" s="7"/>
      <c r="DZ85" s="64" t="s">
        <v>225</v>
      </c>
      <c r="EA85" s="13"/>
      <c r="EB85" s="64" t="s">
        <v>320</v>
      </c>
    </row>
    <row r="86">
      <c r="A86" s="74" t="s">
        <v>372</v>
      </c>
      <c r="B86" s="108" t="s">
        <v>373</v>
      </c>
      <c r="C86" s="4"/>
      <c r="D86" s="4"/>
      <c r="E86" s="4"/>
      <c r="F86" s="57" t="s">
        <v>168</v>
      </c>
      <c r="G86" s="61">
        <v>70.8342733333333</v>
      </c>
      <c r="H86" s="61">
        <v>29.6683480555555</v>
      </c>
      <c r="I86" s="6" t="s">
        <v>199</v>
      </c>
      <c r="J86" s="5"/>
      <c r="K86" s="61">
        <v>1.5</v>
      </c>
      <c r="L86" s="60"/>
      <c r="M86" s="60">
        <v>2.0</v>
      </c>
      <c r="N86" s="61">
        <v>171.16839546746</v>
      </c>
      <c r="O86" s="61">
        <v>2.607</v>
      </c>
      <c r="P86" s="61">
        <v>0.246</v>
      </c>
      <c r="Q86" s="61">
        <v>-22.062</v>
      </c>
      <c r="R86" s="61">
        <v>0.118</v>
      </c>
      <c r="S86" s="60"/>
      <c r="T86" s="60"/>
      <c r="U86" s="61">
        <v>0.3</v>
      </c>
      <c r="V86" s="58">
        <v>0.5</v>
      </c>
      <c r="W86" s="5"/>
      <c r="X86" s="5"/>
      <c r="Y86" s="93" t="s">
        <v>225</v>
      </c>
      <c r="Z86" s="60"/>
      <c r="AA86" s="60"/>
      <c r="AB86" s="60">
        <v>10.402</v>
      </c>
      <c r="AC86" s="60">
        <v>0.022</v>
      </c>
      <c r="AD86" s="60">
        <v>9.73</v>
      </c>
      <c r="AE86" s="60">
        <v>0.021</v>
      </c>
      <c r="AF86" s="60">
        <v>9.408</v>
      </c>
      <c r="AG86" s="60">
        <v>0.018</v>
      </c>
      <c r="AH86" s="6"/>
      <c r="AI86" s="96"/>
      <c r="AJ86" s="76" t="s">
        <v>225</v>
      </c>
      <c r="AK86" s="13" t="s">
        <v>307</v>
      </c>
      <c r="AL86" s="70">
        <v>2007.0</v>
      </c>
      <c r="AM86" s="13"/>
      <c r="AN86" s="102">
        <v>140.0</v>
      </c>
      <c r="AO86" s="97">
        <v>15.0</v>
      </c>
      <c r="AP86" s="64" t="s">
        <v>264</v>
      </c>
      <c r="AQ86" s="73">
        <v>0.5</v>
      </c>
      <c r="AR86" s="66">
        <v>3058.0</v>
      </c>
      <c r="AS86" s="64">
        <v>75.0</v>
      </c>
      <c r="AT86" s="67">
        <v>0.12</v>
      </c>
      <c r="AU86" s="73"/>
      <c r="AV86" s="64">
        <v>0.16</v>
      </c>
      <c r="AW86" s="7"/>
      <c r="AX86" s="70">
        <v>1.44</v>
      </c>
      <c r="AY86" s="7"/>
      <c r="AZ86" s="11" t="s">
        <v>293</v>
      </c>
      <c r="BA86" s="11" t="s">
        <v>294</v>
      </c>
      <c r="BB86" s="12">
        <v>-10.2</v>
      </c>
      <c r="BC86" s="11"/>
      <c r="BD86" s="80">
        <v>3.3E-14</v>
      </c>
      <c r="BE86" s="11"/>
      <c r="BF86" s="12">
        <v>-7.5</v>
      </c>
      <c r="BG86" s="11"/>
      <c r="BH86" s="80">
        <v>5.4E-15</v>
      </c>
      <c r="BI86" s="11"/>
      <c r="BJ86" s="12">
        <v>-3.9</v>
      </c>
      <c r="BK86" s="11"/>
      <c r="BL86" s="80">
        <v>2.1E-15</v>
      </c>
      <c r="BM86" s="11"/>
      <c r="BN86" s="12">
        <v>-3.4</v>
      </c>
      <c r="BO86" s="11"/>
      <c r="BP86" s="80">
        <v>1.5E-15</v>
      </c>
      <c r="BQ86" s="11"/>
      <c r="BR86" s="12">
        <v>-3.8</v>
      </c>
      <c r="BS86" s="11"/>
      <c r="BT86" s="80">
        <v>8.3E-16</v>
      </c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2">
        <v>-0.3</v>
      </c>
      <c r="CU86" s="11"/>
      <c r="CV86" s="80">
        <v>3.7E-16</v>
      </c>
      <c r="CW86" s="11"/>
      <c r="CX86" s="68" t="s">
        <v>374</v>
      </c>
      <c r="CY86" s="11"/>
      <c r="CZ86" s="80">
        <v>1.6E-16</v>
      </c>
      <c r="DA86" s="11"/>
      <c r="DB86" s="68" t="s">
        <v>375</v>
      </c>
      <c r="DC86" s="11"/>
      <c r="DD86" s="80">
        <v>4.0E-16</v>
      </c>
      <c r="DE86" s="11"/>
      <c r="DF86" s="12">
        <v>-14.3</v>
      </c>
      <c r="DG86" s="12"/>
      <c r="DH86" s="80">
        <v>3.0E-15</v>
      </c>
      <c r="DI86" s="12"/>
      <c r="DJ86" s="69">
        <v>-11.9</v>
      </c>
      <c r="DK86" s="80">
        <v>3.4E-15</v>
      </c>
      <c r="DL86" s="80"/>
      <c r="DM86" s="80" t="s">
        <v>376</v>
      </c>
      <c r="DN86" s="69"/>
      <c r="DO86" s="80">
        <v>1.3E-15</v>
      </c>
      <c r="DP86" s="69"/>
      <c r="DQ86" s="11"/>
      <c r="DR86" s="69"/>
      <c r="DS86" s="69"/>
      <c r="DT86" s="69"/>
      <c r="DU86" s="69"/>
      <c r="DV86" s="103">
        <v>-4.54</v>
      </c>
      <c r="DW86" s="98">
        <v>0.2</v>
      </c>
      <c r="DX86" s="71">
        <v>1.4E-11</v>
      </c>
      <c r="DY86" s="7"/>
      <c r="DZ86" s="64" t="s">
        <v>225</v>
      </c>
      <c r="EA86" s="13"/>
      <c r="EB86" s="64" t="s">
        <v>320</v>
      </c>
    </row>
    <row r="87">
      <c r="A87" s="55" t="s">
        <v>377</v>
      </c>
      <c r="B87" s="56" t="s">
        <v>378</v>
      </c>
      <c r="C87" s="4"/>
      <c r="D87" s="4"/>
      <c r="E87" s="4"/>
      <c r="F87" s="57" t="s">
        <v>168</v>
      </c>
      <c r="G87" s="58">
        <v>84.6</v>
      </c>
      <c r="H87" s="58">
        <v>-2.3464</v>
      </c>
      <c r="I87" s="6" t="s">
        <v>350</v>
      </c>
      <c r="J87" s="6" t="s">
        <v>169</v>
      </c>
      <c r="K87" s="58">
        <v>3.0</v>
      </c>
      <c r="L87" s="5"/>
      <c r="M87" s="5"/>
      <c r="N87" s="6"/>
      <c r="O87" s="6"/>
      <c r="P87" s="6"/>
      <c r="Q87" s="6"/>
      <c r="R87" s="6"/>
      <c r="S87" s="60">
        <v>29.48</v>
      </c>
      <c r="T87" s="60">
        <v>0.31</v>
      </c>
      <c r="U87" s="5"/>
      <c r="V87" s="5"/>
      <c r="W87" s="60">
        <v>0.1377</v>
      </c>
      <c r="X87" s="5"/>
      <c r="Y87" s="109" t="s">
        <v>351</v>
      </c>
      <c r="Z87" s="60">
        <v>17.14</v>
      </c>
      <c r="AA87" s="60">
        <v>0.03</v>
      </c>
      <c r="AB87" s="60">
        <v>13.412</v>
      </c>
      <c r="AC87" s="60">
        <v>0.026</v>
      </c>
      <c r="AD87" s="60">
        <v>12.799</v>
      </c>
      <c r="AE87" s="60">
        <v>0.029</v>
      </c>
      <c r="AF87" s="60">
        <v>12.49</v>
      </c>
      <c r="AG87" s="60">
        <v>0.03</v>
      </c>
      <c r="AH87" s="6"/>
      <c r="AI87" s="6"/>
      <c r="AJ87" s="76" t="s">
        <v>352</v>
      </c>
      <c r="AK87" s="64" t="s">
        <v>192</v>
      </c>
      <c r="AL87" s="64">
        <v>2011.0</v>
      </c>
      <c r="AM87" s="64">
        <v>4.0</v>
      </c>
      <c r="AN87" s="102">
        <v>360.0</v>
      </c>
      <c r="AO87" s="13"/>
      <c r="AP87" s="13" t="s">
        <v>264</v>
      </c>
      <c r="AQ87" s="7"/>
      <c r="AR87" s="78">
        <v>3060.0</v>
      </c>
      <c r="AS87" s="64">
        <v>150.0</v>
      </c>
      <c r="AT87" s="79">
        <v>0.14</v>
      </c>
      <c r="AU87" s="7"/>
      <c r="AV87" s="64">
        <v>0.08</v>
      </c>
      <c r="AW87" s="7"/>
      <c r="AX87" s="73">
        <v>1.02</v>
      </c>
      <c r="AY87" s="7"/>
      <c r="AZ87" s="11" t="s">
        <v>293</v>
      </c>
      <c r="BA87" s="11" t="s">
        <v>294</v>
      </c>
      <c r="BB87" s="68">
        <v>-54.5</v>
      </c>
      <c r="BC87" s="68">
        <v>0.6</v>
      </c>
      <c r="BD87" s="80">
        <v>1.56E-14</v>
      </c>
      <c r="BE87" s="11"/>
      <c r="BF87" s="68">
        <v>-38.6</v>
      </c>
      <c r="BG87" s="68">
        <v>0.2</v>
      </c>
      <c r="BH87" s="80">
        <v>2.92E-15</v>
      </c>
      <c r="BI87" s="11"/>
      <c r="BJ87" s="68">
        <v>-41.1</v>
      </c>
      <c r="BK87" s="68">
        <v>0.4</v>
      </c>
      <c r="BL87" s="80">
        <v>1.99E-15</v>
      </c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68">
        <v>-0.31</v>
      </c>
      <c r="CA87" s="68">
        <v>0.3</v>
      </c>
      <c r="CB87" s="80">
        <v>4.55E-16</v>
      </c>
      <c r="CC87" s="11"/>
      <c r="CD87" s="68">
        <v>-0.73</v>
      </c>
      <c r="CE87" s="68">
        <v>0.3</v>
      </c>
      <c r="CF87" s="80">
        <v>1.16E-15</v>
      </c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68">
        <v>-4.7</v>
      </c>
      <c r="CU87" s="68">
        <v>0.1</v>
      </c>
      <c r="CV87" s="80">
        <v>4.13E-16</v>
      </c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2"/>
      <c r="DK87" s="12"/>
      <c r="DL87" s="12"/>
      <c r="DM87" s="68" t="s">
        <v>379</v>
      </c>
      <c r="DN87" s="68">
        <v>0.0</v>
      </c>
      <c r="DO87" s="80" t="s">
        <v>380</v>
      </c>
      <c r="DP87" s="69"/>
      <c r="DQ87" s="11"/>
      <c r="DR87" s="69"/>
      <c r="DS87" s="69"/>
      <c r="DT87" s="69"/>
      <c r="DU87" s="69"/>
      <c r="DV87" s="73">
        <v>-3.1</v>
      </c>
      <c r="DW87" s="10"/>
      <c r="DX87" s="81">
        <v>1.07E-10</v>
      </c>
      <c r="DY87" s="7"/>
      <c r="DZ87" s="64" t="s">
        <v>352</v>
      </c>
      <c r="EA87" s="64" t="s">
        <v>354</v>
      </c>
      <c r="EB87" s="64" t="s">
        <v>355</v>
      </c>
    </row>
    <row r="88">
      <c r="A88" s="74" t="s">
        <v>381</v>
      </c>
      <c r="B88" s="99" t="s">
        <v>382</v>
      </c>
      <c r="C88" s="4"/>
      <c r="D88" s="4"/>
      <c r="E88" s="4"/>
      <c r="F88" s="57" t="s">
        <v>168</v>
      </c>
      <c r="G88" s="61">
        <v>67.8492274999999</v>
      </c>
      <c r="H88" s="61">
        <v>24.1813841666666</v>
      </c>
      <c r="I88" s="6" t="s">
        <v>199</v>
      </c>
      <c r="J88" s="5"/>
      <c r="K88" s="61">
        <v>1.5</v>
      </c>
      <c r="L88" s="60"/>
      <c r="M88" s="60"/>
      <c r="N88" s="61"/>
      <c r="O88" s="61">
        <v>8.6</v>
      </c>
      <c r="P88" s="61">
        <v>3.1</v>
      </c>
      <c r="Q88" s="61">
        <v>-17.8</v>
      </c>
      <c r="R88" s="61">
        <v>3.5</v>
      </c>
      <c r="S88" s="60">
        <v>16.49</v>
      </c>
      <c r="T88" s="60">
        <v>0.298</v>
      </c>
      <c r="U88" s="61">
        <v>0.4</v>
      </c>
      <c r="V88" s="58">
        <v>0.5</v>
      </c>
      <c r="W88" s="5"/>
      <c r="X88" s="5"/>
      <c r="Y88" s="93" t="s">
        <v>225</v>
      </c>
      <c r="Z88" s="60">
        <v>14.98</v>
      </c>
      <c r="AA88" s="60">
        <v>0.06</v>
      </c>
      <c r="AB88" s="60">
        <v>9.729</v>
      </c>
      <c r="AC88" s="60">
        <v>0.021</v>
      </c>
      <c r="AD88" s="60">
        <v>9.06</v>
      </c>
      <c r="AE88" s="60">
        <v>0.028</v>
      </c>
      <c r="AF88" s="60">
        <v>8.768</v>
      </c>
      <c r="AG88" s="60">
        <v>0.019</v>
      </c>
      <c r="AH88" s="6"/>
      <c r="AI88" s="96"/>
      <c r="AJ88" s="76" t="s">
        <v>225</v>
      </c>
      <c r="AK88" s="13" t="s">
        <v>307</v>
      </c>
      <c r="AL88" s="97">
        <v>2006.0</v>
      </c>
      <c r="AM88" s="13"/>
      <c r="AN88" s="102">
        <v>140.0</v>
      </c>
      <c r="AO88" s="97">
        <v>15.0</v>
      </c>
      <c r="AP88" s="64" t="s">
        <v>371</v>
      </c>
      <c r="AQ88" s="73">
        <v>0.5</v>
      </c>
      <c r="AR88" s="66">
        <v>3125.0</v>
      </c>
      <c r="AS88" s="64">
        <v>75.0</v>
      </c>
      <c r="AT88" s="67">
        <v>0.15</v>
      </c>
      <c r="AU88" s="73"/>
      <c r="AV88" s="64">
        <v>0.22</v>
      </c>
      <c r="AW88" s="7"/>
      <c r="AX88" s="70">
        <v>1.6</v>
      </c>
      <c r="AY88" s="7"/>
      <c r="AZ88" s="11" t="s">
        <v>293</v>
      </c>
      <c r="BA88" s="11" t="s">
        <v>294</v>
      </c>
      <c r="BB88" s="12">
        <v>-10.7</v>
      </c>
      <c r="BC88" s="11"/>
      <c r="BD88" s="80">
        <v>1.02E-13</v>
      </c>
      <c r="BE88" s="11"/>
      <c r="BF88" s="12">
        <v>-7.9</v>
      </c>
      <c r="BG88" s="11"/>
      <c r="BH88" s="80">
        <v>1.9E-14</v>
      </c>
      <c r="BI88" s="11"/>
      <c r="BJ88" s="12">
        <v>-3.7</v>
      </c>
      <c r="BK88" s="11"/>
      <c r="BL88" s="80">
        <v>7.1E-15</v>
      </c>
      <c r="BM88" s="11"/>
      <c r="BN88" s="12">
        <v>-3.2</v>
      </c>
      <c r="BO88" s="11"/>
      <c r="BP88" s="80">
        <v>4.6E-15</v>
      </c>
      <c r="BQ88" s="11"/>
      <c r="BR88" s="12">
        <v>-3.6</v>
      </c>
      <c r="BS88" s="11"/>
      <c r="BT88" s="80">
        <v>2.6E-15</v>
      </c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2">
        <v>-0.3</v>
      </c>
      <c r="CU88" s="11"/>
      <c r="CV88" s="80">
        <v>1.1E-15</v>
      </c>
      <c r="CW88" s="11"/>
      <c r="CX88" s="68" t="s">
        <v>359</v>
      </c>
      <c r="CY88" s="11"/>
      <c r="CZ88" s="80">
        <v>1.2E-15</v>
      </c>
      <c r="DA88" s="11"/>
      <c r="DB88" s="68" t="s">
        <v>359</v>
      </c>
      <c r="DC88" s="11"/>
      <c r="DD88" s="80">
        <v>1.8E-15</v>
      </c>
      <c r="DE88" s="11"/>
      <c r="DF88" s="12">
        <v>-24.0</v>
      </c>
      <c r="DG88" s="12"/>
      <c r="DH88" s="80">
        <v>1.55E-14</v>
      </c>
      <c r="DI88" s="12"/>
      <c r="DJ88" s="69">
        <v>-18.4</v>
      </c>
      <c r="DK88" s="80">
        <v>1.63E-14</v>
      </c>
      <c r="DL88" s="80"/>
      <c r="DM88" s="80" t="s">
        <v>383</v>
      </c>
      <c r="DN88" s="69"/>
      <c r="DO88" s="80">
        <v>4.0E-15</v>
      </c>
      <c r="DP88" s="69"/>
      <c r="DQ88" s="11"/>
      <c r="DR88" s="69"/>
      <c r="DS88" s="69"/>
      <c r="DT88" s="69"/>
      <c r="DU88" s="69"/>
      <c r="DV88" s="103">
        <v>-3.47</v>
      </c>
      <c r="DW88" s="98">
        <v>0.2</v>
      </c>
      <c r="DX88" s="71">
        <v>1.3E-10</v>
      </c>
      <c r="DY88" s="7"/>
      <c r="DZ88" s="64" t="s">
        <v>225</v>
      </c>
      <c r="EA88" s="13"/>
      <c r="EB88" s="64" t="s">
        <v>320</v>
      </c>
    </row>
    <row r="89">
      <c r="A89" s="74" t="s">
        <v>384</v>
      </c>
      <c r="B89" s="99" t="s">
        <v>385</v>
      </c>
      <c r="C89" s="4"/>
      <c r="D89" s="4"/>
      <c r="E89" s="4"/>
      <c r="F89" s="57" t="s">
        <v>168</v>
      </c>
      <c r="G89" s="61">
        <v>63.5733725</v>
      </c>
      <c r="H89" s="61">
        <v>28.1026805555555</v>
      </c>
      <c r="I89" s="6" t="s">
        <v>199</v>
      </c>
      <c r="J89" s="6"/>
      <c r="K89" s="61">
        <v>1.5</v>
      </c>
      <c r="L89" s="60"/>
      <c r="M89" s="60">
        <v>2.0</v>
      </c>
      <c r="N89" s="61">
        <v>135.685210312075</v>
      </c>
      <c r="O89" s="61">
        <v>8.339</v>
      </c>
      <c r="P89" s="61">
        <v>0.197</v>
      </c>
      <c r="Q89" s="61">
        <v>-23.318</v>
      </c>
      <c r="R89" s="61">
        <v>0.128</v>
      </c>
      <c r="S89" s="60">
        <v>15.22</v>
      </c>
      <c r="T89" s="60">
        <v>0.139</v>
      </c>
      <c r="U89" s="61">
        <v>3.0</v>
      </c>
      <c r="V89" s="58">
        <v>0.5</v>
      </c>
      <c r="W89" s="5"/>
      <c r="X89" s="5"/>
      <c r="Y89" s="83" t="s">
        <v>225</v>
      </c>
      <c r="Z89" s="60"/>
      <c r="AA89" s="60"/>
      <c r="AB89" s="60">
        <v>11.726</v>
      </c>
      <c r="AC89" s="60">
        <v>0.021</v>
      </c>
      <c r="AD89" s="60">
        <v>10.584</v>
      </c>
      <c r="AE89" s="60">
        <v>0.022</v>
      </c>
      <c r="AF89" s="60">
        <v>9.877</v>
      </c>
      <c r="AG89" s="60">
        <v>0.021</v>
      </c>
      <c r="AH89" s="6"/>
      <c r="AI89" s="96"/>
      <c r="AJ89" s="76" t="s">
        <v>225</v>
      </c>
      <c r="AK89" s="13" t="s">
        <v>307</v>
      </c>
      <c r="AL89" s="70">
        <v>2006.0</v>
      </c>
      <c r="AM89" s="7"/>
      <c r="AN89" s="102">
        <v>140.0</v>
      </c>
      <c r="AO89" s="97">
        <v>15.0</v>
      </c>
      <c r="AP89" s="64" t="s">
        <v>371</v>
      </c>
      <c r="AQ89" s="64">
        <v>0.5</v>
      </c>
      <c r="AR89" s="66">
        <v>3125.0</v>
      </c>
      <c r="AS89" s="64">
        <v>75.0</v>
      </c>
      <c r="AT89" s="67">
        <v>0.15</v>
      </c>
      <c r="AU89" s="7"/>
      <c r="AV89" s="64">
        <v>0.21</v>
      </c>
      <c r="AW89" s="7"/>
      <c r="AX89" s="70">
        <v>1.57</v>
      </c>
      <c r="AY89" s="7"/>
      <c r="AZ89" s="11" t="s">
        <v>293</v>
      </c>
      <c r="BA89" s="11" t="s">
        <v>294</v>
      </c>
      <c r="BB89" s="12">
        <v>-232.0</v>
      </c>
      <c r="BC89" s="11"/>
      <c r="BD89" s="80">
        <v>3.12E-13</v>
      </c>
      <c r="BE89" s="11"/>
      <c r="BF89" s="12">
        <v>-134.0</v>
      </c>
      <c r="BG89" s="11"/>
      <c r="BH89" s="80">
        <v>3.0E-14</v>
      </c>
      <c r="BI89" s="11"/>
      <c r="BJ89" s="12">
        <v>-80.0</v>
      </c>
      <c r="BK89" s="11"/>
      <c r="BL89" s="80">
        <v>1.08E-14</v>
      </c>
      <c r="BM89" s="11"/>
      <c r="BN89" s="12">
        <v>-64.0</v>
      </c>
      <c r="BO89" s="11"/>
      <c r="BP89" s="80">
        <v>6.5E-15</v>
      </c>
      <c r="BQ89" s="11"/>
      <c r="BR89" s="12">
        <v>-41.0</v>
      </c>
      <c r="BS89" s="11"/>
      <c r="BT89" s="80">
        <v>3.8E-15</v>
      </c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2">
        <v>-9.6</v>
      </c>
      <c r="CU89" s="11"/>
      <c r="CV89" s="80">
        <v>4.9E-15</v>
      </c>
      <c r="CW89" s="11"/>
      <c r="CX89" s="12">
        <v>-1.9</v>
      </c>
      <c r="CY89" s="11"/>
      <c r="CZ89" s="80">
        <v>2.2E-15</v>
      </c>
      <c r="DA89" s="11"/>
      <c r="DB89" s="12">
        <v>-2.0</v>
      </c>
      <c r="DC89" s="11"/>
      <c r="DD89" s="80">
        <v>3.1E-15</v>
      </c>
      <c r="DE89" s="11"/>
      <c r="DF89" s="12">
        <v>-175.0</v>
      </c>
      <c r="DG89" s="12"/>
      <c r="DH89" s="80">
        <v>1.49E-14</v>
      </c>
      <c r="DI89" s="12"/>
      <c r="DJ89" s="12">
        <v>-160.0</v>
      </c>
      <c r="DK89" s="80">
        <v>1.32E-14</v>
      </c>
      <c r="DL89" s="80"/>
      <c r="DM89" s="69">
        <v>-14.4</v>
      </c>
      <c r="DN89" s="69"/>
      <c r="DO89" s="80">
        <v>9.1E-14</v>
      </c>
      <c r="DP89" s="69"/>
      <c r="DQ89" s="11"/>
      <c r="DR89" s="69"/>
      <c r="DS89" s="69"/>
      <c r="DT89" s="69"/>
      <c r="DU89" s="69"/>
      <c r="DV89" s="103">
        <v>-1.55</v>
      </c>
      <c r="DW89" s="98">
        <v>0.2</v>
      </c>
      <c r="DX89" s="71">
        <v>1.2E-8</v>
      </c>
      <c r="DY89" s="7"/>
      <c r="DZ89" s="64" t="s">
        <v>225</v>
      </c>
      <c r="EA89" s="13"/>
      <c r="EB89" s="64" t="s">
        <v>320</v>
      </c>
    </row>
    <row r="90">
      <c r="A90" s="74" t="s">
        <v>386</v>
      </c>
      <c r="B90" s="99" t="s">
        <v>387</v>
      </c>
      <c r="C90" s="4"/>
      <c r="D90" s="4"/>
      <c r="E90" s="4"/>
      <c r="F90" s="57" t="s">
        <v>168</v>
      </c>
      <c r="G90" s="61">
        <v>69.5889124999999</v>
      </c>
      <c r="H90" s="61">
        <v>26.1538288888888</v>
      </c>
      <c r="I90" s="6" t="s">
        <v>199</v>
      </c>
      <c r="J90" s="6"/>
      <c r="K90" s="58">
        <f>(10^6.4)/1000000</f>
        <v>2.511886432</v>
      </c>
      <c r="L90" s="60"/>
      <c r="M90" s="60">
        <v>2.0</v>
      </c>
      <c r="N90" s="61">
        <v>138.314499508983</v>
      </c>
      <c r="O90" s="61">
        <v>5.469</v>
      </c>
      <c r="P90" s="61">
        <v>0.27</v>
      </c>
      <c r="Q90" s="61">
        <v>-22.974</v>
      </c>
      <c r="R90" s="61">
        <v>0.215</v>
      </c>
      <c r="S90" s="60">
        <v>16.46</v>
      </c>
      <c r="T90" s="60">
        <v>0.303</v>
      </c>
      <c r="U90" s="61">
        <v>2.0</v>
      </c>
      <c r="V90" s="58">
        <v>0.5</v>
      </c>
      <c r="W90" s="5"/>
      <c r="X90" s="5"/>
      <c r="Y90" s="83" t="s">
        <v>225</v>
      </c>
      <c r="Z90" s="60"/>
      <c r="AA90" s="60"/>
      <c r="AB90" s="60">
        <v>12.804</v>
      </c>
      <c r="AC90" s="60">
        <v>0.022</v>
      </c>
      <c r="AD90" s="60">
        <v>11.586</v>
      </c>
      <c r="AE90" s="60">
        <v>0.019</v>
      </c>
      <c r="AF90" s="60">
        <v>10.632</v>
      </c>
      <c r="AG90" s="60">
        <v>0.018</v>
      </c>
      <c r="AH90" s="6"/>
      <c r="AI90" s="96"/>
      <c r="AJ90" s="76" t="s">
        <v>225</v>
      </c>
      <c r="AK90" s="13" t="s">
        <v>307</v>
      </c>
      <c r="AL90" s="97">
        <v>2006.0</v>
      </c>
      <c r="AM90" s="7"/>
      <c r="AN90" s="102">
        <v>140.0</v>
      </c>
      <c r="AO90" s="97">
        <v>15.0</v>
      </c>
      <c r="AP90" s="64" t="s">
        <v>264</v>
      </c>
      <c r="AQ90" s="64">
        <v>0.5</v>
      </c>
      <c r="AR90" s="66">
        <v>3091.0</v>
      </c>
      <c r="AS90" s="64">
        <v>75.0</v>
      </c>
      <c r="AT90" s="67">
        <v>0.15</v>
      </c>
      <c r="AU90" s="7"/>
      <c r="AV90" s="64">
        <v>0.07</v>
      </c>
      <c r="AW90" s="7"/>
      <c r="AX90" s="70">
        <v>0.93</v>
      </c>
      <c r="AY90" s="7"/>
      <c r="AZ90" s="11" t="s">
        <v>293</v>
      </c>
      <c r="BA90" s="11" t="s">
        <v>294</v>
      </c>
      <c r="BB90" s="12">
        <v>-281.0</v>
      </c>
      <c r="BC90" s="11"/>
      <c r="BD90" s="80">
        <v>1.46E-13</v>
      </c>
      <c r="BE90" s="11"/>
      <c r="BF90" s="12">
        <v>-68.0</v>
      </c>
      <c r="BG90" s="11"/>
      <c r="BH90" s="80">
        <v>1.11E-14</v>
      </c>
      <c r="BI90" s="11"/>
      <c r="BJ90" s="12">
        <v>-39.0</v>
      </c>
      <c r="BK90" s="11"/>
      <c r="BL90" s="80">
        <v>4.1E-15</v>
      </c>
      <c r="BM90" s="11"/>
      <c r="BN90" s="12">
        <v>-30.0</v>
      </c>
      <c r="BO90" s="11"/>
      <c r="BP90" s="80">
        <v>2.4E-15</v>
      </c>
      <c r="BQ90" s="11"/>
      <c r="BR90" s="12">
        <v>-8.8</v>
      </c>
      <c r="BS90" s="11"/>
      <c r="BT90" s="80">
        <v>1.2E-15</v>
      </c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2">
        <v>-4.6</v>
      </c>
      <c r="CU90" s="11"/>
      <c r="CV90" s="80">
        <v>1.2E-15</v>
      </c>
      <c r="CW90" s="11"/>
      <c r="CX90" s="12">
        <v>-1.1</v>
      </c>
      <c r="CY90" s="11"/>
      <c r="CZ90" s="80">
        <v>5.2E-16</v>
      </c>
      <c r="DA90" s="11"/>
      <c r="DB90" s="12">
        <v>-0.5</v>
      </c>
      <c r="DC90" s="11"/>
      <c r="DD90" s="80">
        <v>3.0E-16</v>
      </c>
      <c r="DE90" s="11"/>
      <c r="DF90" s="12">
        <v>-106.0</v>
      </c>
      <c r="DG90" s="12"/>
      <c r="DH90" s="80">
        <v>1.35E-14</v>
      </c>
      <c r="DI90" s="12"/>
      <c r="DJ90" s="12">
        <v>-135.0</v>
      </c>
      <c r="DK90" s="80">
        <v>1.15E-14</v>
      </c>
      <c r="DL90" s="80"/>
      <c r="DM90" s="69">
        <v>-21.0</v>
      </c>
      <c r="DN90" s="69"/>
      <c r="DO90" s="80">
        <v>4.1E-14</v>
      </c>
      <c r="DP90" s="69"/>
      <c r="DQ90" s="11"/>
      <c r="DR90" s="69"/>
      <c r="DS90" s="69"/>
      <c r="DT90" s="69"/>
      <c r="DU90" s="69"/>
      <c r="DV90" s="103">
        <v>-2.09</v>
      </c>
      <c r="DW90" s="98">
        <v>0.2</v>
      </c>
      <c r="DX90" s="71">
        <v>2.0E-9</v>
      </c>
      <c r="DY90" s="7"/>
      <c r="DZ90" s="64" t="s">
        <v>225</v>
      </c>
      <c r="EA90" s="13"/>
      <c r="EB90" s="64" t="s">
        <v>320</v>
      </c>
    </row>
    <row r="91">
      <c r="A91" s="74" t="s">
        <v>388</v>
      </c>
      <c r="B91" s="99" t="s">
        <v>389</v>
      </c>
      <c r="C91" s="4"/>
      <c r="D91" s="4"/>
      <c r="E91" s="4"/>
      <c r="F91" s="57" t="s">
        <v>168</v>
      </c>
      <c r="G91" s="61">
        <v>69.7568054166666</v>
      </c>
      <c r="H91" s="61">
        <v>23.6008219444444</v>
      </c>
      <c r="I91" s="6" t="s">
        <v>199</v>
      </c>
      <c r="J91" s="5"/>
      <c r="K91" s="58">
        <f>(10^6.3)/1000000</f>
        <v>1.995262315</v>
      </c>
      <c r="L91" s="60"/>
      <c r="M91" s="60">
        <v>2.0</v>
      </c>
      <c r="N91" s="61">
        <v>127.810227374394</v>
      </c>
      <c r="O91" s="61">
        <v>8.567</v>
      </c>
      <c r="P91" s="61">
        <v>0.174</v>
      </c>
      <c r="Q91" s="61">
        <v>-21.851</v>
      </c>
      <c r="R91" s="61">
        <v>0.103</v>
      </c>
      <c r="S91" s="60">
        <v>16.6</v>
      </c>
      <c r="T91" s="60">
        <v>0.5</v>
      </c>
      <c r="U91" s="61">
        <v>0.0</v>
      </c>
      <c r="V91" s="58">
        <v>0.5</v>
      </c>
      <c r="W91" s="5"/>
      <c r="X91" s="5"/>
      <c r="Y91" s="83" t="s">
        <v>225</v>
      </c>
      <c r="Z91" s="60">
        <v>15.2</v>
      </c>
      <c r="AA91" s="60"/>
      <c r="AB91" s="60">
        <v>11.335</v>
      </c>
      <c r="AC91" s="60">
        <v>0.023</v>
      </c>
      <c r="AD91" s="60">
        <v>10.595</v>
      </c>
      <c r="AE91" s="60">
        <v>0.023</v>
      </c>
      <c r="AF91" s="60">
        <v>10.185</v>
      </c>
      <c r="AG91" s="60">
        <v>0.018</v>
      </c>
      <c r="AH91" s="6"/>
      <c r="AI91" s="96"/>
      <c r="AJ91" s="76" t="s">
        <v>225</v>
      </c>
      <c r="AK91" s="13" t="s">
        <v>307</v>
      </c>
      <c r="AL91" s="97">
        <v>2006.0</v>
      </c>
      <c r="AM91" s="13"/>
      <c r="AN91" s="102">
        <v>140.0</v>
      </c>
      <c r="AO91" s="97">
        <v>15.0</v>
      </c>
      <c r="AP91" s="64" t="s">
        <v>371</v>
      </c>
      <c r="AQ91" s="73">
        <v>0.5</v>
      </c>
      <c r="AR91" s="66">
        <v>3125.0</v>
      </c>
      <c r="AS91" s="64">
        <v>75.0</v>
      </c>
      <c r="AT91" s="67">
        <v>0.17</v>
      </c>
      <c r="AU91" s="73"/>
      <c r="AV91" s="64">
        <v>0.089</v>
      </c>
      <c r="AW91" s="7"/>
      <c r="AX91" s="70">
        <v>1.02</v>
      </c>
      <c r="AY91" s="7"/>
      <c r="AZ91" s="11" t="s">
        <v>293</v>
      </c>
      <c r="BA91" s="11" t="s">
        <v>294</v>
      </c>
      <c r="BB91" s="12">
        <v>-13.0</v>
      </c>
      <c r="BC91" s="11"/>
      <c r="BD91" s="80">
        <v>3.9E-14</v>
      </c>
      <c r="BE91" s="11"/>
      <c r="BF91" s="12">
        <v>-18.0</v>
      </c>
      <c r="BG91" s="11"/>
      <c r="BH91" s="80">
        <v>1.55E-14</v>
      </c>
      <c r="BI91" s="11"/>
      <c r="BJ91" s="12">
        <v>-24.0</v>
      </c>
      <c r="BK91" s="11"/>
      <c r="BL91" s="80">
        <v>1.24E-14</v>
      </c>
      <c r="BM91" s="11"/>
      <c r="BN91" s="12">
        <v>-18.0</v>
      </c>
      <c r="BO91" s="11"/>
      <c r="BP91" s="80">
        <v>9.0E-15</v>
      </c>
      <c r="BQ91" s="11"/>
      <c r="BR91" s="12">
        <v>-21.0</v>
      </c>
      <c r="BS91" s="11"/>
      <c r="BT91" s="80">
        <v>6.0E-15</v>
      </c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2">
        <v>-1.5</v>
      </c>
      <c r="CU91" s="11"/>
      <c r="CV91" s="80">
        <v>1.8E-15</v>
      </c>
      <c r="CW91" s="11"/>
      <c r="CX91" s="12">
        <v>-0.4</v>
      </c>
      <c r="CY91" s="11"/>
      <c r="CZ91" s="80">
        <v>8.4E-16</v>
      </c>
      <c r="DA91" s="11"/>
      <c r="DB91" s="68" t="s">
        <v>359</v>
      </c>
      <c r="DC91" s="11"/>
      <c r="DD91" s="80">
        <v>7.0E-16</v>
      </c>
      <c r="DE91" s="11"/>
      <c r="DF91" s="12">
        <v>-23.0</v>
      </c>
      <c r="DG91" s="12"/>
      <c r="DH91" s="80">
        <v>5.9E-15</v>
      </c>
      <c r="DI91" s="12"/>
      <c r="DJ91" s="12">
        <v>-35.0</v>
      </c>
      <c r="DK91" s="80">
        <v>1.21E-14</v>
      </c>
      <c r="DL91" s="80"/>
      <c r="DM91" s="80" t="s">
        <v>390</v>
      </c>
      <c r="DN91" s="69"/>
      <c r="DO91" s="80">
        <v>8.0E-16</v>
      </c>
      <c r="DP91" s="69"/>
      <c r="DQ91" s="11"/>
      <c r="DR91" s="69"/>
      <c r="DS91" s="69"/>
      <c r="DT91" s="69"/>
      <c r="DU91" s="69"/>
      <c r="DV91" s="103">
        <v>-3.19</v>
      </c>
      <c r="DW91" s="98">
        <v>0.2</v>
      </c>
      <c r="DX91" s="71">
        <v>1.5E-10</v>
      </c>
      <c r="DY91" s="7"/>
      <c r="DZ91" s="64" t="s">
        <v>225</v>
      </c>
      <c r="EA91" s="13"/>
      <c r="EB91" s="64" t="s">
        <v>320</v>
      </c>
    </row>
    <row r="92">
      <c r="A92" s="74" t="s">
        <v>391</v>
      </c>
      <c r="B92" s="99" t="s">
        <v>392</v>
      </c>
      <c r="C92" s="4"/>
      <c r="D92" s="4"/>
      <c r="E92" s="4"/>
      <c r="F92" s="57" t="s">
        <v>168</v>
      </c>
      <c r="G92" s="61">
        <v>68.0921274999999</v>
      </c>
      <c r="H92" s="61">
        <v>18.4618466666666</v>
      </c>
      <c r="I92" s="6" t="s">
        <v>199</v>
      </c>
      <c r="J92" s="5"/>
      <c r="K92" s="58">
        <f>(10^6.1)/1000000</f>
        <v>1.258925412</v>
      </c>
      <c r="L92" s="60"/>
      <c r="M92" s="60">
        <v>2.0</v>
      </c>
      <c r="N92" s="61">
        <v>141.918453656528</v>
      </c>
      <c r="O92" s="61">
        <v>11.796</v>
      </c>
      <c r="P92" s="61">
        <v>0.222</v>
      </c>
      <c r="Q92" s="61">
        <v>-18.596</v>
      </c>
      <c r="R92" s="61">
        <v>0.113</v>
      </c>
      <c r="S92" s="60"/>
      <c r="T92" s="60"/>
      <c r="U92" s="61">
        <v>1.0</v>
      </c>
      <c r="V92" s="58">
        <v>0.5</v>
      </c>
      <c r="W92" s="5"/>
      <c r="X92" s="5"/>
      <c r="Y92" s="83" t="s">
        <v>225</v>
      </c>
      <c r="Z92" s="60"/>
      <c r="AA92" s="60"/>
      <c r="AB92" s="60">
        <v>11.711</v>
      </c>
      <c r="AC92" s="60">
        <v>0.029</v>
      </c>
      <c r="AD92" s="60">
        <v>11.02</v>
      </c>
      <c r="AE92" s="60">
        <v>0.04</v>
      </c>
      <c r="AF92" s="60">
        <v>10.649</v>
      </c>
      <c r="AG92" s="60">
        <v>0.024</v>
      </c>
      <c r="AH92" s="6"/>
      <c r="AI92" s="96"/>
      <c r="AJ92" s="76" t="s">
        <v>225</v>
      </c>
      <c r="AK92" s="13" t="s">
        <v>307</v>
      </c>
      <c r="AL92" s="97">
        <v>2006.0</v>
      </c>
      <c r="AM92" s="13"/>
      <c r="AN92" s="102">
        <v>140.0</v>
      </c>
      <c r="AO92" s="97">
        <v>15.0</v>
      </c>
      <c r="AP92" s="64" t="s">
        <v>371</v>
      </c>
      <c r="AQ92" s="73">
        <v>0.5</v>
      </c>
      <c r="AR92" s="66">
        <v>3125.0</v>
      </c>
      <c r="AS92" s="64">
        <v>75.0</v>
      </c>
      <c r="AT92" s="67">
        <v>0.17</v>
      </c>
      <c r="AU92" s="73"/>
      <c r="AV92" s="64">
        <v>0.14</v>
      </c>
      <c r="AW92" s="7"/>
      <c r="AX92" s="70">
        <v>1.31</v>
      </c>
      <c r="AY92" s="7"/>
      <c r="AZ92" s="11" t="s">
        <v>293</v>
      </c>
      <c r="BA92" s="11" t="s">
        <v>294</v>
      </c>
      <c r="BB92" s="12">
        <v>-55.0</v>
      </c>
      <c r="BC92" s="11"/>
      <c r="BD92" s="80">
        <v>1.02E-13</v>
      </c>
      <c r="BE92" s="11"/>
      <c r="BF92" s="12">
        <v>-31.0</v>
      </c>
      <c r="BG92" s="11"/>
      <c r="BH92" s="80">
        <v>1.6E-14</v>
      </c>
      <c r="BI92" s="11"/>
      <c r="BJ92" s="12">
        <v>-37.0</v>
      </c>
      <c r="BK92" s="11"/>
      <c r="BL92" s="80">
        <v>1.0E-14</v>
      </c>
      <c r="BM92" s="11"/>
      <c r="BN92" s="12">
        <v>-28.0</v>
      </c>
      <c r="BO92" s="11"/>
      <c r="BP92" s="80">
        <v>7.3E-15</v>
      </c>
      <c r="BQ92" s="11"/>
      <c r="BR92" s="12">
        <v>-27.0</v>
      </c>
      <c r="BS92" s="11"/>
      <c r="BT92" s="80">
        <v>4.5E-15</v>
      </c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2">
        <v>-2.9</v>
      </c>
      <c r="CU92" s="11"/>
      <c r="CV92" s="80">
        <v>1.9E-15</v>
      </c>
      <c r="CW92" s="11"/>
      <c r="CX92" s="12">
        <v>-0.5</v>
      </c>
      <c r="CY92" s="11"/>
      <c r="CZ92" s="80">
        <v>6.0E-16</v>
      </c>
      <c r="DA92" s="11"/>
      <c r="DB92" s="12">
        <v>-0.6</v>
      </c>
      <c r="DC92" s="11"/>
      <c r="DD92" s="80">
        <v>1.0E-15</v>
      </c>
      <c r="DE92" s="11"/>
      <c r="DF92" s="12">
        <v>-30.0</v>
      </c>
      <c r="DG92" s="12"/>
      <c r="DH92" s="80">
        <v>4.5E-15</v>
      </c>
      <c r="DI92" s="12"/>
      <c r="DJ92" s="12">
        <v>-43.0</v>
      </c>
      <c r="DK92" s="80">
        <v>9.2E-15</v>
      </c>
      <c r="DL92" s="80"/>
      <c r="DM92" s="80" t="s">
        <v>327</v>
      </c>
      <c r="DN92" s="69"/>
      <c r="DO92" s="80">
        <v>3.0E-15</v>
      </c>
      <c r="DP92" s="69"/>
      <c r="DQ92" s="11"/>
      <c r="DR92" s="69"/>
      <c r="DS92" s="69"/>
      <c r="DT92" s="69"/>
      <c r="DU92" s="69"/>
      <c r="DV92" s="103">
        <v>-2.85</v>
      </c>
      <c r="DW92" s="98">
        <v>0.2</v>
      </c>
      <c r="DX92" s="71">
        <v>4.4E-10</v>
      </c>
      <c r="DY92" s="7"/>
      <c r="DZ92" s="64" t="s">
        <v>225</v>
      </c>
      <c r="EA92" s="13"/>
      <c r="EB92" s="64" t="s">
        <v>320</v>
      </c>
    </row>
    <row r="93">
      <c r="A93" s="55" t="s">
        <v>393</v>
      </c>
      <c r="B93" s="56" t="s">
        <v>394</v>
      </c>
      <c r="C93" s="4"/>
      <c r="D93" s="4"/>
      <c r="E93" s="4"/>
      <c r="F93" s="57" t="s">
        <v>168</v>
      </c>
      <c r="G93" s="58">
        <v>84.7583</v>
      </c>
      <c r="H93" s="58">
        <v>-2.5842</v>
      </c>
      <c r="I93" s="6" t="s">
        <v>350</v>
      </c>
      <c r="J93" s="6" t="s">
        <v>169</v>
      </c>
      <c r="K93" s="58">
        <v>3.0</v>
      </c>
      <c r="L93" s="5"/>
      <c r="M93" s="60">
        <v>2.0</v>
      </c>
      <c r="N93" s="58">
        <v>335.8635051</v>
      </c>
      <c r="O93" s="58">
        <v>1.918</v>
      </c>
      <c r="P93" s="58">
        <v>0.33</v>
      </c>
      <c r="Q93" s="58">
        <v>-0.348</v>
      </c>
      <c r="R93" s="58">
        <v>0.289</v>
      </c>
      <c r="S93" s="60"/>
      <c r="T93" s="60"/>
      <c r="U93" s="5"/>
      <c r="V93" s="5"/>
      <c r="W93" s="60">
        <v>0.2023</v>
      </c>
      <c r="X93" s="5"/>
      <c r="Y93" s="106" t="s">
        <v>351</v>
      </c>
      <c r="Z93" s="60">
        <v>18.46</v>
      </c>
      <c r="AA93" s="60">
        <v>0.06</v>
      </c>
      <c r="AB93" s="60">
        <v>14.45</v>
      </c>
      <c r="AC93" s="60">
        <v>0.04</v>
      </c>
      <c r="AD93" s="60">
        <v>13.38</v>
      </c>
      <c r="AE93" s="60">
        <v>0.03</v>
      </c>
      <c r="AF93" s="60">
        <v>12.61</v>
      </c>
      <c r="AG93" s="60">
        <v>0.03</v>
      </c>
      <c r="AH93" s="6"/>
      <c r="AI93" s="6"/>
      <c r="AJ93" s="76" t="s">
        <v>352</v>
      </c>
      <c r="AK93" s="64" t="s">
        <v>192</v>
      </c>
      <c r="AL93" s="64">
        <v>2009.0</v>
      </c>
      <c r="AM93" s="64">
        <v>4.0</v>
      </c>
      <c r="AN93" s="102">
        <v>360.0</v>
      </c>
      <c r="AO93" s="13"/>
      <c r="AP93" s="13" t="s">
        <v>395</v>
      </c>
      <c r="AQ93" s="7"/>
      <c r="AR93" s="78">
        <v>3270.0</v>
      </c>
      <c r="AS93" s="64">
        <v>150.0</v>
      </c>
      <c r="AT93" s="79">
        <v>0.19</v>
      </c>
      <c r="AU93" s="7"/>
      <c r="AV93" s="64">
        <v>0.02</v>
      </c>
      <c r="AW93" s="7"/>
      <c r="AX93" s="73">
        <v>0.46</v>
      </c>
      <c r="AY93" s="7"/>
      <c r="AZ93" s="11" t="s">
        <v>293</v>
      </c>
      <c r="BA93" s="11" t="s">
        <v>294</v>
      </c>
      <c r="BB93" s="68">
        <v>-83.5</v>
      </c>
      <c r="BC93" s="68">
        <v>5.0</v>
      </c>
      <c r="BD93" s="80">
        <v>1.79E-14</v>
      </c>
      <c r="BE93" s="11"/>
      <c r="BF93" s="68">
        <v>-97.4</v>
      </c>
      <c r="BG93" s="68">
        <v>0.2</v>
      </c>
      <c r="BH93" s="80">
        <v>4.03E-15</v>
      </c>
      <c r="BI93" s="11"/>
      <c r="BJ93" s="68">
        <v>-60.9</v>
      </c>
      <c r="BK93" s="68">
        <v>0.8</v>
      </c>
      <c r="BL93" s="80">
        <v>1.8E-15</v>
      </c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68">
        <v>-1.2</v>
      </c>
      <c r="CA93" s="68">
        <v>0.4</v>
      </c>
      <c r="CB93" s="80">
        <v>6.91E-16</v>
      </c>
      <c r="CC93" s="11"/>
      <c r="CD93" s="68">
        <v>-0.9</v>
      </c>
      <c r="CE93" s="68">
        <v>0.5</v>
      </c>
      <c r="CF93" s="80">
        <v>5.01E-16</v>
      </c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68">
        <v>-4.7</v>
      </c>
      <c r="CU93" s="68">
        <v>0.3</v>
      </c>
      <c r="CV93" s="80">
        <v>3.93E-16</v>
      </c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2"/>
      <c r="DK93" s="12"/>
      <c r="DL93" s="12"/>
      <c r="DM93" s="68">
        <v>-3.3</v>
      </c>
      <c r="DN93" s="68">
        <v>0.2</v>
      </c>
      <c r="DO93" s="80">
        <v>1.43E-15</v>
      </c>
      <c r="DP93" s="69"/>
      <c r="DQ93" s="11"/>
      <c r="DR93" s="69"/>
      <c r="DS93" s="69"/>
      <c r="DT93" s="69"/>
      <c r="DU93" s="69"/>
      <c r="DV93" s="73">
        <v>-3.5</v>
      </c>
      <c r="DW93" s="10"/>
      <c r="DX93" s="81">
        <v>4.07E-11</v>
      </c>
      <c r="DY93" s="7"/>
      <c r="DZ93" s="64" t="s">
        <v>352</v>
      </c>
      <c r="EA93" s="64" t="s">
        <v>354</v>
      </c>
      <c r="EB93" s="64" t="s">
        <v>355</v>
      </c>
    </row>
    <row r="94">
      <c r="A94" s="74" t="s">
        <v>396</v>
      </c>
      <c r="B94" s="99" t="s">
        <v>397</v>
      </c>
      <c r="C94" s="4"/>
      <c r="D94" s="4"/>
      <c r="E94" s="4"/>
      <c r="F94" s="57" t="s">
        <v>168</v>
      </c>
      <c r="G94" s="61">
        <v>73.9482391666666</v>
      </c>
      <c r="H94" s="61">
        <v>30.4687675</v>
      </c>
      <c r="I94" s="6" t="s">
        <v>199</v>
      </c>
      <c r="J94" s="5"/>
      <c r="K94" s="58">
        <f>(10^6.1)/1000000</f>
        <v>1.258925412</v>
      </c>
      <c r="L94" s="60"/>
      <c r="M94" s="60">
        <v>2.0</v>
      </c>
      <c r="N94" s="61">
        <v>156.737355213868</v>
      </c>
      <c r="O94" s="61">
        <v>3.477</v>
      </c>
      <c r="P94" s="61">
        <v>0.223</v>
      </c>
      <c r="Q94" s="61">
        <v>-23.996</v>
      </c>
      <c r="R94" s="61">
        <v>0.13</v>
      </c>
      <c r="S94" s="60"/>
      <c r="T94" s="60"/>
      <c r="U94" s="61">
        <v>1.0</v>
      </c>
      <c r="V94" s="58">
        <v>0.5</v>
      </c>
      <c r="W94" s="5"/>
      <c r="X94" s="5"/>
      <c r="Y94" s="93" t="s">
        <v>225</v>
      </c>
      <c r="Z94" s="60"/>
      <c r="AA94" s="60"/>
      <c r="AB94" s="60">
        <v>11.051</v>
      </c>
      <c r="AC94" s="60">
        <v>0.024</v>
      </c>
      <c r="AD94" s="60">
        <v>10.313</v>
      </c>
      <c r="AE94" s="60">
        <v>0.024</v>
      </c>
      <c r="AF94" s="60">
        <v>9.984</v>
      </c>
      <c r="AG94" s="60">
        <v>0.021</v>
      </c>
      <c r="AH94" s="6"/>
      <c r="AI94" s="96"/>
      <c r="AJ94" s="76" t="s">
        <v>225</v>
      </c>
      <c r="AK94" s="13" t="s">
        <v>307</v>
      </c>
      <c r="AL94" s="97">
        <v>2006.0</v>
      </c>
      <c r="AM94" s="13"/>
      <c r="AN94" s="102">
        <v>140.0</v>
      </c>
      <c r="AO94" s="97">
        <v>15.0</v>
      </c>
      <c r="AP94" s="64" t="s">
        <v>398</v>
      </c>
      <c r="AQ94" s="73">
        <v>0.5</v>
      </c>
      <c r="AR94" s="66">
        <v>3161.0</v>
      </c>
      <c r="AS94" s="64">
        <v>75.0</v>
      </c>
      <c r="AT94" s="67">
        <v>0.2</v>
      </c>
      <c r="AU94" s="73"/>
      <c r="AV94" s="64">
        <v>0.15</v>
      </c>
      <c r="AW94" s="7"/>
      <c r="AX94" s="70">
        <v>1.31</v>
      </c>
      <c r="AY94" s="7"/>
      <c r="AZ94" s="11" t="s">
        <v>293</v>
      </c>
      <c r="BA94" s="11" t="s">
        <v>294</v>
      </c>
      <c r="BB94" s="12">
        <v>-9.6</v>
      </c>
      <c r="BC94" s="11"/>
      <c r="BD94" s="80">
        <v>2.12E-14</v>
      </c>
      <c r="BE94" s="11"/>
      <c r="BF94" s="12">
        <v>-9.2</v>
      </c>
      <c r="BG94" s="11"/>
      <c r="BH94" s="80">
        <v>4.5E-15</v>
      </c>
      <c r="BI94" s="11"/>
      <c r="BJ94" s="12">
        <v>-8.6</v>
      </c>
      <c r="BK94" s="11"/>
      <c r="BL94" s="80">
        <v>2.6E-15</v>
      </c>
      <c r="BM94" s="11"/>
      <c r="BN94" s="12">
        <v>-6.1</v>
      </c>
      <c r="BO94" s="11"/>
      <c r="BP94" s="80">
        <v>1.5E-15</v>
      </c>
      <c r="BQ94" s="11"/>
      <c r="BR94" s="12">
        <v>-7.5</v>
      </c>
      <c r="BS94" s="11"/>
      <c r="BT94" s="80">
        <v>9.5E-16</v>
      </c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2">
        <v>-0.4</v>
      </c>
      <c r="CU94" s="11"/>
      <c r="CV94" s="80">
        <v>3.0E-16</v>
      </c>
      <c r="CW94" s="11"/>
      <c r="CX94" s="68" t="s">
        <v>383</v>
      </c>
      <c r="CY94" s="11"/>
      <c r="CZ94" s="80">
        <v>2.0E-16</v>
      </c>
      <c r="DA94" s="11"/>
      <c r="DB94" s="68" t="s">
        <v>399</v>
      </c>
      <c r="DC94" s="11"/>
      <c r="DD94" s="80">
        <v>6.0E-16</v>
      </c>
      <c r="DE94" s="11"/>
      <c r="DF94" s="12">
        <v>-30.0</v>
      </c>
      <c r="DG94" s="12"/>
      <c r="DH94" s="80">
        <v>3.7E-15</v>
      </c>
      <c r="DI94" s="12"/>
      <c r="DJ94" s="69">
        <v>-26.0</v>
      </c>
      <c r="DK94" s="80">
        <v>4.3E-15</v>
      </c>
      <c r="DL94" s="80"/>
      <c r="DM94" s="69">
        <v>-0.31</v>
      </c>
      <c r="DN94" s="69"/>
      <c r="DO94" s="80">
        <v>2.8E-15</v>
      </c>
      <c r="DP94" s="69"/>
      <c r="DQ94" s="11"/>
      <c r="DR94" s="69"/>
      <c r="DS94" s="69"/>
      <c r="DT94" s="69"/>
      <c r="DU94" s="69"/>
      <c r="DV94" s="103">
        <v>-3.77</v>
      </c>
      <c r="DW94" s="98">
        <v>0.2</v>
      </c>
      <c r="DX94" s="71">
        <v>5.8E-11</v>
      </c>
      <c r="DY94" s="7"/>
      <c r="DZ94" s="64" t="s">
        <v>225</v>
      </c>
      <c r="EA94" s="13"/>
      <c r="EB94" s="64" t="s">
        <v>320</v>
      </c>
    </row>
    <row r="95">
      <c r="A95" s="55" t="s">
        <v>400</v>
      </c>
      <c r="B95" s="56" t="s">
        <v>401</v>
      </c>
      <c r="C95" s="4"/>
      <c r="D95" s="4"/>
      <c r="E95" s="4" t="s">
        <v>137</v>
      </c>
      <c r="F95" s="57" t="s">
        <v>168</v>
      </c>
      <c r="G95" s="58">
        <v>84.6417</v>
      </c>
      <c r="H95" s="58">
        <v>-2.6103</v>
      </c>
      <c r="I95" s="6" t="s">
        <v>350</v>
      </c>
      <c r="J95" s="6" t="s">
        <v>169</v>
      </c>
      <c r="K95" s="58">
        <v>3.0</v>
      </c>
      <c r="L95" s="5"/>
      <c r="M95" s="60">
        <v>2.0</v>
      </c>
      <c r="N95" s="58">
        <v>384.6597684</v>
      </c>
      <c r="O95" s="58">
        <v>-0.327</v>
      </c>
      <c r="P95" s="58">
        <v>0.37</v>
      </c>
      <c r="Q95" s="58">
        <v>1.114</v>
      </c>
      <c r="R95" s="58">
        <v>0.331</v>
      </c>
      <c r="S95" s="60">
        <v>33.89</v>
      </c>
      <c r="T95" s="60">
        <v>0.665</v>
      </c>
      <c r="U95" s="5"/>
      <c r="V95" s="5"/>
      <c r="W95" s="60">
        <v>0.1917</v>
      </c>
      <c r="X95" s="5"/>
      <c r="Y95" s="109" t="s">
        <v>351</v>
      </c>
      <c r="Z95" s="60">
        <v>15.24</v>
      </c>
      <c r="AA95" s="60">
        <v>0.02</v>
      </c>
      <c r="AB95" s="60">
        <v>11.98</v>
      </c>
      <c r="AC95" s="60">
        <v>0.027</v>
      </c>
      <c r="AD95" s="60">
        <v>11.33</v>
      </c>
      <c r="AE95" s="60">
        <v>0.024</v>
      </c>
      <c r="AF95" s="60">
        <v>11.077</v>
      </c>
      <c r="AG95" s="60">
        <v>0.027</v>
      </c>
      <c r="AH95" s="6"/>
      <c r="AI95" s="6"/>
      <c r="AJ95" s="76" t="s">
        <v>352</v>
      </c>
      <c r="AK95" s="64" t="s">
        <v>192</v>
      </c>
      <c r="AL95" s="64">
        <v>2009.0</v>
      </c>
      <c r="AM95" s="64">
        <v>4.0</v>
      </c>
      <c r="AN95" s="102">
        <v>360.0</v>
      </c>
      <c r="AO95" s="13"/>
      <c r="AP95" s="13" t="s">
        <v>402</v>
      </c>
      <c r="AQ95" s="7"/>
      <c r="AR95" s="78">
        <v>3200.0</v>
      </c>
      <c r="AS95" s="64">
        <v>150.0</v>
      </c>
      <c r="AT95" s="79">
        <v>0.2</v>
      </c>
      <c r="AU95" s="7"/>
      <c r="AV95" s="97">
        <v>0.28</v>
      </c>
      <c r="AW95" s="7"/>
      <c r="AX95" s="73">
        <v>1.73</v>
      </c>
      <c r="AY95" s="7"/>
      <c r="AZ95" s="11" t="s">
        <v>293</v>
      </c>
      <c r="BA95" s="11" t="s">
        <v>294</v>
      </c>
      <c r="BB95" s="90">
        <v>-14.7</v>
      </c>
      <c r="BC95" s="90">
        <v>1.1</v>
      </c>
      <c r="BD95" s="95">
        <v>2.84E-14</v>
      </c>
      <c r="BE95" s="11"/>
      <c r="BF95" s="90">
        <v>-10.4</v>
      </c>
      <c r="BG95" s="95">
        <v>0.3</v>
      </c>
      <c r="BH95" s="95">
        <v>5.98E-15</v>
      </c>
      <c r="BI95" s="11"/>
      <c r="BJ95" s="90">
        <v>-6.9</v>
      </c>
      <c r="BK95" s="80">
        <v>0.5</v>
      </c>
      <c r="BL95" s="95">
        <v>2.88E-15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90">
        <v>-0.07</v>
      </c>
      <c r="CA95" s="95">
        <v>0.4</v>
      </c>
      <c r="CB95" s="95">
        <v>4.6E-16</v>
      </c>
      <c r="CC95" s="11"/>
      <c r="CD95" s="90">
        <v>-0.04</v>
      </c>
      <c r="CE95" s="90">
        <v>1.7</v>
      </c>
      <c r="CF95" s="80">
        <v>2.9E-16</v>
      </c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80">
        <v>-0.62</v>
      </c>
      <c r="CU95" s="80">
        <v>0.1</v>
      </c>
      <c r="CV95" s="95">
        <v>5.84E-16</v>
      </c>
      <c r="CW95" s="11"/>
      <c r="CX95" s="11"/>
      <c r="CY95" s="11"/>
      <c r="CZ95" s="11"/>
      <c r="DA95" s="69"/>
      <c r="DB95" s="11"/>
      <c r="DC95" s="11"/>
      <c r="DD95" s="11"/>
      <c r="DE95" s="11"/>
      <c r="DF95" s="11"/>
      <c r="DG95" s="11"/>
      <c r="DH95" s="11"/>
      <c r="DI95" s="11"/>
      <c r="DJ95" s="12"/>
      <c r="DK95" s="12"/>
      <c r="DL95" s="12"/>
      <c r="DM95" s="68" t="s">
        <v>403</v>
      </c>
      <c r="DN95" s="12"/>
      <c r="DO95" s="80" t="s">
        <v>404</v>
      </c>
      <c r="DP95" s="69"/>
      <c r="DQ95" s="69"/>
      <c r="DR95" s="69"/>
      <c r="DS95" s="69"/>
      <c r="DT95" s="69"/>
      <c r="DU95" s="69"/>
      <c r="DV95" s="73">
        <v>-4.0</v>
      </c>
      <c r="DW95" s="10"/>
      <c r="DX95" s="81">
        <v>3.89E-11</v>
      </c>
      <c r="DY95" s="7"/>
      <c r="DZ95" s="64" t="s">
        <v>352</v>
      </c>
      <c r="EA95" s="64" t="s">
        <v>354</v>
      </c>
      <c r="EB95" s="64" t="s">
        <v>355</v>
      </c>
    </row>
    <row r="96">
      <c r="A96" s="55" t="s">
        <v>405</v>
      </c>
      <c r="B96" s="56" t="s">
        <v>406</v>
      </c>
      <c r="C96" s="4"/>
      <c r="D96" s="4"/>
      <c r="E96" s="4"/>
      <c r="F96" s="57" t="s">
        <v>168</v>
      </c>
      <c r="G96" s="58">
        <v>84.5542</v>
      </c>
      <c r="H96" s="58">
        <v>-2.4358</v>
      </c>
      <c r="I96" s="6" t="s">
        <v>350</v>
      </c>
      <c r="J96" s="6" t="s">
        <v>169</v>
      </c>
      <c r="K96" s="58">
        <v>3.0</v>
      </c>
      <c r="L96" s="5"/>
      <c r="M96" s="5"/>
      <c r="N96" s="6"/>
      <c r="O96" s="6"/>
      <c r="P96" s="6"/>
      <c r="Q96" s="6"/>
      <c r="R96" s="6"/>
      <c r="S96" s="60">
        <v>31.789</v>
      </c>
      <c r="T96" s="60">
        <v>0.125601</v>
      </c>
      <c r="U96" s="5"/>
      <c r="V96" s="5"/>
      <c r="W96" s="60">
        <v>0.141</v>
      </c>
      <c r="X96" s="5"/>
      <c r="Y96" s="106" t="s">
        <v>351</v>
      </c>
      <c r="Z96" s="60">
        <v>15.67</v>
      </c>
      <c r="AA96" s="60">
        <v>0.02</v>
      </c>
      <c r="AB96" s="60">
        <v>12.479</v>
      </c>
      <c r="AC96" s="60">
        <v>0.028</v>
      </c>
      <c r="AD96" s="60">
        <v>11.816</v>
      </c>
      <c r="AE96" s="60">
        <v>0.027</v>
      </c>
      <c r="AF96" s="60">
        <v>11.551</v>
      </c>
      <c r="AG96" s="60">
        <v>0.024</v>
      </c>
      <c r="AH96" s="6"/>
      <c r="AI96" s="6"/>
      <c r="AJ96" s="76" t="s">
        <v>352</v>
      </c>
      <c r="AK96" s="64" t="s">
        <v>192</v>
      </c>
      <c r="AL96" s="64">
        <v>2011.0</v>
      </c>
      <c r="AM96" s="64">
        <v>4.0</v>
      </c>
      <c r="AN96" s="102">
        <v>360.0</v>
      </c>
      <c r="AO96" s="13"/>
      <c r="AP96" s="13" t="s">
        <v>402</v>
      </c>
      <c r="AQ96" s="7"/>
      <c r="AR96" s="78">
        <v>3200.0</v>
      </c>
      <c r="AS96" s="64">
        <v>150.0</v>
      </c>
      <c r="AT96" s="79">
        <v>0.2</v>
      </c>
      <c r="AU96" s="7"/>
      <c r="AV96" s="64">
        <v>0.19</v>
      </c>
      <c r="AW96" s="7"/>
      <c r="AX96" s="73">
        <v>1.45</v>
      </c>
      <c r="AY96" s="7"/>
      <c r="AZ96" s="11" t="s">
        <v>293</v>
      </c>
      <c r="BA96" s="11" t="s">
        <v>294</v>
      </c>
      <c r="BB96" s="68">
        <v>-33.9</v>
      </c>
      <c r="BC96" s="68">
        <v>0.4</v>
      </c>
      <c r="BD96" s="80">
        <v>4.25E-14</v>
      </c>
      <c r="BE96" s="11"/>
      <c r="BF96" s="68">
        <v>-23.3</v>
      </c>
      <c r="BG96" s="68">
        <v>0.3</v>
      </c>
      <c r="BH96" s="80">
        <v>7.74E-15</v>
      </c>
      <c r="BI96" s="11"/>
      <c r="BJ96" s="68">
        <v>-20.7</v>
      </c>
      <c r="BK96" s="68">
        <v>0.5</v>
      </c>
      <c r="BL96" s="80">
        <v>4.78E-15</v>
      </c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68">
        <v>-0.6</v>
      </c>
      <c r="CA96" s="68">
        <v>0.4</v>
      </c>
      <c r="CB96" s="80">
        <v>2.08E-15</v>
      </c>
      <c r="CC96" s="11"/>
      <c r="CD96" s="68">
        <v>-0.9</v>
      </c>
      <c r="CE96" s="68">
        <v>0.3</v>
      </c>
      <c r="CF96" s="80">
        <v>3.64E-15</v>
      </c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68">
        <v>-2.3</v>
      </c>
      <c r="CU96" s="68">
        <v>0.1</v>
      </c>
      <c r="CV96" s="80">
        <v>1.17E-15</v>
      </c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2"/>
      <c r="DK96" s="12"/>
      <c r="DL96" s="12"/>
      <c r="DM96" s="68">
        <v>-0.2</v>
      </c>
      <c r="DN96" s="68">
        <v>0.3</v>
      </c>
      <c r="DO96" s="80">
        <v>1.36E-15</v>
      </c>
      <c r="DP96" s="69"/>
      <c r="DQ96" s="11"/>
      <c r="DR96" s="69"/>
      <c r="DS96" s="69"/>
      <c r="DT96" s="69"/>
      <c r="DU96" s="69"/>
      <c r="DV96" s="73">
        <v>-2.71</v>
      </c>
      <c r="DW96" s="10"/>
      <c r="DX96" s="81">
        <v>3.8E-10</v>
      </c>
      <c r="DY96" s="7"/>
      <c r="DZ96" s="64" t="s">
        <v>352</v>
      </c>
      <c r="EA96" s="64" t="s">
        <v>354</v>
      </c>
      <c r="EB96" s="64" t="s">
        <v>355</v>
      </c>
    </row>
    <row r="97">
      <c r="A97" s="55" t="s">
        <v>407</v>
      </c>
      <c r="B97" s="56" t="s">
        <v>408</v>
      </c>
      <c r="C97" s="4"/>
      <c r="D97" s="4"/>
      <c r="E97" s="4" t="s">
        <v>137</v>
      </c>
      <c r="F97" s="57" t="s">
        <v>168</v>
      </c>
      <c r="G97" s="58">
        <v>84.975</v>
      </c>
      <c r="H97" s="58">
        <v>-2.4592</v>
      </c>
      <c r="I97" s="6" t="s">
        <v>350</v>
      </c>
      <c r="J97" s="6" t="s">
        <v>169</v>
      </c>
      <c r="K97" s="58">
        <v>3.0</v>
      </c>
      <c r="L97" s="5"/>
      <c r="M97" s="60">
        <v>2.0</v>
      </c>
      <c r="N97" s="58">
        <v>381.7668168</v>
      </c>
      <c r="O97" s="59">
        <v>1.87</v>
      </c>
      <c r="P97" s="59">
        <v>0.196</v>
      </c>
      <c r="Q97" s="59">
        <v>-0.49</v>
      </c>
      <c r="R97" s="59">
        <v>0.182</v>
      </c>
      <c r="S97" s="60"/>
      <c r="T97" s="60"/>
      <c r="U97" s="5"/>
      <c r="V97" s="5"/>
      <c r="W97" s="60">
        <v>0.1823</v>
      </c>
      <c r="X97" s="5"/>
      <c r="Y97" s="109" t="s">
        <v>351</v>
      </c>
      <c r="Z97" s="60">
        <v>16.86</v>
      </c>
      <c r="AA97" s="60">
        <v>0.01</v>
      </c>
      <c r="AB97" s="60">
        <v>13.46</v>
      </c>
      <c r="AC97" s="60">
        <v>0.03</v>
      </c>
      <c r="AD97" s="60">
        <v>12.874</v>
      </c>
      <c r="AE97" s="60">
        <v>0.029</v>
      </c>
      <c r="AF97" s="60">
        <v>12.67</v>
      </c>
      <c r="AG97" s="60">
        <v>0.04</v>
      </c>
      <c r="AH97" s="6"/>
      <c r="AI97" s="6"/>
      <c r="AJ97" s="76" t="s">
        <v>352</v>
      </c>
      <c r="AK97" s="64" t="s">
        <v>192</v>
      </c>
      <c r="AL97" s="64">
        <v>2011.0</v>
      </c>
      <c r="AM97" s="64">
        <v>4.0</v>
      </c>
      <c r="AN97" s="102">
        <v>360.0</v>
      </c>
      <c r="AO97" s="13"/>
      <c r="AP97" s="13" t="s">
        <v>402</v>
      </c>
      <c r="AQ97" s="7"/>
      <c r="AR97" s="78">
        <v>3200.0</v>
      </c>
      <c r="AS97" s="64">
        <v>150.0</v>
      </c>
      <c r="AT97" s="79">
        <v>0.2</v>
      </c>
      <c r="AU97" s="7"/>
      <c r="AV97" s="64">
        <v>0.06</v>
      </c>
      <c r="AW97" s="7"/>
      <c r="AX97" s="73">
        <v>0.84</v>
      </c>
      <c r="AY97" s="7"/>
      <c r="AZ97" s="11" t="s">
        <v>293</v>
      </c>
      <c r="BA97" s="11" t="s">
        <v>294</v>
      </c>
      <c r="BB97" s="68">
        <v>-8.4</v>
      </c>
      <c r="BC97" s="68">
        <v>0.4</v>
      </c>
      <c r="BD97" s="80">
        <v>3.96E-15</v>
      </c>
      <c r="BE97" s="11"/>
      <c r="BF97" s="68">
        <v>-9.7</v>
      </c>
      <c r="BG97" s="68">
        <v>0.3</v>
      </c>
      <c r="BH97" s="80">
        <v>9.37E-16</v>
      </c>
      <c r="BI97" s="11"/>
      <c r="BJ97" s="68">
        <v>-6.8</v>
      </c>
      <c r="BK97" s="68">
        <v>0.6</v>
      </c>
      <c r="BL97" s="80">
        <v>4.37E-16</v>
      </c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68" t="s">
        <v>409</v>
      </c>
      <c r="CC97" s="11"/>
      <c r="CD97" s="11"/>
      <c r="CE97" s="11"/>
      <c r="CF97" s="68" t="s">
        <v>409</v>
      </c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68">
        <v>-0.75</v>
      </c>
      <c r="CU97" s="68">
        <v>0.2</v>
      </c>
      <c r="CV97" s="80">
        <v>1.07E-16</v>
      </c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2"/>
      <c r="DK97" s="12"/>
      <c r="DL97" s="12"/>
      <c r="DM97" s="68" t="s">
        <v>410</v>
      </c>
      <c r="DN97" s="12"/>
      <c r="DO97" s="80" t="s">
        <v>411</v>
      </c>
      <c r="DP97" s="69"/>
      <c r="DQ97" s="11"/>
      <c r="DR97" s="69"/>
      <c r="DS97" s="69"/>
      <c r="DT97" s="69"/>
      <c r="DU97" s="69"/>
      <c r="DV97" s="73">
        <v>-4.85</v>
      </c>
      <c r="DW97" s="10"/>
      <c r="DX97" s="81">
        <v>4.17E-12</v>
      </c>
      <c r="DY97" s="7"/>
      <c r="DZ97" s="64" t="s">
        <v>352</v>
      </c>
      <c r="EA97" s="64" t="s">
        <v>354</v>
      </c>
      <c r="EB97" s="64" t="s">
        <v>355</v>
      </c>
    </row>
    <row r="98">
      <c r="A98" s="55" t="s">
        <v>412</v>
      </c>
      <c r="B98" s="56" t="s">
        <v>412</v>
      </c>
      <c r="C98" s="4"/>
      <c r="D98" s="4"/>
      <c r="E98" s="4"/>
      <c r="F98" s="57" t="s">
        <v>168</v>
      </c>
      <c r="G98" s="58">
        <v>65.48181096</v>
      </c>
      <c r="H98" s="58">
        <v>27.91838451</v>
      </c>
      <c r="I98" s="6" t="s">
        <v>199</v>
      </c>
      <c r="J98" s="6" t="s">
        <v>169</v>
      </c>
      <c r="K98" s="58">
        <f>(10^5.01)/1000000</f>
        <v>0.1023292992</v>
      </c>
      <c r="L98" s="60"/>
      <c r="M98" s="60">
        <v>2.0</v>
      </c>
      <c r="N98" s="58">
        <v>127.3690646</v>
      </c>
      <c r="O98" s="58">
        <v>10.755</v>
      </c>
      <c r="P98" s="58">
        <v>0.174</v>
      </c>
      <c r="Q98" s="58">
        <v>-27.221</v>
      </c>
      <c r="R98" s="58">
        <v>0.083</v>
      </c>
      <c r="S98" s="60">
        <v>14.92</v>
      </c>
      <c r="T98" s="60">
        <v>0.084</v>
      </c>
      <c r="U98" s="60">
        <v>0.62</v>
      </c>
      <c r="V98" s="60">
        <v>0.5</v>
      </c>
      <c r="W98" s="5"/>
      <c r="X98" s="5"/>
      <c r="Y98" s="83" t="s">
        <v>413</v>
      </c>
      <c r="Z98" s="60"/>
      <c r="AA98" s="60"/>
      <c r="AB98" s="60">
        <v>9.18</v>
      </c>
      <c r="AC98" s="60">
        <v>0.022</v>
      </c>
      <c r="AD98" s="60">
        <v>8.273</v>
      </c>
      <c r="AE98" s="60">
        <v>0.018</v>
      </c>
      <c r="AF98" s="60">
        <v>7.799</v>
      </c>
      <c r="AG98" s="60">
        <v>0.018</v>
      </c>
      <c r="AH98" s="6"/>
      <c r="AI98" s="96"/>
      <c r="AJ98" s="76" t="s">
        <v>413</v>
      </c>
      <c r="AK98" s="13" t="s">
        <v>414</v>
      </c>
      <c r="AL98" s="70">
        <v>1996.0</v>
      </c>
      <c r="AM98" s="7"/>
      <c r="AN98" s="8"/>
      <c r="AO98" s="13"/>
      <c r="AP98" s="7" t="s">
        <v>415</v>
      </c>
      <c r="AQ98" s="7"/>
      <c r="AR98" s="9"/>
      <c r="AS98" s="7"/>
      <c r="AT98" s="79">
        <v>0.259</v>
      </c>
      <c r="AU98" s="7"/>
      <c r="AV98" s="64">
        <v>0.87</v>
      </c>
      <c r="AW98" s="7"/>
      <c r="AX98" s="73">
        <v>2.45</v>
      </c>
      <c r="AY98" s="7"/>
      <c r="AZ98" s="11" t="s">
        <v>293</v>
      </c>
      <c r="BA98" s="11" t="s">
        <v>294</v>
      </c>
      <c r="BB98" s="11"/>
      <c r="BC98" s="11"/>
      <c r="BD98" s="11"/>
      <c r="BE98" s="11"/>
      <c r="BF98" s="68">
        <v>-32.6</v>
      </c>
      <c r="BG98" s="11"/>
      <c r="BH98" s="80">
        <v>7.9E-13</v>
      </c>
      <c r="BI98" s="11"/>
      <c r="BJ98" s="68">
        <v>-25.5</v>
      </c>
      <c r="BK98" s="11"/>
      <c r="BL98" s="80">
        <v>4.5E-13</v>
      </c>
      <c r="BM98" s="11"/>
      <c r="BN98" s="68">
        <v>-20.3</v>
      </c>
      <c r="BO98" s="11"/>
      <c r="BP98" s="80">
        <v>3.2E-13</v>
      </c>
      <c r="BQ98" s="11"/>
      <c r="BR98" s="68">
        <v>-57.9</v>
      </c>
      <c r="BS98" s="11"/>
      <c r="BT98" s="80">
        <v>7.1E-13</v>
      </c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80"/>
      <c r="DG98" s="80"/>
      <c r="DH98" s="80">
        <v>8.9E-13</v>
      </c>
      <c r="DI98" s="80"/>
      <c r="DJ98" s="12"/>
      <c r="DK98" s="12"/>
      <c r="DL98" s="12"/>
      <c r="DM98" s="69"/>
      <c r="DN98" s="69"/>
      <c r="DO98" s="69"/>
      <c r="DP98" s="69"/>
      <c r="DQ98" s="11"/>
      <c r="DR98" s="69"/>
      <c r="DS98" s="69"/>
      <c r="DT98" s="69"/>
      <c r="DU98" s="69"/>
      <c r="DV98" s="73">
        <v>-1.1487416512809248</v>
      </c>
      <c r="DW98" s="10"/>
      <c r="DX98" s="81">
        <v>2.64E-8</v>
      </c>
      <c r="DY98" s="7"/>
      <c r="DZ98" s="7"/>
      <c r="EA98" s="7"/>
      <c r="EB98" s="7"/>
    </row>
    <row r="99">
      <c r="A99" s="55" t="s">
        <v>416</v>
      </c>
      <c r="B99" s="56" t="s">
        <v>417</v>
      </c>
      <c r="C99" s="4"/>
      <c r="D99" s="3"/>
      <c r="E99" s="3"/>
      <c r="F99" s="57" t="s">
        <v>168</v>
      </c>
      <c r="G99" s="58">
        <v>84.975</v>
      </c>
      <c r="H99" s="58">
        <v>-2.5619</v>
      </c>
      <c r="I99" s="6" t="s">
        <v>350</v>
      </c>
      <c r="J99" s="6" t="s">
        <v>169</v>
      </c>
      <c r="K99" s="58">
        <v>3.0</v>
      </c>
      <c r="L99" s="5"/>
      <c r="M99" s="60">
        <v>2.0</v>
      </c>
      <c r="N99" s="58">
        <v>387.6720295</v>
      </c>
      <c r="O99" s="58">
        <v>2.4</v>
      </c>
      <c r="P99" s="58">
        <v>0.117</v>
      </c>
      <c r="Q99" s="58">
        <v>-0.314</v>
      </c>
      <c r="R99" s="58">
        <v>0.102</v>
      </c>
      <c r="S99" s="60">
        <v>30.91</v>
      </c>
      <c r="T99" s="60">
        <v>0.156</v>
      </c>
      <c r="U99" s="5"/>
      <c r="V99" s="5"/>
      <c r="W99" s="60">
        <v>0.1874</v>
      </c>
      <c r="X99" s="5"/>
      <c r="Y99" s="106" t="s">
        <v>351</v>
      </c>
      <c r="Z99" s="60">
        <v>15.84</v>
      </c>
      <c r="AA99" s="60">
        <v>0.02</v>
      </c>
      <c r="AB99" s="60">
        <v>12.825</v>
      </c>
      <c r="AC99" s="60">
        <v>0.028</v>
      </c>
      <c r="AD99" s="60">
        <v>12.064</v>
      </c>
      <c r="AE99" s="60">
        <v>0.026</v>
      </c>
      <c r="AF99" s="60">
        <v>11.59</v>
      </c>
      <c r="AG99" s="60">
        <v>0.025</v>
      </c>
      <c r="AH99" s="6"/>
      <c r="AI99" s="5"/>
      <c r="AJ99" s="76" t="s">
        <v>352</v>
      </c>
      <c r="AK99" s="64" t="s">
        <v>192</v>
      </c>
      <c r="AL99" s="64">
        <v>2011.0</v>
      </c>
      <c r="AM99" s="64">
        <v>4.0</v>
      </c>
      <c r="AN99" s="102">
        <v>360.0</v>
      </c>
      <c r="AO99" s="13"/>
      <c r="AP99" s="13" t="s">
        <v>395</v>
      </c>
      <c r="AQ99" s="7"/>
      <c r="AR99" s="78">
        <v>3270.0</v>
      </c>
      <c r="AS99" s="64">
        <v>150.0</v>
      </c>
      <c r="AT99" s="79">
        <v>0.26</v>
      </c>
      <c r="AU99" s="7"/>
      <c r="AV99" s="64">
        <v>0.13</v>
      </c>
      <c r="AW99" s="7"/>
      <c r="AX99" s="97">
        <v>1.13</v>
      </c>
      <c r="AY99" s="7"/>
      <c r="AZ99" s="69" t="s">
        <v>293</v>
      </c>
      <c r="BA99" s="11" t="s">
        <v>294</v>
      </c>
      <c r="BB99" s="68">
        <v>-117.1</v>
      </c>
      <c r="BC99" s="68">
        <v>0.8</v>
      </c>
      <c r="BD99" s="80">
        <v>1.43E-13</v>
      </c>
      <c r="BE99" s="12"/>
      <c r="BF99" s="68">
        <v>-44.3</v>
      </c>
      <c r="BG99" s="80">
        <v>0.2</v>
      </c>
      <c r="BH99" s="80">
        <v>2.58E-14</v>
      </c>
      <c r="BI99" s="12"/>
      <c r="BJ99" s="68">
        <v>-34.2</v>
      </c>
      <c r="BK99" s="80">
        <v>0.2</v>
      </c>
      <c r="BL99" s="80">
        <v>1.62E-14</v>
      </c>
      <c r="BM99" s="12"/>
      <c r="BN99" s="12"/>
      <c r="BO99" s="12"/>
      <c r="BP99" s="12"/>
      <c r="BQ99" s="12"/>
      <c r="BR99" s="12"/>
      <c r="BS99" s="12"/>
      <c r="BT99" s="12"/>
      <c r="BU99" s="69"/>
      <c r="BV99" s="69"/>
      <c r="BW99" s="69"/>
      <c r="BX99" s="69"/>
      <c r="BY99" s="69"/>
      <c r="BZ99" s="68">
        <v>-5.2</v>
      </c>
      <c r="CA99" s="68">
        <v>0.4</v>
      </c>
      <c r="CB99" s="80">
        <v>1.33E-14</v>
      </c>
      <c r="CC99" s="12"/>
      <c r="CD99" s="68">
        <v>-3.4</v>
      </c>
      <c r="CE99" s="68">
        <v>0.4</v>
      </c>
      <c r="CF99" s="80">
        <v>9.39E-15</v>
      </c>
      <c r="CG99" s="12"/>
      <c r="CH99" s="11"/>
      <c r="CI99" s="11"/>
      <c r="CJ99" s="12"/>
      <c r="CK99" s="12"/>
      <c r="CL99" s="69"/>
      <c r="CM99" s="69"/>
      <c r="CN99" s="11"/>
      <c r="CO99" s="11"/>
      <c r="CP99" s="11"/>
      <c r="CQ99" s="11"/>
      <c r="CR99" s="11"/>
      <c r="CS99" s="11"/>
      <c r="CT99" s="68">
        <v>-3.1</v>
      </c>
      <c r="CU99" s="68">
        <v>0.2</v>
      </c>
      <c r="CV99" s="80">
        <v>2.25E-15</v>
      </c>
      <c r="CW99" s="11"/>
      <c r="CX99" s="69"/>
      <c r="CY99" s="11"/>
      <c r="CZ99" s="11"/>
      <c r="DA99" s="69"/>
      <c r="DB99" s="11"/>
      <c r="DC99" s="11"/>
      <c r="DD99" s="11"/>
      <c r="DE99" s="11"/>
      <c r="DF99" s="11"/>
      <c r="DG99" s="11"/>
      <c r="DH99" s="11"/>
      <c r="DI99" s="11"/>
      <c r="DJ99" s="12"/>
      <c r="DK99" s="12"/>
      <c r="DL99" s="12"/>
      <c r="DM99" s="68">
        <v>-3.4</v>
      </c>
      <c r="DN99" s="68">
        <v>0.2</v>
      </c>
      <c r="DO99" s="80">
        <v>7.88E-15</v>
      </c>
      <c r="DP99" s="69"/>
      <c r="DQ99" s="11"/>
      <c r="DR99" s="69"/>
      <c r="DS99" s="69"/>
      <c r="DT99" s="69"/>
      <c r="DU99" s="69"/>
      <c r="DV99" s="97">
        <v>-2.0</v>
      </c>
      <c r="DW99" s="10"/>
      <c r="DX99" s="81">
        <v>1.07E-9</v>
      </c>
      <c r="DY99" s="7"/>
      <c r="DZ99" s="64" t="s">
        <v>352</v>
      </c>
      <c r="EA99" s="64" t="s">
        <v>354</v>
      </c>
      <c r="EB99" s="64" t="s">
        <v>355</v>
      </c>
    </row>
    <row r="100">
      <c r="A100" s="55" t="s">
        <v>418</v>
      </c>
      <c r="B100" s="56" t="s">
        <v>418</v>
      </c>
      <c r="C100" s="4"/>
      <c r="D100" s="4"/>
      <c r="E100" s="4"/>
      <c r="F100" s="57" t="s">
        <v>168</v>
      </c>
      <c r="G100" s="58">
        <v>66.76163228</v>
      </c>
      <c r="H100" s="58">
        <v>25.70623788</v>
      </c>
      <c r="I100" s="6" t="s">
        <v>199</v>
      </c>
      <c r="J100" s="6" t="s">
        <v>169</v>
      </c>
      <c r="K100" s="58">
        <f>(10^3.59)/1000000</f>
        <v>0.00389045145</v>
      </c>
      <c r="L100" s="60"/>
      <c r="M100" s="60">
        <v>2.0</v>
      </c>
      <c r="N100" s="58">
        <v>124.3549089</v>
      </c>
      <c r="O100" s="58">
        <v>3.504</v>
      </c>
      <c r="P100" s="58">
        <v>0.793</v>
      </c>
      <c r="Q100" s="58">
        <v>-26.65</v>
      </c>
      <c r="R100" s="58">
        <v>0.685</v>
      </c>
      <c r="S100" s="60">
        <v>16.46</v>
      </c>
      <c r="T100" s="60">
        <v>0.339</v>
      </c>
      <c r="U100" s="60">
        <v>0.45</v>
      </c>
      <c r="V100" s="60">
        <v>0.5</v>
      </c>
      <c r="W100" s="5"/>
      <c r="X100" s="5"/>
      <c r="Y100" s="83" t="s">
        <v>413</v>
      </c>
      <c r="Z100" s="60">
        <v>10.31</v>
      </c>
      <c r="AA100" s="60"/>
      <c r="AB100" s="60">
        <v>8.171</v>
      </c>
      <c r="AC100" s="60">
        <v>0.026</v>
      </c>
      <c r="AD100" s="60">
        <v>7.256</v>
      </c>
      <c r="AE100" s="60">
        <v>0.023</v>
      </c>
      <c r="AF100" s="60">
        <v>6.734</v>
      </c>
      <c r="AG100" s="60">
        <v>0.024</v>
      </c>
      <c r="AH100" s="6"/>
      <c r="AI100" s="96"/>
      <c r="AJ100" s="76" t="s">
        <v>413</v>
      </c>
      <c r="AK100" s="13" t="s">
        <v>414</v>
      </c>
      <c r="AL100" s="70">
        <v>1996.0</v>
      </c>
      <c r="AM100" s="7"/>
      <c r="AN100" s="8"/>
      <c r="AO100" s="13"/>
      <c r="AP100" s="7" t="s">
        <v>419</v>
      </c>
      <c r="AQ100" s="7"/>
      <c r="AR100" s="9"/>
      <c r="AS100" s="7"/>
      <c r="AT100" s="79">
        <v>0.27</v>
      </c>
      <c r="AU100" s="7"/>
      <c r="AV100" s="64">
        <v>1.97</v>
      </c>
      <c r="AW100" s="7"/>
      <c r="AX100" s="73">
        <v>3.37</v>
      </c>
      <c r="AY100" s="7"/>
      <c r="AZ100" s="11" t="s">
        <v>293</v>
      </c>
      <c r="BA100" s="11" t="s">
        <v>294</v>
      </c>
      <c r="BB100" s="11"/>
      <c r="BC100" s="11"/>
      <c r="BD100" s="11"/>
      <c r="BE100" s="11"/>
      <c r="BF100" s="68">
        <v>-33.4</v>
      </c>
      <c r="BG100" s="11"/>
      <c r="BH100" s="80">
        <v>2.94E-12</v>
      </c>
      <c r="BI100" s="11"/>
      <c r="BJ100" s="68">
        <v>-24.0</v>
      </c>
      <c r="BK100" s="11"/>
      <c r="BL100" s="80">
        <v>2.08E-12</v>
      </c>
      <c r="BM100" s="11"/>
      <c r="BN100" s="68">
        <v>-25.2</v>
      </c>
      <c r="BO100" s="11"/>
      <c r="BP100" s="80">
        <v>1.74E-12</v>
      </c>
      <c r="BQ100" s="11"/>
      <c r="BR100" s="68">
        <v>-28.4</v>
      </c>
      <c r="BS100" s="11"/>
      <c r="BT100" s="80">
        <v>2.04E-12</v>
      </c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80"/>
      <c r="DG100" s="80"/>
      <c r="DH100" s="80">
        <v>1.26E-12</v>
      </c>
      <c r="DI100" s="80"/>
      <c r="DJ100" s="12"/>
      <c r="DK100" s="12"/>
      <c r="DL100" s="12"/>
      <c r="DM100" s="69"/>
      <c r="DN100" s="69"/>
      <c r="DO100" s="69"/>
      <c r="DP100" s="69"/>
      <c r="DQ100" s="11"/>
      <c r="DR100" s="69"/>
      <c r="DS100" s="69"/>
      <c r="DT100" s="69"/>
      <c r="DU100" s="69"/>
      <c r="DV100" s="73">
        <v>-0.4461169733561256</v>
      </c>
      <c r="DW100" s="10"/>
      <c r="DX100" s="73">
        <v>1.77E-7</v>
      </c>
      <c r="DY100" s="7"/>
      <c r="DZ100" s="7"/>
      <c r="EA100" s="7"/>
      <c r="EB100" s="7"/>
    </row>
    <row r="101">
      <c r="A101" s="55" t="s">
        <v>420</v>
      </c>
      <c r="B101" s="56" t="s">
        <v>421</v>
      </c>
      <c r="C101" s="3" t="s">
        <v>156</v>
      </c>
      <c r="D101" s="57">
        <v>1.55</v>
      </c>
      <c r="E101" s="57" t="s">
        <v>137</v>
      </c>
      <c r="F101" s="57" t="s">
        <v>168</v>
      </c>
      <c r="G101" s="58">
        <v>167.6167</v>
      </c>
      <c r="H101" s="58">
        <v>-37.5311</v>
      </c>
      <c r="I101" s="6" t="s">
        <v>224</v>
      </c>
      <c r="J101" s="6" t="s">
        <v>169</v>
      </c>
      <c r="K101" s="58">
        <v>8.0</v>
      </c>
      <c r="L101" s="5"/>
      <c r="M101" s="60">
        <v>2.0</v>
      </c>
      <c r="N101" s="61">
        <v>37.3496675879584</v>
      </c>
      <c r="O101" s="61">
        <v>-105.995</v>
      </c>
      <c r="P101" s="61">
        <v>0.132</v>
      </c>
      <c r="Q101" s="61">
        <v>-27.454</v>
      </c>
      <c r="R101" s="61">
        <v>0.115</v>
      </c>
      <c r="S101" s="60">
        <v>15.5</v>
      </c>
      <c r="T101" s="60">
        <v>1.8</v>
      </c>
      <c r="U101" s="58">
        <v>0.0</v>
      </c>
      <c r="V101" s="5"/>
      <c r="W101" s="5"/>
      <c r="X101" s="5"/>
      <c r="Y101" s="83" t="s">
        <v>306</v>
      </c>
      <c r="Z101" s="60"/>
      <c r="AA101" s="60"/>
      <c r="AB101" s="60"/>
      <c r="AC101" s="60"/>
      <c r="AD101" s="60"/>
      <c r="AE101" s="60"/>
      <c r="AF101" s="60"/>
      <c r="AG101" s="60"/>
      <c r="AH101" s="6"/>
      <c r="AI101" s="96"/>
      <c r="AJ101" s="76" t="s">
        <v>306</v>
      </c>
      <c r="AK101" s="13" t="s">
        <v>307</v>
      </c>
      <c r="AL101" s="70">
        <v>2008.0</v>
      </c>
      <c r="AM101" s="7"/>
      <c r="AN101" s="77">
        <v>34.0</v>
      </c>
      <c r="AO101" s="13"/>
      <c r="AP101" s="13" t="s">
        <v>422</v>
      </c>
      <c r="AQ101" s="7"/>
      <c r="AR101" s="78">
        <v>3342.0</v>
      </c>
      <c r="AS101" s="7"/>
      <c r="AT101" s="79">
        <v>0.29</v>
      </c>
      <c r="AU101" s="7"/>
      <c r="AV101" s="64">
        <v>0.05370317964</v>
      </c>
      <c r="AW101" s="7"/>
      <c r="AX101" s="73">
        <v>0.69</v>
      </c>
      <c r="AY101" s="7"/>
      <c r="AZ101" s="11" t="s">
        <v>293</v>
      </c>
      <c r="BA101" s="11" t="s">
        <v>294</v>
      </c>
      <c r="BB101" s="100">
        <v>-3.4</v>
      </c>
      <c r="BC101" s="11"/>
      <c r="BD101" s="80">
        <v>1.23E-13</v>
      </c>
      <c r="BE101" s="11"/>
      <c r="BF101" s="68">
        <v>-5.0</v>
      </c>
      <c r="BG101" s="11"/>
      <c r="BH101" s="80">
        <v>6.92E-14</v>
      </c>
      <c r="BI101" s="11"/>
      <c r="BJ101" s="68">
        <v>-3.0</v>
      </c>
      <c r="BK101" s="11"/>
      <c r="BL101" s="80">
        <v>3.24E-14</v>
      </c>
      <c r="BM101" s="11"/>
      <c r="BN101" s="68">
        <v>-4.0</v>
      </c>
      <c r="BO101" s="11"/>
      <c r="BP101" s="80">
        <v>2.45E-14</v>
      </c>
      <c r="BQ101" s="11"/>
      <c r="BR101" s="68">
        <v>-5.0</v>
      </c>
      <c r="BS101" s="11"/>
      <c r="BT101" s="80">
        <v>1.58E-14</v>
      </c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68" t="s">
        <v>342</v>
      </c>
      <c r="CU101" s="11"/>
      <c r="CV101" s="80" t="s">
        <v>423</v>
      </c>
      <c r="CW101" s="11"/>
      <c r="CX101" s="68" t="s">
        <v>364</v>
      </c>
      <c r="CY101" s="11"/>
      <c r="CZ101" s="80" t="s">
        <v>423</v>
      </c>
      <c r="DA101" s="11"/>
      <c r="DB101" s="11"/>
      <c r="DC101" s="11"/>
      <c r="DD101" s="11"/>
      <c r="DE101" s="11"/>
      <c r="DF101" s="68">
        <v>-18.2</v>
      </c>
      <c r="DG101" s="68"/>
      <c r="DH101" s="80">
        <v>6.46E-14</v>
      </c>
      <c r="DI101" s="68"/>
      <c r="DJ101" s="12"/>
      <c r="DK101" s="12"/>
      <c r="DL101" s="12"/>
      <c r="DM101" s="69"/>
      <c r="DN101" s="69"/>
      <c r="DO101" s="69"/>
      <c r="DP101" s="69"/>
      <c r="DQ101" s="11"/>
      <c r="DR101" s="69"/>
      <c r="DS101" s="69"/>
      <c r="DT101" s="69"/>
      <c r="DU101" s="69"/>
      <c r="DV101" s="73">
        <v>-4.1</v>
      </c>
      <c r="DW101" s="10"/>
      <c r="DX101" s="81">
        <v>7.94E-12</v>
      </c>
      <c r="DY101" s="7"/>
      <c r="DZ101" s="64" t="s">
        <v>225</v>
      </c>
      <c r="EA101" s="7"/>
      <c r="EB101" s="7"/>
    </row>
    <row r="102">
      <c r="A102" s="55" t="s">
        <v>424</v>
      </c>
      <c r="B102" s="56" t="s">
        <v>425</v>
      </c>
      <c r="C102" s="4"/>
      <c r="D102" s="4"/>
      <c r="E102" s="4"/>
      <c r="F102" s="57" t="s">
        <v>168</v>
      </c>
      <c r="G102" s="58">
        <v>84.6625</v>
      </c>
      <c r="H102" s="58">
        <v>-2.7589</v>
      </c>
      <c r="I102" s="6" t="s">
        <v>350</v>
      </c>
      <c r="J102" s="6" t="s">
        <v>169</v>
      </c>
      <c r="K102" s="58">
        <v>3.0</v>
      </c>
      <c r="L102" s="5"/>
      <c r="M102" s="60">
        <v>2.0</v>
      </c>
      <c r="N102" s="58">
        <v>428.3389017</v>
      </c>
      <c r="O102" s="59">
        <v>1.155</v>
      </c>
      <c r="P102" s="59">
        <v>0.149</v>
      </c>
      <c r="Q102" s="59">
        <v>-0.454</v>
      </c>
      <c r="R102" s="59">
        <v>0.123</v>
      </c>
      <c r="S102" s="60">
        <v>30.3505</v>
      </c>
      <c r="T102" s="60">
        <v>0.212918</v>
      </c>
      <c r="U102" s="5"/>
      <c r="V102" s="5"/>
      <c r="W102" s="60">
        <v>0.2125</v>
      </c>
      <c r="X102" s="5"/>
      <c r="Y102" s="83" t="s">
        <v>351</v>
      </c>
      <c r="Z102" s="60">
        <v>15.92</v>
      </c>
      <c r="AA102" s="60">
        <v>0.05</v>
      </c>
      <c r="AB102" s="60">
        <v>12.913</v>
      </c>
      <c r="AC102" s="60">
        <v>0.028</v>
      </c>
      <c r="AD102" s="60">
        <v>12.195</v>
      </c>
      <c r="AE102" s="60">
        <v>0.023</v>
      </c>
      <c r="AF102" s="60">
        <v>11.89</v>
      </c>
      <c r="AG102" s="60">
        <v>0.028</v>
      </c>
      <c r="AH102" s="6"/>
      <c r="AI102" s="6"/>
      <c r="AJ102" s="76" t="s">
        <v>352</v>
      </c>
      <c r="AK102" s="64" t="s">
        <v>192</v>
      </c>
      <c r="AL102" s="64">
        <v>2009.0</v>
      </c>
      <c r="AM102" s="64">
        <v>4.0</v>
      </c>
      <c r="AN102" s="102">
        <v>360.0</v>
      </c>
      <c r="AO102" s="13"/>
      <c r="AP102" s="13" t="s">
        <v>422</v>
      </c>
      <c r="AQ102" s="7"/>
      <c r="AR102" s="78">
        <v>3350.0</v>
      </c>
      <c r="AS102" s="64">
        <v>150.0</v>
      </c>
      <c r="AT102" s="79">
        <v>0.3</v>
      </c>
      <c r="AU102" s="7"/>
      <c r="AV102" s="64">
        <v>0.1</v>
      </c>
      <c r="AW102" s="7"/>
      <c r="AX102" s="73">
        <v>0.97</v>
      </c>
      <c r="AY102" s="7"/>
      <c r="AZ102" s="11" t="s">
        <v>293</v>
      </c>
      <c r="BA102" s="11" t="s">
        <v>294</v>
      </c>
      <c r="BB102" s="68">
        <v>-23.4</v>
      </c>
      <c r="BC102" s="68">
        <v>1.6</v>
      </c>
      <c r="BD102" s="80">
        <v>2.32E-14</v>
      </c>
      <c r="BE102" s="11"/>
      <c r="BF102" s="68">
        <v>-10.1</v>
      </c>
      <c r="BG102" s="68">
        <v>0.2</v>
      </c>
      <c r="BH102" s="80">
        <v>3.54E-15</v>
      </c>
      <c r="BI102" s="11"/>
      <c r="BJ102" s="68">
        <v>-12.7</v>
      </c>
      <c r="BK102" s="68">
        <v>0.4</v>
      </c>
      <c r="BL102" s="80">
        <v>2.67E-15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68">
        <v>-1.4</v>
      </c>
      <c r="CA102" s="68">
        <v>0.3</v>
      </c>
      <c r="CB102" s="80">
        <v>2.87E-15</v>
      </c>
      <c r="CC102" s="11"/>
      <c r="CD102" s="68">
        <v>-0.96</v>
      </c>
      <c r="CE102" s="68">
        <v>0.5</v>
      </c>
      <c r="CF102" s="80">
        <v>2.26E-15</v>
      </c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68">
        <v>-2.0</v>
      </c>
      <c r="CU102" s="68">
        <v>0.1</v>
      </c>
      <c r="CV102" s="80">
        <v>1.14E-15</v>
      </c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2"/>
      <c r="DK102" s="12"/>
      <c r="DL102" s="12"/>
      <c r="DM102" s="68">
        <v>-0.39</v>
      </c>
      <c r="DN102" s="68">
        <v>0.2</v>
      </c>
      <c r="DO102" s="80">
        <v>7.2E-16</v>
      </c>
      <c r="DP102" s="69"/>
      <c r="DQ102" s="11"/>
      <c r="DR102" s="69"/>
      <c r="DS102" s="69"/>
      <c r="DT102" s="69"/>
      <c r="DU102" s="69"/>
      <c r="DV102" s="73">
        <v>-3.0</v>
      </c>
      <c r="DW102" s="10"/>
      <c r="DX102" s="81">
        <v>2.09E-10</v>
      </c>
      <c r="DY102" s="7"/>
      <c r="DZ102" s="64" t="s">
        <v>352</v>
      </c>
      <c r="EA102" s="64" t="s">
        <v>354</v>
      </c>
      <c r="EB102" s="64" t="s">
        <v>355</v>
      </c>
    </row>
    <row r="103">
      <c r="A103" s="55" t="s">
        <v>426</v>
      </c>
      <c r="B103" s="56" t="s">
        <v>426</v>
      </c>
      <c r="C103" s="4"/>
      <c r="D103" s="4"/>
      <c r="E103" s="4"/>
      <c r="F103" s="57" t="s">
        <v>168</v>
      </c>
      <c r="G103" s="58">
        <v>69.6208</v>
      </c>
      <c r="H103" s="58">
        <v>26.1803</v>
      </c>
      <c r="I103" s="6" t="s">
        <v>199</v>
      </c>
      <c r="J103" s="6" t="s">
        <v>169</v>
      </c>
      <c r="K103" s="58">
        <f>(10^5.625)/1000000</f>
        <v>0.4216965034</v>
      </c>
      <c r="L103" s="60"/>
      <c r="M103" s="60">
        <v>2.0</v>
      </c>
      <c r="N103" s="58">
        <v>139.3805926</v>
      </c>
      <c r="O103" s="58">
        <v>6.128</v>
      </c>
      <c r="P103" s="58">
        <v>0.126</v>
      </c>
      <c r="Q103" s="58">
        <v>-21.34</v>
      </c>
      <c r="R103" s="58">
        <v>0.091</v>
      </c>
      <c r="S103" s="60">
        <v>16.55</v>
      </c>
      <c r="T103" s="60">
        <v>0.208</v>
      </c>
      <c r="U103" s="60">
        <v>2.27</v>
      </c>
      <c r="V103" s="60">
        <v>0.5</v>
      </c>
      <c r="W103" s="5"/>
      <c r="X103" s="5"/>
      <c r="Y103" s="83" t="s">
        <v>413</v>
      </c>
      <c r="Z103" s="60">
        <v>13.01</v>
      </c>
      <c r="AA103" s="60"/>
      <c r="AB103" s="60">
        <v>9.47</v>
      </c>
      <c r="AC103" s="60">
        <v>0.022</v>
      </c>
      <c r="AD103" s="60">
        <v>8.24</v>
      </c>
      <c r="AE103" s="60">
        <v>0.03</v>
      </c>
      <c r="AF103" s="60">
        <v>7.303</v>
      </c>
      <c r="AG103" s="60">
        <v>0.017</v>
      </c>
      <c r="AH103" s="6"/>
      <c r="AI103" s="96"/>
      <c r="AJ103" s="76" t="s">
        <v>413</v>
      </c>
      <c r="AK103" s="13" t="s">
        <v>414</v>
      </c>
      <c r="AL103" s="70">
        <v>1996.0</v>
      </c>
      <c r="AM103" s="7"/>
      <c r="AN103" s="8"/>
      <c r="AO103" s="13"/>
      <c r="AP103" s="7" t="s">
        <v>427</v>
      </c>
      <c r="AQ103" s="7"/>
      <c r="AR103" s="9"/>
      <c r="AS103" s="7"/>
      <c r="AT103" s="79">
        <v>0.369</v>
      </c>
      <c r="AU103" s="7"/>
      <c r="AV103" s="64">
        <v>1.01</v>
      </c>
      <c r="AW103" s="7"/>
      <c r="AX103" s="73">
        <v>2.25</v>
      </c>
      <c r="AY103" s="7"/>
      <c r="AZ103" s="11" t="s">
        <v>293</v>
      </c>
      <c r="BA103" s="11" t="s">
        <v>294</v>
      </c>
      <c r="BB103" s="11"/>
      <c r="BC103" s="11"/>
      <c r="BD103" s="11"/>
      <c r="BE103" s="11"/>
      <c r="BF103" s="68">
        <v>-35.1</v>
      </c>
      <c r="BG103" s="11"/>
      <c r="BH103" s="80">
        <v>2.56E-12</v>
      </c>
      <c r="BI103" s="11"/>
      <c r="BJ103" s="68">
        <v>-13.1</v>
      </c>
      <c r="BK103" s="11"/>
      <c r="BL103" s="80">
        <v>2.67E-12</v>
      </c>
      <c r="BM103" s="11"/>
      <c r="BN103" s="68">
        <v>-13.2</v>
      </c>
      <c r="BO103" s="11"/>
      <c r="BP103" s="80">
        <v>1.5E-12</v>
      </c>
      <c r="BQ103" s="11"/>
      <c r="BR103" s="68">
        <v>-76.7</v>
      </c>
      <c r="BS103" s="11"/>
      <c r="BT103" s="80">
        <v>5.63E-12</v>
      </c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80"/>
      <c r="DG103" s="80"/>
      <c r="DH103" s="80">
        <v>6.98E-12</v>
      </c>
      <c r="DI103" s="80"/>
      <c r="DJ103" s="12"/>
      <c r="DK103" s="12"/>
      <c r="DL103" s="12"/>
      <c r="DM103" s="12"/>
      <c r="DN103" s="12"/>
      <c r="DO103" s="12"/>
      <c r="DP103" s="12"/>
      <c r="DQ103" s="11"/>
      <c r="DR103" s="12"/>
      <c r="DS103" s="12"/>
      <c r="DT103" s="12"/>
      <c r="DU103" s="12"/>
      <c r="DV103" s="73">
        <v>-0.22184874961635637</v>
      </c>
      <c r="DW103" s="10"/>
      <c r="DX103" s="73">
        <v>1.44E-7</v>
      </c>
      <c r="DY103" s="7"/>
      <c r="DZ103" s="7"/>
      <c r="EA103" s="7"/>
      <c r="EB103" s="7"/>
    </row>
    <row r="104">
      <c r="A104" s="55" t="s">
        <v>428</v>
      </c>
      <c r="B104" s="56" t="s">
        <v>429</v>
      </c>
      <c r="C104" s="4" t="s">
        <v>156</v>
      </c>
      <c r="D104" s="57">
        <v>1.55</v>
      </c>
      <c r="E104" s="4"/>
      <c r="F104" s="57" t="s">
        <v>168</v>
      </c>
      <c r="G104" s="58">
        <v>167.6167</v>
      </c>
      <c r="H104" s="58">
        <v>-37.5311</v>
      </c>
      <c r="I104" s="6" t="s">
        <v>224</v>
      </c>
      <c r="J104" s="6" t="s">
        <v>169</v>
      </c>
      <c r="K104" s="58">
        <v>8.0</v>
      </c>
      <c r="L104" s="5"/>
      <c r="M104" s="60">
        <v>2.0</v>
      </c>
      <c r="N104" s="61">
        <v>36.6222560774634</v>
      </c>
      <c r="O104" s="61">
        <v>-115.221</v>
      </c>
      <c r="P104" s="61">
        <v>0.127</v>
      </c>
      <c r="Q104" s="61">
        <v>-17.324</v>
      </c>
      <c r="R104" s="61">
        <v>0.147</v>
      </c>
      <c r="S104" s="60"/>
      <c r="T104" s="60"/>
      <c r="U104" s="59">
        <v>0.0</v>
      </c>
      <c r="V104" s="5"/>
      <c r="W104" s="5"/>
      <c r="X104" s="5"/>
      <c r="Y104" s="83" t="s">
        <v>306</v>
      </c>
      <c r="Z104" s="60"/>
      <c r="AA104" s="60"/>
      <c r="AB104" s="60"/>
      <c r="AC104" s="60"/>
      <c r="AD104" s="60"/>
      <c r="AE104" s="60"/>
      <c r="AF104" s="60"/>
      <c r="AG104" s="60"/>
      <c r="AH104" s="6"/>
      <c r="AI104" s="96"/>
      <c r="AJ104" s="76" t="s">
        <v>306</v>
      </c>
      <c r="AK104" s="13" t="s">
        <v>307</v>
      </c>
      <c r="AL104" s="70">
        <v>2008.0</v>
      </c>
      <c r="AM104" s="7"/>
      <c r="AN104" s="77">
        <v>34.0</v>
      </c>
      <c r="AO104" s="13"/>
      <c r="AP104" s="13" t="s">
        <v>430</v>
      </c>
      <c r="AQ104" s="7"/>
      <c r="AR104" s="78">
        <v>3415.0</v>
      </c>
      <c r="AS104" s="7"/>
      <c r="AT104" s="79">
        <v>0.37</v>
      </c>
      <c r="AU104" s="7"/>
      <c r="AV104" s="64">
        <v>0.07943282347</v>
      </c>
      <c r="AW104" s="7"/>
      <c r="AX104" s="73">
        <v>0.81</v>
      </c>
      <c r="AY104" s="7"/>
      <c r="AZ104" s="11" t="s">
        <v>293</v>
      </c>
      <c r="BA104" s="11" t="s">
        <v>294</v>
      </c>
      <c r="BB104" s="100">
        <v>-37.0</v>
      </c>
      <c r="BC104" s="11"/>
      <c r="BD104" s="80">
        <v>2.14E-12</v>
      </c>
      <c r="BE104" s="11"/>
      <c r="BF104" s="68">
        <v>-20.0</v>
      </c>
      <c r="BG104" s="11"/>
      <c r="BH104" s="80">
        <v>4.79E-13</v>
      </c>
      <c r="BI104" s="11"/>
      <c r="BJ104" s="68">
        <v>-25.0</v>
      </c>
      <c r="BK104" s="11"/>
      <c r="BL104" s="80">
        <v>3.55E-13</v>
      </c>
      <c r="BM104" s="11"/>
      <c r="BN104" s="68">
        <v>-23.0</v>
      </c>
      <c r="BO104" s="11"/>
      <c r="BP104" s="80">
        <v>2.88E-13</v>
      </c>
      <c r="BQ104" s="11"/>
      <c r="BR104" s="68">
        <v>-25.0</v>
      </c>
      <c r="BS104" s="11"/>
      <c r="BT104" s="80">
        <v>2.0E-13</v>
      </c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68">
        <v>-0.77</v>
      </c>
      <c r="CU104" s="11"/>
      <c r="CV104" s="80">
        <v>6.31E-14</v>
      </c>
      <c r="CW104" s="11"/>
      <c r="CX104" s="68" t="s">
        <v>326</v>
      </c>
      <c r="CY104" s="11"/>
      <c r="CZ104" s="80" t="s">
        <v>423</v>
      </c>
      <c r="DA104" s="11"/>
      <c r="DB104" s="11"/>
      <c r="DC104" s="11"/>
      <c r="DD104" s="11"/>
      <c r="DE104" s="11"/>
      <c r="DF104" s="68">
        <v>-16.0</v>
      </c>
      <c r="DG104" s="68"/>
      <c r="DH104" s="80">
        <v>1.23E-13</v>
      </c>
      <c r="DI104" s="68"/>
      <c r="DJ104" s="12"/>
      <c r="DK104" s="12"/>
      <c r="DL104" s="12"/>
      <c r="DM104" s="69"/>
      <c r="DN104" s="69"/>
      <c r="DO104" s="69"/>
      <c r="DP104" s="69"/>
      <c r="DQ104" s="11"/>
      <c r="DR104" s="69"/>
      <c r="DS104" s="69"/>
      <c r="DT104" s="69"/>
      <c r="DU104" s="69"/>
      <c r="DV104" s="73">
        <v>-2.5</v>
      </c>
      <c r="DW104" s="10"/>
      <c r="DX104" s="81">
        <v>2.51E-10</v>
      </c>
      <c r="DY104" s="7"/>
      <c r="DZ104" s="64" t="s">
        <v>225</v>
      </c>
      <c r="EA104" s="7"/>
      <c r="EB104" s="7"/>
    </row>
    <row r="105">
      <c r="A105" s="55" t="s">
        <v>431</v>
      </c>
      <c r="B105" s="56" t="s">
        <v>431</v>
      </c>
      <c r="C105" s="4"/>
      <c r="D105" s="4"/>
      <c r="E105" s="4"/>
      <c r="F105" s="57" t="s">
        <v>168</v>
      </c>
      <c r="G105" s="58">
        <v>68.86407343</v>
      </c>
      <c r="H105" s="58">
        <v>24.24969688</v>
      </c>
      <c r="I105" s="6" t="s">
        <v>199</v>
      </c>
      <c r="J105" s="6" t="s">
        <v>169</v>
      </c>
      <c r="K105" s="58">
        <f>(10^5.69)/1000000</f>
        <v>0.4897788194</v>
      </c>
      <c r="L105" s="60"/>
      <c r="M105" s="60">
        <v>2.0</v>
      </c>
      <c r="N105" s="58">
        <v>128.2199228</v>
      </c>
      <c r="O105" s="58">
        <v>6.055</v>
      </c>
      <c r="P105" s="58">
        <v>0.131</v>
      </c>
      <c r="Q105" s="58">
        <v>-20.771</v>
      </c>
      <c r="R105" s="58">
        <v>0.087</v>
      </c>
      <c r="S105" s="60">
        <v>17.0</v>
      </c>
      <c r="T105" s="60">
        <v>0.103</v>
      </c>
      <c r="U105" s="60">
        <v>0.25</v>
      </c>
      <c r="V105" s="60">
        <v>0.5</v>
      </c>
      <c r="W105" s="5"/>
      <c r="X105" s="5"/>
      <c r="Y105" s="83" t="s">
        <v>413</v>
      </c>
      <c r="Z105" s="60">
        <v>11.79</v>
      </c>
      <c r="AA105" s="60"/>
      <c r="AB105" s="60">
        <v>9.139</v>
      </c>
      <c r="AC105" s="60">
        <v>0.021</v>
      </c>
      <c r="AD105" s="60">
        <v>8.342</v>
      </c>
      <c r="AE105" s="60">
        <v>0.027</v>
      </c>
      <c r="AF105" s="60">
        <v>8.015</v>
      </c>
      <c r="AG105" s="60">
        <v>0.021</v>
      </c>
      <c r="AH105" s="6"/>
      <c r="AI105" s="96"/>
      <c r="AJ105" s="76" t="s">
        <v>413</v>
      </c>
      <c r="AK105" s="13" t="s">
        <v>414</v>
      </c>
      <c r="AL105" s="70">
        <v>1996.0</v>
      </c>
      <c r="AM105" s="7"/>
      <c r="AN105" s="8"/>
      <c r="AO105" s="13"/>
      <c r="AP105" s="7" t="s">
        <v>427</v>
      </c>
      <c r="AQ105" s="7"/>
      <c r="AR105" s="9"/>
      <c r="AS105" s="7"/>
      <c r="AT105" s="79">
        <v>0.382</v>
      </c>
      <c r="AU105" s="7"/>
      <c r="AV105" s="64">
        <v>0.87</v>
      </c>
      <c r="AW105" s="7"/>
      <c r="AX105" s="73">
        <v>2.09</v>
      </c>
      <c r="AY105" s="7"/>
      <c r="AZ105" s="11" t="s">
        <v>293</v>
      </c>
      <c r="BA105" s="11" t="s">
        <v>294</v>
      </c>
      <c r="BB105" s="11"/>
      <c r="BC105" s="11"/>
      <c r="BD105" s="11"/>
      <c r="BE105" s="11"/>
      <c r="BF105" s="68">
        <v>-9.1</v>
      </c>
      <c r="BG105" s="11"/>
      <c r="BH105" s="80">
        <v>2.4E-13</v>
      </c>
      <c r="BI105" s="11"/>
      <c r="BJ105" s="68">
        <v>-13.2</v>
      </c>
      <c r="BK105" s="11"/>
      <c r="BL105" s="80">
        <v>2.0E-13</v>
      </c>
      <c r="BM105" s="11"/>
      <c r="BN105" s="68">
        <v>-14.3</v>
      </c>
      <c r="BO105" s="11"/>
      <c r="BP105" s="80">
        <v>1.7E-13</v>
      </c>
      <c r="BQ105" s="11"/>
      <c r="BR105" s="68">
        <v>-20.8</v>
      </c>
      <c r="BS105" s="11"/>
      <c r="BT105" s="80">
        <v>2.4E-13</v>
      </c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80"/>
      <c r="DG105" s="80"/>
      <c r="DH105" s="80">
        <v>1.3E-13</v>
      </c>
      <c r="DI105" s="80"/>
      <c r="DJ105" s="12"/>
      <c r="DK105" s="12"/>
      <c r="DL105" s="12"/>
      <c r="DM105" s="69"/>
      <c r="DN105" s="69"/>
      <c r="DO105" s="69"/>
      <c r="DP105" s="69"/>
      <c r="DQ105" s="11"/>
      <c r="DR105" s="69"/>
      <c r="DS105" s="69"/>
      <c r="DT105" s="69"/>
      <c r="DU105" s="69"/>
      <c r="DV105" s="73">
        <v>-1.7958800173440752</v>
      </c>
      <c r="DW105" s="10"/>
      <c r="DX105" s="81">
        <v>3.5E-9</v>
      </c>
      <c r="DY105" s="7"/>
      <c r="DZ105" s="7"/>
      <c r="EA105" s="7"/>
      <c r="EB105" s="7"/>
    </row>
    <row r="106">
      <c r="A106" s="55" t="s">
        <v>432</v>
      </c>
      <c r="B106" s="99" t="s">
        <v>433</v>
      </c>
      <c r="C106" s="4"/>
      <c r="D106" s="4"/>
      <c r="E106" s="4"/>
      <c r="F106" s="57" t="s">
        <v>168</v>
      </c>
      <c r="G106" s="58">
        <v>72.94745851</v>
      </c>
      <c r="H106" s="58">
        <v>30.78709784</v>
      </c>
      <c r="I106" s="6" t="s">
        <v>199</v>
      </c>
      <c r="J106" s="6" t="s">
        <v>169</v>
      </c>
      <c r="K106" s="58">
        <f>(10^5.52)/1000000</f>
        <v>0.3311311215</v>
      </c>
      <c r="L106" s="60"/>
      <c r="M106" s="60">
        <v>2.0</v>
      </c>
      <c r="N106" s="58">
        <v>155.6081165</v>
      </c>
      <c r="O106" s="58">
        <v>4.379</v>
      </c>
      <c r="P106" s="58">
        <v>0.119</v>
      </c>
      <c r="Q106" s="58">
        <v>-25.972</v>
      </c>
      <c r="R106" s="58">
        <v>0.057</v>
      </c>
      <c r="S106" s="60">
        <v>13.92</v>
      </c>
      <c r="T106" s="60">
        <v>0.07</v>
      </c>
      <c r="U106" s="60">
        <v>1.26</v>
      </c>
      <c r="V106" s="60">
        <v>0.5</v>
      </c>
      <c r="W106" s="5"/>
      <c r="X106" s="5"/>
      <c r="Y106" s="83" t="s">
        <v>413</v>
      </c>
      <c r="Z106" s="60">
        <v>10.59</v>
      </c>
      <c r="AA106" s="60"/>
      <c r="AB106" s="60">
        <v>9.134</v>
      </c>
      <c r="AC106" s="60">
        <v>0.02</v>
      </c>
      <c r="AD106" s="60">
        <v>7.987</v>
      </c>
      <c r="AE106" s="60">
        <v>0.016</v>
      </c>
      <c r="AF106" s="60">
        <v>7.239</v>
      </c>
      <c r="AG106" s="60">
        <v>0.018</v>
      </c>
      <c r="AH106" s="6"/>
      <c r="AI106" s="96"/>
      <c r="AJ106" s="76" t="s">
        <v>413</v>
      </c>
      <c r="AK106" s="13" t="s">
        <v>414</v>
      </c>
      <c r="AL106" s="70">
        <v>1996.0</v>
      </c>
      <c r="AM106" s="7"/>
      <c r="AN106" s="8"/>
      <c r="AO106" s="13"/>
      <c r="AP106" s="7" t="s">
        <v>434</v>
      </c>
      <c r="AQ106" s="7"/>
      <c r="AR106" s="9"/>
      <c r="AS106" s="7"/>
      <c r="AT106" s="79">
        <v>0.421</v>
      </c>
      <c r="AU106" s="7"/>
      <c r="AV106" s="64">
        <v>1.585</v>
      </c>
      <c r="AW106" s="7"/>
      <c r="AX106" s="73">
        <v>2.6</v>
      </c>
      <c r="AY106" s="7"/>
      <c r="AZ106" s="11" t="s">
        <v>293</v>
      </c>
      <c r="BA106" s="11" t="s">
        <v>294</v>
      </c>
      <c r="BB106" s="11"/>
      <c r="BC106" s="11"/>
      <c r="BD106" s="11"/>
      <c r="BE106" s="11"/>
      <c r="BF106" s="68">
        <v>-21.1</v>
      </c>
      <c r="BG106" s="11"/>
      <c r="BH106" s="80">
        <v>1.78E-12</v>
      </c>
      <c r="BI106" s="11"/>
      <c r="BJ106" s="68">
        <v>-17.2</v>
      </c>
      <c r="BK106" s="11"/>
      <c r="BL106" s="80">
        <v>1.56E-12</v>
      </c>
      <c r="BM106" s="11"/>
      <c r="BN106" s="68">
        <v>-16.7</v>
      </c>
      <c r="BO106" s="11"/>
      <c r="BP106" s="80">
        <v>1.05E-12</v>
      </c>
      <c r="BQ106" s="11"/>
      <c r="BR106" s="68">
        <v>-22.4</v>
      </c>
      <c r="BS106" s="11"/>
      <c r="BT106" s="80">
        <v>1.38E-12</v>
      </c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80"/>
      <c r="DG106" s="80"/>
      <c r="DH106" s="80">
        <v>9.4E-13</v>
      </c>
      <c r="DI106" s="80"/>
      <c r="DJ106" s="12"/>
      <c r="DK106" s="12"/>
      <c r="DL106" s="12"/>
      <c r="DM106" s="69"/>
      <c r="DN106" s="69"/>
      <c r="DO106" s="69"/>
      <c r="DP106" s="69"/>
      <c r="DQ106" s="11"/>
      <c r="DR106" s="69"/>
      <c r="DS106" s="69"/>
      <c r="DT106" s="69"/>
      <c r="DU106" s="69"/>
      <c r="DV106" s="73">
        <v>-0.5718652059712112</v>
      </c>
      <c r="DW106" s="10"/>
      <c r="DX106" s="81">
        <v>6.56E-8</v>
      </c>
      <c r="DY106" s="7"/>
      <c r="DZ106" s="7"/>
      <c r="EA106" s="7"/>
      <c r="EB106" s="7"/>
    </row>
    <row r="107">
      <c r="A107" s="55" t="s">
        <v>435</v>
      </c>
      <c r="B107" s="56" t="s">
        <v>435</v>
      </c>
      <c r="C107" s="4"/>
      <c r="D107" s="4"/>
      <c r="E107" s="4"/>
      <c r="F107" s="57" t="s">
        <v>168</v>
      </c>
      <c r="G107" s="58">
        <v>64.39053396</v>
      </c>
      <c r="H107" s="58">
        <v>28.3463361</v>
      </c>
      <c r="I107" s="6" t="s">
        <v>199</v>
      </c>
      <c r="J107" s="6" t="s">
        <v>169</v>
      </c>
      <c r="K107" s="58">
        <f>(10^6.32)/1000000</f>
        <v>2.089296131</v>
      </c>
      <c r="L107" s="60"/>
      <c r="M107" s="60">
        <v>2.0</v>
      </c>
      <c r="N107" s="58">
        <v>128.8809269</v>
      </c>
      <c r="O107" s="58">
        <v>9.18</v>
      </c>
      <c r="P107" s="58">
        <v>0.102</v>
      </c>
      <c r="Q107" s="58">
        <v>-25.548</v>
      </c>
      <c r="R107" s="58">
        <v>0.075</v>
      </c>
      <c r="S107" s="60">
        <v>16.23</v>
      </c>
      <c r="T107" s="60">
        <v>0.098</v>
      </c>
      <c r="U107" s="60">
        <v>0.32</v>
      </c>
      <c r="V107" s="60">
        <v>0.5</v>
      </c>
      <c r="W107" s="5"/>
      <c r="X107" s="5"/>
      <c r="Y107" s="83" t="s">
        <v>413</v>
      </c>
      <c r="Z107" s="60">
        <v>12.59</v>
      </c>
      <c r="AA107" s="60"/>
      <c r="AB107" s="60">
        <v>9.828</v>
      </c>
      <c r="AC107" s="60">
        <v>0.02</v>
      </c>
      <c r="AD107" s="60">
        <v>8.97</v>
      </c>
      <c r="AE107" s="60">
        <v>0.024</v>
      </c>
      <c r="AF107" s="60">
        <v>8.597</v>
      </c>
      <c r="AG107" s="60">
        <v>0.021</v>
      </c>
      <c r="AH107" s="6"/>
      <c r="AI107" s="96"/>
      <c r="AJ107" s="76" t="s">
        <v>413</v>
      </c>
      <c r="AK107" s="13" t="s">
        <v>414</v>
      </c>
      <c r="AL107" s="70">
        <v>1996.0</v>
      </c>
      <c r="AM107" s="7"/>
      <c r="AN107" s="8"/>
      <c r="AO107" s="13"/>
      <c r="AP107" s="7" t="s">
        <v>419</v>
      </c>
      <c r="AQ107" s="7"/>
      <c r="AR107" s="9"/>
      <c r="AS107" s="7"/>
      <c r="AT107" s="79">
        <v>0.424</v>
      </c>
      <c r="AU107" s="7"/>
      <c r="AV107" s="64">
        <v>0.46</v>
      </c>
      <c r="AW107" s="7"/>
      <c r="AX107" s="73">
        <v>1.63</v>
      </c>
      <c r="AY107" s="7"/>
      <c r="AZ107" s="11" t="s">
        <v>293</v>
      </c>
      <c r="BA107" s="11" t="s">
        <v>294</v>
      </c>
      <c r="BB107" s="11"/>
      <c r="BC107" s="11"/>
      <c r="BD107" s="11"/>
      <c r="BE107" s="11"/>
      <c r="BF107" s="68">
        <v>-50.2</v>
      </c>
      <c r="BG107" s="11"/>
      <c r="BH107" s="80">
        <v>7.2E-13</v>
      </c>
      <c r="BI107" s="11"/>
      <c r="BJ107" s="68">
        <v>-39.3</v>
      </c>
      <c r="BK107" s="11"/>
      <c r="BL107" s="80">
        <v>4.3E-13</v>
      </c>
      <c r="BM107" s="11"/>
      <c r="BN107" s="68">
        <v>-37.2</v>
      </c>
      <c r="BO107" s="11"/>
      <c r="BP107" s="80">
        <v>3.3E-13</v>
      </c>
      <c r="BQ107" s="11"/>
      <c r="BR107" s="68">
        <v>-51.2</v>
      </c>
      <c r="BS107" s="11"/>
      <c r="BT107" s="80">
        <v>4.2E-13</v>
      </c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80"/>
      <c r="DG107" s="80"/>
      <c r="DH107" s="80">
        <v>2.1E-13</v>
      </c>
      <c r="DI107" s="80"/>
      <c r="DJ107" s="12"/>
      <c r="DK107" s="12"/>
      <c r="DL107" s="12"/>
      <c r="DM107" s="69"/>
      <c r="DN107" s="69"/>
      <c r="DO107" s="69"/>
      <c r="DP107" s="69"/>
      <c r="DQ107" s="11"/>
      <c r="DR107" s="69"/>
      <c r="DS107" s="69"/>
      <c r="DT107" s="69"/>
      <c r="DU107" s="69"/>
      <c r="DV107" s="73">
        <v>-1.3872161432802645</v>
      </c>
      <c r="DW107" s="10"/>
      <c r="DX107" s="81">
        <v>7.5E-9</v>
      </c>
      <c r="DY107" s="7"/>
      <c r="DZ107" s="7"/>
      <c r="EA107" s="7"/>
      <c r="EB107" s="7"/>
    </row>
    <row r="108">
      <c r="A108" s="55" t="s">
        <v>436</v>
      </c>
      <c r="B108" s="56" t="s">
        <v>436</v>
      </c>
      <c r="C108" s="4"/>
      <c r="D108" s="4"/>
      <c r="E108" s="4"/>
      <c r="F108" s="57" t="s">
        <v>168</v>
      </c>
      <c r="G108" s="58">
        <v>67.6843792</v>
      </c>
      <c r="H108" s="58">
        <v>26.0234639</v>
      </c>
      <c r="I108" s="6" t="s">
        <v>199</v>
      </c>
      <c r="J108" s="6" t="s">
        <v>169</v>
      </c>
      <c r="K108" s="58">
        <f>(10^5.56)/1000000</f>
        <v>0.3630780548</v>
      </c>
      <c r="L108" s="60"/>
      <c r="M108" s="60">
        <v>2.0</v>
      </c>
      <c r="N108" s="58">
        <v>128.5181853</v>
      </c>
      <c r="O108" s="58">
        <v>6.244</v>
      </c>
      <c r="P108" s="58">
        <v>0.104</v>
      </c>
      <c r="Q108" s="58">
        <v>-21.203</v>
      </c>
      <c r="R108" s="58">
        <v>0.079</v>
      </c>
      <c r="S108" s="60">
        <v>16.2</v>
      </c>
      <c r="T108" s="60">
        <v>0.21</v>
      </c>
      <c r="U108" s="60">
        <v>1.42</v>
      </c>
      <c r="V108" s="60">
        <v>0.5</v>
      </c>
      <c r="W108" s="5"/>
      <c r="X108" s="5"/>
      <c r="Y108" s="83" t="s">
        <v>413</v>
      </c>
      <c r="Z108" s="60">
        <v>12.08</v>
      </c>
      <c r="AA108" s="60">
        <v>0.48</v>
      </c>
      <c r="AB108" s="60">
        <v>8.719</v>
      </c>
      <c r="AC108" s="60">
        <v>0.03</v>
      </c>
      <c r="AD108" s="60">
        <v>7.758</v>
      </c>
      <c r="AE108" s="60">
        <v>0.024</v>
      </c>
      <c r="AF108" s="60">
        <v>7.096</v>
      </c>
      <c r="AG108" s="60">
        <v>0.016</v>
      </c>
      <c r="AH108" s="6"/>
      <c r="AI108" s="96"/>
      <c r="AJ108" s="76" t="s">
        <v>413</v>
      </c>
      <c r="AK108" s="13" t="s">
        <v>414</v>
      </c>
      <c r="AL108" s="70">
        <v>1996.0</v>
      </c>
      <c r="AM108" s="7"/>
      <c r="AN108" s="8"/>
      <c r="AO108" s="13"/>
      <c r="AP108" s="7" t="s">
        <v>434</v>
      </c>
      <c r="AQ108" s="7"/>
      <c r="AR108" s="9"/>
      <c r="AS108" s="7"/>
      <c r="AT108" s="79">
        <v>0.431</v>
      </c>
      <c r="AU108" s="7"/>
      <c r="AV108" s="64">
        <v>1.45</v>
      </c>
      <c r="AW108" s="7"/>
      <c r="AX108" s="73">
        <v>2.49</v>
      </c>
      <c r="AY108" s="7"/>
      <c r="AZ108" s="11" t="s">
        <v>293</v>
      </c>
      <c r="BA108" s="11" t="s">
        <v>294</v>
      </c>
      <c r="BB108" s="11"/>
      <c r="BC108" s="11"/>
      <c r="BD108" s="11"/>
      <c r="BE108" s="11"/>
      <c r="BF108" s="68">
        <v>-20.5</v>
      </c>
      <c r="BG108" s="11"/>
      <c r="BH108" s="80">
        <v>9.9E-13</v>
      </c>
      <c r="BI108" s="11"/>
      <c r="BJ108" s="68">
        <v>-14.4</v>
      </c>
      <c r="BK108" s="11"/>
      <c r="BL108" s="80">
        <v>7.0E-13</v>
      </c>
      <c r="BM108" s="11"/>
      <c r="BN108" s="68">
        <v>-9.9</v>
      </c>
      <c r="BO108" s="11"/>
      <c r="BP108" s="80">
        <v>5.0E-13</v>
      </c>
      <c r="BQ108" s="11"/>
      <c r="BR108" s="68">
        <v>-24.2</v>
      </c>
      <c r="BS108" s="11"/>
      <c r="BT108" s="80">
        <v>9.1E-13</v>
      </c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80"/>
      <c r="DG108" s="80"/>
      <c r="DH108" s="80">
        <v>7.6E-13</v>
      </c>
      <c r="DI108" s="80"/>
      <c r="DJ108" s="12"/>
      <c r="DK108" s="12"/>
      <c r="DL108" s="12"/>
      <c r="DM108" s="69"/>
      <c r="DN108" s="69"/>
      <c r="DO108" s="69"/>
      <c r="DP108" s="69"/>
      <c r="DQ108" s="11"/>
      <c r="DR108" s="69"/>
      <c r="DS108" s="69"/>
      <c r="DT108" s="69"/>
      <c r="DU108" s="69"/>
      <c r="DV108" s="73">
        <v>-0.7798919119599449</v>
      </c>
      <c r="DW108" s="10"/>
      <c r="DX108" s="81">
        <v>3.79E-8</v>
      </c>
      <c r="DY108" s="7"/>
      <c r="DZ108" s="7"/>
      <c r="EA108" s="7"/>
      <c r="EB108" s="7"/>
    </row>
    <row r="109">
      <c r="A109" s="55" t="s">
        <v>437</v>
      </c>
      <c r="B109" s="56" t="s">
        <v>437</v>
      </c>
      <c r="C109" s="4"/>
      <c r="D109" s="4"/>
      <c r="E109" s="4"/>
      <c r="F109" s="57" t="s">
        <v>168</v>
      </c>
      <c r="G109" s="58">
        <v>71.72107377</v>
      </c>
      <c r="H109" s="58">
        <v>17.00003759</v>
      </c>
      <c r="I109" s="6" t="s">
        <v>199</v>
      </c>
      <c r="J109" s="6" t="s">
        <v>169</v>
      </c>
      <c r="K109" s="58">
        <f>(10^5.88)/1000000</f>
        <v>0.758577575</v>
      </c>
      <c r="L109" s="60"/>
      <c r="M109" s="60">
        <v>2.0</v>
      </c>
      <c r="N109" s="58">
        <v>197.4489594</v>
      </c>
      <c r="O109" s="58">
        <v>4.74</v>
      </c>
      <c r="P109" s="58">
        <v>0.129</v>
      </c>
      <c r="Q109" s="58">
        <v>-13.254</v>
      </c>
      <c r="R109" s="58">
        <v>0.056</v>
      </c>
      <c r="S109" s="60"/>
      <c r="T109" s="60">
        <v>0.0</v>
      </c>
      <c r="U109" s="60">
        <v>0.71</v>
      </c>
      <c r="V109" s="60">
        <v>0.5</v>
      </c>
      <c r="W109" s="5"/>
      <c r="X109" s="5"/>
      <c r="Y109" s="83" t="s">
        <v>413</v>
      </c>
      <c r="Z109" s="60">
        <v>13.21</v>
      </c>
      <c r="AA109" s="60">
        <v>0.18</v>
      </c>
      <c r="AB109" s="60">
        <v>9.511</v>
      </c>
      <c r="AC109" s="60">
        <v>0.021</v>
      </c>
      <c r="AD109" s="60">
        <v>8.544</v>
      </c>
      <c r="AE109" s="60">
        <v>0.02</v>
      </c>
      <c r="AF109" s="60">
        <v>7.981</v>
      </c>
      <c r="AG109" s="60">
        <v>0.021</v>
      </c>
      <c r="AH109" s="6"/>
      <c r="AI109" s="96"/>
      <c r="AJ109" s="76" t="s">
        <v>413</v>
      </c>
      <c r="AK109" s="13" t="s">
        <v>414</v>
      </c>
      <c r="AL109" s="70">
        <v>1996.0</v>
      </c>
      <c r="AM109" s="7"/>
      <c r="AN109" s="8"/>
      <c r="AO109" s="13"/>
      <c r="AP109" s="7" t="s">
        <v>427</v>
      </c>
      <c r="AQ109" s="7"/>
      <c r="AR109" s="9"/>
      <c r="AS109" s="7"/>
      <c r="AT109" s="79">
        <v>0.439</v>
      </c>
      <c r="AU109" s="7"/>
      <c r="AV109" s="64">
        <v>0.635</v>
      </c>
      <c r="AW109" s="7"/>
      <c r="AX109" s="73">
        <v>1.785</v>
      </c>
      <c r="AY109" s="7"/>
      <c r="AZ109" s="11" t="s">
        <v>293</v>
      </c>
      <c r="BA109" s="11" t="s">
        <v>294</v>
      </c>
      <c r="BB109" s="11"/>
      <c r="BC109" s="11"/>
      <c r="BD109" s="11"/>
      <c r="BE109" s="11"/>
      <c r="BF109" s="68">
        <v>-17.4</v>
      </c>
      <c r="BG109" s="11"/>
      <c r="BH109" s="80">
        <v>2.4E-13</v>
      </c>
      <c r="BI109" s="11"/>
      <c r="BJ109" s="68">
        <v>-20.9</v>
      </c>
      <c r="BK109" s="11"/>
      <c r="BL109" s="80">
        <v>1.2E-13</v>
      </c>
      <c r="BM109" s="11"/>
      <c r="BN109" s="68">
        <v>-14.8</v>
      </c>
      <c r="BO109" s="11"/>
      <c r="BP109" s="80">
        <v>7.0E-14</v>
      </c>
      <c r="BQ109" s="11"/>
      <c r="BR109" s="68">
        <v>-19.9</v>
      </c>
      <c r="BS109" s="11"/>
      <c r="BT109" s="80">
        <v>9.0E-14</v>
      </c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80"/>
      <c r="DG109" s="80"/>
      <c r="DH109" s="80">
        <v>5.0E-14</v>
      </c>
      <c r="DI109" s="80"/>
      <c r="DJ109" s="12"/>
      <c r="DK109" s="12"/>
      <c r="DL109" s="12"/>
      <c r="DM109" s="69"/>
      <c r="DN109" s="69"/>
      <c r="DO109" s="69"/>
      <c r="DP109" s="69"/>
      <c r="DQ109" s="11"/>
      <c r="DR109" s="69"/>
      <c r="DS109" s="69"/>
      <c r="DT109" s="69"/>
      <c r="DU109" s="69"/>
      <c r="DV109" s="73">
        <v>-2.3979400086720375</v>
      </c>
      <c r="DW109" s="10"/>
      <c r="DX109" s="81">
        <v>6.0E-10</v>
      </c>
      <c r="DY109" s="7"/>
      <c r="DZ109" s="7"/>
      <c r="EA109" s="7"/>
      <c r="EB109" s="7"/>
    </row>
    <row r="110">
      <c r="A110" s="55" t="s">
        <v>438</v>
      </c>
      <c r="B110" s="56" t="s">
        <v>439</v>
      </c>
      <c r="C110" s="4"/>
      <c r="D110" s="4"/>
      <c r="E110" s="4"/>
      <c r="F110" s="57" t="s">
        <v>168</v>
      </c>
      <c r="G110" s="58">
        <v>68.1263829</v>
      </c>
      <c r="H110" s="58">
        <v>17.52800969</v>
      </c>
      <c r="I110" s="6" t="s">
        <v>199</v>
      </c>
      <c r="J110" s="6" t="s">
        <v>169</v>
      </c>
      <c r="K110" s="58">
        <f>(10^5.63)/1000000</f>
        <v>0.4265795188</v>
      </c>
      <c r="L110" s="5"/>
      <c r="M110" s="5"/>
      <c r="N110" s="6"/>
      <c r="O110" s="58">
        <v>28.905</v>
      </c>
      <c r="P110" s="58">
        <v>2.151</v>
      </c>
      <c r="Q110" s="58">
        <v>-39.615</v>
      </c>
      <c r="R110" s="58">
        <v>1.976</v>
      </c>
      <c r="S110" s="60">
        <v>12.0</v>
      </c>
      <c r="T110" s="60"/>
      <c r="U110" s="60">
        <v>0.6</v>
      </c>
      <c r="V110" s="60">
        <v>0.5</v>
      </c>
      <c r="W110" s="5"/>
      <c r="X110" s="5"/>
      <c r="Y110" s="83" t="s">
        <v>413</v>
      </c>
      <c r="Z110" s="60">
        <v>11.54</v>
      </c>
      <c r="AA110" s="60"/>
      <c r="AB110" s="60">
        <v>8.67</v>
      </c>
      <c r="AC110" s="60">
        <v>0.04</v>
      </c>
      <c r="AD110" s="60">
        <v>7.815</v>
      </c>
      <c r="AE110" s="60">
        <v>0.026</v>
      </c>
      <c r="AF110" s="60">
        <v>7.364</v>
      </c>
      <c r="AG110" s="60">
        <v>0.018</v>
      </c>
      <c r="AH110" s="6"/>
      <c r="AI110" s="96"/>
      <c r="AJ110" s="76" t="s">
        <v>413</v>
      </c>
      <c r="AK110" s="13" t="s">
        <v>414</v>
      </c>
      <c r="AL110" s="70">
        <v>1996.0</v>
      </c>
      <c r="AM110" s="7"/>
      <c r="AN110" s="8"/>
      <c r="AO110" s="13"/>
      <c r="AP110" s="7" t="s">
        <v>434</v>
      </c>
      <c r="AQ110" s="7"/>
      <c r="AR110" s="9"/>
      <c r="AS110" s="7"/>
      <c r="AT110" s="79">
        <v>0.442</v>
      </c>
      <c r="AU110" s="7"/>
      <c r="AV110" s="64">
        <v>1.25</v>
      </c>
      <c r="AW110" s="7"/>
      <c r="AX110" s="73">
        <v>2.31</v>
      </c>
      <c r="AY110" s="7"/>
      <c r="AZ110" s="11" t="s">
        <v>293</v>
      </c>
      <c r="BA110" s="11" t="s">
        <v>294</v>
      </c>
      <c r="BB110" s="11"/>
      <c r="BC110" s="11"/>
      <c r="BD110" s="11"/>
      <c r="BE110" s="11"/>
      <c r="BF110" s="68">
        <v>-24.5</v>
      </c>
      <c r="BG110" s="11"/>
      <c r="BH110" s="80">
        <v>1.7E-12</v>
      </c>
      <c r="BI110" s="11"/>
      <c r="BJ110" s="68">
        <v>-22.3</v>
      </c>
      <c r="BK110" s="11"/>
      <c r="BL110" s="80">
        <v>9.5E-13</v>
      </c>
      <c r="BM110" s="11"/>
      <c r="BN110" s="68">
        <v>-19.8</v>
      </c>
      <c r="BO110" s="11"/>
      <c r="BP110" s="80">
        <v>5.8E-13</v>
      </c>
      <c r="BQ110" s="11"/>
      <c r="BR110" s="68">
        <v>-42.5</v>
      </c>
      <c r="BS110" s="11"/>
      <c r="BT110" s="80">
        <v>1.14E-12</v>
      </c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80"/>
      <c r="DG110" s="80"/>
      <c r="DH110" s="80">
        <v>1.3E-12</v>
      </c>
      <c r="DI110" s="80"/>
      <c r="DJ110" s="12"/>
      <c r="DK110" s="12"/>
      <c r="DL110" s="12"/>
      <c r="DM110" s="12"/>
      <c r="DN110" s="12"/>
      <c r="DO110" s="12"/>
      <c r="DP110" s="12"/>
      <c r="DQ110" s="11"/>
      <c r="DR110" s="12"/>
      <c r="DS110" s="12"/>
      <c r="DT110" s="12"/>
      <c r="DU110" s="12"/>
      <c r="DV110" s="73">
        <v>-1.0757207139381184</v>
      </c>
      <c r="DW110" s="10"/>
      <c r="DX110" s="81">
        <v>1.75E-8</v>
      </c>
      <c r="DY110" s="7"/>
      <c r="DZ110" s="7"/>
      <c r="EA110" s="7"/>
      <c r="EB110" s="7"/>
    </row>
    <row r="111">
      <c r="A111" s="55" t="s">
        <v>440</v>
      </c>
      <c r="B111" s="56" t="s">
        <v>441</v>
      </c>
      <c r="C111" s="4"/>
      <c r="D111" s="4"/>
      <c r="E111" s="4"/>
      <c r="F111" s="57" t="s">
        <v>168</v>
      </c>
      <c r="G111" s="58">
        <v>68.39401116</v>
      </c>
      <c r="H111" s="58">
        <v>24.35162626</v>
      </c>
      <c r="I111" s="6" t="s">
        <v>199</v>
      </c>
      <c r="J111" s="6" t="s">
        <v>169</v>
      </c>
      <c r="K111" s="58">
        <f>(10^5.7)/1000000</f>
        <v>0.5011872336</v>
      </c>
      <c r="L111" s="60"/>
      <c r="M111" s="60">
        <v>2.0</v>
      </c>
      <c r="N111" s="58">
        <v>129.2624286</v>
      </c>
      <c r="O111" s="58">
        <v>7.753</v>
      </c>
      <c r="P111" s="58">
        <v>0.095</v>
      </c>
      <c r="Q111" s="58">
        <v>-20.483</v>
      </c>
      <c r="R111" s="58">
        <v>0.07</v>
      </c>
      <c r="S111" s="60"/>
      <c r="T111" s="60"/>
      <c r="U111" s="60">
        <v>0.94</v>
      </c>
      <c r="V111" s="60">
        <v>0.5</v>
      </c>
      <c r="W111" s="5"/>
      <c r="X111" s="5"/>
      <c r="Y111" s="83" t="s">
        <v>413</v>
      </c>
      <c r="Z111" s="60">
        <v>12.02</v>
      </c>
      <c r="AA111" s="60">
        <v>0.14</v>
      </c>
      <c r="AB111" s="60">
        <v>9.053</v>
      </c>
      <c r="AC111" s="60">
        <v>0.027</v>
      </c>
      <c r="AD111" s="60">
        <v>8.108</v>
      </c>
      <c r="AE111" s="60">
        <v>0.026</v>
      </c>
      <c r="AF111" s="60">
        <v>7.468</v>
      </c>
      <c r="AG111" s="60">
        <v>0.021</v>
      </c>
      <c r="AH111" s="6"/>
      <c r="AI111" s="96"/>
      <c r="AJ111" s="76" t="s">
        <v>413</v>
      </c>
      <c r="AK111" s="13" t="s">
        <v>414</v>
      </c>
      <c r="AL111" s="70">
        <v>1996.0</v>
      </c>
      <c r="AM111" s="7"/>
      <c r="AN111" s="8"/>
      <c r="AO111" s="13"/>
      <c r="AP111" s="7" t="s">
        <v>434</v>
      </c>
      <c r="AQ111" s="7"/>
      <c r="AR111" s="9"/>
      <c r="AS111" s="7"/>
      <c r="AT111" s="79">
        <v>0.461</v>
      </c>
      <c r="AU111" s="7"/>
      <c r="AV111" s="64">
        <v>1.08</v>
      </c>
      <c r="AW111" s="7"/>
      <c r="AX111" s="73">
        <v>2.15</v>
      </c>
      <c r="AY111" s="7"/>
      <c r="AZ111" s="11" t="s">
        <v>293</v>
      </c>
      <c r="BA111" s="11" t="s">
        <v>294</v>
      </c>
      <c r="BB111" s="11"/>
      <c r="BC111" s="11"/>
      <c r="BD111" s="11"/>
      <c r="BE111" s="11"/>
      <c r="BF111" s="68">
        <v>-8.1</v>
      </c>
      <c r="BG111" s="11"/>
      <c r="BH111" s="80">
        <v>2.9E-13</v>
      </c>
      <c r="BI111" s="11"/>
      <c r="BJ111" s="68">
        <v>-13.7</v>
      </c>
      <c r="BK111" s="11"/>
      <c r="BL111" s="80">
        <v>2.6E-13</v>
      </c>
      <c r="BM111" s="11"/>
      <c r="BN111" s="68">
        <v>-11.6</v>
      </c>
      <c r="BO111" s="11"/>
      <c r="BP111" s="80">
        <v>2.0E-13</v>
      </c>
      <c r="BQ111" s="11"/>
      <c r="BR111" s="68">
        <v>-22.8</v>
      </c>
      <c r="BS111" s="11"/>
      <c r="BT111" s="80">
        <v>2.9E-13</v>
      </c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80"/>
      <c r="DG111" s="80"/>
      <c r="DH111" s="80">
        <v>2.2E-13</v>
      </c>
      <c r="DI111" s="80"/>
      <c r="DJ111" s="12"/>
      <c r="DK111" s="12"/>
      <c r="DL111" s="12"/>
      <c r="DM111" s="69"/>
      <c r="DN111" s="69"/>
      <c r="DO111" s="69"/>
      <c r="DP111" s="69"/>
      <c r="DQ111" s="11"/>
      <c r="DR111" s="69"/>
      <c r="DS111" s="69"/>
      <c r="DT111" s="69"/>
      <c r="DU111" s="69"/>
      <c r="DV111" s="73">
        <v>-1.4559319556497243</v>
      </c>
      <c r="DW111" s="10"/>
      <c r="DX111" s="81">
        <v>6.4E-9</v>
      </c>
      <c r="DY111" s="7"/>
      <c r="DZ111" s="7"/>
      <c r="EA111" s="7"/>
      <c r="EB111" s="7"/>
    </row>
    <row r="112">
      <c r="A112" s="55" t="s">
        <v>442</v>
      </c>
      <c r="B112" s="99" t="s">
        <v>443</v>
      </c>
      <c r="C112" s="4"/>
      <c r="D112" s="4"/>
      <c r="E112" s="4"/>
      <c r="F112" s="57" t="s">
        <v>168</v>
      </c>
      <c r="G112" s="58">
        <v>64.81597624</v>
      </c>
      <c r="H112" s="58">
        <v>29.1074804</v>
      </c>
      <c r="I112" s="6" t="s">
        <v>199</v>
      </c>
      <c r="J112" s="6" t="s">
        <v>169</v>
      </c>
      <c r="K112" s="58">
        <f>(10^5.79)/1000000</f>
        <v>0.6165950019</v>
      </c>
      <c r="L112" s="60"/>
      <c r="M112" s="60">
        <v>2.0</v>
      </c>
      <c r="N112" s="58">
        <v>129.0755608</v>
      </c>
      <c r="O112" s="58">
        <v>8.627</v>
      </c>
      <c r="P112" s="58">
        <v>0.144</v>
      </c>
      <c r="Q112" s="58">
        <v>-26.177</v>
      </c>
      <c r="R112" s="58">
        <v>0.105</v>
      </c>
      <c r="S112" s="60">
        <v>15.76</v>
      </c>
      <c r="T112" s="60">
        <v>0.131</v>
      </c>
      <c r="U112" s="60">
        <v>0.51</v>
      </c>
      <c r="V112" s="60">
        <v>0.5</v>
      </c>
      <c r="W112" s="5"/>
      <c r="X112" s="5"/>
      <c r="Y112" s="83" t="s">
        <v>413</v>
      </c>
      <c r="Z112" s="60">
        <v>11.89</v>
      </c>
      <c r="AA112" s="60">
        <v>0.05</v>
      </c>
      <c r="AB112" s="60">
        <v>9.098</v>
      </c>
      <c r="AC112" s="60">
        <v>0.037</v>
      </c>
      <c r="AD112" s="60">
        <v>8.22</v>
      </c>
      <c r="AE112" s="60">
        <v>0.024</v>
      </c>
      <c r="AF112" s="60">
        <v>7.736</v>
      </c>
      <c r="AG112" s="60">
        <v>0.023</v>
      </c>
      <c r="AH112" s="6"/>
      <c r="AI112" s="96"/>
      <c r="AJ112" s="76" t="s">
        <v>413</v>
      </c>
      <c r="AK112" s="13" t="s">
        <v>414</v>
      </c>
      <c r="AL112" s="70">
        <v>1996.0</v>
      </c>
      <c r="AM112" s="7"/>
      <c r="AN112" s="8"/>
      <c r="AO112" s="13"/>
      <c r="AP112" s="7" t="s">
        <v>434</v>
      </c>
      <c r="AQ112" s="7"/>
      <c r="AR112" s="9"/>
      <c r="AS112" s="7"/>
      <c r="AT112" s="79">
        <v>0.49</v>
      </c>
      <c r="AU112" s="7"/>
      <c r="AV112" s="64">
        <v>0.925</v>
      </c>
      <c r="AW112" s="7"/>
      <c r="AX112" s="73">
        <v>1.99</v>
      </c>
      <c r="AY112" s="7"/>
      <c r="AZ112" s="11" t="s">
        <v>293</v>
      </c>
      <c r="BA112" s="11" t="s">
        <v>294</v>
      </c>
      <c r="BB112" s="11"/>
      <c r="BC112" s="11"/>
      <c r="BD112" s="11"/>
      <c r="BE112" s="11"/>
      <c r="BF112" s="68">
        <v>-28.2</v>
      </c>
      <c r="BG112" s="11"/>
      <c r="BH112" s="80">
        <v>1.59E-12</v>
      </c>
      <c r="BI112" s="11"/>
      <c r="BJ112" s="68">
        <v>-21.2</v>
      </c>
      <c r="BK112" s="11"/>
      <c r="BL112" s="80">
        <v>1.09E-12</v>
      </c>
      <c r="BM112" s="11"/>
      <c r="BN112" s="68">
        <v>-17.7</v>
      </c>
      <c r="BO112" s="11"/>
      <c r="BP112" s="80">
        <v>7.7E-13</v>
      </c>
      <c r="BQ112" s="11"/>
      <c r="BR112" s="68">
        <v>-22.2</v>
      </c>
      <c r="BS112" s="11"/>
      <c r="BT112" s="80">
        <v>1.0E-12</v>
      </c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80"/>
      <c r="DG112" s="80"/>
      <c r="DH112" s="80">
        <v>6.1E-13</v>
      </c>
      <c r="DI112" s="80"/>
      <c r="DJ112" s="12"/>
      <c r="DK112" s="12"/>
      <c r="DL112" s="12"/>
      <c r="DM112" s="69"/>
      <c r="DN112" s="69"/>
      <c r="DO112" s="69"/>
      <c r="DP112" s="69"/>
      <c r="DQ112" s="11"/>
      <c r="DR112" s="69"/>
      <c r="DS112" s="69"/>
      <c r="DT112" s="69"/>
      <c r="DU112" s="69"/>
      <c r="DV112" s="73">
        <v>-0.7471469690201068</v>
      </c>
      <c r="DW112" s="10"/>
      <c r="DX112" s="81">
        <v>2.88E-8</v>
      </c>
      <c r="DY112" s="7"/>
      <c r="DZ112" s="7"/>
      <c r="EA112" s="7"/>
      <c r="EB112" s="7"/>
    </row>
    <row r="113">
      <c r="A113" s="55" t="s">
        <v>444</v>
      </c>
      <c r="B113" s="56" t="s">
        <v>444</v>
      </c>
      <c r="C113" s="4"/>
      <c r="D113" s="4"/>
      <c r="E113" s="4"/>
      <c r="F113" s="57" t="s">
        <v>168</v>
      </c>
      <c r="G113" s="58">
        <v>66.23784312</v>
      </c>
      <c r="H113" s="58">
        <v>27.19903974</v>
      </c>
      <c r="I113" s="6" t="s">
        <v>199</v>
      </c>
      <c r="J113" s="6" t="s">
        <v>169</v>
      </c>
      <c r="K113" s="58">
        <f>(10^6.23)/1000000</f>
        <v>1.698243652</v>
      </c>
      <c r="L113" s="60"/>
      <c r="M113" s="60">
        <v>2.0</v>
      </c>
      <c r="N113" s="58">
        <v>130.5738722</v>
      </c>
      <c r="O113" s="58">
        <v>8.359</v>
      </c>
      <c r="P113" s="58">
        <v>0.11</v>
      </c>
      <c r="Q113" s="58">
        <v>-26.747</v>
      </c>
      <c r="R113" s="58">
        <v>0.076</v>
      </c>
      <c r="S113" s="60">
        <v>16.0</v>
      </c>
      <c r="T113" s="60">
        <v>0.12</v>
      </c>
      <c r="U113" s="60">
        <v>0.32</v>
      </c>
      <c r="V113" s="60">
        <v>0.5</v>
      </c>
      <c r="W113" s="5"/>
      <c r="X113" s="5"/>
      <c r="Y113" s="83" t="s">
        <v>413</v>
      </c>
      <c r="Z113" s="60">
        <v>12.46</v>
      </c>
      <c r="AA113" s="60"/>
      <c r="AB113" s="60">
        <v>9.781</v>
      </c>
      <c r="AC113" s="60">
        <v>0.021</v>
      </c>
      <c r="AD113" s="60">
        <v>8.893</v>
      </c>
      <c r="AE113" s="60">
        <v>0.017</v>
      </c>
      <c r="AF113" s="60">
        <v>8.349</v>
      </c>
      <c r="AG113" s="60">
        <v>0.018</v>
      </c>
      <c r="AH113" s="6"/>
      <c r="AI113" s="96"/>
      <c r="AJ113" s="76" t="s">
        <v>413</v>
      </c>
      <c r="AK113" s="13" t="s">
        <v>414</v>
      </c>
      <c r="AL113" s="70">
        <v>1996.0</v>
      </c>
      <c r="AM113" s="7"/>
      <c r="AN113" s="8"/>
      <c r="AO113" s="13"/>
      <c r="AP113" s="7" t="s">
        <v>427</v>
      </c>
      <c r="AQ113" s="7"/>
      <c r="AR113" s="9"/>
      <c r="AS113" s="7"/>
      <c r="AT113" s="79">
        <v>0.522</v>
      </c>
      <c r="AU113" s="7"/>
      <c r="AV113" s="64">
        <v>0.41</v>
      </c>
      <c r="AW113" s="7"/>
      <c r="AX113" s="73">
        <v>1.44</v>
      </c>
      <c r="AY113" s="7"/>
      <c r="AZ113" s="11" t="s">
        <v>293</v>
      </c>
      <c r="BA113" s="11" t="s">
        <v>294</v>
      </c>
      <c r="BB113" s="11"/>
      <c r="BC113" s="11"/>
      <c r="BD113" s="11"/>
      <c r="BE113" s="11"/>
      <c r="BF113" s="68">
        <v>-6.3</v>
      </c>
      <c r="BG113" s="11"/>
      <c r="BH113" s="80">
        <v>9.0E-14</v>
      </c>
      <c r="BI113" s="11"/>
      <c r="BJ113" s="68">
        <v>-12.2</v>
      </c>
      <c r="BK113" s="11"/>
      <c r="BL113" s="80">
        <v>8.0E-14</v>
      </c>
      <c r="BM113" s="11"/>
      <c r="BN113" s="68">
        <v>-11.7</v>
      </c>
      <c r="BO113" s="11"/>
      <c r="BP113" s="80">
        <v>6.0E-14</v>
      </c>
      <c r="BQ113" s="11"/>
      <c r="BR113" s="68">
        <v>-16.5</v>
      </c>
      <c r="BS113" s="11"/>
      <c r="BT113" s="80">
        <v>1.0E-13</v>
      </c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80"/>
      <c r="DG113" s="80"/>
      <c r="DH113" s="80">
        <v>6.0E-14</v>
      </c>
      <c r="DI113" s="80"/>
      <c r="DJ113" s="12"/>
      <c r="DK113" s="12"/>
      <c r="DL113" s="12"/>
      <c r="DM113" s="69"/>
      <c r="DN113" s="69"/>
      <c r="DO113" s="69"/>
      <c r="DP113" s="69"/>
      <c r="DQ113" s="11"/>
      <c r="DR113" s="69"/>
      <c r="DS113" s="69"/>
      <c r="DT113" s="69"/>
      <c r="DU113" s="69"/>
      <c r="DV113" s="73">
        <v>-2.154901959985743</v>
      </c>
      <c r="DW113" s="10"/>
      <c r="DX113" s="81">
        <v>8.0E-10</v>
      </c>
      <c r="DY113" s="7"/>
      <c r="DZ113" s="7"/>
      <c r="EA113" s="7"/>
      <c r="EB113" s="7"/>
    </row>
    <row r="114">
      <c r="A114" s="55" t="s">
        <v>445</v>
      </c>
      <c r="B114" s="56" t="s">
        <v>446</v>
      </c>
      <c r="C114" s="4"/>
      <c r="D114" s="4"/>
      <c r="E114" s="4"/>
      <c r="F114" s="57" t="s">
        <v>168</v>
      </c>
      <c r="G114" s="58">
        <v>73.79575569</v>
      </c>
      <c r="H114" s="58">
        <v>30.36649333</v>
      </c>
      <c r="I114" s="6" t="s">
        <v>199</v>
      </c>
      <c r="J114" s="6" t="s">
        <v>169</v>
      </c>
      <c r="K114" s="58">
        <f>(10^5.95)/1000000</f>
        <v>0.8912509381</v>
      </c>
      <c r="L114" s="60"/>
      <c r="M114" s="60">
        <v>2.0</v>
      </c>
      <c r="N114" s="58">
        <v>159.637304</v>
      </c>
      <c r="O114" s="58">
        <v>3.899</v>
      </c>
      <c r="P114" s="58">
        <v>0.148</v>
      </c>
      <c r="Q114" s="58">
        <v>-24.451</v>
      </c>
      <c r="R114" s="58">
        <v>0.072</v>
      </c>
      <c r="S114" s="60">
        <v>15.15</v>
      </c>
      <c r="T114" s="60">
        <v>0.04</v>
      </c>
      <c r="U114" s="60">
        <v>0.31</v>
      </c>
      <c r="V114" s="60">
        <v>0.5</v>
      </c>
      <c r="W114" s="5"/>
      <c r="X114" s="5"/>
      <c r="Y114" s="83" t="s">
        <v>413</v>
      </c>
      <c r="Z114" s="60">
        <v>11.798</v>
      </c>
      <c r="AA114" s="60">
        <v>0.05</v>
      </c>
      <c r="AB114" s="60">
        <v>9.341</v>
      </c>
      <c r="AC114" s="60">
        <v>0.018</v>
      </c>
      <c r="AD114" s="60">
        <v>8.603</v>
      </c>
      <c r="AE114" s="60">
        <v>0.024</v>
      </c>
      <c r="AF114" s="60">
        <v>8.283</v>
      </c>
      <c r="AG114" s="60">
        <v>0.017</v>
      </c>
      <c r="AH114" s="6"/>
      <c r="AI114" s="96"/>
      <c r="AJ114" s="76" t="s">
        <v>413</v>
      </c>
      <c r="AK114" s="13" t="s">
        <v>414</v>
      </c>
      <c r="AL114" s="70">
        <v>1996.0</v>
      </c>
      <c r="AM114" s="7"/>
      <c r="AN114" s="8"/>
      <c r="AO114" s="13"/>
      <c r="AP114" s="7" t="s">
        <v>434</v>
      </c>
      <c r="AQ114" s="7"/>
      <c r="AR114" s="9"/>
      <c r="AS114" s="7"/>
      <c r="AT114" s="79">
        <v>0.524</v>
      </c>
      <c r="AU114" s="7"/>
      <c r="AV114" s="64">
        <v>0.74</v>
      </c>
      <c r="AW114" s="7"/>
      <c r="AX114" s="73">
        <v>1.78</v>
      </c>
      <c r="AY114" s="7"/>
      <c r="AZ114" s="11" t="s">
        <v>293</v>
      </c>
      <c r="BA114" s="11" t="s">
        <v>294</v>
      </c>
      <c r="BB114" s="11"/>
      <c r="BC114" s="11"/>
      <c r="BD114" s="11"/>
      <c r="BE114" s="11"/>
      <c r="BF114" s="68">
        <v>-26.3</v>
      </c>
      <c r="BG114" s="11"/>
      <c r="BH114" s="80">
        <v>1.23E-12</v>
      </c>
      <c r="BI114" s="11"/>
      <c r="BJ114" s="68">
        <v>-20.4</v>
      </c>
      <c r="BK114" s="11"/>
      <c r="BL114" s="80">
        <v>6.5E-13</v>
      </c>
      <c r="BM114" s="11"/>
      <c r="BN114" s="68">
        <v>-18.4</v>
      </c>
      <c r="BO114" s="11"/>
      <c r="BP114" s="80">
        <v>4.2E-13</v>
      </c>
      <c r="BQ114" s="11"/>
      <c r="BR114" s="68">
        <v>-18.5</v>
      </c>
      <c r="BS114" s="11"/>
      <c r="BT114" s="80">
        <v>3.8E-13</v>
      </c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80"/>
      <c r="DG114" s="80"/>
      <c r="DH114" s="80">
        <v>1.8E-13</v>
      </c>
      <c r="DI114" s="80"/>
      <c r="DJ114" s="12"/>
      <c r="DK114" s="12"/>
      <c r="DL114" s="12"/>
      <c r="DM114" s="69"/>
      <c r="DN114" s="69"/>
      <c r="DO114" s="69"/>
      <c r="DP114" s="69"/>
      <c r="DQ114" s="11"/>
      <c r="DR114" s="69"/>
      <c r="DS114" s="69"/>
      <c r="DT114" s="69"/>
      <c r="DU114" s="69"/>
      <c r="DV114" s="73">
        <v>-1.1487416512809248</v>
      </c>
      <c r="DW114" s="10"/>
      <c r="DX114" s="81">
        <v>9.6E-9</v>
      </c>
      <c r="DY114" s="7"/>
      <c r="DZ114" s="7"/>
      <c r="EA114" s="7"/>
      <c r="EB114" s="7"/>
    </row>
    <row r="115">
      <c r="A115" s="55" t="s">
        <v>447</v>
      </c>
      <c r="B115" s="99" t="s">
        <v>448</v>
      </c>
      <c r="C115" s="4"/>
      <c r="D115" s="4"/>
      <c r="E115" s="4"/>
      <c r="F115" s="57" t="s">
        <v>168</v>
      </c>
      <c r="G115" s="58">
        <v>68.73092612</v>
      </c>
      <c r="H115" s="58">
        <v>24.48139952</v>
      </c>
      <c r="I115" s="6" t="s">
        <v>199</v>
      </c>
      <c r="J115" s="6" t="s">
        <v>169</v>
      </c>
      <c r="K115" s="58">
        <f>(10^5.98)/1000000</f>
        <v>0.954992586</v>
      </c>
      <c r="L115" s="60"/>
      <c r="M115" s="60">
        <v>2.0</v>
      </c>
      <c r="N115" s="58">
        <v>137.1967951</v>
      </c>
      <c r="O115" s="58">
        <v>3.483</v>
      </c>
      <c r="P115" s="58">
        <v>0.354</v>
      </c>
      <c r="Q115" s="58">
        <v>-20.987</v>
      </c>
      <c r="R115" s="58">
        <v>0.192</v>
      </c>
      <c r="S115" s="60">
        <v>17.37</v>
      </c>
      <c r="T115" s="60">
        <v>0.15</v>
      </c>
      <c r="U115" s="60">
        <v>0.74</v>
      </c>
      <c r="V115" s="60">
        <v>0.5</v>
      </c>
      <c r="W115" s="5"/>
      <c r="X115" s="5"/>
      <c r="Y115" s="83" t="s">
        <v>413</v>
      </c>
      <c r="Z115" s="60"/>
      <c r="AA115" s="60"/>
      <c r="AB115" s="60">
        <v>9.433</v>
      </c>
      <c r="AC115" s="60">
        <v>0.024</v>
      </c>
      <c r="AD115" s="60">
        <v>8.546</v>
      </c>
      <c r="AE115" s="60">
        <v>0.023</v>
      </c>
      <c r="AF115" s="60">
        <v>8.047</v>
      </c>
      <c r="AG115" s="60">
        <v>0.024</v>
      </c>
      <c r="AH115" s="6"/>
      <c r="AI115" s="96"/>
      <c r="AJ115" s="76" t="s">
        <v>413</v>
      </c>
      <c r="AK115" s="13" t="s">
        <v>414</v>
      </c>
      <c r="AL115" s="70">
        <v>1996.0</v>
      </c>
      <c r="AM115" s="7"/>
      <c r="AN115" s="8"/>
      <c r="AO115" s="13"/>
      <c r="AP115" s="7" t="s">
        <v>434</v>
      </c>
      <c r="AQ115" s="7"/>
      <c r="AR115" s="9"/>
      <c r="AS115" s="7"/>
      <c r="AT115" s="79">
        <v>0.53</v>
      </c>
      <c r="AU115" s="7"/>
      <c r="AV115" s="64">
        <v>0.71</v>
      </c>
      <c r="AW115" s="7"/>
      <c r="AX115" s="73">
        <v>1.74</v>
      </c>
      <c r="AY115" s="7"/>
      <c r="AZ115" s="11" t="s">
        <v>293</v>
      </c>
      <c r="BA115" s="11" t="s">
        <v>294</v>
      </c>
      <c r="BB115" s="11"/>
      <c r="BC115" s="11"/>
      <c r="BD115" s="11"/>
      <c r="BE115" s="11"/>
      <c r="BF115" s="68">
        <v>-6.7</v>
      </c>
      <c r="BG115" s="11"/>
      <c r="BH115" s="80">
        <v>1.7E-13</v>
      </c>
      <c r="BI115" s="11"/>
      <c r="BJ115" s="68">
        <v>-13.5</v>
      </c>
      <c r="BK115" s="11"/>
      <c r="BL115" s="80">
        <v>1.9E-13</v>
      </c>
      <c r="BM115" s="11"/>
      <c r="BN115" s="68">
        <v>-14.7</v>
      </c>
      <c r="BO115" s="11"/>
      <c r="BP115" s="80">
        <v>1.8E-13</v>
      </c>
      <c r="BQ115" s="11"/>
      <c r="BR115" s="68">
        <v>-21.6</v>
      </c>
      <c r="BS115" s="11"/>
      <c r="BT115" s="80">
        <v>2.5E-13</v>
      </c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80"/>
      <c r="DG115" s="80"/>
      <c r="DH115" s="80">
        <v>1.3E-13</v>
      </c>
      <c r="DI115" s="80"/>
      <c r="DJ115" s="12"/>
      <c r="DK115" s="12"/>
      <c r="DL115" s="12"/>
      <c r="DM115" s="69"/>
      <c r="DN115" s="69"/>
      <c r="DO115" s="69"/>
      <c r="DP115" s="69"/>
      <c r="DQ115" s="11"/>
      <c r="DR115" s="69"/>
      <c r="DS115" s="69"/>
      <c r="DT115" s="69"/>
      <c r="DU115" s="69"/>
      <c r="DV115" s="73">
        <v>-1.6020599913279623</v>
      </c>
      <c r="DW115" s="10"/>
      <c r="DX115" s="81">
        <v>3.3E-9</v>
      </c>
      <c r="DY115" s="64"/>
      <c r="DZ115" s="64"/>
      <c r="EA115" s="7"/>
      <c r="EB115" s="7"/>
    </row>
    <row r="116">
      <c r="A116" s="74" t="s">
        <v>449</v>
      </c>
      <c r="B116" s="99" t="s">
        <v>418</v>
      </c>
      <c r="C116" s="4"/>
      <c r="D116" s="4"/>
      <c r="E116" s="4"/>
      <c r="F116" s="57" t="s">
        <v>168</v>
      </c>
      <c r="G116" s="61">
        <v>66.7616320833333</v>
      </c>
      <c r="H116" s="61">
        <v>25.7062377777777</v>
      </c>
      <c r="I116" s="6" t="s">
        <v>199</v>
      </c>
      <c r="J116" s="6"/>
      <c r="K116" s="61">
        <v>1.5</v>
      </c>
      <c r="L116" s="60"/>
      <c r="M116" s="60">
        <v>2.0</v>
      </c>
      <c r="N116" s="61">
        <v>124.354908910029</v>
      </c>
      <c r="O116" s="61">
        <v>3.504</v>
      </c>
      <c r="P116" s="61">
        <v>0.793</v>
      </c>
      <c r="Q116" s="61">
        <v>-26.65</v>
      </c>
      <c r="R116" s="61">
        <v>0.685</v>
      </c>
      <c r="S116" s="60">
        <v>16.46</v>
      </c>
      <c r="T116" s="60">
        <v>0.339</v>
      </c>
      <c r="U116" s="61">
        <v>0.6</v>
      </c>
      <c r="V116" s="58">
        <v>0.5</v>
      </c>
      <c r="W116" s="5"/>
      <c r="X116" s="5"/>
      <c r="Y116" s="93" t="s">
        <v>225</v>
      </c>
      <c r="Z116" s="60">
        <v>10.31</v>
      </c>
      <c r="AA116" s="60"/>
      <c r="AB116" s="60">
        <v>8.171</v>
      </c>
      <c r="AC116" s="60">
        <v>0.026</v>
      </c>
      <c r="AD116" s="60">
        <v>7.256</v>
      </c>
      <c r="AE116" s="60">
        <v>0.023</v>
      </c>
      <c r="AF116" s="60">
        <v>6.734</v>
      </c>
      <c r="AG116" s="60">
        <v>0.024</v>
      </c>
      <c r="AH116" s="6"/>
      <c r="AI116" s="96"/>
      <c r="AJ116" s="76" t="s">
        <v>225</v>
      </c>
      <c r="AK116" s="64" t="s">
        <v>450</v>
      </c>
      <c r="AL116" s="70">
        <v>2002.0</v>
      </c>
      <c r="AM116" s="7"/>
      <c r="AN116" s="102">
        <v>140.0</v>
      </c>
      <c r="AO116" s="97">
        <v>15.0</v>
      </c>
      <c r="AP116" s="64" t="s">
        <v>415</v>
      </c>
      <c r="AQ116" s="73">
        <v>0.5</v>
      </c>
      <c r="AR116" s="66">
        <v>3560.0</v>
      </c>
      <c r="AS116" s="64">
        <v>75.0</v>
      </c>
      <c r="AT116" s="67">
        <v>0.66</v>
      </c>
      <c r="AU116" s="7"/>
      <c r="AV116" s="64">
        <v>1.45</v>
      </c>
      <c r="AW116" s="7"/>
      <c r="AX116" s="70">
        <v>3.2</v>
      </c>
      <c r="AY116" s="7"/>
      <c r="AZ116" s="11" t="s">
        <v>293</v>
      </c>
      <c r="BA116" s="11" t="s">
        <v>294</v>
      </c>
      <c r="BB116" s="11"/>
      <c r="BC116" s="11"/>
      <c r="BD116" s="11"/>
      <c r="BE116" s="11"/>
      <c r="BF116" s="12">
        <v>-26.0</v>
      </c>
      <c r="BG116" s="11"/>
      <c r="BH116" s="80">
        <v>8.0E-13</v>
      </c>
      <c r="BI116" s="11"/>
      <c r="BJ116" s="12">
        <v>-20.0</v>
      </c>
      <c r="BK116" s="11"/>
      <c r="BL116" s="80">
        <v>4.4E-13</v>
      </c>
      <c r="BM116" s="11"/>
      <c r="BN116" s="12">
        <v>-17.7</v>
      </c>
      <c r="BO116" s="11"/>
      <c r="BP116" s="80">
        <v>3.2E-13</v>
      </c>
      <c r="BQ116" s="11"/>
      <c r="BR116" s="12">
        <v>-16.0</v>
      </c>
      <c r="BS116" s="11"/>
      <c r="BT116" s="80">
        <v>2.4E-13</v>
      </c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2">
        <v>-28.0</v>
      </c>
      <c r="DG116" s="12"/>
      <c r="DH116" s="80">
        <v>4.2E-13</v>
      </c>
      <c r="DI116" s="12"/>
      <c r="DJ116" s="12">
        <v>-38.0</v>
      </c>
      <c r="DK116" s="80">
        <v>5.6E-13</v>
      </c>
      <c r="DL116" s="80"/>
      <c r="DM116" s="69"/>
      <c r="DN116" s="69"/>
      <c r="DO116" s="69"/>
      <c r="DP116" s="69"/>
      <c r="DQ116" s="11"/>
      <c r="DR116" s="69"/>
      <c r="DS116" s="69"/>
      <c r="DT116" s="69"/>
      <c r="DU116" s="69"/>
      <c r="DV116" s="103">
        <v>-0.92</v>
      </c>
      <c r="DW116" s="98">
        <v>0.2</v>
      </c>
      <c r="DX116" s="71">
        <v>2.3E-8</v>
      </c>
      <c r="DY116" s="7"/>
      <c r="DZ116" s="64" t="s">
        <v>225</v>
      </c>
      <c r="EA116" s="13"/>
      <c r="EB116" s="64" t="s">
        <v>320</v>
      </c>
    </row>
    <row r="117">
      <c r="A117" s="74" t="s">
        <v>449</v>
      </c>
      <c r="B117" s="99" t="s">
        <v>418</v>
      </c>
      <c r="C117" s="4"/>
      <c r="D117" s="4"/>
      <c r="E117" s="4"/>
      <c r="F117" s="57" t="s">
        <v>168</v>
      </c>
      <c r="G117" s="61">
        <v>66.7616320833333</v>
      </c>
      <c r="H117" s="61">
        <v>25.7062377777777</v>
      </c>
      <c r="I117" s="6" t="s">
        <v>199</v>
      </c>
      <c r="J117" s="5"/>
      <c r="K117" s="61">
        <v>1.5</v>
      </c>
      <c r="L117" s="60"/>
      <c r="M117" s="60">
        <v>2.0</v>
      </c>
      <c r="N117" s="61">
        <v>124.354908910029</v>
      </c>
      <c r="O117" s="61">
        <v>3.504</v>
      </c>
      <c r="P117" s="61">
        <v>0.793</v>
      </c>
      <c r="Q117" s="61">
        <v>-26.65</v>
      </c>
      <c r="R117" s="61">
        <v>0.685</v>
      </c>
      <c r="S117" s="60">
        <v>16.46</v>
      </c>
      <c r="T117" s="60">
        <v>0.339</v>
      </c>
      <c r="U117" s="61">
        <v>0.6</v>
      </c>
      <c r="V117" s="58">
        <v>0.5</v>
      </c>
      <c r="W117" s="5"/>
      <c r="X117" s="5"/>
      <c r="Y117" s="93" t="s">
        <v>225</v>
      </c>
      <c r="Z117" s="60">
        <v>10.31</v>
      </c>
      <c r="AA117" s="60"/>
      <c r="AB117" s="60">
        <v>8.171</v>
      </c>
      <c r="AC117" s="60">
        <v>0.026</v>
      </c>
      <c r="AD117" s="60">
        <v>7.256</v>
      </c>
      <c r="AE117" s="60">
        <v>0.023</v>
      </c>
      <c r="AF117" s="60">
        <v>6.734</v>
      </c>
      <c r="AG117" s="60">
        <v>0.024</v>
      </c>
      <c r="AH117" s="6"/>
      <c r="AI117" s="96"/>
      <c r="AJ117" s="76" t="s">
        <v>225</v>
      </c>
      <c r="AK117" s="64" t="s">
        <v>450</v>
      </c>
      <c r="AL117" s="70">
        <v>1999.0</v>
      </c>
      <c r="AM117" s="13"/>
      <c r="AN117" s="102">
        <v>140.0</v>
      </c>
      <c r="AO117" s="97">
        <v>15.0</v>
      </c>
      <c r="AP117" s="64" t="s">
        <v>415</v>
      </c>
      <c r="AQ117" s="73">
        <v>0.5</v>
      </c>
      <c r="AR117" s="66">
        <v>3560.0</v>
      </c>
      <c r="AS117" s="64">
        <v>75.0</v>
      </c>
      <c r="AT117" s="67">
        <v>0.66</v>
      </c>
      <c r="AU117" s="73"/>
      <c r="AV117" s="64">
        <v>1.45</v>
      </c>
      <c r="AW117" s="7"/>
      <c r="AX117" s="70">
        <v>3.2</v>
      </c>
      <c r="AY117" s="7"/>
      <c r="AZ117" s="11" t="s">
        <v>293</v>
      </c>
      <c r="BA117" s="11" t="s">
        <v>294</v>
      </c>
      <c r="BB117" s="11"/>
      <c r="BC117" s="11"/>
      <c r="BD117" s="11"/>
      <c r="BE117" s="11"/>
      <c r="BF117" s="12">
        <v>-29.0</v>
      </c>
      <c r="BG117" s="11"/>
      <c r="BH117" s="80">
        <v>1.5E-12</v>
      </c>
      <c r="BI117" s="11"/>
      <c r="BJ117" s="12">
        <v>-27.0</v>
      </c>
      <c r="BK117" s="11"/>
      <c r="BL117" s="80">
        <v>1.09E-12</v>
      </c>
      <c r="BM117" s="11"/>
      <c r="BN117" s="12">
        <v>-26.0</v>
      </c>
      <c r="BO117" s="11"/>
      <c r="BP117" s="80">
        <v>9.0E-13</v>
      </c>
      <c r="BQ117" s="11"/>
      <c r="BR117" s="12">
        <v>-22.0</v>
      </c>
      <c r="BS117" s="11"/>
      <c r="BT117" s="80">
        <v>6.8E-13</v>
      </c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2">
        <v>-10.4</v>
      </c>
      <c r="DG117" s="12"/>
      <c r="DH117" s="80">
        <v>3.1E-13</v>
      </c>
      <c r="DI117" s="12"/>
      <c r="DJ117" s="12">
        <v>-30.0</v>
      </c>
      <c r="DK117" s="80">
        <v>9.2E-13</v>
      </c>
      <c r="DL117" s="80"/>
      <c r="DM117" s="69"/>
      <c r="DN117" s="69"/>
      <c r="DO117" s="69"/>
      <c r="DP117" s="69"/>
      <c r="DQ117" s="11"/>
      <c r="DR117" s="69"/>
      <c r="DS117" s="69"/>
      <c r="DT117" s="69"/>
      <c r="DU117" s="69"/>
      <c r="DV117" s="103">
        <v>-0.62</v>
      </c>
      <c r="DW117" s="98">
        <v>0.2</v>
      </c>
      <c r="DX117" s="71">
        <v>4.6E-8</v>
      </c>
      <c r="DY117" s="7"/>
      <c r="DZ117" s="64" t="s">
        <v>225</v>
      </c>
      <c r="EA117" s="13"/>
      <c r="EB117" s="64" t="s">
        <v>320</v>
      </c>
    </row>
    <row r="118">
      <c r="A118" s="55" t="s">
        <v>451</v>
      </c>
      <c r="B118" s="56" t="s">
        <v>452</v>
      </c>
      <c r="C118" s="4"/>
      <c r="D118" s="4"/>
      <c r="E118" s="4"/>
      <c r="F118" s="57" t="s">
        <v>168</v>
      </c>
      <c r="G118" s="58">
        <v>68.39192016</v>
      </c>
      <c r="H118" s="58">
        <v>24.35474094</v>
      </c>
      <c r="I118" s="6" t="s">
        <v>199</v>
      </c>
      <c r="J118" s="6" t="s">
        <v>169</v>
      </c>
      <c r="K118" s="58">
        <f>(10^6.09)/1000000</f>
        <v>1.230268771</v>
      </c>
      <c r="L118" s="60"/>
      <c r="M118" s="60">
        <v>2.0</v>
      </c>
      <c r="N118" s="58">
        <v>130.5040065</v>
      </c>
      <c r="O118" s="58">
        <v>5.883</v>
      </c>
      <c r="P118" s="58">
        <v>0.108</v>
      </c>
      <c r="Q118" s="58">
        <v>-20.551</v>
      </c>
      <c r="R118" s="58">
        <v>0.076</v>
      </c>
      <c r="S118" s="60">
        <v>17.47</v>
      </c>
      <c r="T118" s="60">
        <v>0.146</v>
      </c>
      <c r="U118" s="60">
        <v>1.34</v>
      </c>
      <c r="V118" s="60">
        <v>0.5</v>
      </c>
      <c r="W118" s="5"/>
      <c r="X118" s="5"/>
      <c r="Y118" s="83" t="s">
        <v>413</v>
      </c>
      <c r="Z118" s="60">
        <v>12.15</v>
      </c>
      <c r="AA118" s="60"/>
      <c r="AB118" s="60">
        <v>9.341</v>
      </c>
      <c r="AC118" s="60">
        <v>0.02</v>
      </c>
      <c r="AD118" s="60">
        <v>8.418</v>
      </c>
      <c r="AE118" s="60">
        <v>0.021</v>
      </c>
      <c r="AF118" s="60">
        <v>7.888</v>
      </c>
      <c r="AG118" s="60">
        <v>0.023</v>
      </c>
      <c r="AH118" s="6"/>
      <c r="AI118" s="96"/>
      <c r="AJ118" s="76" t="s">
        <v>413</v>
      </c>
      <c r="AK118" s="13" t="s">
        <v>414</v>
      </c>
      <c r="AL118" s="70">
        <v>1996.0</v>
      </c>
      <c r="AM118" s="7"/>
      <c r="AN118" s="8"/>
      <c r="AO118" s="13"/>
      <c r="AP118" s="7" t="s">
        <v>453</v>
      </c>
      <c r="AQ118" s="7"/>
      <c r="AR118" s="9"/>
      <c r="AS118" s="7"/>
      <c r="AT118" s="79">
        <v>0.668</v>
      </c>
      <c r="AU118" s="7"/>
      <c r="AV118" s="64">
        <v>0.85</v>
      </c>
      <c r="AW118" s="7"/>
      <c r="AX118" s="73">
        <v>1.735</v>
      </c>
      <c r="AY118" s="7"/>
      <c r="AZ118" s="11" t="s">
        <v>293</v>
      </c>
      <c r="BA118" s="11" t="s">
        <v>294</v>
      </c>
      <c r="BB118" s="11"/>
      <c r="BC118" s="11"/>
      <c r="BD118" s="11"/>
      <c r="BE118" s="11"/>
      <c r="BF118" s="68">
        <v>-15.2</v>
      </c>
      <c r="BG118" s="11"/>
      <c r="BH118" s="80">
        <v>6.0E-13</v>
      </c>
      <c r="BI118" s="11"/>
      <c r="BJ118" s="68">
        <v>-16.1</v>
      </c>
      <c r="BK118" s="11"/>
      <c r="BL118" s="80">
        <v>5.2E-13</v>
      </c>
      <c r="BM118" s="11"/>
      <c r="BN118" s="68">
        <v>-13.9</v>
      </c>
      <c r="BO118" s="11"/>
      <c r="BP118" s="80">
        <v>4.4E-13</v>
      </c>
      <c r="BQ118" s="11"/>
      <c r="BR118" s="68">
        <v>-22.8</v>
      </c>
      <c r="BS118" s="11"/>
      <c r="BT118" s="80">
        <v>5.4E-13</v>
      </c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80"/>
      <c r="DG118" s="80"/>
      <c r="DH118" s="80">
        <v>2.5E-13</v>
      </c>
      <c r="DI118" s="80"/>
      <c r="DJ118" s="12"/>
      <c r="DK118" s="12"/>
      <c r="DL118" s="12"/>
      <c r="DM118" s="69"/>
      <c r="DN118" s="69"/>
      <c r="DO118" s="69"/>
      <c r="DP118" s="69"/>
      <c r="DQ118" s="11"/>
      <c r="DR118" s="69"/>
      <c r="DS118" s="69"/>
      <c r="DT118" s="69"/>
      <c r="DU118" s="69"/>
      <c r="DV118" s="73">
        <v>-1.0268721464003012</v>
      </c>
      <c r="DW118" s="10"/>
      <c r="DX118" s="81">
        <v>9.6E-9</v>
      </c>
      <c r="DY118" s="7"/>
      <c r="DZ118" s="7"/>
      <c r="EA118" s="7"/>
      <c r="EB118" s="7"/>
    </row>
    <row r="119">
      <c r="A119" s="74" t="s">
        <v>454</v>
      </c>
      <c r="B119" s="99" t="s">
        <v>455</v>
      </c>
      <c r="C119" s="4"/>
      <c r="D119" s="4"/>
      <c r="E119" s="4"/>
      <c r="F119" s="57" t="s">
        <v>168</v>
      </c>
      <c r="G119" s="61">
        <v>165.4662725</v>
      </c>
      <c r="H119" s="61">
        <v>-34.7047308333333</v>
      </c>
      <c r="I119" s="6" t="s">
        <v>199</v>
      </c>
      <c r="J119" s="6"/>
      <c r="K119" s="58">
        <f t="shared" ref="K119:K120" si="4">(10^7.6)/1000000</f>
        <v>39.81071706</v>
      </c>
      <c r="L119" s="60"/>
      <c r="M119" s="60">
        <v>2.0</v>
      </c>
      <c r="N119" s="61">
        <v>60.0860432138822</v>
      </c>
      <c r="O119" s="61">
        <v>-68.389</v>
      </c>
      <c r="P119" s="61">
        <v>0.054</v>
      </c>
      <c r="Q119" s="61">
        <v>-14.016</v>
      </c>
      <c r="R119" s="61">
        <v>0.059</v>
      </c>
      <c r="S119" s="60">
        <v>12.335</v>
      </c>
      <c r="T119" s="60">
        <v>0.002</v>
      </c>
      <c r="U119" s="61">
        <v>0.0</v>
      </c>
      <c r="V119" s="58">
        <v>0.5</v>
      </c>
      <c r="W119" s="5"/>
      <c r="X119" s="5"/>
      <c r="Y119" s="93" t="s">
        <v>225</v>
      </c>
      <c r="Z119" s="60">
        <v>10.626</v>
      </c>
      <c r="AA119" s="60">
        <v>0.05</v>
      </c>
      <c r="AB119" s="60">
        <v>8.217</v>
      </c>
      <c r="AC119" s="60">
        <v>0.024</v>
      </c>
      <c r="AD119" s="60">
        <v>7.558</v>
      </c>
      <c r="AE119" s="60">
        <v>0.042</v>
      </c>
      <c r="AF119" s="60">
        <v>7.297</v>
      </c>
      <c r="AG119" s="60">
        <v>0.024</v>
      </c>
      <c r="AH119" s="6"/>
      <c r="AI119" s="96"/>
      <c r="AJ119" s="76" t="s">
        <v>225</v>
      </c>
      <c r="AK119" s="64" t="s">
        <v>450</v>
      </c>
      <c r="AL119" s="70">
        <v>2002.0</v>
      </c>
      <c r="AM119" s="7"/>
      <c r="AN119" s="102">
        <v>140.0</v>
      </c>
      <c r="AO119" s="97">
        <v>15.0</v>
      </c>
      <c r="AP119" s="64" t="s">
        <v>434</v>
      </c>
      <c r="AQ119" s="73">
        <v>0.5</v>
      </c>
      <c r="AR119" s="66">
        <v>4060.0</v>
      </c>
      <c r="AS119" s="64">
        <v>75.0</v>
      </c>
      <c r="AT119" s="67">
        <v>0.77</v>
      </c>
      <c r="AU119" s="7"/>
      <c r="AV119" s="64">
        <v>0.17</v>
      </c>
      <c r="AW119" s="7"/>
      <c r="AX119" s="70">
        <v>0.83</v>
      </c>
      <c r="AY119" s="7"/>
      <c r="AZ119" s="11" t="s">
        <v>293</v>
      </c>
      <c r="BA119" s="11" t="s">
        <v>294</v>
      </c>
      <c r="BB119" s="11"/>
      <c r="BC119" s="11"/>
      <c r="BD119" s="11"/>
      <c r="BE119" s="11"/>
      <c r="BF119" s="12">
        <v>-77.0</v>
      </c>
      <c r="BG119" s="11"/>
      <c r="BH119" s="80">
        <v>8.8E-12</v>
      </c>
      <c r="BI119" s="11"/>
      <c r="BJ119" s="12">
        <v>-48.0</v>
      </c>
      <c r="BK119" s="11"/>
      <c r="BL119" s="80">
        <v>4.2E-12</v>
      </c>
      <c r="BM119" s="11"/>
      <c r="BN119" s="12">
        <v>-42.0</v>
      </c>
      <c r="BO119" s="11"/>
      <c r="BP119" s="80">
        <v>2.9E-12</v>
      </c>
      <c r="BQ119" s="11"/>
      <c r="BR119" s="12">
        <v>-33.0</v>
      </c>
      <c r="BS119" s="11"/>
      <c r="BT119" s="80">
        <v>1.9E-12</v>
      </c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2">
        <v>-11.5</v>
      </c>
      <c r="DG119" s="12"/>
      <c r="DH119" s="80">
        <v>6.5E-13</v>
      </c>
      <c r="DI119" s="12"/>
      <c r="DJ119" s="69">
        <v>-45.0</v>
      </c>
      <c r="DK119" s="80">
        <v>2.7E-12</v>
      </c>
      <c r="DL119" s="80"/>
      <c r="DM119" s="69"/>
      <c r="DN119" s="69"/>
      <c r="DO119" s="69"/>
      <c r="DP119" s="69"/>
      <c r="DQ119" s="11"/>
      <c r="DR119" s="69"/>
      <c r="DS119" s="69"/>
      <c r="DT119" s="69"/>
      <c r="DU119" s="69"/>
      <c r="DV119" s="103">
        <v>-1.47</v>
      </c>
      <c r="DW119" s="98">
        <v>0.2</v>
      </c>
      <c r="DX119" s="71">
        <v>1.46E-9</v>
      </c>
      <c r="DY119" s="7"/>
      <c r="DZ119" s="64" t="s">
        <v>225</v>
      </c>
      <c r="EA119" s="13"/>
      <c r="EB119" s="64" t="s">
        <v>320</v>
      </c>
    </row>
    <row r="120">
      <c r="A120" s="74" t="s">
        <v>454</v>
      </c>
      <c r="B120" s="99" t="s">
        <v>455</v>
      </c>
      <c r="C120" s="4"/>
      <c r="D120" s="4"/>
      <c r="E120" s="4"/>
      <c r="F120" s="57" t="s">
        <v>168</v>
      </c>
      <c r="G120" s="61">
        <v>165.4662725</v>
      </c>
      <c r="H120" s="61">
        <v>-34.7047308333333</v>
      </c>
      <c r="I120" s="6" t="s">
        <v>199</v>
      </c>
      <c r="J120" s="6"/>
      <c r="K120" s="58">
        <f t="shared" si="4"/>
        <v>39.81071706</v>
      </c>
      <c r="L120" s="60"/>
      <c r="M120" s="60">
        <v>2.0</v>
      </c>
      <c r="N120" s="61">
        <v>60.0860432138822</v>
      </c>
      <c r="O120" s="61">
        <v>-68.389</v>
      </c>
      <c r="P120" s="61">
        <v>0.054</v>
      </c>
      <c r="Q120" s="61">
        <v>-14.016</v>
      </c>
      <c r="R120" s="61">
        <v>0.059</v>
      </c>
      <c r="S120" s="60">
        <v>12.335</v>
      </c>
      <c r="T120" s="60">
        <v>0.002</v>
      </c>
      <c r="U120" s="61">
        <v>0.0</v>
      </c>
      <c r="V120" s="58">
        <v>0.5</v>
      </c>
      <c r="W120" s="5"/>
      <c r="X120" s="5"/>
      <c r="Y120" s="93" t="s">
        <v>225</v>
      </c>
      <c r="Z120" s="60">
        <v>10.626</v>
      </c>
      <c r="AA120" s="60">
        <v>0.05</v>
      </c>
      <c r="AB120" s="60">
        <v>8.217</v>
      </c>
      <c r="AC120" s="60">
        <v>0.024</v>
      </c>
      <c r="AD120" s="60">
        <v>7.558</v>
      </c>
      <c r="AE120" s="60">
        <v>0.042</v>
      </c>
      <c r="AF120" s="60">
        <v>7.297</v>
      </c>
      <c r="AG120" s="60">
        <v>0.024</v>
      </c>
      <c r="AH120" s="6"/>
      <c r="AI120" s="96"/>
      <c r="AJ120" s="76" t="s">
        <v>225</v>
      </c>
      <c r="AK120" s="64" t="s">
        <v>450</v>
      </c>
      <c r="AL120" s="70">
        <v>2000.0</v>
      </c>
      <c r="AM120" s="7"/>
      <c r="AN120" s="102">
        <v>140.0</v>
      </c>
      <c r="AO120" s="97">
        <v>15.0</v>
      </c>
      <c r="AP120" s="64" t="s">
        <v>434</v>
      </c>
      <c r="AQ120" s="73">
        <v>0.5</v>
      </c>
      <c r="AR120" s="66">
        <v>4060.0</v>
      </c>
      <c r="AS120" s="64">
        <v>75.0</v>
      </c>
      <c r="AT120" s="67">
        <v>0.77</v>
      </c>
      <c r="AU120" s="7"/>
      <c r="AV120" s="64">
        <v>0.17</v>
      </c>
      <c r="AW120" s="7"/>
      <c r="AX120" s="70">
        <v>0.83</v>
      </c>
      <c r="AY120" s="7"/>
      <c r="AZ120" s="11" t="s">
        <v>293</v>
      </c>
      <c r="BA120" s="11" t="s">
        <v>294</v>
      </c>
      <c r="BB120" s="11"/>
      <c r="BC120" s="11"/>
      <c r="BD120" s="11"/>
      <c r="BE120" s="11"/>
      <c r="BF120" s="12">
        <v>-38.0</v>
      </c>
      <c r="BG120" s="11"/>
      <c r="BH120" s="80">
        <v>4.7E-12</v>
      </c>
      <c r="BI120" s="11"/>
      <c r="BJ120" s="12">
        <v>-28.0</v>
      </c>
      <c r="BK120" s="11"/>
      <c r="BL120" s="80">
        <v>2.8E-12</v>
      </c>
      <c r="BM120" s="11"/>
      <c r="BN120" s="12">
        <v>-28.0</v>
      </c>
      <c r="BO120" s="11"/>
      <c r="BP120" s="80">
        <v>2.3E-12</v>
      </c>
      <c r="BQ120" s="11"/>
      <c r="BR120" s="12">
        <v>-24.0</v>
      </c>
      <c r="BS120" s="11"/>
      <c r="BT120" s="80">
        <v>1.6E-12</v>
      </c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2">
        <v>-9.6</v>
      </c>
      <c r="DG120" s="12"/>
      <c r="DH120" s="80">
        <v>6.5E-13</v>
      </c>
      <c r="DI120" s="12"/>
      <c r="DJ120" s="69">
        <v>-32.0</v>
      </c>
      <c r="DK120" s="80">
        <v>2.3E-12</v>
      </c>
      <c r="DL120" s="80"/>
      <c r="DM120" s="69"/>
      <c r="DN120" s="69"/>
      <c r="DO120" s="69"/>
      <c r="DP120" s="69"/>
      <c r="DQ120" s="11"/>
      <c r="DR120" s="69"/>
      <c r="DS120" s="69"/>
      <c r="DT120" s="69"/>
      <c r="DU120" s="69"/>
      <c r="DV120" s="103">
        <v>-1.44</v>
      </c>
      <c r="DW120" s="98">
        <v>0.2</v>
      </c>
      <c r="DX120" s="71">
        <v>1.54E-9</v>
      </c>
      <c r="DY120" s="7"/>
      <c r="DZ120" s="64" t="s">
        <v>225</v>
      </c>
      <c r="EA120" s="13"/>
      <c r="EB120" s="64" t="s">
        <v>320</v>
      </c>
    </row>
    <row r="121">
      <c r="A121" s="55" t="s">
        <v>456</v>
      </c>
      <c r="B121" s="56" t="s">
        <v>455</v>
      </c>
      <c r="C121" s="4"/>
      <c r="D121" s="4"/>
      <c r="E121" s="4"/>
      <c r="F121" s="57" t="s">
        <v>168</v>
      </c>
      <c r="G121" s="58">
        <v>165.4662726</v>
      </c>
      <c r="H121" s="58">
        <v>-34.70473099</v>
      </c>
      <c r="I121" s="6" t="s">
        <v>224</v>
      </c>
      <c r="J121" s="6" t="s">
        <v>169</v>
      </c>
      <c r="K121" s="58">
        <v>8.0</v>
      </c>
      <c r="L121" s="5"/>
      <c r="M121" s="60">
        <v>2.0</v>
      </c>
      <c r="N121" s="61">
        <v>60.0860432138822</v>
      </c>
      <c r="O121" s="61">
        <v>-68.389</v>
      </c>
      <c r="P121" s="61">
        <v>0.054</v>
      </c>
      <c r="Q121" s="61">
        <v>-14.016</v>
      </c>
      <c r="R121" s="61">
        <v>0.059</v>
      </c>
      <c r="S121" s="60">
        <v>818.379</v>
      </c>
      <c r="T121" s="60">
        <v>48.343</v>
      </c>
      <c r="U121" s="59">
        <v>0.0</v>
      </c>
      <c r="V121" s="5"/>
      <c r="W121" s="5"/>
      <c r="X121" s="5"/>
      <c r="Y121" s="83" t="s">
        <v>306</v>
      </c>
      <c r="Z121" s="60"/>
      <c r="AA121" s="60"/>
      <c r="AB121" s="60"/>
      <c r="AC121" s="60"/>
      <c r="AD121" s="60"/>
      <c r="AE121" s="60"/>
      <c r="AF121" s="60"/>
      <c r="AG121" s="60"/>
      <c r="AH121" s="6"/>
      <c r="AI121" s="96"/>
      <c r="AJ121" s="76" t="s">
        <v>306</v>
      </c>
      <c r="AK121" s="13" t="s">
        <v>307</v>
      </c>
      <c r="AL121" s="70">
        <v>2008.0</v>
      </c>
      <c r="AM121" s="7"/>
      <c r="AN121" s="77">
        <v>56.0</v>
      </c>
      <c r="AO121" s="13"/>
      <c r="AP121" s="13" t="s">
        <v>434</v>
      </c>
      <c r="AQ121" s="7"/>
      <c r="AR121" s="78">
        <v>4060.0</v>
      </c>
      <c r="AS121" s="7"/>
      <c r="AT121" s="79">
        <v>0.77</v>
      </c>
      <c r="AU121" s="7"/>
      <c r="AV121" s="64">
        <v>0.1698243652</v>
      </c>
      <c r="AW121" s="7"/>
      <c r="AX121" s="73">
        <v>0.83</v>
      </c>
      <c r="AY121" s="7"/>
      <c r="AZ121" s="11" t="s">
        <v>293</v>
      </c>
      <c r="BA121" s="11" t="s">
        <v>294</v>
      </c>
      <c r="BB121" s="100">
        <v>-280.0</v>
      </c>
      <c r="BC121" s="11"/>
      <c r="BD121" s="80">
        <v>5.5E-11</v>
      </c>
      <c r="BE121" s="11"/>
      <c r="BF121" s="68">
        <v>-64.0</v>
      </c>
      <c r="BG121" s="11"/>
      <c r="BH121" s="80">
        <v>4.68E-12</v>
      </c>
      <c r="BI121" s="11"/>
      <c r="BJ121" s="68">
        <v>-37.0</v>
      </c>
      <c r="BK121" s="11"/>
      <c r="BL121" s="80">
        <v>1.82E-12</v>
      </c>
      <c r="BM121" s="11"/>
      <c r="BN121" s="68">
        <v>-30.0</v>
      </c>
      <c r="BO121" s="11"/>
      <c r="BP121" s="80">
        <v>1.17E-12</v>
      </c>
      <c r="BQ121" s="11"/>
      <c r="BR121" s="68">
        <v>-30.0</v>
      </c>
      <c r="BS121" s="11"/>
      <c r="BT121" s="80">
        <v>8.32E-13</v>
      </c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68">
        <v>-3.1</v>
      </c>
      <c r="CU121" s="11"/>
      <c r="CV121" s="80">
        <v>4.17E-13</v>
      </c>
      <c r="CW121" s="11"/>
      <c r="CX121" s="68">
        <v>-1.05</v>
      </c>
      <c r="CY121" s="11"/>
      <c r="CZ121" s="80">
        <v>1.58E-13</v>
      </c>
      <c r="DA121" s="11"/>
      <c r="DB121" s="11"/>
      <c r="DC121" s="11"/>
      <c r="DD121" s="11"/>
      <c r="DE121" s="11"/>
      <c r="DF121" s="68">
        <v>-19.0</v>
      </c>
      <c r="DG121" s="68"/>
      <c r="DH121" s="80">
        <v>5.37E-13</v>
      </c>
      <c r="DI121" s="68"/>
      <c r="DJ121" s="12"/>
      <c r="DK121" s="12"/>
      <c r="DL121" s="12"/>
      <c r="DM121" s="69"/>
      <c r="DN121" s="69"/>
      <c r="DO121" s="69"/>
      <c r="DP121" s="69"/>
      <c r="DQ121" s="11"/>
      <c r="DR121" s="69"/>
      <c r="DS121" s="69"/>
      <c r="DT121" s="69"/>
      <c r="DU121" s="69"/>
      <c r="DV121" s="73">
        <v>-1.7</v>
      </c>
      <c r="DW121" s="10"/>
      <c r="DX121" s="81">
        <v>7.94E-10</v>
      </c>
      <c r="DY121" s="7"/>
      <c r="DZ121" s="64" t="s">
        <v>225</v>
      </c>
      <c r="EA121" s="13"/>
      <c r="EB121" s="13"/>
    </row>
    <row r="122">
      <c r="A122" s="55" t="s">
        <v>457</v>
      </c>
      <c r="B122" s="56" t="s">
        <v>458</v>
      </c>
      <c r="C122" s="4"/>
      <c r="D122" s="4"/>
      <c r="E122" s="4"/>
      <c r="F122" s="57" t="s">
        <v>168</v>
      </c>
      <c r="G122" s="58">
        <v>68.41400516</v>
      </c>
      <c r="H122" s="58">
        <v>17.86452857</v>
      </c>
      <c r="I122" s="6" t="s">
        <v>199</v>
      </c>
      <c r="J122" s="6" t="s">
        <v>169</v>
      </c>
      <c r="K122" s="58">
        <f>(10^7.49)/1000000</f>
        <v>30.90295433</v>
      </c>
      <c r="L122" s="60"/>
      <c r="M122" s="60">
        <v>2.0</v>
      </c>
      <c r="N122" s="58">
        <v>136.5747064</v>
      </c>
      <c r="O122" s="58">
        <v>13.163</v>
      </c>
      <c r="P122" s="58">
        <v>0.348</v>
      </c>
      <c r="Q122" s="58">
        <v>-18.613</v>
      </c>
      <c r="R122" s="58">
        <v>0.198</v>
      </c>
      <c r="S122" s="60">
        <v>4.6</v>
      </c>
      <c r="T122" s="60">
        <v>0.6</v>
      </c>
      <c r="U122" s="60">
        <v>0.65</v>
      </c>
      <c r="V122" s="60">
        <v>0.5</v>
      </c>
      <c r="W122" s="5"/>
      <c r="X122" s="5"/>
      <c r="Y122" s="83" t="s">
        <v>413</v>
      </c>
      <c r="Z122" s="60">
        <v>13.05</v>
      </c>
      <c r="AA122" s="60"/>
      <c r="AB122" s="60">
        <v>10.699</v>
      </c>
      <c r="AC122" s="60">
        <v>0.026</v>
      </c>
      <c r="AD122" s="60">
        <v>9.471</v>
      </c>
      <c r="AE122" s="60">
        <v>0.027</v>
      </c>
      <c r="AF122" s="60">
        <v>8.384</v>
      </c>
      <c r="AG122" s="60">
        <v>0.021</v>
      </c>
      <c r="AH122" s="6"/>
      <c r="AI122" s="96"/>
      <c r="AJ122" s="76" t="s">
        <v>413</v>
      </c>
      <c r="AK122" s="13" t="s">
        <v>414</v>
      </c>
      <c r="AL122" s="70">
        <v>1996.0</v>
      </c>
      <c r="AM122" s="7"/>
      <c r="AN122" s="8"/>
      <c r="AO122" s="13"/>
      <c r="AP122" s="7" t="s">
        <v>459</v>
      </c>
      <c r="AQ122" s="7"/>
      <c r="AR122" s="9"/>
      <c r="AS122" s="7"/>
      <c r="AT122" s="79">
        <v>0.81</v>
      </c>
      <c r="AU122" s="7"/>
      <c r="AV122" s="64">
        <v>0.19</v>
      </c>
      <c r="AW122" s="7"/>
      <c r="AX122" s="73">
        <v>0.76</v>
      </c>
      <c r="AY122" s="7"/>
      <c r="AZ122" s="11" t="s">
        <v>293</v>
      </c>
      <c r="BA122" s="11" t="s">
        <v>294</v>
      </c>
      <c r="BB122" s="11"/>
      <c r="BC122" s="11"/>
      <c r="BD122" s="11"/>
      <c r="BE122" s="11"/>
      <c r="BF122" s="68">
        <v>-39.7</v>
      </c>
      <c r="BG122" s="11"/>
      <c r="BH122" s="80">
        <v>4.5E-13</v>
      </c>
      <c r="BI122" s="11"/>
      <c r="BJ122" s="68">
        <v>-22.4</v>
      </c>
      <c r="BK122" s="11"/>
      <c r="BL122" s="80">
        <v>2.5E-13</v>
      </c>
      <c r="BM122" s="11"/>
      <c r="BN122" s="68">
        <v>-6.6</v>
      </c>
      <c r="BO122" s="11"/>
      <c r="BP122" s="80">
        <v>1.5E-13</v>
      </c>
      <c r="BQ122" s="11"/>
      <c r="BR122" s="68">
        <v>-49.1</v>
      </c>
      <c r="BS122" s="11"/>
      <c r="BT122" s="80">
        <v>2.9E-13</v>
      </c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80"/>
      <c r="DG122" s="80"/>
      <c r="DH122" s="80">
        <v>4.4E-13</v>
      </c>
      <c r="DI122" s="80"/>
      <c r="DJ122" s="12"/>
      <c r="DK122" s="12"/>
      <c r="DL122" s="12"/>
      <c r="DM122" s="69"/>
      <c r="DN122" s="69"/>
      <c r="DO122" s="69"/>
      <c r="DP122" s="69"/>
      <c r="DQ122" s="11"/>
      <c r="DR122" s="69"/>
      <c r="DS122" s="69"/>
      <c r="DT122" s="69"/>
      <c r="DU122" s="69"/>
      <c r="DV122" s="73">
        <v>-1.4559319556497243</v>
      </c>
      <c r="DW122" s="10"/>
      <c r="DX122" s="81">
        <v>1.3E-9</v>
      </c>
      <c r="DY122" s="7"/>
      <c r="DZ122" s="7"/>
      <c r="EA122" s="7"/>
      <c r="EB122" s="7"/>
    </row>
    <row r="123">
      <c r="A123" s="74" t="s">
        <v>460</v>
      </c>
      <c r="B123" s="99" t="s">
        <v>461</v>
      </c>
      <c r="C123" s="4"/>
      <c r="D123" s="4"/>
      <c r="E123" s="4"/>
      <c r="F123" s="57" t="s">
        <v>168</v>
      </c>
      <c r="G123" s="61">
        <v>66.7695470833333</v>
      </c>
      <c r="H123" s="61">
        <v>26.1044558333333</v>
      </c>
      <c r="I123" s="6" t="s">
        <v>199</v>
      </c>
      <c r="J123" s="6"/>
      <c r="K123" s="58">
        <f>(10^7.5)/1000000</f>
        <v>31.6227766</v>
      </c>
      <c r="L123" s="60"/>
      <c r="M123" s="60">
        <v>2.0</v>
      </c>
      <c r="N123" s="61">
        <v>121.1768697591</v>
      </c>
      <c r="O123" s="61">
        <v>6.156</v>
      </c>
      <c r="P123" s="61">
        <v>0.357</v>
      </c>
      <c r="Q123" s="61">
        <v>-19.297</v>
      </c>
      <c r="R123" s="61">
        <v>0.241</v>
      </c>
      <c r="S123" s="60">
        <v>15.4</v>
      </c>
      <c r="T123" s="60">
        <v>0.6</v>
      </c>
      <c r="U123" s="61">
        <v>1.3</v>
      </c>
      <c r="V123" s="58">
        <v>0.5</v>
      </c>
      <c r="W123" s="5"/>
      <c r="X123" s="5"/>
      <c r="Y123" s="93" t="s">
        <v>225</v>
      </c>
      <c r="Z123" s="60">
        <v>12.28</v>
      </c>
      <c r="AA123" s="60"/>
      <c r="AB123" s="60">
        <v>8.691</v>
      </c>
      <c r="AC123" s="60">
        <v>0.018</v>
      </c>
      <c r="AD123" s="60">
        <v>7.72</v>
      </c>
      <c r="AE123" s="60">
        <v>0.03</v>
      </c>
      <c r="AF123" s="60">
        <v>6.992</v>
      </c>
      <c r="AG123" s="60">
        <v>0.02</v>
      </c>
      <c r="AH123" s="6"/>
      <c r="AI123" s="96"/>
      <c r="AJ123" s="76" t="s">
        <v>225</v>
      </c>
      <c r="AK123" s="64" t="s">
        <v>450</v>
      </c>
      <c r="AL123" s="70">
        <v>2006.0</v>
      </c>
      <c r="AM123" s="7"/>
      <c r="AN123" s="102">
        <v>140.0</v>
      </c>
      <c r="AO123" s="97">
        <v>15.0</v>
      </c>
      <c r="AP123" s="64" t="s">
        <v>453</v>
      </c>
      <c r="AQ123" s="73">
        <v>0.5</v>
      </c>
      <c r="AR123" s="66">
        <v>4205.0</v>
      </c>
      <c r="AS123" s="64">
        <v>75.0</v>
      </c>
      <c r="AT123" s="67">
        <v>0.85</v>
      </c>
      <c r="AU123" s="7"/>
      <c r="AV123" s="64">
        <v>0.28</v>
      </c>
      <c r="AW123" s="7"/>
      <c r="AX123" s="70">
        <v>1.0</v>
      </c>
      <c r="AY123" s="7"/>
      <c r="AZ123" s="11" t="s">
        <v>293</v>
      </c>
      <c r="BA123" s="11" t="s">
        <v>294</v>
      </c>
      <c r="BB123" s="11"/>
      <c r="BC123" s="11"/>
      <c r="BD123" s="11"/>
      <c r="BE123" s="11"/>
      <c r="BF123" s="12">
        <v>-24.0</v>
      </c>
      <c r="BG123" s="11"/>
      <c r="BH123" s="80">
        <v>2.9E-13</v>
      </c>
      <c r="BI123" s="11"/>
      <c r="BJ123" s="12">
        <v>-14.0</v>
      </c>
      <c r="BK123" s="11"/>
      <c r="BL123" s="80">
        <v>1.15E-13</v>
      </c>
      <c r="BM123" s="11"/>
      <c r="BN123" s="12">
        <v>-11.6</v>
      </c>
      <c r="BO123" s="11"/>
      <c r="BP123" s="80">
        <v>7.0E-14</v>
      </c>
      <c r="BQ123" s="11"/>
      <c r="BR123" s="12">
        <v>-8.8</v>
      </c>
      <c r="BS123" s="11"/>
      <c r="BT123" s="80">
        <v>4.2E-14</v>
      </c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2">
        <v>-61.0</v>
      </c>
      <c r="DG123" s="12"/>
      <c r="DH123" s="80">
        <v>3.3E-13</v>
      </c>
      <c r="DI123" s="12"/>
      <c r="DJ123" s="69">
        <v>-44.0</v>
      </c>
      <c r="DK123" s="80">
        <v>2.2E-13</v>
      </c>
      <c r="DL123" s="80"/>
      <c r="DM123" s="69"/>
      <c r="DN123" s="69"/>
      <c r="DO123" s="69"/>
      <c r="DP123" s="69"/>
      <c r="DQ123" s="11"/>
      <c r="DR123" s="69"/>
      <c r="DS123" s="69"/>
      <c r="DT123" s="69"/>
      <c r="DU123" s="69"/>
      <c r="DV123" s="103">
        <v>-1.06</v>
      </c>
      <c r="DW123" s="98">
        <v>0.2</v>
      </c>
      <c r="DX123" s="71">
        <v>4.1E-9</v>
      </c>
      <c r="DY123" s="7"/>
      <c r="DZ123" s="64" t="s">
        <v>225</v>
      </c>
      <c r="EA123" s="13"/>
      <c r="EB123" s="64" t="s">
        <v>320</v>
      </c>
    </row>
    <row r="124">
      <c r="A124" s="55" t="s">
        <v>462</v>
      </c>
      <c r="B124" s="56" t="s">
        <v>462</v>
      </c>
      <c r="C124" s="4"/>
      <c r="D124" s="4"/>
      <c r="E124" s="4"/>
      <c r="F124" s="57" t="s">
        <v>168</v>
      </c>
      <c r="G124" s="58">
        <v>71.95248119</v>
      </c>
      <c r="H124" s="58">
        <v>29.41977495</v>
      </c>
      <c r="I124" s="6" t="s">
        <v>199</v>
      </c>
      <c r="J124" s="6" t="s">
        <v>169</v>
      </c>
      <c r="K124" s="58">
        <f>(10^6.58)/1000000</f>
        <v>3.801893963</v>
      </c>
      <c r="L124" s="60"/>
      <c r="M124" s="60">
        <v>2.0</v>
      </c>
      <c r="N124" s="58">
        <v>159.0710252</v>
      </c>
      <c r="O124" s="58">
        <v>5.043</v>
      </c>
      <c r="P124" s="58">
        <v>0.076</v>
      </c>
      <c r="Q124" s="58">
        <v>-24.334</v>
      </c>
      <c r="R124" s="58">
        <v>0.04</v>
      </c>
      <c r="S124" s="60">
        <v>13.0</v>
      </c>
      <c r="T124" s="60"/>
      <c r="U124" s="60">
        <v>0.34</v>
      </c>
      <c r="V124" s="60">
        <v>0.5</v>
      </c>
      <c r="W124" s="5"/>
      <c r="X124" s="5"/>
      <c r="Y124" s="83" t="s">
        <v>413</v>
      </c>
      <c r="Z124" s="60">
        <v>12.37</v>
      </c>
      <c r="AA124" s="60">
        <v>0.13</v>
      </c>
      <c r="AB124" s="60">
        <v>9.465</v>
      </c>
      <c r="AC124" s="60">
        <v>0.018</v>
      </c>
      <c r="AD124" s="60">
        <v>8.6</v>
      </c>
      <c r="AE124" s="60">
        <v>0.03</v>
      </c>
      <c r="AF124" s="60">
        <v>8.036</v>
      </c>
      <c r="AG124" s="60">
        <v>0.029</v>
      </c>
      <c r="AH124" s="6"/>
      <c r="AI124" s="96"/>
      <c r="AJ124" s="76" t="s">
        <v>413</v>
      </c>
      <c r="AK124" s="13" t="s">
        <v>414</v>
      </c>
      <c r="AL124" s="70">
        <v>1996.0</v>
      </c>
      <c r="AM124" s="7"/>
      <c r="AN124" s="8"/>
      <c r="AO124" s="13"/>
      <c r="AP124" s="7" t="s">
        <v>459</v>
      </c>
      <c r="AQ124" s="7"/>
      <c r="AR124" s="9"/>
      <c r="AS124" s="7"/>
      <c r="AT124" s="79">
        <v>0.87</v>
      </c>
      <c r="AU124" s="7"/>
      <c r="AV124" s="64">
        <v>0.57</v>
      </c>
      <c r="AW124" s="7"/>
      <c r="AX124" s="73">
        <v>1.36</v>
      </c>
      <c r="AY124" s="7"/>
      <c r="AZ124" s="11" t="s">
        <v>293</v>
      </c>
      <c r="BA124" s="11" t="s">
        <v>294</v>
      </c>
      <c r="BB124" s="11"/>
      <c r="BC124" s="11"/>
      <c r="BD124" s="11"/>
      <c r="BE124" s="11"/>
      <c r="BF124" s="68">
        <v>-22.6</v>
      </c>
      <c r="BG124" s="11"/>
      <c r="BH124" s="80">
        <v>1.21E-12</v>
      </c>
      <c r="BI124" s="11"/>
      <c r="BJ124" s="68">
        <v>-15.6</v>
      </c>
      <c r="BK124" s="11"/>
      <c r="BL124" s="80">
        <v>9.0E-13</v>
      </c>
      <c r="BM124" s="11"/>
      <c r="BN124" s="68">
        <v>-11.9</v>
      </c>
      <c r="BO124" s="11"/>
      <c r="BP124" s="80">
        <v>5.9E-13</v>
      </c>
      <c r="BQ124" s="11"/>
      <c r="BR124" s="68">
        <v>-16.7</v>
      </c>
      <c r="BS124" s="11"/>
      <c r="BT124" s="80">
        <v>8.6E-13</v>
      </c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80"/>
      <c r="DG124" s="80"/>
      <c r="DH124" s="80">
        <v>6.3E-13</v>
      </c>
      <c r="DI124" s="80"/>
      <c r="DJ124" s="12"/>
      <c r="DK124" s="12"/>
      <c r="DL124" s="12"/>
      <c r="DM124" s="69"/>
      <c r="DN124" s="69"/>
      <c r="DO124" s="69"/>
      <c r="DP124" s="69"/>
      <c r="DQ124" s="11"/>
      <c r="DR124" s="69"/>
      <c r="DS124" s="69"/>
      <c r="DT124" s="69"/>
      <c r="DU124" s="69"/>
      <c r="DV124" s="73">
        <v>-0.679853713888946</v>
      </c>
      <c r="DW124" s="10"/>
      <c r="DX124" s="81">
        <v>1.29E-8</v>
      </c>
      <c r="DY124" s="7"/>
      <c r="DZ124" s="7"/>
      <c r="EA124" s="7"/>
      <c r="EB124" s="7"/>
    </row>
    <row r="125">
      <c r="A125" s="74" t="s">
        <v>463</v>
      </c>
      <c r="B125" s="99" t="s">
        <v>464</v>
      </c>
      <c r="C125" s="4"/>
      <c r="D125" s="4"/>
      <c r="E125" s="4"/>
      <c r="F125" s="57" t="s">
        <v>168</v>
      </c>
      <c r="G125" s="61">
        <v>75.7774949999999</v>
      </c>
      <c r="H125" s="61">
        <v>25.3887788888888</v>
      </c>
      <c r="I125" s="6" t="s">
        <v>199</v>
      </c>
      <c r="J125" s="6"/>
      <c r="K125" s="58">
        <f>(10^7.1)/1000000</f>
        <v>12.58925412</v>
      </c>
      <c r="L125" s="60"/>
      <c r="M125" s="60">
        <v>2.0</v>
      </c>
      <c r="N125" s="61">
        <v>169.577751399016</v>
      </c>
      <c r="O125" s="61">
        <v>3.0</v>
      </c>
      <c r="P125" s="61">
        <v>0.072</v>
      </c>
      <c r="Q125" s="61">
        <v>-17.178</v>
      </c>
      <c r="R125" s="61">
        <v>0.045</v>
      </c>
      <c r="S125" s="60">
        <v>18.15</v>
      </c>
      <c r="T125" s="60">
        <v>0.03</v>
      </c>
      <c r="U125" s="61">
        <v>1.1</v>
      </c>
      <c r="V125" s="58">
        <v>0.5</v>
      </c>
      <c r="W125" s="5"/>
      <c r="X125" s="5"/>
      <c r="Y125" s="93" t="s">
        <v>225</v>
      </c>
      <c r="Z125" s="60">
        <v>13.48</v>
      </c>
      <c r="AA125" s="60">
        <v>0.2</v>
      </c>
      <c r="AB125" s="60">
        <v>9.913</v>
      </c>
      <c r="AC125" s="60">
        <v>0.023</v>
      </c>
      <c r="AD125" s="60">
        <v>9.077</v>
      </c>
      <c r="AE125" s="60">
        <v>0.029</v>
      </c>
      <c r="AF125" s="60">
        <v>8.595</v>
      </c>
      <c r="AG125" s="60">
        <v>0.019</v>
      </c>
      <c r="AH125" s="6"/>
      <c r="AI125" s="96"/>
      <c r="AJ125" s="76" t="s">
        <v>225</v>
      </c>
      <c r="AK125" s="64" t="s">
        <v>450</v>
      </c>
      <c r="AL125" s="70">
        <v>2006.0</v>
      </c>
      <c r="AM125" s="7"/>
      <c r="AN125" s="102">
        <v>140.0</v>
      </c>
      <c r="AO125" s="97">
        <v>15.0</v>
      </c>
      <c r="AP125" s="64" t="s">
        <v>434</v>
      </c>
      <c r="AQ125" s="73">
        <v>0.5</v>
      </c>
      <c r="AR125" s="66">
        <v>4060.0</v>
      </c>
      <c r="AS125" s="64">
        <v>75.0</v>
      </c>
      <c r="AT125" s="67">
        <v>0.95</v>
      </c>
      <c r="AU125" s="7"/>
      <c r="AV125" s="64">
        <v>0.32</v>
      </c>
      <c r="AW125" s="7"/>
      <c r="AX125" s="70">
        <v>1.15</v>
      </c>
      <c r="AY125" s="7"/>
      <c r="AZ125" s="11" t="s">
        <v>293</v>
      </c>
      <c r="BA125" s="11" t="s">
        <v>294</v>
      </c>
      <c r="BB125" s="11"/>
      <c r="BC125" s="11"/>
      <c r="BD125" s="11"/>
      <c r="BE125" s="11"/>
      <c r="BF125" s="12">
        <v>-17.0</v>
      </c>
      <c r="BG125" s="11"/>
      <c r="BH125" s="80">
        <v>9.6E-14</v>
      </c>
      <c r="BI125" s="11"/>
      <c r="BJ125" s="12">
        <v>-8.8</v>
      </c>
      <c r="BK125" s="11"/>
      <c r="BL125" s="80">
        <v>3.1E-14</v>
      </c>
      <c r="BM125" s="11"/>
      <c r="BN125" s="12">
        <v>-9.4</v>
      </c>
      <c r="BO125" s="11"/>
      <c r="BP125" s="80">
        <v>2.0E-14</v>
      </c>
      <c r="BQ125" s="11"/>
      <c r="BR125" s="12">
        <v>-13.0</v>
      </c>
      <c r="BS125" s="11"/>
      <c r="BT125" s="80">
        <v>1.3E-14</v>
      </c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2">
        <v>-12.9</v>
      </c>
      <c r="DG125" s="12"/>
      <c r="DH125" s="80">
        <v>1.37E-14</v>
      </c>
      <c r="DI125" s="12"/>
      <c r="DJ125" s="69">
        <v>-19.5</v>
      </c>
      <c r="DK125" s="80">
        <v>2.6E-14</v>
      </c>
      <c r="DL125" s="80"/>
      <c r="DM125" s="69"/>
      <c r="DN125" s="69"/>
      <c r="DO125" s="69"/>
      <c r="DP125" s="69"/>
      <c r="DQ125" s="11"/>
      <c r="DR125" s="69"/>
      <c r="DS125" s="69"/>
      <c r="DT125" s="69"/>
      <c r="DU125" s="69"/>
      <c r="DV125" s="103">
        <v>-2.49</v>
      </c>
      <c r="DW125" s="98">
        <v>0.2</v>
      </c>
      <c r="DX125" s="71">
        <v>1.5E-10</v>
      </c>
      <c r="DY125" s="7"/>
      <c r="DZ125" s="64" t="s">
        <v>225</v>
      </c>
      <c r="EA125" s="13"/>
      <c r="EB125" s="64" t="s">
        <v>320</v>
      </c>
    </row>
    <row r="126">
      <c r="A126" s="74" t="s">
        <v>465</v>
      </c>
      <c r="B126" s="99" t="s">
        <v>466</v>
      </c>
      <c r="C126" s="4"/>
      <c r="D126" s="4"/>
      <c r="E126" s="4"/>
      <c r="F126" s="57" t="s">
        <v>168</v>
      </c>
      <c r="G126" s="61">
        <v>239.176295416666</v>
      </c>
      <c r="H126" s="61">
        <v>-37.8209647222222</v>
      </c>
      <c r="I126" s="6" t="s">
        <v>199</v>
      </c>
      <c r="J126" s="6"/>
      <c r="K126" s="58">
        <f>(10^7)/1000000</f>
        <v>10</v>
      </c>
      <c r="L126" s="60"/>
      <c r="M126" s="60">
        <v>2.0</v>
      </c>
      <c r="N126" s="61">
        <v>159.573619289259</v>
      </c>
      <c r="O126" s="61">
        <v>-11.546</v>
      </c>
      <c r="P126" s="61">
        <v>0.139</v>
      </c>
      <c r="Q126" s="61">
        <v>-23.234</v>
      </c>
      <c r="R126" s="61">
        <v>0.09</v>
      </c>
      <c r="S126" s="60">
        <v>3.3</v>
      </c>
      <c r="T126" s="60">
        <v>1.8</v>
      </c>
      <c r="U126" s="61">
        <v>0.1</v>
      </c>
      <c r="V126" s="58">
        <v>0.5</v>
      </c>
      <c r="W126" s="5"/>
      <c r="X126" s="5"/>
      <c r="Y126" s="93" t="s">
        <v>225</v>
      </c>
      <c r="Z126" s="60"/>
      <c r="AA126" s="60"/>
      <c r="AB126" s="60">
        <v>8.732</v>
      </c>
      <c r="AC126" s="60">
        <v>0.026</v>
      </c>
      <c r="AD126" s="60">
        <v>7.824</v>
      </c>
      <c r="AE126" s="60">
        <v>0.042</v>
      </c>
      <c r="AF126" s="60">
        <v>7.138</v>
      </c>
      <c r="AG126" s="60">
        <v>0.024</v>
      </c>
      <c r="AH126" s="6"/>
      <c r="AI126" s="96"/>
      <c r="AJ126" s="76" t="s">
        <v>225</v>
      </c>
      <c r="AK126" s="64" t="s">
        <v>450</v>
      </c>
      <c r="AL126" s="70">
        <v>2006.0</v>
      </c>
      <c r="AM126" s="7"/>
      <c r="AN126" s="102">
        <v>140.0</v>
      </c>
      <c r="AO126" s="97">
        <v>15.0</v>
      </c>
      <c r="AP126" s="64" t="s">
        <v>434</v>
      </c>
      <c r="AQ126" s="73">
        <v>0.5</v>
      </c>
      <c r="AR126" s="66">
        <v>4060.0</v>
      </c>
      <c r="AS126" s="64">
        <v>75.0</v>
      </c>
      <c r="AT126" s="67">
        <v>1.0</v>
      </c>
      <c r="AU126" s="7"/>
      <c r="AV126" s="64">
        <v>0.42</v>
      </c>
      <c r="AW126" s="7"/>
      <c r="AX126" s="70">
        <v>1.3</v>
      </c>
      <c r="AY126" s="7"/>
      <c r="AZ126" s="11" t="s">
        <v>293</v>
      </c>
      <c r="BA126" s="11" t="s">
        <v>294</v>
      </c>
      <c r="BB126" s="11"/>
      <c r="BC126" s="11"/>
      <c r="BD126" s="11"/>
      <c r="BE126" s="11"/>
      <c r="BF126" s="12">
        <v>-37.0</v>
      </c>
      <c r="BG126" s="11"/>
      <c r="BH126" s="80">
        <v>3.6E-12</v>
      </c>
      <c r="BI126" s="11"/>
      <c r="BJ126" s="12">
        <v>-16.0</v>
      </c>
      <c r="BK126" s="11"/>
      <c r="BL126" s="80">
        <v>1.6E-12</v>
      </c>
      <c r="BM126" s="11"/>
      <c r="BN126" s="12">
        <v>-14.5</v>
      </c>
      <c r="BO126" s="11"/>
      <c r="BP126" s="80">
        <v>1.13E-12</v>
      </c>
      <c r="BQ126" s="11"/>
      <c r="BR126" s="12">
        <v>-7.3</v>
      </c>
      <c r="BS126" s="11"/>
      <c r="BT126" s="80">
        <v>6.8E-13</v>
      </c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2">
        <v>-50.0</v>
      </c>
      <c r="DG126" s="12"/>
      <c r="DH126" s="80">
        <v>5.0E-12</v>
      </c>
      <c r="DI126" s="12"/>
      <c r="DJ126" s="12">
        <v>-39.0</v>
      </c>
      <c r="DK126" s="80">
        <v>3.3E-12</v>
      </c>
      <c r="DL126" s="80"/>
      <c r="DM126" s="69"/>
      <c r="DN126" s="69"/>
      <c r="DO126" s="69"/>
      <c r="DP126" s="69"/>
      <c r="DQ126" s="11"/>
      <c r="DR126" s="69"/>
      <c r="DS126" s="69"/>
      <c r="DT126" s="69"/>
      <c r="DU126" s="69"/>
      <c r="DV126" s="103">
        <v>-0.46</v>
      </c>
      <c r="DW126" s="98">
        <v>0.2</v>
      </c>
      <c r="DX126" s="71">
        <v>1.8E-8</v>
      </c>
      <c r="DY126" s="7"/>
      <c r="DZ126" s="64" t="s">
        <v>225</v>
      </c>
      <c r="EA126" s="13"/>
      <c r="EB126" s="64" t="s">
        <v>320</v>
      </c>
    </row>
    <row r="127">
      <c r="A127" s="74" t="s">
        <v>467</v>
      </c>
      <c r="B127" s="99" t="s">
        <v>468</v>
      </c>
      <c r="C127" s="4"/>
      <c r="D127" s="4"/>
      <c r="E127" s="4"/>
      <c r="F127" s="57" t="s">
        <v>187</v>
      </c>
      <c r="G127" s="61">
        <v>66.8666654166666</v>
      </c>
      <c r="H127" s="61">
        <v>26.2014158333333</v>
      </c>
      <c r="I127" s="6" t="s">
        <v>199</v>
      </c>
      <c r="J127" s="5"/>
      <c r="K127" s="61">
        <v>1.5</v>
      </c>
      <c r="L127" s="60"/>
      <c r="M127" s="60">
        <v>2.0</v>
      </c>
      <c r="N127" s="61">
        <v>134.692832994356</v>
      </c>
      <c r="O127" s="61">
        <v>1.805</v>
      </c>
      <c r="P127" s="61">
        <v>2.433</v>
      </c>
      <c r="Q127" s="61">
        <v>-23.448</v>
      </c>
      <c r="R127" s="61">
        <v>2.328</v>
      </c>
      <c r="S127" s="60"/>
      <c r="T127" s="60"/>
      <c r="U127" s="61">
        <v>4.0</v>
      </c>
      <c r="V127" s="58"/>
      <c r="W127" s="5"/>
      <c r="X127" s="5"/>
      <c r="Y127" s="83" t="s">
        <v>469</v>
      </c>
      <c r="Z127" s="60">
        <v>20.54</v>
      </c>
      <c r="AA127" s="60"/>
      <c r="AB127" s="60">
        <v>15.0</v>
      </c>
      <c r="AC127" s="60">
        <v>0.04</v>
      </c>
      <c r="AD127" s="60">
        <v>14.03</v>
      </c>
      <c r="AE127" s="60">
        <v>0.04</v>
      </c>
      <c r="AF127" s="60">
        <v>13.28</v>
      </c>
      <c r="AG127" s="60">
        <v>0.03</v>
      </c>
      <c r="AH127" s="6"/>
      <c r="AI127" s="96"/>
      <c r="AJ127" s="76" t="s">
        <v>225</v>
      </c>
      <c r="AK127" s="13" t="s">
        <v>307</v>
      </c>
      <c r="AL127" s="70">
        <v>2006.0</v>
      </c>
      <c r="AM127" s="13"/>
      <c r="AN127" s="102">
        <v>140.0</v>
      </c>
      <c r="AO127" s="97">
        <v>15.0</v>
      </c>
      <c r="AP127" s="64"/>
      <c r="AQ127" s="73"/>
      <c r="AR127" s="66"/>
      <c r="AS127" s="64"/>
      <c r="AT127" s="67">
        <v>0.01</v>
      </c>
      <c r="AU127" s="73"/>
      <c r="AV127" s="64"/>
      <c r="AW127" s="7"/>
      <c r="AX127" s="70"/>
      <c r="AY127" s="7"/>
      <c r="AZ127" s="11" t="s">
        <v>293</v>
      </c>
      <c r="BA127" s="68" t="s">
        <v>470</v>
      </c>
      <c r="BB127" s="68"/>
      <c r="BC127" s="11"/>
      <c r="BD127" s="80"/>
      <c r="BE127" s="11"/>
      <c r="BF127" s="68"/>
      <c r="BG127" s="11"/>
      <c r="BH127" s="80"/>
      <c r="BI127" s="11"/>
      <c r="BJ127" s="68"/>
      <c r="BK127" s="11"/>
      <c r="BL127" s="80"/>
      <c r="BM127" s="11"/>
      <c r="BN127" s="68"/>
      <c r="BO127" s="11"/>
      <c r="BP127" s="80"/>
      <c r="BQ127" s="11"/>
      <c r="BR127" s="68"/>
      <c r="BS127" s="11"/>
      <c r="BT127" s="80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68"/>
      <c r="CU127" s="11"/>
      <c r="CV127" s="80"/>
      <c r="CW127" s="11"/>
      <c r="CX127" s="80"/>
      <c r="CY127" s="11"/>
      <c r="CZ127" s="80"/>
      <c r="DA127" s="11"/>
      <c r="DB127" s="68"/>
      <c r="DC127" s="11"/>
      <c r="DD127" s="80"/>
      <c r="DE127" s="11"/>
      <c r="DF127" s="68"/>
      <c r="DG127" s="68"/>
      <c r="DH127" s="80"/>
      <c r="DI127" s="68"/>
      <c r="DJ127" s="80"/>
      <c r="DK127" s="80"/>
      <c r="DL127" s="80"/>
      <c r="DM127" s="80"/>
      <c r="DN127" s="69"/>
      <c r="DO127" s="80"/>
      <c r="DP127" s="69"/>
      <c r="DQ127" s="11"/>
      <c r="DR127" s="69"/>
      <c r="DS127" s="69"/>
      <c r="DT127" s="69"/>
      <c r="DU127" s="69"/>
      <c r="DV127" s="110">
        <v>-4.173925197299174</v>
      </c>
      <c r="DW127" s="98">
        <v>0.2</v>
      </c>
      <c r="DX127" s="71">
        <f>1.1*0.0000000001</f>
        <v>0.00000000011</v>
      </c>
      <c r="DY127" s="7"/>
      <c r="DZ127" s="64" t="s">
        <v>225</v>
      </c>
      <c r="EA127" s="13"/>
      <c r="EB127" s="64" t="s">
        <v>320</v>
      </c>
    </row>
    <row r="128">
      <c r="A128" s="74" t="s">
        <v>471</v>
      </c>
      <c r="B128" s="99" t="s">
        <v>472</v>
      </c>
      <c r="C128" s="4"/>
      <c r="D128" s="4"/>
      <c r="E128" s="4"/>
      <c r="F128" s="57" t="s">
        <v>187</v>
      </c>
      <c r="G128" s="61">
        <v>64.7553366666666</v>
      </c>
      <c r="H128" s="61">
        <v>28.0467069444444</v>
      </c>
      <c r="I128" s="6" t="s">
        <v>199</v>
      </c>
      <c r="J128" s="5"/>
      <c r="K128" s="61">
        <v>1.5</v>
      </c>
      <c r="L128" s="60"/>
      <c r="M128" s="60"/>
      <c r="N128" s="61"/>
      <c r="O128" s="61">
        <v>7.09</v>
      </c>
      <c r="P128" s="61">
        <v>5.6</v>
      </c>
      <c r="Q128" s="61">
        <v>-28.41</v>
      </c>
      <c r="R128" s="61">
        <v>5.27</v>
      </c>
      <c r="S128" s="60"/>
      <c r="T128" s="60"/>
      <c r="U128" s="61">
        <v>1.6</v>
      </c>
      <c r="V128" s="58"/>
      <c r="W128" s="5"/>
      <c r="X128" s="5"/>
      <c r="Y128" s="83" t="s">
        <v>469</v>
      </c>
      <c r="Z128" s="60"/>
      <c r="AA128" s="60"/>
      <c r="AB128" s="60">
        <v>16.3</v>
      </c>
      <c r="AC128" s="60">
        <v>0.09</v>
      </c>
      <c r="AD128" s="60">
        <v>15.48</v>
      </c>
      <c r="AE128" s="60">
        <v>0.1</v>
      </c>
      <c r="AF128" s="60">
        <v>14.93</v>
      </c>
      <c r="AG128" s="60">
        <v>0.09</v>
      </c>
      <c r="AH128" s="6"/>
      <c r="AI128" s="96"/>
      <c r="AJ128" s="76" t="s">
        <v>225</v>
      </c>
      <c r="AK128" s="13" t="s">
        <v>307</v>
      </c>
      <c r="AL128" s="70">
        <v>2006.0</v>
      </c>
      <c r="AM128" s="13"/>
      <c r="AN128" s="102">
        <v>140.0</v>
      </c>
      <c r="AO128" s="97">
        <v>15.0</v>
      </c>
      <c r="AP128" s="64"/>
      <c r="AQ128" s="73"/>
      <c r="AR128" s="66"/>
      <c r="AS128" s="64"/>
      <c r="AT128" s="67">
        <v>0.014</v>
      </c>
      <c r="AU128" s="73"/>
      <c r="AV128" s="64"/>
      <c r="AW128" s="7"/>
      <c r="AX128" s="70"/>
      <c r="AY128" s="7"/>
      <c r="AZ128" s="11" t="s">
        <v>293</v>
      </c>
      <c r="BA128" s="68" t="s">
        <v>470</v>
      </c>
      <c r="BB128" s="68"/>
      <c r="BC128" s="11"/>
      <c r="BD128" s="80"/>
      <c r="BE128" s="11"/>
      <c r="BF128" s="68"/>
      <c r="BG128" s="11"/>
      <c r="BH128" s="80"/>
      <c r="BI128" s="11"/>
      <c r="BJ128" s="68"/>
      <c r="BK128" s="11"/>
      <c r="BL128" s="80"/>
      <c r="BM128" s="11"/>
      <c r="BN128" s="68"/>
      <c r="BO128" s="11"/>
      <c r="BP128" s="80"/>
      <c r="BQ128" s="11"/>
      <c r="BR128" s="68"/>
      <c r="BS128" s="11"/>
      <c r="BT128" s="80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68"/>
      <c r="CU128" s="11"/>
      <c r="CV128" s="80"/>
      <c r="CW128" s="11"/>
      <c r="CX128" s="80"/>
      <c r="CY128" s="11"/>
      <c r="CZ128" s="80"/>
      <c r="DA128" s="11"/>
      <c r="DB128" s="68"/>
      <c r="DC128" s="11"/>
      <c r="DD128" s="80"/>
      <c r="DE128" s="11"/>
      <c r="DF128" s="68"/>
      <c r="DG128" s="68"/>
      <c r="DH128" s="80"/>
      <c r="DI128" s="68"/>
      <c r="DJ128" s="80"/>
      <c r="DK128" s="80"/>
      <c r="DL128" s="80"/>
      <c r="DM128" s="80"/>
      <c r="DN128" s="69"/>
      <c r="DO128" s="80"/>
      <c r="DP128" s="69"/>
      <c r="DQ128" s="11"/>
      <c r="DR128" s="69"/>
      <c r="DS128" s="69"/>
      <c r="DT128" s="69"/>
      <c r="DU128" s="69"/>
      <c r="DV128" s="110">
        <v>-4.3872161432802645</v>
      </c>
      <c r="DW128" s="98">
        <v>0.2</v>
      </c>
      <c r="DX128" s="71">
        <f>0.16*0.0000000001</f>
        <v>0</v>
      </c>
      <c r="DY128" s="7"/>
      <c r="DZ128" s="64" t="s">
        <v>225</v>
      </c>
      <c r="EA128" s="13"/>
      <c r="EB128" s="64" t="s">
        <v>320</v>
      </c>
    </row>
    <row r="129">
      <c r="A129" s="74" t="s">
        <v>473</v>
      </c>
      <c r="B129" s="99" t="s">
        <v>474</v>
      </c>
      <c r="C129" s="4"/>
      <c r="D129" s="4"/>
      <c r="E129" s="4"/>
      <c r="F129" s="57" t="s">
        <v>187</v>
      </c>
      <c r="G129" s="61">
        <v>67.5302016666666</v>
      </c>
      <c r="H129" s="61">
        <v>26.1390827777777</v>
      </c>
      <c r="I129" s="6" t="s">
        <v>199</v>
      </c>
      <c r="J129" s="5"/>
      <c r="K129" s="61">
        <v>1.5</v>
      </c>
      <c r="L129" s="60"/>
      <c r="M129" s="60">
        <v>2.0</v>
      </c>
      <c r="N129" s="61">
        <v>116.059097292341</v>
      </c>
      <c r="O129" s="61">
        <v>2.667</v>
      </c>
      <c r="P129" s="61">
        <v>1.193</v>
      </c>
      <c r="Q129" s="61">
        <v>-21.925</v>
      </c>
      <c r="R129" s="61">
        <v>0.86</v>
      </c>
      <c r="S129" s="60"/>
      <c r="T129" s="60"/>
      <c r="U129" s="61">
        <v>0.7</v>
      </c>
      <c r="V129" s="58"/>
      <c r="W129" s="5"/>
      <c r="X129" s="5"/>
      <c r="Y129" s="83" t="s">
        <v>469</v>
      </c>
      <c r="Z129" s="60">
        <v>20.56</v>
      </c>
      <c r="AA129" s="60"/>
      <c r="AB129" s="60">
        <v>14.99</v>
      </c>
      <c r="AC129" s="60">
        <v>0.03</v>
      </c>
      <c r="AD129" s="60">
        <v>14.2</v>
      </c>
      <c r="AE129" s="60">
        <v>0.04</v>
      </c>
      <c r="AF129" s="60">
        <v>13.69</v>
      </c>
      <c r="AG129" s="60">
        <v>0.04</v>
      </c>
      <c r="AH129" s="6"/>
      <c r="AI129" s="96"/>
      <c r="AJ129" s="76" t="s">
        <v>225</v>
      </c>
      <c r="AK129" s="13" t="s">
        <v>307</v>
      </c>
      <c r="AL129" s="70">
        <v>2006.0</v>
      </c>
      <c r="AM129" s="13"/>
      <c r="AN129" s="102">
        <v>140.0</v>
      </c>
      <c r="AO129" s="97">
        <v>15.0</v>
      </c>
      <c r="AP129" s="64"/>
      <c r="AQ129" s="73"/>
      <c r="AR129" s="66"/>
      <c r="AS129" s="64"/>
      <c r="AT129" s="67">
        <v>0.02</v>
      </c>
      <c r="AU129" s="73"/>
      <c r="AV129" s="64"/>
      <c r="AW129" s="7"/>
      <c r="AX129" s="70"/>
      <c r="AY129" s="7"/>
      <c r="AZ129" s="11" t="s">
        <v>293</v>
      </c>
      <c r="BA129" s="68" t="s">
        <v>470</v>
      </c>
      <c r="BB129" s="68"/>
      <c r="BC129" s="11"/>
      <c r="BD129" s="80"/>
      <c r="BE129" s="11"/>
      <c r="BF129" s="68"/>
      <c r="BG129" s="11"/>
      <c r="BH129" s="80"/>
      <c r="BI129" s="11"/>
      <c r="BJ129" s="68"/>
      <c r="BK129" s="11"/>
      <c r="BL129" s="80"/>
      <c r="BM129" s="11"/>
      <c r="BN129" s="68"/>
      <c r="BO129" s="11"/>
      <c r="BP129" s="80"/>
      <c r="BQ129" s="11"/>
      <c r="BR129" s="68"/>
      <c r="BS129" s="11"/>
      <c r="BT129" s="80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68"/>
      <c r="CU129" s="11"/>
      <c r="CV129" s="80"/>
      <c r="CW129" s="11"/>
      <c r="CX129" s="80"/>
      <c r="CY129" s="11"/>
      <c r="CZ129" s="80"/>
      <c r="DA129" s="11"/>
      <c r="DB129" s="68"/>
      <c r="DC129" s="11"/>
      <c r="DD129" s="80"/>
      <c r="DE129" s="11"/>
      <c r="DF129" s="68"/>
      <c r="DG129" s="68"/>
      <c r="DH129" s="80"/>
      <c r="DI129" s="68"/>
      <c r="DJ129" s="80"/>
      <c r="DK129" s="80"/>
      <c r="DL129" s="80"/>
      <c r="DM129" s="80"/>
      <c r="DN129" s="69"/>
      <c r="DO129" s="80"/>
      <c r="DP129" s="69"/>
      <c r="DQ129" s="11"/>
      <c r="DR129" s="69"/>
      <c r="DS129" s="69"/>
      <c r="DT129" s="69"/>
      <c r="DU129" s="69"/>
      <c r="DV129" s="110">
        <v>-4.568636235841012</v>
      </c>
      <c r="DW129" s="98">
        <v>0.2</v>
      </c>
      <c r="DX129" s="71">
        <f>0.36*0.0000000001</f>
        <v>0</v>
      </c>
      <c r="DY129" s="7"/>
      <c r="DZ129" s="64" t="s">
        <v>225</v>
      </c>
      <c r="EA129" s="13"/>
      <c r="EB129" s="64" t="s">
        <v>320</v>
      </c>
    </row>
    <row r="130">
      <c r="A130" s="74" t="s">
        <v>386</v>
      </c>
      <c r="B130" s="99" t="s">
        <v>387</v>
      </c>
      <c r="C130" s="4"/>
      <c r="D130" s="4"/>
      <c r="E130" s="4"/>
      <c r="F130" s="57" t="s">
        <v>168</v>
      </c>
      <c r="G130" s="61">
        <v>69.5889124999999</v>
      </c>
      <c r="H130" s="61">
        <v>26.1538288888888</v>
      </c>
      <c r="I130" s="6" t="s">
        <v>199</v>
      </c>
      <c r="J130" s="6"/>
      <c r="K130" s="58">
        <f>(10^6.4)/1000000</f>
        <v>2.511886432</v>
      </c>
      <c r="L130" s="60"/>
      <c r="M130" s="60">
        <v>2.0</v>
      </c>
      <c r="N130" s="61">
        <v>138.314499508983</v>
      </c>
      <c r="O130" s="61">
        <v>5.469</v>
      </c>
      <c r="P130" s="61">
        <v>0.27</v>
      </c>
      <c r="Q130" s="61">
        <v>-22.974</v>
      </c>
      <c r="R130" s="61">
        <v>0.215</v>
      </c>
      <c r="S130" s="60">
        <v>16.46</v>
      </c>
      <c r="T130" s="60">
        <v>0.303</v>
      </c>
      <c r="U130" s="61">
        <v>2.0</v>
      </c>
      <c r="V130" s="58">
        <v>0.5</v>
      </c>
      <c r="W130" s="5"/>
      <c r="X130" s="5"/>
      <c r="Y130" s="83" t="s">
        <v>225</v>
      </c>
      <c r="Z130" s="60"/>
      <c r="AA130" s="60"/>
      <c r="AB130" s="60">
        <v>12.804</v>
      </c>
      <c r="AC130" s="60">
        <v>0.022</v>
      </c>
      <c r="AD130" s="60">
        <v>11.586</v>
      </c>
      <c r="AE130" s="60">
        <v>0.019</v>
      </c>
      <c r="AF130" s="60">
        <v>10.632</v>
      </c>
      <c r="AG130" s="60">
        <v>0.018</v>
      </c>
      <c r="AH130" s="6"/>
      <c r="AI130" s="96"/>
      <c r="AJ130" s="76" t="s">
        <v>225</v>
      </c>
      <c r="AK130" s="13" t="s">
        <v>307</v>
      </c>
      <c r="AL130" s="70">
        <v>2006.0</v>
      </c>
      <c r="AM130" s="7"/>
      <c r="AN130" s="102">
        <v>140.0</v>
      </c>
      <c r="AO130" s="97">
        <v>15.0</v>
      </c>
      <c r="AP130" s="64" t="s">
        <v>264</v>
      </c>
      <c r="AQ130" s="64">
        <v>0.5</v>
      </c>
      <c r="AR130" s="66">
        <v>3091.0</v>
      </c>
      <c r="AS130" s="64">
        <v>75.0</v>
      </c>
      <c r="AT130" s="67">
        <v>0.15</v>
      </c>
      <c r="AU130" s="7"/>
      <c r="AV130" s="64">
        <v>0.07</v>
      </c>
      <c r="AW130" s="7"/>
      <c r="AX130" s="70">
        <v>0.93</v>
      </c>
      <c r="AY130" s="7"/>
      <c r="AZ130" s="11" t="s">
        <v>293</v>
      </c>
      <c r="BA130" s="68" t="s">
        <v>470</v>
      </c>
      <c r="BB130" s="12">
        <v>-281.0</v>
      </c>
      <c r="BC130" s="11"/>
      <c r="BD130" s="80">
        <v>1.46E-13</v>
      </c>
      <c r="BE130" s="11"/>
      <c r="BF130" s="12">
        <v>-68.0</v>
      </c>
      <c r="BG130" s="11"/>
      <c r="BH130" s="80">
        <v>1.11E-14</v>
      </c>
      <c r="BI130" s="11"/>
      <c r="BJ130" s="12">
        <v>-39.0</v>
      </c>
      <c r="BK130" s="11"/>
      <c r="BL130" s="80">
        <v>4.1E-15</v>
      </c>
      <c r="BM130" s="11"/>
      <c r="BN130" s="12">
        <v>-30.0</v>
      </c>
      <c r="BO130" s="11"/>
      <c r="BP130" s="80">
        <v>2.4E-15</v>
      </c>
      <c r="BQ130" s="11"/>
      <c r="BR130" s="12">
        <v>-8.8</v>
      </c>
      <c r="BS130" s="11"/>
      <c r="BT130" s="80">
        <v>1.2E-15</v>
      </c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2">
        <v>-4.6</v>
      </c>
      <c r="CU130" s="11"/>
      <c r="CV130" s="80">
        <v>1.2E-15</v>
      </c>
      <c r="CW130" s="11"/>
      <c r="CX130" s="12">
        <v>-1.1</v>
      </c>
      <c r="CY130" s="11"/>
      <c r="CZ130" s="80">
        <v>5.2E-16</v>
      </c>
      <c r="DA130" s="11"/>
      <c r="DB130" s="12">
        <v>-0.5</v>
      </c>
      <c r="DC130" s="11"/>
      <c r="DD130" s="80">
        <v>3.0E-16</v>
      </c>
      <c r="DE130" s="11"/>
      <c r="DF130" s="12">
        <v>-106.0</v>
      </c>
      <c r="DG130" s="12"/>
      <c r="DH130" s="80">
        <v>1.35E-14</v>
      </c>
      <c r="DI130" s="12"/>
      <c r="DJ130" s="12">
        <v>-135.0</v>
      </c>
      <c r="DK130" s="80">
        <v>1.15E-14</v>
      </c>
      <c r="DL130" s="80"/>
      <c r="DM130" s="69">
        <v>-21.0</v>
      </c>
      <c r="DN130" s="69"/>
      <c r="DO130" s="80">
        <v>4.1E-14</v>
      </c>
      <c r="DP130" s="69"/>
      <c r="DQ130" s="11"/>
      <c r="DR130" s="69"/>
      <c r="DS130" s="69"/>
      <c r="DT130" s="69"/>
      <c r="DU130" s="69"/>
      <c r="DV130" s="110">
        <v>-2.1023729087095586</v>
      </c>
      <c r="DW130" s="98">
        <v>0.2</v>
      </c>
      <c r="DX130" s="71">
        <v>1.9E-9</v>
      </c>
      <c r="DY130" s="7"/>
      <c r="DZ130" s="64" t="s">
        <v>225</v>
      </c>
      <c r="EA130" s="13"/>
      <c r="EB130" s="64" t="s">
        <v>320</v>
      </c>
    </row>
    <row r="131">
      <c r="A131" s="55" t="s">
        <v>475</v>
      </c>
      <c r="B131" s="56" t="s">
        <v>475</v>
      </c>
      <c r="C131" s="4"/>
      <c r="D131" s="4"/>
      <c r="E131" s="4"/>
      <c r="F131" s="4" t="s">
        <v>187</v>
      </c>
      <c r="G131" s="58">
        <v>242.2480417</v>
      </c>
      <c r="H131" s="58">
        <v>-38.94097222</v>
      </c>
      <c r="I131" s="6" t="s">
        <v>314</v>
      </c>
      <c r="J131" s="6" t="s">
        <v>169</v>
      </c>
      <c r="K131" s="58">
        <v>3.0</v>
      </c>
      <c r="L131" s="59"/>
      <c r="M131" s="59">
        <v>2.0</v>
      </c>
      <c r="N131" s="58">
        <v>150.0</v>
      </c>
      <c r="O131" s="58">
        <v>-9.872</v>
      </c>
      <c r="P131" s="58">
        <v>0.465</v>
      </c>
      <c r="Q131" s="58">
        <v>-23.526</v>
      </c>
      <c r="R131" s="58">
        <v>0.3</v>
      </c>
      <c r="S131" s="59">
        <v>7.2</v>
      </c>
      <c r="T131" s="59">
        <v>4.0</v>
      </c>
      <c r="U131" s="59">
        <v>0.0</v>
      </c>
      <c r="V131" s="59">
        <v>0.5</v>
      </c>
      <c r="W131" s="5"/>
      <c r="X131" s="5"/>
      <c r="Y131" s="62" t="s">
        <v>476</v>
      </c>
      <c r="Z131" s="58">
        <v>19.25</v>
      </c>
      <c r="AA131" s="58">
        <v>0.58</v>
      </c>
      <c r="AB131" s="59">
        <v>13.902</v>
      </c>
      <c r="AC131" s="59">
        <v>0.029</v>
      </c>
      <c r="AD131" s="59">
        <v>13.29</v>
      </c>
      <c r="AE131" s="59">
        <v>0.03</v>
      </c>
      <c r="AF131" s="59">
        <v>12.84</v>
      </c>
      <c r="AG131" s="59">
        <v>0.03</v>
      </c>
      <c r="AH131" s="6"/>
      <c r="AI131" s="6"/>
      <c r="AJ131" s="63" t="s">
        <v>476</v>
      </c>
      <c r="AK131" s="64" t="s">
        <v>192</v>
      </c>
      <c r="AL131" s="64" t="s">
        <v>477</v>
      </c>
      <c r="AM131" s="13"/>
      <c r="AN131" s="102">
        <v>200.0</v>
      </c>
      <c r="AO131" s="13"/>
      <c r="AP131" s="13" t="s">
        <v>213</v>
      </c>
      <c r="AQ131" s="97">
        <v>0.5</v>
      </c>
      <c r="AR131" s="78">
        <v>2600.0</v>
      </c>
      <c r="AS131" s="97">
        <v>60.0</v>
      </c>
      <c r="AT131" s="79">
        <v>0.02</v>
      </c>
      <c r="AU131" s="73">
        <v>0.01</v>
      </c>
      <c r="AV131" s="70">
        <v>0.009</v>
      </c>
      <c r="AW131" s="70">
        <v>0.004</v>
      </c>
      <c r="AX131" s="73">
        <v>0.47</v>
      </c>
      <c r="AY131" s="73">
        <v>0.11</v>
      </c>
      <c r="AZ131" s="11" t="s">
        <v>162</v>
      </c>
      <c r="BA131" s="111" t="s">
        <v>478</v>
      </c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2"/>
      <c r="DK131" s="12"/>
      <c r="DL131" s="12"/>
      <c r="DM131" s="69"/>
      <c r="DN131" s="69"/>
      <c r="DO131" s="69"/>
      <c r="DP131" s="69"/>
      <c r="DQ131" s="11"/>
      <c r="DR131" s="69"/>
      <c r="DS131" s="69"/>
      <c r="DT131" s="69"/>
      <c r="DU131" s="69"/>
      <c r="DV131" s="73">
        <v>-4.6</v>
      </c>
      <c r="DW131" s="79">
        <v>0.25</v>
      </c>
      <c r="DX131" s="81">
        <v>2.39883E-11</v>
      </c>
      <c r="DY131" s="7"/>
      <c r="DZ131" s="7" t="s">
        <v>479</v>
      </c>
      <c r="EA131" s="7"/>
      <c r="EB131" s="7"/>
    </row>
    <row r="132">
      <c r="A132" s="55" t="s">
        <v>480</v>
      </c>
      <c r="B132" s="56" t="s">
        <v>481</v>
      </c>
      <c r="C132" s="4"/>
      <c r="D132" s="4"/>
      <c r="E132" s="4"/>
      <c r="F132" s="4" t="s">
        <v>187</v>
      </c>
      <c r="G132" s="58">
        <v>242.1555594</v>
      </c>
      <c r="H132" s="58">
        <v>-39.38636833</v>
      </c>
      <c r="I132" s="6" t="s">
        <v>314</v>
      </c>
      <c r="J132" s="6" t="s">
        <v>169</v>
      </c>
      <c r="K132" s="58">
        <v>3.0</v>
      </c>
      <c r="L132" s="59"/>
      <c r="M132" s="59">
        <v>2.0</v>
      </c>
      <c r="N132" s="58">
        <v>187.0</v>
      </c>
      <c r="O132" s="58">
        <v>-12.46</v>
      </c>
      <c r="P132" s="58">
        <v>1.798</v>
      </c>
      <c r="Q132" s="58">
        <v>-24.016</v>
      </c>
      <c r="R132" s="58">
        <v>0.873</v>
      </c>
      <c r="S132" s="59">
        <v>11.9</v>
      </c>
      <c r="T132" s="59">
        <v>4.5</v>
      </c>
      <c r="U132" s="58">
        <v>0.0</v>
      </c>
      <c r="V132" s="59">
        <v>0.5</v>
      </c>
      <c r="W132" s="5"/>
      <c r="X132" s="5"/>
      <c r="Y132" s="93" t="s">
        <v>476</v>
      </c>
      <c r="Z132" s="58">
        <v>20.7</v>
      </c>
      <c r="AA132" s="58">
        <v>0.06</v>
      </c>
      <c r="AB132" s="58">
        <v>15.174</v>
      </c>
      <c r="AC132" s="59">
        <v>0.057</v>
      </c>
      <c r="AD132" s="59">
        <v>14.24</v>
      </c>
      <c r="AE132" s="59">
        <v>0.05</v>
      </c>
      <c r="AF132" s="59">
        <v>13.83</v>
      </c>
      <c r="AG132" s="59">
        <v>0.04</v>
      </c>
      <c r="AH132" s="6"/>
      <c r="AI132" s="5"/>
      <c r="AJ132" s="63" t="s">
        <v>476</v>
      </c>
      <c r="AK132" s="64" t="s">
        <v>192</v>
      </c>
      <c r="AL132" s="64" t="s">
        <v>477</v>
      </c>
      <c r="AM132" s="13"/>
      <c r="AN132" s="102">
        <v>200.0</v>
      </c>
      <c r="AO132" s="13"/>
      <c r="AP132" s="13" t="s">
        <v>232</v>
      </c>
      <c r="AQ132" s="73">
        <v>0.5</v>
      </c>
      <c r="AR132" s="78">
        <v>2800.0</v>
      </c>
      <c r="AS132" s="97">
        <v>64.0</v>
      </c>
      <c r="AT132" s="79">
        <v>0.05</v>
      </c>
      <c r="AU132" s="73">
        <v>0.01</v>
      </c>
      <c r="AV132" s="70">
        <v>0.003</v>
      </c>
      <c r="AW132" s="70">
        <v>0.001</v>
      </c>
      <c r="AX132" s="73">
        <v>0.22</v>
      </c>
      <c r="AY132" s="73">
        <v>0.05</v>
      </c>
      <c r="AZ132" s="11" t="s">
        <v>162</v>
      </c>
      <c r="BA132" s="111" t="s">
        <v>478</v>
      </c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2"/>
      <c r="DK132" s="12"/>
      <c r="DL132" s="12"/>
      <c r="DM132" s="11"/>
      <c r="DN132" s="11"/>
      <c r="DO132" s="11"/>
      <c r="DP132" s="11"/>
      <c r="DQ132" s="11"/>
      <c r="DR132" s="11"/>
      <c r="DS132" s="11"/>
      <c r="DT132" s="11"/>
      <c r="DU132" s="11"/>
      <c r="DV132" s="97">
        <v>-4.8</v>
      </c>
      <c r="DW132" s="79">
        <v>0.25</v>
      </c>
      <c r="DX132" s="81">
        <v>2.81838E-12</v>
      </c>
      <c r="DY132" s="7"/>
      <c r="DZ132" s="7" t="s">
        <v>479</v>
      </c>
      <c r="EA132" s="7"/>
      <c r="EB132" s="7"/>
    </row>
    <row r="133">
      <c r="A133" s="55" t="s">
        <v>482</v>
      </c>
      <c r="B133" s="56" t="s">
        <v>483</v>
      </c>
      <c r="C133" s="4"/>
      <c r="D133" s="4"/>
      <c r="E133" s="4"/>
      <c r="F133" s="4" t="s">
        <v>187</v>
      </c>
      <c r="G133" s="58">
        <v>235.4200373</v>
      </c>
      <c r="H133" s="58">
        <v>-33.75523944</v>
      </c>
      <c r="I133" s="6" t="s">
        <v>314</v>
      </c>
      <c r="J133" s="6" t="s">
        <v>169</v>
      </c>
      <c r="K133" s="58">
        <v>3.0</v>
      </c>
      <c r="L133" s="59"/>
      <c r="M133" s="59">
        <v>2.0</v>
      </c>
      <c r="N133" s="58">
        <v>149.0</v>
      </c>
      <c r="O133" s="58">
        <v>-19.095</v>
      </c>
      <c r="P133" s="58">
        <v>0.575</v>
      </c>
      <c r="Q133" s="58">
        <v>-21.107</v>
      </c>
      <c r="R133" s="58">
        <v>0.405</v>
      </c>
      <c r="S133" s="59">
        <v>9.1</v>
      </c>
      <c r="T133" s="59">
        <v>2.3</v>
      </c>
      <c r="U133" s="59">
        <v>0.0</v>
      </c>
      <c r="V133" s="59">
        <v>0.5</v>
      </c>
      <c r="W133" s="5"/>
      <c r="X133" s="5"/>
      <c r="Y133" s="62" t="s">
        <v>476</v>
      </c>
      <c r="Z133" s="6"/>
      <c r="AA133" s="6"/>
      <c r="AB133" s="58">
        <v>14.66</v>
      </c>
      <c r="AC133" s="59">
        <v>0.04</v>
      </c>
      <c r="AD133" s="59">
        <v>14.02</v>
      </c>
      <c r="AE133" s="59">
        <v>0.04</v>
      </c>
      <c r="AF133" s="59">
        <v>13.56</v>
      </c>
      <c r="AG133" s="59">
        <v>0.04</v>
      </c>
      <c r="AH133" s="6"/>
      <c r="AI133" s="6"/>
      <c r="AJ133" s="63" t="s">
        <v>476</v>
      </c>
      <c r="AK133" s="64" t="s">
        <v>192</v>
      </c>
      <c r="AL133" s="97">
        <v>2015.0</v>
      </c>
      <c r="AM133" s="13"/>
      <c r="AN133" s="102">
        <v>150.0</v>
      </c>
      <c r="AO133" s="13"/>
      <c r="AP133" s="13" t="s">
        <v>217</v>
      </c>
      <c r="AQ133" s="97">
        <v>0.5</v>
      </c>
      <c r="AR133" s="78">
        <v>3935.0</v>
      </c>
      <c r="AS133" s="97">
        <v>66.0</v>
      </c>
      <c r="AT133" s="79">
        <v>0.07</v>
      </c>
      <c r="AU133" s="73">
        <v>0.01</v>
      </c>
      <c r="AV133" s="70">
        <v>0.0107</v>
      </c>
      <c r="AW133" s="70">
        <v>0.0048</v>
      </c>
      <c r="AX133" s="73">
        <v>0.4</v>
      </c>
      <c r="AY133" s="73">
        <v>0.09</v>
      </c>
      <c r="AZ133" s="11" t="s">
        <v>162</v>
      </c>
      <c r="BA133" s="11" t="s">
        <v>478</v>
      </c>
      <c r="BB133" s="112">
        <v>-42.8</v>
      </c>
      <c r="BC133" s="112">
        <v>8.16</v>
      </c>
      <c r="BD133" s="105">
        <v>2.05E-15</v>
      </c>
      <c r="BE133" s="105">
        <v>1.0E-16</v>
      </c>
      <c r="BF133" s="112">
        <v>-71.74</v>
      </c>
      <c r="BG133" s="112">
        <v>26.7</v>
      </c>
      <c r="BH133" s="105">
        <v>6.65E-16</v>
      </c>
      <c r="BI133" s="105">
        <v>6.0E-17</v>
      </c>
      <c r="BJ133" s="112">
        <v>-41.43</v>
      </c>
      <c r="BK133" s="112">
        <v>14.5</v>
      </c>
      <c r="BL133" s="105">
        <v>3.87E-16</v>
      </c>
      <c r="BM133" s="105">
        <v>3.1E-17</v>
      </c>
      <c r="BN133" s="112">
        <v>-76.2</v>
      </c>
      <c r="BO133" s="112">
        <v>36.0</v>
      </c>
      <c r="BP133" s="105">
        <v>3.65E-16</v>
      </c>
      <c r="BQ133" s="105">
        <v>5.7E-17</v>
      </c>
      <c r="BR133" s="112">
        <v>-25.17</v>
      </c>
      <c r="BS133" s="112">
        <v>12.59</v>
      </c>
      <c r="BT133" s="105">
        <v>2.22E-16</v>
      </c>
      <c r="BU133" s="105">
        <v>5.9E-17</v>
      </c>
      <c r="BV133" s="105"/>
      <c r="BW133" s="105"/>
      <c r="BX133" s="105"/>
      <c r="BY133" s="105"/>
      <c r="BZ133" s="11"/>
      <c r="CA133" s="11"/>
      <c r="CB133" s="105">
        <v>2.5E-16</v>
      </c>
      <c r="CC133" s="11"/>
      <c r="CD133" s="11"/>
      <c r="CE133" s="11"/>
      <c r="CF133" s="105">
        <v>9.6E-17</v>
      </c>
      <c r="CG133" s="11"/>
      <c r="CH133" s="11"/>
      <c r="CI133" s="11"/>
      <c r="CJ133" s="105">
        <v>1.56E-16</v>
      </c>
      <c r="CK133" s="11"/>
      <c r="CL133" s="11"/>
      <c r="CM133" s="11"/>
      <c r="CN133" s="105">
        <v>1.58E-16</v>
      </c>
      <c r="CO133" s="11"/>
      <c r="CP133" s="11"/>
      <c r="CQ133" s="11"/>
      <c r="CR133" s="11"/>
      <c r="CS133" s="11"/>
      <c r="CT133" s="112">
        <v>-5.3</v>
      </c>
      <c r="CU133" s="112">
        <v>1.86</v>
      </c>
      <c r="CV133" s="105">
        <v>6.52E-17</v>
      </c>
      <c r="CW133" s="105">
        <v>1.26E-17</v>
      </c>
      <c r="CX133" s="112">
        <v>-0.9</v>
      </c>
      <c r="CY133" s="112">
        <v>0.23</v>
      </c>
      <c r="CZ133" s="105">
        <v>2.76E-17</v>
      </c>
      <c r="DA133" s="105">
        <v>4.9E-18</v>
      </c>
      <c r="DB133" s="112"/>
      <c r="DC133" s="112"/>
      <c r="DD133" s="112"/>
      <c r="DE133" s="112"/>
      <c r="DF133" s="105"/>
      <c r="DG133" s="105"/>
      <c r="DH133" s="105">
        <v>2.46E-16</v>
      </c>
      <c r="DI133" s="105"/>
      <c r="DJ133" s="105"/>
      <c r="DK133" s="105">
        <v>2.26E-16</v>
      </c>
      <c r="DL133" s="105"/>
      <c r="DM133" s="69"/>
      <c r="DN133" s="69"/>
      <c r="DO133" s="69"/>
      <c r="DP133" s="69"/>
      <c r="DQ133" s="11"/>
      <c r="DR133" s="69"/>
      <c r="DS133" s="69"/>
      <c r="DT133" s="69"/>
      <c r="DU133" s="69"/>
      <c r="DV133" s="73">
        <v>-4.6</v>
      </c>
      <c r="DW133" s="79">
        <v>0.25</v>
      </c>
      <c r="DX133" s="81">
        <v>5.7544E-12</v>
      </c>
      <c r="DY133" s="7"/>
      <c r="DZ133" s="7" t="s">
        <v>479</v>
      </c>
      <c r="EA133" s="7"/>
      <c r="EB133" s="7"/>
    </row>
    <row r="134">
      <c r="A134" s="55" t="s">
        <v>484</v>
      </c>
      <c r="B134" s="56" t="s">
        <v>485</v>
      </c>
      <c r="C134" s="4"/>
      <c r="D134" s="4"/>
      <c r="E134" s="4"/>
      <c r="F134" s="57" t="s">
        <v>168</v>
      </c>
      <c r="G134" s="58">
        <v>242.4833</v>
      </c>
      <c r="H134" s="58">
        <v>-38.9978</v>
      </c>
      <c r="I134" s="6" t="s">
        <v>314</v>
      </c>
      <c r="J134" s="6" t="s">
        <v>169</v>
      </c>
      <c r="K134" s="58">
        <v>3.0</v>
      </c>
      <c r="L134" s="59"/>
      <c r="M134" s="60">
        <v>2.0</v>
      </c>
      <c r="N134" s="58">
        <v>2201.188642</v>
      </c>
      <c r="O134" s="58">
        <v>-4.722</v>
      </c>
      <c r="P134" s="58">
        <v>0.963</v>
      </c>
      <c r="Q134" s="58">
        <v>-1.182</v>
      </c>
      <c r="R134" s="58">
        <v>0.525</v>
      </c>
      <c r="S134" s="59">
        <v>5.1</v>
      </c>
      <c r="T134" s="59">
        <v>2.0</v>
      </c>
      <c r="U134" s="59">
        <v>0.0</v>
      </c>
      <c r="V134" s="59">
        <v>0.5</v>
      </c>
      <c r="W134" s="5"/>
      <c r="X134" s="5"/>
      <c r="Y134" s="62" t="s">
        <v>476</v>
      </c>
      <c r="Z134" s="58">
        <v>16.49</v>
      </c>
      <c r="AA134" s="58">
        <v>1.11</v>
      </c>
      <c r="AB134" s="58">
        <v>13.01</v>
      </c>
      <c r="AC134" s="59">
        <v>0.03</v>
      </c>
      <c r="AD134" s="59">
        <v>12.392</v>
      </c>
      <c r="AE134" s="59">
        <v>0.035</v>
      </c>
      <c r="AF134" s="59">
        <v>11.99</v>
      </c>
      <c r="AG134" s="59">
        <v>0.03</v>
      </c>
      <c r="AH134" s="6"/>
      <c r="AI134" s="5"/>
      <c r="AJ134" s="63" t="s">
        <v>476</v>
      </c>
      <c r="AK134" s="64" t="s">
        <v>192</v>
      </c>
      <c r="AL134" s="64" t="s">
        <v>477</v>
      </c>
      <c r="AM134" s="13"/>
      <c r="AN134" s="102">
        <v>200.0</v>
      </c>
      <c r="AO134" s="13"/>
      <c r="AP134" s="13" t="s">
        <v>353</v>
      </c>
      <c r="AQ134" s="97">
        <v>0.5</v>
      </c>
      <c r="AR134" s="78">
        <v>2990.0</v>
      </c>
      <c r="AS134" s="97">
        <v>67.0</v>
      </c>
      <c r="AT134" s="79">
        <v>0.09</v>
      </c>
      <c r="AU134" s="73">
        <v>0.02</v>
      </c>
      <c r="AV134" s="70">
        <v>0.025</v>
      </c>
      <c r="AW134" s="70">
        <v>0.011</v>
      </c>
      <c r="AX134" s="73">
        <v>0.58</v>
      </c>
      <c r="AY134" s="73">
        <v>0.13</v>
      </c>
      <c r="AZ134" s="11" t="s">
        <v>162</v>
      </c>
      <c r="BA134" s="111" t="s">
        <v>478</v>
      </c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2"/>
      <c r="DK134" s="12"/>
      <c r="DL134" s="12"/>
      <c r="DM134" s="69"/>
      <c r="DN134" s="69"/>
      <c r="DO134" s="69"/>
      <c r="DP134" s="69"/>
      <c r="DQ134" s="11"/>
      <c r="DR134" s="69"/>
      <c r="DS134" s="69"/>
      <c r="DT134" s="69"/>
      <c r="DU134" s="69"/>
      <c r="DV134" s="73">
        <v>-4.1</v>
      </c>
      <c r="DW134" s="79">
        <v>0.25</v>
      </c>
      <c r="DX134" s="81">
        <v>1.86209E-11</v>
      </c>
      <c r="DY134" s="7"/>
      <c r="DZ134" s="7" t="s">
        <v>486</v>
      </c>
      <c r="EA134" s="7"/>
      <c r="EB134" s="7"/>
    </row>
    <row r="135">
      <c r="A135" s="55" t="s">
        <v>487</v>
      </c>
      <c r="B135" s="56" t="s">
        <v>487</v>
      </c>
      <c r="C135" s="4"/>
      <c r="D135" s="4"/>
      <c r="E135" s="4"/>
      <c r="F135" s="57" t="s">
        <v>168</v>
      </c>
      <c r="G135" s="58">
        <v>236.3271501</v>
      </c>
      <c r="H135" s="58">
        <v>-34.35682337</v>
      </c>
      <c r="I135" s="6" t="s">
        <v>314</v>
      </c>
      <c r="J135" s="6" t="s">
        <v>169</v>
      </c>
      <c r="K135" s="58">
        <v>3.0</v>
      </c>
      <c r="L135" s="59"/>
      <c r="M135" s="59">
        <v>2.0</v>
      </c>
      <c r="N135" s="58">
        <v>151.765795</v>
      </c>
      <c r="O135" s="59">
        <v>-15.144</v>
      </c>
      <c r="P135" s="59">
        <v>0.343</v>
      </c>
      <c r="Q135" s="59">
        <v>-21.77</v>
      </c>
      <c r="R135" s="59">
        <v>0.224</v>
      </c>
      <c r="S135" s="59">
        <v>4.4</v>
      </c>
      <c r="T135" s="59">
        <v>2.9</v>
      </c>
      <c r="U135" s="59">
        <v>0.0</v>
      </c>
      <c r="V135" s="59">
        <v>0.5</v>
      </c>
      <c r="W135" s="5"/>
      <c r="X135" s="5"/>
      <c r="Y135" s="62" t="s">
        <v>476</v>
      </c>
      <c r="Z135" s="59">
        <v>17.35</v>
      </c>
      <c r="AA135" s="59">
        <v>0.05</v>
      </c>
      <c r="AB135" s="59">
        <v>11.644</v>
      </c>
      <c r="AC135" s="59">
        <v>0.027</v>
      </c>
      <c r="AD135" s="59">
        <v>10.954</v>
      </c>
      <c r="AE135" s="59">
        <v>0.025</v>
      </c>
      <c r="AF135" s="59">
        <v>10.482</v>
      </c>
      <c r="AG135" s="59">
        <v>0.022</v>
      </c>
      <c r="AH135" s="6"/>
      <c r="AI135" s="6"/>
      <c r="AJ135" s="63" t="s">
        <v>476</v>
      </c>
      <c r="AK135" s="64" t="s">
        <v>192</v>
      </c>
      <c r="AL135" s="97">
        <v>2015.0</v>
      </c>
      <c r="AM135" s="13"/>
      <c r="AN135" s="102">
        <v>150.0</v>
      </c>
      <c r="AO135" s="13"/>
      <c r="AP135" s="13" t="s">
        <v>217</v>
      </c>
      <c r="AQ135" s="97">
        <v>0.5</v>
      </c>
      <c r="AR135" s="78">
        <v>2940.0</v>
      </c>
      <c r="AS135" s="97">
        <v>68.0</v>
      </c>
      <c r="AT135" s="79">
        <v>0.1</v>
      </c>
      <c r="AU135" s="73">
        <v>0.01</v>
      </c>
      <c r="AV135" s="70">
        <v>0.0407</v>
      </c>
      <c r="AW135" s="70">
        <v>0.0181</v>
      </c>
      <c r="AX135" s="73">
        <v>0.78</v>
      </c>
      <c r="AY135" s="73">
        <v>0.17</v>
      </c>
      <c r="AZ135" s="11" t="s">
        <v>162</v>
      </c>
      <c r="BA135" s="11" t="s">
        <v>478</v>
      </c>
      <c r="BB135" s="112">
        <v>-277.95</v>
      </c>
      <c r="BC135" s="112">
        <v>25.7</v>
      </c>
      <c r="BD135" s="105">
        <v>5.42E-14</v>
      </c>
      <c r="BE135" s="105">
        <v>3.0E-16</v>
      </c>
      <c r="BF135" s="112">
        <v>-194.31</v>
      </c>
      <c r="BG135" s="112">
        <v>27.5</v>
      </c>
      <c r="BH135" s="105">
        <v>4.78E-15</v>
      </c>
      <c r="BI135" s="105">
        <v>1.6E-16</v>
      </c>
      <c r="BJ135" s="112">
        <v>-155.74</v>
      </c>
      <c r="BK135" s="112">
        <v>25.0</v>
      </c>
      <c r="BL135" s="105">
        <v>1.9E-15</v>
      </c>
      <c r="BM135" s="105">
        <v>8.0E-17</v>
      </c>
      <c r="BN135" s="112">
        <v>-76.43</v>
      </c>
      <c r="BO135" s="112">
        <v>31.0</v>
      </c>
      <c r="BP135" s="105">
        <v>1.07E-15</v>
      </c>
      <c r="BQ135" s="105">
        <v>7.0E-17</v>
      </c>
      <c r="BR135" s="112">
        <v>-64.48</v>
      </c>
      <c r="BS135" s="112">
        <v>32.24</v>
      </c>
      <c r="BT135" s="105">
        <v>7.48E-16</v>
      </c>
      <c r="BU135" s="105">
        <v>1.16E-16</v>
      </c>
      <c r="BV135" s="105"/>
      <c r="BW135" s="105"/>
      <c r="BX135" s="105"/>
      <c r="BY135" s="105"/>
      <c r="BZ135" s="11"/>
      <c r="CA135" s="11"/>
      <c r="CB135" s="105">
        <v>8.0E-16</v>
      </c>
      <c r="CC135" s="11"/>
      <c r="CD135" s="11"/>
      <c r="CE135" s="11"/>
      <c r="CF135" s="105">
        <v>1.2E-15</v>
      </c>
      <c r="CG135" s="11"/>
      <c r="CH135" s="11"/>
      <c r="CI135" s="11"/>
      <c r="CJ135" s="105">
        <v>1.88E-15</v>
      </c>
      <c r="CK135" s="11"/>
      <c r="CL135" s="11"/>
      <c r="CM135" s="11"/>
      <c r="CN135" s="105">
        <v>6.6E-16</v>
      </c>
      <c r="CO135" s="11"/>
      <c r="CP135" s="11"/>
      <c r="CQ135" s="11"/>
      <c r="CR135" s="11"/>
      <c r="CS135" s="11"/>
      <c r="CT135" s="112">
        <v>-13.93</v>
      </c>
      <c r="CU135" s="112">
        <v>3.98</v>
      </c>
      <c r="CV135" s="105">
        <v>5.56E-16</v>
      </c>
      <c r="CW135" s="105">
        <v>4.6E-17</v>
      </c>
      <c r="CX135" s="112">
        <v>-2.25</v>
      </c>
      <c r="CY135" s="112">
        <v>0.54</v>
      </c>
      <c r="CZ135" s="105">
        <v>2.25E-16</v>
      </c>
      <c r="DA135" s="105">
        <v>4.0E-17</v>
      </c>
      <c r="DB135" s="112"/>
      <c r="DC135" s="112"/>
      <c r="DD135" s="112"/>
      <c r="DE135" s="112"/>
      <c r="DF135" s="105"/>
      <c r="DG135" s="105"/>
      <c r="DH135" s="105">
        <v>8.13E-16</v>
      </c>
      <c r="DI135" s="105"/>
      <c r="DJ135" s="105"/>
      <c r="DK135" s="105">
        <v>8.39E-16</v>
      </c>
      <c r="DL135" s="105"/>
      <c r="DM135" s="69"/>
      <c r="DN135" s="69"/>
      <c r="DO135" s="69"/>
      <c r="DP135" s="69"/>
      <c r="DQ135" s="11"/>
      <c r="DR135" s="69"/>
      <c r="DS135" s="69"/>
      <c r="DT135" s="69"/>
      <c r="DU135" s="69"/>
      <c r="DV135" s="73">
        <v>-4.3</v>
      </c>
      <c r="DW135" s="79">
        <v>0.25</v>
      </c>
      <c r="DX135" s="81">
        <v>1.58489E-11</v>
      </c>
      <c r="DY135" s="7"/>
      <c r="DZ135" s="7" t="s">
        <v>486</v>
      </c>
      <c r="EA135" s="7"/>
      <c r="EB135" s="7"/>
    </row>
    <row r="136">
      <c r="A136" s="55" t="s">
        <v>488</v>
      </c>
      <c r="B136" s="56" t="s">
        <v>488</v>
      </c>
      <c r="C136" s="4"/>
      <c r="D136" s="4"/>
      <c r="E136" s="4"/>
      <c r="F136" s="57" t="s">
        <v>168</v>
      </c>
      <c r="G136" s="58">
        <v>242.230378</v>
      </c>
      <c r="H136" s="58">
        <v>-38.813377</v>
      </c>
      <c r="I136" s="6" t="s">
        <v>314</v>
      </c>
      <c r="J136" s="6" t="s">
        <v>169</v>
      </c>
      <c r="K136" s="58">
        <v>3.0</v>
      </c>
      <c r="L136" s="59"/>
      <c r="M136" s="59">
        <v>2.0</v>
      </c>
      <c r="N136" s="58">
        <v>157.5150427</v>
      </c>
      <c r="O136" s="58">
        <v>-11.322</v>
      </c>
      <c r="P136" s="58">
        <v>0.258</v>
      </c>
      <c r="Q136" s="58">
        <v>-23.643</v>
      </c>
      <c r="R136" s="58">
        <v>0.157</v>
      </c>
      <c r="S136" s="59">
        <v>-1.1</v>
      </c>
      <c r="T136" s="59">
        <v>2.4</v>
      </c>
      <c r="U136" s="59">
        <v>0.0</v>
      </c>
      <c r="V136" s="59">
        <v>0.5</v>
      </c>
      <c r="W136" s="5"/>
      <c r="X136" s="5"/>
      <c r="Y136" s="62" t="s">
        <v>476</v>
      </c>
      <c r="Z136" s="58">
        <v>17.24</v>
      </c>
      <c r="AA136" s="58">
        <v>0.23</v>
      </c>
      <c r="AB136" s="58">
        <v>12.99</v>
      </c>
      <c r="AC136" s="59">
        <v>0.027</v>
      </c>
      <c r="AD136" s="59">
        <v>12.397</v>
      </c>
      <c r="AE136" s="59">
        <v>0.023</v>
      </c>
      <c r="AF136" s="59">
        <v>12.017</v>
      </c>
      <c r="AG136" s="59">
        <v>0.019</v>
      </c>
      <c r="AH136" s="6"/>
      <c r="AI136" s="6"/>
      <c r="AJ136" s="63" t="s">
        <v>476</v>
      </c>
      <c r="AK136" s="64" t="s">
        <v>192</v>
      </c>
      <c r="AL136" s="97">
        <v>2015.0</v>
      </c>
      <c r="AM136" s="13"/>
      <c r="AN136" s="102">
        <v>200.0</v>
      </c>
      <c r="AO136" s="13"/>
      <c r="AP136" s="13" t="s">
        <v>217</v>
      </c>
      <c r="AQ136" s="97">
        <v>0.5</v>
      </c>
      <c r="AR136" s="78">
        <v>2940.0</v>
      </c>
      <c r="AS136" s="97">
        <v>68.0</v>
      </c>
      <c r="AT136" s="79">
        <v>0.1</v>
      </c>
      <c r="AU136" s="73">
        <v>0.02</v>
      </c>
      <c r="AV136" s="70">
        <v>0.0759</v>
      </c>
      <c r="AW136" s="70">
        <v>0.0414</v>
      </c>
      <c r="AX136" s="73">
        <v>1.07</v>
      </c>
      <c r="AY136" s="73">
        <v>0.29</v>
      </c>
      <c r="AZ136" s="11" t="s">
        <v>162</v>
      </c>
      <c r="BA136" s="11" t="s">
        <v>478</v>
      </c>
      <c r="BB136" s="112">
        <v>-54.92</v>
      </c>
      <c r="BC136" s="112">
        <v>7.87</v>
      </c>
      <c r="BD136" s="105">
        <v>1.06E-14</v>
      </c>
      <c r="BE136" s="105">
        <v>3.0E-16</v>
      </c>
      <c r="BF136" s="112">
        <v>-52.9</v>
      </c>
      <c r="BG136" s="112">
        <v>18.9</v>
      </c>
      <c r="BH136" s="105">
        <v>1.37E-15</v>
      </c>
      <c r="BI136" s="105">
        <v>6.0E-17</v>
      </c>
      <c r="BJ136" s="112">
        <v>-77.43</v>
      </c>
      <c r="BK136" s="112">
        <v>13.0</v>
      </c>
      <c r="BL136" s="105">
        <v>8.13E-16</v>
      </c>
      <c r="BM136" s="105">
        <v>5.7E-17</v>
      </c>
      <c r="BN136" s="112">
        <v>-64.63</v>
      </c>
      <c r="BO136" s="112">
        <v>10.7</v>
      </c>
      <c r="BP136" s="105">
        <v>5.72E-16</v>
      </c>
      <c r="BQ136" s="105">
        <v>5.4E-17</v>
      </c>
      <c r="BR136" s="112">
        <v>-58.24</v>
      </c>
      <c r="BS136" s="112">
        <v>19.7</v>
      </c>
      <c r="BT136" s="105">
        <v>5.94E-16</v>
      </c>
      <c r="BU136" s="105">
        <v>4.2E-17</v>
      </c>
      <c r="BV136" s="105"/>
      <c r="BW136" s="105"/>
      <c r="BX136" s="105"/>
      <c r="BY136" s="105"/>
      <c r="BZ136" s="11"/>
      <c r="CA136" s="11"/>
      <c r="CB136" s="105">
        <v>8.4E-16</v>
      </c>
      <c r="CC136" s="11"/>
      <c r="CD136" s="11"/>
      <c r="CE136" s="11"/>
      <c r="CF136" s="105">
        <v>3.0E-16</v>
      </c>
      <c r="CG136" s="11"/>
      <c r="CH136" s="11"/>
      <c r="CI136" s="11"/>
      <c r="CJ136" s="105">
        <v>5.11E-16</v>
      </c>
      <c r="CK136" s="11"/>
      <c r="CL136" s="11"/>
      <c r="CM136" s="11"/>
      <c r="CN136" s="105">
        <v>1.98E-16</v>
      </c>
      <c r="CO136" s="11"/>
      <c r="CP136" s="11"/>
      <c r="CQ136" s="11"/>
      <c r="CR136" s="11"/>
      <c r="CS136" s="11"/>
      <c r="CT136" s="112">
        <v>-6.68</v>
      </c>
      <c r="CU136" s="112">
        <v>2.04</v>
      </c>
      <c r="CV136" s="105">
        <v>2.63E-16</v>
      </c>
      <c r="CW136" s="105">
        <v>3.1E-17</v>
      </c>
      <c r="CX136" s="112">
        <v>-0.81</v>
      </c>
      <c r="CY136" s="112">
        <v>0.25</v>
      </c>
      <c r="CZ136" s="105">
        <v>9.3E-17</v>
      </c>
      <c r="DA136" s="105">
        <v>2.55E-17</v>
      </c>
      <c r="DB136" s="112"/>
      <c r="DC136" s="112"/>
      <c r="DD136" s="112"/>
      <c r="DE136" s="112"/>
      <c r="DF136" s="105"/>
      <c r="DG136" s="105"/>
      <c r="DH136" s="105">
        <v>6.04E-16</v>
      </c>
      <c r="DI136" s="105"/>
      <c r="DJ136" s="105"/>
      <c r="DK136" s="105">
        <v>5.28E-16</v>
      </c>
      <c r="DL136" s="105"/>
      <c r="DM136" s="69"/>
      <c r="DN136" s="69"/>
      <c r="DO136" s="69"/>
      <c r="DP136" s="69"/>
      <c r="DQ136" s="11"/>
      <c r="DR136" s="69"/>
      <c r="DS136" s="69"/>
      <c r="DT136" s="69"/>
      <c r="DU136" s="69"/>
      <c r="DV136" s="73">
        <v>-4.1</v>
      </c>
      <c r="DW136" s="79">
        <v>0.25</v>
      </c>
      <c r="DX136" s="81">
        <v>3.46737E-11</v>
      </c>
      <c r="DY136" s="7"/>
      <c r="DZ136" s="7" t="s">
        <v>486</v>
      </c>
      <c r="EA136" s="7"/>
      <c r="EB136" s="7"/>
    </row>
    <row r="137">
      <c r="A137" s="55" t="s">
        <v>489</v>
      </c>
      <c r="B137" s="56" t="s">
        <v>489</v>
      </c>
      <c r="C137" s="4"/>
      <c r="D137" s="3"/>
      <c r="E137" s="3"/>
      <c r="F137" s="57" t="s">
        <v>168</v>
      </c>
      <c r="G137" s="58">
        <v>242.5826414</v>
      </c>
      <c r="H137" s="58">
        <v>-38.60182811</v>
      </c>
      <c r="I137" s="6" t="s">
        <v>314</v>
      </c>
      <c r="J137" s="6" t="s">
        <v>169</v>
      </c>
      <c r="K137" s="58">
        <v>3.0</v>
      </c>
      <c r="L137" s="59"/>
      <c r="M137" s="59">
        <v>2.0</v>
      </c>
      <c r="N137" s="58">
        <v>158.5766163</v>
      </c>
      <c r="O137" s="58">
        <v>-9.404</v>
      </c>
      <c r="P137" s="58">
        <v>0.299</v>
      </c>
      <c r="Q137" s="58">
        <v>-25.563</v>
      </c>
      <c r="R137" s="58">
        <v>0.183</v>
      </c>
      <c r="S137" s="59">
        <v>1.8</v>
      </c>
      <c r="T137" s="59">
        <v>2.5</v>
      </c>
      <c r="U137" s="59">
        <v>0.0</v>
      </c>
      <c r="V137" s="59">
        <v>0.5</v>
      </c>
      <c r="W137" s="5"/>
      <c r="X137" s="5"/>
      <c r="Y137" s="62" t="s">
        <v>476</v>
      </c>
      <c r="Z137" s="58">
        <v>16.76</v>
      </c>
      <c r="AA137" s="58">
        <v>1.26</v>
      </c>
      <c r="AB137" s="58">
        <v>13.28</v>
      </c>
      <c r="AC137" s="59">
        <v>0.04</v>
      </c>
      <c r="AD137" s="59">
        <v>12.65</v>
      </c>
      <c r="AE137" s="59"/>
      <c r="AF137" s="59">
        <v>12.317</v>
      </c>
      <c r="AG137" s="59">
        <v>0.038</v>
      </c>
      <c r="AH137" s="6"/>
      <c r="AI137" s="6"/>
      <c r="AJ137" s="63" t="s">
        <v>476</v>
      </c>
      <c r="AK137" s="64" t="s">
        <v>192</v>
      </c>
      <c r="AL137" s="97">
        <v>2015.0</v>
      </c>
      <c r="AM137" s="13"/>
      <c r="AN137" s="102">
        <v>200.0</v>
      </c>
      <c r="AO137" s="13"/>
      <c r="AP137" s="13" t="s">
        <v>217</v>
      </c>
      <c r="AQ137" s="97">
        <v>0.5</v>
      </c>
      <c r="AR137" s="78">
        <v>2940.0</v>
      </c>
      <c r="AS137" s="97">
        <v>68.0</v>
      </c>
      <c r="AT137" s="79">
        <v>0.1</v>
      </c>
      <c r="AU137" s="73">
        <v>0.02</v>
      </c>
      <c r="AV137" s="70">
        <v>0.0708</v>
      </c>
      <c r="AW137" s="70">
        <v>0.0378</v>
      </c>
      <c r="AX137" s="73">
        <v>1.03</v>
      </c>
      <c r="AY137" s="73">
        <v>0.27</v>
      </c>
      <c r="AZ137" s="11" t="s">
        <v>162</v>
      </c>
      <c r="BA137" s="11" t="s">
        <v>478</v>
      </c>
      <c r="BB137" s="112">
        <v>-22.57</v>
      </c>
      <c r="BC137" s="112">
        <v>3.2</v>
      </c>
      <c r="BD137" s="105">
        <v>3.77E-15</v>
      </c>
      <c r="BE137" s="105">
        <v>1.6E-16</v>
      </c>
      <c r="BF137" s="112">
        <v>-21.94</v>
      </c>
      <c r="BG137" s="112">
        <v>5.3</v>
      </c>
      <c r="BH137" s="105">
        <v>7.7E-16</v>
      </c>
      <c r="BI137" s="105">
        <v>9.7E-17</v>
      </c>
      <c r="BJ137" s="112">
        <v>-31.11</v>
      </c>
      <c r="BK137" s="112">
        <v>5.6</v>
      </c>
      <c r="BL137" s="105">
        <v>3.92E-16</v>
      </c>
      <c r="BM137" s="105">
        <v>6.9E-17</v>
      </c>
      <c r="BN137" s="112">
        <v>-13.01</v>
      </c>
      <c r="BO137" s="112">
        <v>5.2</v>
      </c>
      <c r="BP137" s="105">
        <v>1.99E-16</v>
      </c>
      <c r="BQ137" s="105">
        <v>3.7E-17</v>
      </c>
      <c r="BR137" s="112">
        <v>-18.1</v>
      </c>
      <c r="BS137" s="112">
        <v>10.2</v>
      </c>
      <c r="BT137" s="105">
        <v>2.1E-16</v>
      </c>
      <c r="BU137" s="105">
        <v>5.0E-17</v>
      </c>
      <c r="BV137" s="105"/>
      <c r="BW137" s="105"/>
      <c r="BX137" s="105"/>
      <c r="BY137" s="105"/>
      <c r="BZ137" s="11"/>
      <c r="CA137" s="11"/>
      <c r="CB137" s="105">
        <v>2.0E-16</v>
      </c>
      <c r="CC137" s="11"/>
      <c r="CD137" s="11"/>
      <c r="CE137" s="11"/>
      <c r="CF137" s="105">
        <v>3.18E-16</v>
      </c>
      <c r="CG137" s="11"/>
      <c r="CH137" s="11"/>
      <c r="CI137" s="11"/>
      <c r="CJ137" s="105">
        <v>5.64E-16</v>
      </c>
      <c r="CK137" s="11"/>
      <c r="CL137" s="11"/>
      <c r="CM137" s="11"/>
      <c r="CN137" s="105">
        <v>2.41E-16</v>
      </c>
      <c r="CO137" s="11"/>
      <c r="CP137" s="11"/>
      <c r="CQ137" s="11"/>
      <c r="CR137" s="11"/>
      <c r="CS137" s="11"/>
      <c r="CT137" s="112">
        <v>-1.67</v>
      </c>
      <c r="CU137" s="112">
        <v>0.59</v>
      </c>
      <c r="CV137" s="105">
        <v>7.51E-17</v>
      </c>
      <c r="CW137" s="105">
        <v>3.65E-17</v>
      </c>
      <c r="CX137" s="11"/>
      <c r="CY137" s="11"/>
      <c r="CZ137" s="105">
        <v>9.18E-17</v>
      </c>
      <c r="DA137" s="11"/>
      <c r="DB137" s="11"/>
      <c r="DC137" s="11"/>
      <c r="DD137" s="11"/>
      <c r="DE137" s="11"/>
      <c r="DF137" s="105"/>
      <c r="DG137" s="105"/>
      <c r="DH137" s="105">
        <v>3.38E-16</v>
      </c>
      <c r="DI137" s="105"/>
      <c r="DJ137" s="105"/>
      <c r="DK137" s="105">
        <v>3.4E-16</v>
      </c>
      <c r="DL137" s="105"/>
      <c r="DM137" s="69"/>
      <c r="DN137" s="69"/>
      <c r="DO137" s="69"/>
      <c r="DP137" s="69"/>
      <c r="DQ137" s="11"/>
      <c r="DR137" s="69"/>
      <c r="DS137" s="69"/>
      <c r="DT137" s="69"/>
      <c r="DU137" s="69"/>
      <c r="DV137" s="73">
        <v>-3.9</v>
      </c>
      <c r="DW137" s="79">
        <v>0.25</v>
      </c>
      <c r="DX137" s="81">
        <v>5.24807E-11</v>
      </c>
      <c r="DY137" s="7"/>
      <c r="DZ137" s="7" t="s">
        <v>486</v>
      </c>
      <c r="EA137" s="7"/>
      <c r="EB137" s="7"/>
    </row>
    <row r="138">
      <c r="A138" s="55" t="s">
        <v>490</v>
      </c>
      <c r="B138" s="56" t="s">
        <v>491</v>
      </c>
      <c r="C138" s="4"/>
      <c r="D138" s="4"/>
      <c r="E138" s="4" t="s">
        <v>137</v>
      </c>
      <c r="F138" s="57" t="s">
        <v>168</v>
      </c>
      <c r="G138" s="58">
        <v>242.1167</v>
      </c>
      <c r="H138" s="58">
        <v>-39.2194</v>
      </c>
      <c r="I138" s="6" t="s">
        <v>314</v>
      </c>
      <c r="J138" s="6" t="s">
        <v>169</v>
      </c>
      <c r="K138" s="58">
        <v>3.0</v>
      </c>
      <c r="L138" s="59"/>
      <c r="M138" s="59">
        <v>2.0</v>
      </c>
      <c r="N138" s="58">
        <v>175.2541185</v>
      </c>
      <c r="O138" s="58">
        <v>-14.859</v>
      </c>
      <c r="P138" s="58">
        <v>0.335</v>
      </c>
      <c r="Q138" s="58">
        <v>-20.544</v>
      </c>
      <c r="R138" s="58">
        <v>0.219</v>
      </c>
      <c r="S138" s="59">
        <v>6.8</v>
      </c>
      <c r="T138" s="59">
        <v>2.4</v>
      </c>
      <c r="U138" s="59">
        <v>0.0</v>
      </c>
      <c r="V138" s="59">
        <v>0.5</v>
      </c>
      <c r="W138" s="5"/>
      <c r="X138" s="5"/>
      <c r="Y138" s="62" t="s">
        <v>476</v>
      </c>
      <c r="Z138" s="58">
        <v>17.76</v>
      </c>
      <c r="AA138" s="58">
        <v>0.67</v>
      </c>
      <c r="AB138" s="58">
        <v>13.74</v>
      </c>
      <c r="AC138" s="59">
        <v>0.09</v>
      </c>
      <c r="AD138" s="59"/>
      <c r="AE138" s="59"/>
      <c r="AF138" s="59">
        <v>12.44</v>
      </c>
      <c r="AG138" s="59">
        <v>0.11</v>
      </c>
      <c r="AH138" s="6"/>
      <c r="AI138" s="6"/>
      <c r="AJ138" s="63" t="s">
        <v>476</v>
      </c>
      <c r="AK138" s="64" t="s">
        <v>192</v>
      </c>
      <c r="AL138" s="97">
        <v>2015.0</v>
      </c>
      <c r="AM138" s="13"/>
      <c r="AN138" s="102">
        <v>200.0</v>
      </c>
      <c r="AO138" s="13"/>
      <c r="AP138" s="13" t="s">
        <v>217</v>
      </c>
      <c r="AQ138" s="97">
        <v>0.5</v>
      </c>
      <c r="AR138" s="78">
        <v>2935.0</v>
      </c>
      <c r="AS138" s="97">
        <v>66.0</v>
      </c>
      <c r="AT138" s="79">
        <v>0.1</v>
      </c>
      <c r="AU138" s="73">
        <v>0.01</v>
      </c>
      <c r="AV138" s="70">
        <v>0.0708</v>
      </c>
      <c r="AW138" s="70">
        <v>0.037</v>
      </c>
      <c r="AX138" s="73">
        <v>1.03</v>
      </c>
      <c r="AY138" s="73">
        <v>0.27</v>
      </c>
      <c r="AZ138" s="11" t="s">
        <v>162</v>
      </c>
      <c r="BA138" s="11" t="s">
        <v>478</v>
      </c>
      <c r="BB138" s="112">
        <v>-7.27</v>
      </c>
      <c r="BC138" s="112">
        <v>1.54</v>
      </c>
      <c r="BD138" s="105">
        <v>9.81E-16</v>
      </c>
      <c r="BE138" s="105">
        <v>7.9E-17</v>
      </c>
      <c r="BF138" s="112">
        <v>-7.87</v>
      </c>
      <c r="BG138" s="105">
        <v>2.8</v>
      </c>
      <c r="BH138" s="105">
        <v>1.55E-16</v>
      </c>
      <c r="BI138" s="105">
        <v>3.3E-17</v>
      </c>
      <c r="BJ138" s="112">
        <v>-8.88</v>
      </c>
      <c r="BK138" s="105">
        <v>3.11</v>
      </c>
      <c r="BL138" s="105">
        <v>6.79E-17</v>
      </c>
      <c r="BM138" s="105">
        <v>1.91E-17</v>
      </c>
      <c r="BN138" s="112">
        <v>-5.15</v>
      </c>
      <c r="BO138" s="112">
        <v>2.06</v>
      </c>
      <c r="BP138" s="105">
        <v>2.77E-17</v>
      </c>
      <c r="BQ138" s="105">
        <v>1.21E-17</v>
      </c>
      <c r="BR138" s="112">
        <v>-5.22</v>
      </c>
      <c r="BS138" s="112">
        <v>2.61</v>
      </c>
      <c r="BT138" s="105">
        <v>3.0E-17</v>
      </c>
      <c r="BU138" s="105">
        <v>1.34E-17</v>
      </c>
      <c r="BV138" s="105"/>
      <c r="BW138" s="105"/>
      <c r="BX138" s="105"/>
      <c r="BY138" s="105"/>
      <c r="BZ138" s="11"/>
      <c r="CA138" s="69"/>
      <c r="CB138" s="105">
        <v>1.8E-16</v>
      </c>
      <c r="CC138" s="11"/>
      <c r="CD138" s="112">
        <v>-0.39</v>
      </c>
      <c r="CE138" s="112">
        <v>0.08</v>
      </c>
      <c r="CF138" s="105">
        <v>4.22E-16</v>
      </c>
      <c r="CG138" s="105">
        <v>1.89E-16</v>
      </c>
      <c r="CH138" s="69"/>
      <c r="CI138" s="69"/>
      <c r="CJ138" s="105">
        <v>3.24E-16</v>
      </c>
      <c r="CK138" s="69"/>
      <c r="CL138" s="11"/>
      <c r="CM138" s="69"/>
      <c r="CN138" s="105">
        <v>1.3E-16</v>
      </c>
      <c r="CO138" s="69"/>
      <c r="CP138" s="69"/>
      <c r="CQ138" s="69"/>
      <c r="CR138" s="69"/>
      <c r="CS138" s="69"/>
      <c r="CT138" s="105">
        <v>-0.33</v>
      </c>
      <c r="CU138" s="105">
        <v>0.12</v>
      </c>
      <c r="CV138" s="105">
        <v>1.36E-17</v>
      </c>
      <c r="CW138" s="105">
        <v>9.8E-18</v>
      </c>
      <c r="CX138" s="105">
        <v>-0.3</v>
      </c>
      <c r="CY138" s="105">
        <v>0.09</v>
      </c>
      <c r="CZ138" s="105">
        <v>2.87E-17</v>
      </c>
      <c r="DA138" s="105">
        <v>1.39E-17</v>
      </c>
      <c r="DB138" s="105"/>
      <c r="DC138" s="105"/>
      <c r="DD138" s="105"/>
      <c r="DE138" s="105"/>
      <c r="DF138" s="105"/>
      <c r="DG138" s="105"/>
      <c r="DH138" s="105">
        <v>5.12E-17</v>
      </c>
      <c r="DI138" s="105"/>
      <c r="DJ138" s="105"/>
      <c r="DK138" s="105">
        <v>4.18E-17</v>
      </c>
      <c r="DL138" s="105"/>
      <c r="DM138" s="69"/>
      <c r="DN138" s="69"/>
      <c r="DO138" s="69"/>
      <c r="DP138" s="69"/>
      <c r="DQ138" s="69"/>
      <c r="DR138" s="69"/>
      <c r="DS138" s="69"/>
      <c r="DT138" s="69"/>
      <c r="DU138" s="69"/>
      <c r="DV138" s="81">
        <v>-4.9</v>
      </c>
      <c r="DW138" s="79">
        <v>0.25</v>
      </c>
      <c r="DX138" s="81">
        <v>5.24807E-12</v>
      </c>
      <c r="DY138" s="7"/>
      <c r="DZ138" s="7" t="s">
        <v>486</v>
      </c>
      <c r="EA138" s="82"/>
      <c r="EB138" s="82" t="s">
        <v>492</v>
      </c>
    </row>
    <row r="139">
      <c r="A139" s="55" t="s">
        <v>493</v>
      </c>
      <c r="B139" s="56" t="s">
        <v>493</v>
      </c>
      <c r="C139" s="4"/>
      <c r="D139" s="4"/>
      <c r="E139" s="4"/>
      <c r="F139" s="57" t="s">
        <v>168</v>
      </c>
      <c r="G139" s="58">
        <v>242.223903</v>
      </c>
      <c r="H139" s="58">
        <v>-39.243553</v>
      </c>
      <c r="I139" s="6" t="s">
        <v>314</v>
      </c>
      <c r="J139" s="6" t="s">
        <v>169</v>
      </c>
      <c r="K139" s="58">
        <v>3.0</v>
      </c>
      <c r="L139" s="59"/>
      <c r="M139" s="59">
        <v>2.0</v>
      </c>
      <c r="N139" s="58">
        <v>133.6916269</v>
      </c>
      <c r="O139" s="58">
        <v>-6.875</v>
      </c>
      <c r="P139" s="58">
        <v>3.468</v>
      </c>
      <c r="Q139" s="58">
        <v>-20.115</v>
      </c>
      <c r="R139" s="58">
        <v>1.775</v>
      </c>
      <c r="S139" s="59">
        <v>6.1</v>
      </c>
      <c r="T139" s="59">
        <v>6.9</v>
      </c>
      <c r="U139" s="59">
        <v>4.0</v>
      </c>
      <c r="V139" s="59">
        <v>0.5</v>
      </c>
      <c r="W139" s="5"/>
      <c r="X139" s="5"/>
      <c r="Y139" s="62" t="s">
        <v>476</v>
      </c>
      <c r="Z139" s="58">
        <v>21.73</v>
      </c>
      <c r="AA139" s="58">
        <v>0.1</v>
      </c>
      <c r="AB139" s="58">
        <v>14.97</v>
      </c>
      <c r="AC139" s="59">
        <v>0.07</v>
      </c>
      <c r="AD139" s="59">
        <v>13.436</v>
      </c>
      <c r="AE139" s="59">
        <v>0.079</v>
      </c>
      <c r="AF139" s="59">
        <v>12.518</v>
      </c>
      <c r="AG139" s="59">
        <v>0.037</v>
      </c>
      <c r="AH139" s="6"/>
      <c r="AI139" s="5"/>
      <c r="AJ139" s="63" t="s">
        <v>476</v>
      </c>
      <c r="AK139" s="64" t="s">
        <v>192</v>
      </c>
      <c r="AL139" s="97">
        <v>2015.0</v>
      </c>
      <c r="AM139" s="13"/>
      <c r="AN139" s="102">
        <v>200.0</v>
      </c>
      <c r="AO139" s="13"/>
      <c r="AP139" s="13" t="s">
        <v>264</v>
      </c>
      <c r="AQ139" s="97">
        <v>0.5</v>
      </c>
      <c r="AR139" s="78">
        <v>3060.0</v>
      </c>
      <c r="AS139" s="97">
        <v>71.0</v>
      </c>
      <c r="AT139" s="79">
        <v>0.1</v>
      </c>
      <c r="AU139" s="73">
        <v>0.02</v>
      </c>
      <c r="AV139" s="70">
        <v>0.0066</v>
      </c>
      <c r="AW139" s="70">
        <v>0.0028</v>
      </c>
      <c r="AX139" s="73">
        <v>0.29</v>
      </c>
      <c r="AY139" s="73">
        <v>0.06</v>
      </c>
      <c r="AZ139" s="11" t="s">
        <v>162</v>
      </c>
      <c r="BA139" s="11" t="s">
        <v>478</v>
      </c>
      <c r="BB139" s="112">
        <v>-59.54</v>
      </c>
      <c r="BC139" s="112">
        <v>15.0</v>
      </c>
      <c r="BD139" s="105">
        <v>6.72E-15</v>
      </c>
      <c r="BE139" s="105">
        <v>1.14E-15</v>
      </c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2">
        <v>-1.48</v>
      </c>
      <c r="CA139" s="112">
        <v>0.3</v>
      </c>
      <c r="CB139" s="105">
        <v>1.09E-15</v>
      </c>
      <c r="CC139" s="105">
        <v>5.1E-16</v>
      </c>
      <c r="CD139" s="112">
        <v>-1.51</v>
      </c>
      <c r="CE139" s="112">
        <v>0.3</v>
      </c>
      <c r="CF139" s="105">
        <v>9.89E-16</v>
      </c>
      <c r="CG139" s="105">
        <v>3.45E-16</v>
      </c>
      <c r="CH139" s="11"/>
      <c r="CI139" s="11"/>
      <c r="CJ139" s="105">
        <v>6.06E-16</v>
      </c>
      <c r="CK139" s="11"/>
      <c r="CL139" s="112">
        <v>-0.59</v>
      </c>
      <c r="CM139" s="112">
        <v>0.15</v>
      </c>
      <c r="CN139" s="105">
        <v>2.76E-16</v>
      </c>
      <c r="CO139" s="105">
        <v>1.01E-16</v>
      </c>
      <c r="CP139" s="105"/>
      <c r="CQ139" s="105"/>
      <c r="CR139" s="105"/>
      <c r="CS139" s="105"/>
      <c r="CT139" s="11"/>
      <c r="CU139" s="11"/>
      <c r="CV139" s="105">
        <v>1.62E-15</v>
      </c>
      <c r="CW139" s="11"/>
      <c r="CX139" s="11"/>
      <c r="CY139" s="11"/>
      <c r="CZ139" s="105">
        <v>8.1E-16</v>
      </c>
      <c r="DA139" s="11"/>
      <c r="DB139" s="11"/>
      <c r="DC139" s="11"/>
      <c r="DD139" s="11"/>
      <c r="DE139" s="11"/>
      <c r="DF139" s="11"/>
      <c r="DG139" s="11"/>
      <c r="DH139" s="11"/>
      <c r="DI139" s="11"/>
      <c r="DJ139" s="12"/>
      <c r="DK139" s="12"/>
      <c r="DL139" s="12"/>
      <c r="DM139" s="69"/>
      <c r="DN139" s="69"/>
      <c r="DO139" s="69"/>
      <c r="DP139" s="69"/>
      <c r="DQ139" s="11"/>
      <c r="DR139" s="69"/>
      <c r="DS139" s="69"/>
      <c r="DT139" s="69"/>
      <c r="DU139" s="69"/>
      <c r="DV139" s="73">
        <v>-3.7</v>
      </c>
      <c r="DW139" s="79">
        <v>0.25</v>
      </c>
      <c r="DX139" s="81">
        <v>2.34423E-11</v>
      </c>
      <c r="DY139" s="7"/>
      <c r="DZ139" s="7" t="s">
        <v>486</v>
      </c>
      <c r="EA139" s="7"/>
      <c r="EB139" s="7"/>
    </row>
    <row r="140">
      <c r="A140" s="55" t="s">
        <v>494</v>
      </c>
      <c r="B140" s="56" t="s">
        <v>494</v>
      </c>
      <c r="C140" s="4"/>
      <c r="D140" s="3"/>
      <c r="E140" s="3"/>
      <c r="F140" s="57" t="s">
        <v>168</v>
      </c>
      <c r="G140" s="58">
        <v>242.062406</v>
      </c>
      <c r="H140" s="58">
        <v>-38.954041</v>
      </c>
      <c r="I140" s="6" t="s">
        <v>314</v>
      </c>
      <c r="J140" s="6" t="s">
        <v>169</v>
      </c>
      <c r="K140" s="58">
        <v>3.0</v>
      </c>
      <c r="L140" s="58"/>
      <c r="M140" s="58">
        <v>2.0</v>
      </c>
      <c r="N140" s="58">
        <v>145.6897682</v>
      </c>
      <c r="O140" s="58">
        <v>-18.468</v>
      </c>
      <c r="P140" s="58">
        <v>1.652</v>
      </c>
      <c r="Q140" s="58">
        <v>-25.943</v>
      </c>
      <c r="R140" s="58">
        <v>0.887</v>
      </c>
      <c r="S140" s="59">
        <v>6.0</v>
      </c>
      <c r="T140" s="59">
        <v>2.9</v>
      </c>
      <c r="U140" s="58">
        <v>1.5</v>
      </c>
      <c r="V140" s="59">
        <v>0.5</v>
      </c>
      <c r="W140" s="5"/>
      <c r="X140" s="5"/>
      <c r="Y140" s="93" t="s">
        <v>476</v>
      </c>
      <c r="Z140" s="58">
        <v>18.93</v>
      </c>
      <c r="AA140" s="58">
        <v>0.57</v>
      </c>
      <c r="AB140" s="58">
        <v>15.21</v>
      </c>
      <c r="AC140" s="59">
        <v>0.047</v>
      </c>
      <c r="AD140" s="59">
        <v>14.21</v>
      </c>
      <c r="AE140" s="59">
        <v>0.04</v>
      </c>
      <c r="AF140" s="59">
        <v>13.13</v>
      </c>
      <c r="AG140" s="59">
        <v>0.03</v>
      </c>
      <c r="AH140" s="6"/>
      <c r="AI140" s="6"/>
      <c r="AJ140" s="63" t="s">
        <v>476</v>
      </c>
      <c r="AK140" s="64" t="s">
        <v>192</v>
      </c>
      <c r="AL140" s="97">
        <v>2015.0</v>
      </c>
      <c r="AM140" s="13"/>
      <c r="AN140" s="102">
        <v>200.0</v>
      </c>
      <c r="AO140" s="13"/>
      <c r="AP140" s="13" t="s">
        <v>264</v>
      </c>
      <c r="AQ140" s="97">
        <v>0.5</v>
      </c>
      <c r="AR140" s="78">
        <v>3060.0</v>
      </c>
      <c r="AS140" s="97">
        <v>71.0</v>
      </c>
      <c r="AT140" s="79">
        <v>0.1</v>
      </c>
      <c r="AU140" s="97">
        <v>0.02</v>
      </c>
      <c r="AV140" s="70">
        <v>0.0087</v>
      </c>
      <c r="AW140" s="70">
        <v>0.0047</v>
      </c>
      <c r="AX140" s="97">
        <v>0.33</v>
      </c>
      <c r="AY140" s="73">
        <v>0.09</v>
      </c>
      <c r="AZ140" s="69" t="s">
        <v>162</v>
      </c>
      <c r="BA140" s="69" t="s">
        <v>478</v>
      </c>
      <c r="BB140" s="105">
        <v>-88.82</v>
      </c>
      <c r="BC140" s="105">
        <v>14.7</v>
      </c>
      <c r="BD140" s="105">
        <v>1.26E-14</v>
      </c>
      <c r="BE140" s="105">
        <v>4.0E-16</v>
      </c>
      <c r="BF140" s="105">
        <v>-82.07</v>
      </c>
      <c r="BG140" s="105">
        <v>27.1</v>
      </c>
      <c r="BH140" s="105">
        <v>3.73E-15</v>
      </c>
      <c r="BI140" s="105">
        <v>3.3E-16</v>
      </c>
      <c r="BJ140" s="105">
        <v>-63.99</v>
      </c>
      <c r="BK140" s="105">
        <v>4.75</v>
      </c>
      <c r="BL140" s="105">
        <v>2.34E-15</v>
      </c>
      <c r="BM140" s="105">
        <v>2.7E-16</v>
      </c>
      <c r="BN140" s="105">
        <v>-32.36</v>
      </c>
      <c r="BO140" s="105">
        <v>5.21</v>
      </c>
      <c r="BP140" s="105">
        <v>1.77E-15</v>
      </c>
      <c r="BQ140" s="105">
        <v>2.3E-16</v>
      </c>
      <c r="BR140" s="104">
        <v>-21.38</v>
      </c>
      <c r="BS140" s="105">
        <v>2.51</v>
      </c>
      <c r="BT140" s="105">
        <v>9.63E-16</v>
      </c>
      <c r="BU140" s="105">
        <v>1.87E-16</v>
      </c>
      <c r="BV140" s="105"/>
      <c r="BW140" s="105"/>
      <c r="BX140" s="105"/>
      <c r="BY140" s="105"/>
      <c r="BZ140" s="104">
        <v>-0.85</v>
      </c>
      <c r="CA140" s="104">
        <v>0.25</v>
      </c>
      <c r="CB140" s="105">
        <v>3.27E-16</v>
      </c>
      <c r="CC140" s="105">
        <v>9.1E-17</v>
      </c>
      <c r="CD140" s="105">
        <v>-0.99</v>
      </c>
      <c r="CE140" s="105">
        <v>0.22</v>
      </c>
      <c r="CF140" s="105">
        <v>4.03E-16</v>
      </c>
      <c r="CG140" s="105">
        <v>8.4E-17</v>
      </c>
      <c r="CH140" s="11"/>
      <c r="CI140" s="69"/>
      <c r="CJ140" s="105">
        <v>2.11E-16</v>
      </c>
      <c r="CK140" s="69"/>
      <c r="CL140" s="69"/>
      <c r="CM140" s="69"/>
      <c r="CN140" s="105">
        <v>2.52E-16</v>
      </c>
      <c r="CO140" s="69"/>
      <c r="CP140" s="69"/>
      <c r="CQ140" s="69"/>
      <c r="CR140" s="69"/>
      <c r="CS140" s="69"/>
      <c r="CT140" s="105">
        <v>-5.77</v>
      </c>
      <c r="CU140" s="105">
        <v>1.64</v>
      </c>
      <c r="CV140" s="105">
        <v>4.16E-16</v>
      </c>
      <c r="CW140" s="105">
        <v>4.5E-17</v>
      </c>
      <c r="CX140" s="105">
        <v>-1.81</v>
      </c>
      <c r="CY140" s="105">
        <v>0.56</v>
      </c>
      <c r="CZ140" s="105">
        <v>1.69E-16</v>
      </c>
      <c r="DA140" s="105">
        <v>3.3E-17</v>
      </c>
      <c r="DB140" s="105"/>
      <c r="DC140" s="105"/>
      <c r="DD140" s="105"/>
      <c r="DE140" s="105"/>
      <c r="DF140" s="105"/>
      <c r="DG140" s="105"/>
      <c r="DH140" s="105">
        <v>9.46E-16</v>
      </c>
      <c r="DI140" s="105"/>
      <c r="DJ140" s="105"/>
      <c r="DK140" s="105">
        <v>1.19E-15</v>
      </c>
      <c r="DL140" s="105"/>
      <c r="DM140" s="69"/>
      <c r="DN140" s="69"/>
      <c r="DO140" s="69"/>
      <c r="DP140" s="69"/>
      <c r="DQ140" s="69"/>
      <c r="DR140" s="69"/>
      <c r="DS140" s="69"/>
      <c r="DT140" s="69"/>
      <c r="DU140" s="69"/>
      <c r="DV140" s="97">
        <v>-3.4</v>
      </c>
      <c r="DW140" s="79">
        <v>0.25</v>
      </c>
      <c r="DX140" s="81">
        <v>5.37032E-11</v>
      </c>
      <c r="DY140" s="7"/>
      <c r="DZ140" s="7" t="s">
        <v>486</v>
      </c>
      <c r="EA140" s="13"/>
      <c r="EB140" s="13"/>
    </row>
    <row r="141">
      <c r="A141" s="55" t="s">
        <v>495</v>
      </c>
      <c r="B141" s="56" t="s">
        <v>496</v>
      </c>
      <c r="C141" s="4"/>
      <c r="D141" s="4"/>
      <c r="E141" s="4"/>
      <c r="F141" s="57" t="s">
        <v>168</v>
      </c>
      <c r="G141" s="58">
        <v>241.9083</v>
      </c>
      <c r="H141" s="58">
        <v>-39.3608</v>
      </c>
      <c r="I141" s="6" t="s">
        <v>314</v>
      </c>
      <c r="J141" s="6" t="s">
        <v>169</v>
      </c>
      <c r="K141" s="58">
        <v>3.0</v>
      </c>
      <c r="L141" s="59"/>
      <c r="M141" s="59">
        <v>2.0</v>
      </c>
      <c r="N141" s="58">
        <v>174.3952844</v>
      </c>
      <c r="O141" s="58">
        <v>-11.264</v>
      </c>
      <c r="P141" s="58">
        <v>0.398</v>
      </c>
      <c r="Q141" s="58">
        <v>-22.99</v>
      </c>
      <c r="R141" s="58">
        <v>0.206</v>
      </c>
      <c r="S141" s="59">
        <v>3.9</v>
      </c>
      <c r="T141" s="59">
        <v>3.3</v>
      </c>
      <c r="U141" s="59">
        <v>0.0</v>
      </c>
      <c r="V141" s="59">
        <v>0.5</v>
      </c>
      <c r="W141" s="5"/>
      <c r="X141" s="5"/>
      <c r="Y141" s="62" t="s">
        <v>476</v>
      </c>
      <c r="Z141" s="58">
        <v>17.12</v>
      </c>
      <c r="AA141" s="58">
        <v>0.67</v>
      </c>
      <c r="AB141" s="58">
        <v>13.24</v>
      </c>
      <c r="AC141" s="59">
        <v>0.026</v>
      </c>
      <c r="AD141" s="59">
        <v>12.566</v>
      </c>
      <c r="AE141" s="59">
        <v>0.028</v>
      </c>
      <c r="AF141" s="59">
        <v>12.13</v>
      </c>
      <c r="AG141" s="59">
        <v>0.03</v>
      </c>
      <c r="AH141" s="6"/>
      <c r="AI141" s="5"/>
      <c r="AJ141" s="63" t="s">
        <v>476</v>
      </c>
      <c r="AK141" s="64" t="s">
        <v>192</v>
      </c>
      <c r="AL141" s="64" t="s">
        <v>477</v>
      </c>
      <c r="AM141" s="13"/>
      <c r="AN141" s="102">
        <v>200.0</v>
      </c>
      <c r="AO141" s="13"/>
      <c r="AP141" s="13" t="s">
        <v>264</v>
      </c>
      <c r="AQ141" s="97">
        <v>0.5</v>
      </c>
      <c r="AR141" s="78">
        <v>3060.0</v>
      </c>
      <c r="AS141" s="97">
        <v>70.0</v>
      </c>
      <c r="AT141" s="79">
        <v>0.11</v>
      </c>
      <c r="AU141" s="73">
        <v>0.02</v>
      </c>
      <c r="AV141" s="70">
        <v>0.02</v>
      </c>
      <c r="AW141" s="70">
        <v>0.009</v>
      </c>
      <c r="AX141" s="73">
        <v>0.52</v>
      </c>
      <c r="AY141" s="73">
        <v>0.12</v>
      </c>
      <c r="AZ141" s="11" t="s">
        <v>162</v>
      </c>
      <c r="BA141" s="111" t="s">
        <v>478</v>
      </c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2"/>
      <c r="DK141" s="12"/>
      <c r="DL141" s="12"/>
      <c r="DM141" s="69"/>
      <c r="DN141" s="69"/>
      <c r="DO141" s="69"/>
      <c r="DP141" s="69"/>
      <c r="DQ141" s="11"/>
      <c r="DR141" s="69"/>
      <c r="DS141" s="69"/>
      <c r="DT141" s="69"/>
      <c r="DU141" s="69"/>
      <c r="DV141" s="73">
        <v>-3.5</v>
      </c>
      <c r="DW141" s="79">
        <v>0.25</v>
      </c>
      <c r="DX141" s="81">
        <v>6.0256E-11</v>
      </c>
      <c r="DY141" s="7"/>
      <c r="DZ141" s="7" t="s">
        <v>486</v>
      </c>
      <c r="EA141" s="7"/>
      <c r="EB141" s="7"/>
    </row>
    <row r="142">
      <c r="A142" s="55" t="s">
        <v>497</v>
      </c>
      <c r="B142" s="56" t="s">
        <v>498</v>
      </c>
      <c r="C142" s="4"/>
      <c r="D142" s="4"/>
      <c r="E142" s="4"/>
      <c r="F142" s="57" t="s">
        <v>168</v>
      </c>
      <c r="G142" s="58">
        <v>236.2417</v>
      </c>
      <c r="H142" s="58">
        <v>-34.3942</v>
      </c>
      <c r="I142" s="6" t="s">
        <v>314</v>
      </c>
      <c r="J142" s="6" t="s">
        <v>169</v>
      </c>
      <c r="K142" s="58">
        <v>3.0</v>
      </c>
      <c r="L142" s="59"/>
      <c r="M142" s="59">
        <v>2.0</v>
      </c>
      <c r="N142" s="58">
        <v>152.8935097</v>
      </c>
      <c r="O142" s="58">
        <v>-19.049</v>
      </c>
      <c r="P142" s="58">
        <v>0.263</v>
      </c>
      <c r="Q142" s="58">
        <v>-22.13</v>
      </c>
      <c r="R142" s="58">
        <v>0.222</v>
      </c>
      <c r="S142" s="59">
        <v>9.6</v>
      </c>
      <c r="T142" s="59">
        <v>2.1</v>
      </c>
      <c r="U142" s="58">
        <v>0.0</v>
      </c>
      <c r="V142" s="59">
        <v>0.5</v>
      </c>
      <c r="W142" s="5"/>
      <c r="X142" s="5"/>
      <c r="Y142" s="93" t="s">
        <v>476</v>
      </c>
      <c r="Z142" s="58">
        <v>17.29</v>
      </c>
      <c r="AA142" s="58">
        <v>0.05</v>
      </c>
      <c r="AB142" s="58">
        <v>12.98</v>
      </c>
      <c r="AC142" s="59">
        <v>0.024</v>
      </c>
      <c r="AD142" s="59">
        <v>12.417</v>
      </c>
      <c r="AE142" s="59">
        <v>0.022</v>
      </c>
      <c r="AF142" s="59">
        <v>12.127</v>
      </c>
      <c r="AG142" s="59">
        <v>0.029</v>
      </c>
      <c r="AH142" s="6"/>
      <c r="AI142" s="5"/>
      <c r="AJ142" s="63" t="s">
        <v>476</v>
      </c>
      <c r="AK142" s="64" t="s">
        <v>192</v>
      </c>
      <c r="AL142" s="64" t="s">
        <v>477</v>
      </c>
      <c r="AM142" s="13"/>
      <c r="AN142" s="102">
        <v>150.0</v>
      </c>
      <c r="AO142" s="13"/>
      <c r="AP142" s="13" t="s">
        <v>371</v>
      </c>
      <c r="AQ142" s="73">
        <v>0.5</v>
      </c>
      <c r="AR142" s="78">
        <v>3130.0</v>
      </c>
      <c r="AS142" s="97">
        <v>72.0</v>
      </c>
      <c r="AT142" s="79">
        <v>0.12</v>
      </c>
      <c r="AU142" s="73">
        <v>0.03</v>
      </c>
      <c r="AV142" s="70">
        <v>0.016</v>
      </c>
      <c r="AW142" s="70">
        <v>0.008</v>
      </c>
      <c r="AX142" s="73">
        <v>0.44</v>
      </c>
      <c r="AY142" s="73">
        <v>0.1</v>
      </c>
      <c r="AZ142" s="11" t="s">
        <v>162</v>
      </c>
      <c r="BA142" s="111" t="s">
        <v>478</v>
      </c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2"/>
      <c r="DK142" s="12"/>
      <c r="DL142" s="12"/>
      <c r="DM142" s="69"/>
      <c r="DN142" s="69"/>
      <c r="DO142" s="69"/>
      <c r="DP142" s="69"/>
      <c r="DQ142" s="11"/>
      <c r="DR142" s="69"/>
      <c r="DS142" s="69"/>
      <c r="DT142" s="69"/>
      <c r="DU142" s="69"/>
      <c r="DV142" s="97">
        <v>-4.1</v>
      </c>
      <c r="DW142" s="79">
        <v>0.25</v>
      </c>
      <c r="DX142" s="81">
        <v>1.1749E-11</v>
      </c>
      <c r="DY142" s="7"/>
      <c r="DZ142" s="7" t="s">
        <v>486</v>
      </c>
      <c r="EA142" s="13"/>
      <c r="EB142" s="13"/>
    </row>
    <row r="143">
      <c r="A143" s="55" t="s">
        <v>499</v>
      </c>
      <c r="B143" s="56" t="s">
        <v>499</v>
      </c>
      <c r="C143" s="4"/>
      <c r="D143" s="4"/>
      <c r="E143" s="4"/>
      <c r="F143" s="57" t="s">
        <v>168</v>
      </c>
      <c r="G143" s="58">
        <v>239.8551453</v>
      </c>
      <c r="H143" s="58">
        <v>-42.58515954</v>
      </c>
      <c r="I143" s="6" t="s">
        <v>314</v>
      </c>
      <c r="J143" s="6" t="s">
        <v>169</v>
      </c>
      <c r="K143" s="58">
        <v>3.0</v>
      </c>
      <c r="L143" s="59"/>
      <c r="M143" s="59">
        <v>2.0</v>
      </c>
      <c r="N143" s="58">
        <v>147.2190325</v>
      </c>
      <c r="O143" s="59">
        <v>-17.826</v>
      </c>
      <c r="P143" s="59">
        <v>0.199</v>
      </c>
      <c r="Q143" s="59">
        <v>-26.402</v>
      </c>
      <c r="R143" s="59">
        <v>0.146</v>
      </c>
      <c r="S143" s="59">
        <v>6.5</v>
      </c>
      <c r="T143" s="59">
        <v>2.5</v>
      </c>
      <c r="U143" s="59">
        <v>0.0</v>
      </c>
      <c r="V143" s="59">
        <v>0.5</v>
      </c>
      <c r="W143" s="5"/>
      <c r="X143" s="5"/>
      <c r="Y143" s="62" t="s">
        <v>476</v>
      </c>
      <c r="Z143" s="5"/>
      <c r="AA143" s="5"/>
      <c r="AB143" s="59">
        <v>13.175</v>
      </c>
      <c r="AC143" s="59">
        <v>0.028</v>
      </c>
      <c r="AD143" s="59">
        <v>12.58</v>
      </c>
      <c r="AE143" s="59">
        <v>0.03</v>
      </c>
      <c r="AF143" s="59">
        <v>12.26</v>
      </c>
      <c r="AG143" s="59">
        <v>0.03</v>
      </c>
      <c r="AH143" s="6"/>
      <c r="AI143" s="5"/>
      <c r="AJ143" s="63" t="s">
        <v>476</v>
      </c>
      <c r="AK143" s="64" t="s">
        <v>192</v>
      </c>
      <c r="AL143" s="97">
        <v>2015.0</v>
      </c>
      <c r="AM143" s="13"/>
      <c r="AN143" s="102">
        <v>150.0</v>
      </c>
      <c r="AO143" s="13"/>
      <c r="AP143" s="13" t="s">
        <v>371</v>
      </c>
      <c r="AQ143" s="97">
        <v>0.5</v>
      </c>
      <c r="AR143" s="78">
        <v>3130.0</v>
      </c>
      <c r="AS143" s="97">
        <v>72.0</v>
      </c>
      <c r="AT143" s="79">
        <v>0.12</v>
      </c>
      <c r="AU143" s="73">
        <v>0.02</v>
      </c>
      <c r="AV143" s="70">
        <v>0.0195</v>
      </c>
      <c r="AW143" s="70">
        <v>0.0092</v>
      </c>
      <c r="AX143" s="73">
        <v>0.48</v>
      </c>
      <c r="AY143" s="73">
        <v>0.11</v>
      </c>
      <c r="AZ143" s="11" t="s">
        <v>162</v>
      </c>
      <c r="BA143" s="11" t="s">
        <v>478</v>
      </c>
      <c r="BB143" s="112">
        <v>-9.98</v>
      </c>
      <c r="BC143" s="112">
        <v>2.35</v>
      </c>
      <c r="BD143" s="105">
        <v>4.28E-15</v>
      </c>
      <c r="BE143" s="105">
        <v>3.8E-16</v>
      </c>
      <c r="BF143" s="112">
        <v>-10.94</v>
      </c>
      <c r="BG143" s="112">
        <v>3.08</v>
      </c>
      <c r="BH143" s="105">
        <v>9.92E-16</v>
      </c>
      <c r="BI143" s="105">
        <v>8.4E-17</v>
      </c>
      <c r="BJ143" s="112">
        <v>-19.68</v>
      </c>
      <c r="BK143" s="112">
        <v>6.88</v>
      </c>
      <c r="BL143" s="105">
        <v>6.2E-16</v>
      </c>
      <c r="BM143" s="105">
        <v>1.11E-16</v>
      </c>
      <c r="BN143" s="112">
        <v>-12.24</v>
      </c>
      <c r="BO143" s="112">
        <v>4.9</v>
      </c>
      <c r="BP143" s="105">
        <v>3.93E-16</v>
      </c>
      <c r="BQ143" s="105">
        <v>7.1E-17</v>
      </c>
      <c r="BR143" s="112">
        <v>-13.77</v>
      </c>
      <c r="BS143" s="112">
        <v>6.88</v>
      </c>
      <c r="BT143" s="105">
        <v>2.74E-16</v>
      </c>
      <c r="BU143" s="105">
        <v>4.4E-17</v>
      </c>
      <c r="BV143" s="105"/>
      <c r="BW143" s="105"/>
      <c r="BX143" s="105"/>
      <c r="BY143" s="105"/>
      <c r="BZ143" s="11"/>
      <c r="CA143" s="11"/>
      <c r="CB143" s="105">
        <v>4.8E-16</v>
      </c>
      <c r="CC143" s="11"/>
      <c r="CD143" s="11"/>
      <c r="CE143" s="11"/>
      <c r="CF143" s="105">
        <v>3.0E-16</v>
      </c>
      <c r="CG143" s="11"/>
      <c r="CH143" s="11"/>
      <c r="CI143" s="11"/>
      <c r="CJ143" s="105">
        <v>6.3E-16</v>
      </c>
      <c r="CK143" s="11"/>
      <c r="CL143" s="11"/>
      <c r="CM143" s="11"/>
      <c r="CN143" s="105">
        <v>2.88E-16</v>
      </c>
      <c r="CO143" s="11"/>
      <c r="CP143" s="11"/>
      <c r="CQ143" s="11"/>
      <c r="CR143" s="11"/>
      <c r="CS143" s="11"/>
      <c r="CT143" s="112">
        <v>-0.72</v>
      </c>
      <c r="CU143" s="112">
        <v>0.26</v>
      </c>
      <c r="CV143" s="105">
        <v>9.62E-17</v>
      </c>
      <c r="CW143" s="105">
        <v>3.94E-17</v>
      </c>
      <c r="CX143" s="11"/>
      <c r="CY143" s="11"/>
      <c r="CZ143" s="105">
        <v>2.24E-16</v>
      </c>
      <c r="DA143" s="11"/>
      <c r="DB143" s="11"/>
      <c r="DC143" s="11"/>
      <c r="DD143" s="11"/>
      <c r="DE143" s="11"/>
      <c r="DF143" s="105"/>
      <c r="DG143" s="105"/>
      <c r="DH143" s="105">
        <v>4.42E-16</v>
      </c>
      <c r="DI143" s="105"/>
      <c r="DJ143" s="105"/>
      <c r="DK143" s="105">
        <v>3.62E-16</v>
      </c>
      <c r="DL143" s="105"/>
      <c r="DM143" s="69"/>
      <c r="DN143" s="69"/>
      <c r="DO143" s="69"/>
      <c r="DP143" s="69"/>
      <c r="DQ143" s="11"/>
      <c r="DR143" s="69"/>
      <c r="DS143" s="69"/>
      <c r="DT143" s="69"/>
      <c r="DU143" s="69"/>
      <c r="DV143" s="73">
        <v>-4.4</v>
      </c>
      <c r="DW143" s="79">
        <v>0.25</v>
      </c>
      <c r="DX143" s="81">
        <v>6.45654E-12</v>
      </c>
      <c r="DY143" s="7"/>
      <c r="DZ143" s="7" t="s">
        <v>486</v>
      </c>
      <c r="EA143" s="7"/>
      <c r="EB143" s="7"/>
    </row>
    <row r="144">
      <c r="A144" s="55" t="s">
        <v>500</v>
      </c>
      <c r="B144" s="56" t="s">
        <v>501</v>
      </c>
      <c r="C144" s="4"/>
      <c r="D144" s="4"/>
      <c r="E144" s="4"/>
      <c r="F144" s="57" t="s">
        <v>168</v>
      </c>
      <c r="G144" s="58">
        <v>242.00072</v>
      </c>
      <c r="H144" s="58">
        <v>-39.049862</v>
      </c>
      <c r="I144" s="6" t="s">
        <v>314</v>
      </c>
      <c r="J144" s="6" t="s">
        <v>169</v>
      </c>
      <c r="K144" s="58">
        <v>3.0</v>
      </c>
      <c r="L144" s="59"/>
      <c r="M144" s="59">
        <v>2.0</v>
      </c>
      <c r="N144" s="58">
        <v>159.88999</v>
      </c>
      <c r="O144" s="58">
        <v>-11.434</v>
      </c>
      <c r="P144" s="58">
        <v>0.196</v>
      </c>
      <c r="Q144" s="58">
        <v>-23.557</v>
      </c>
      <c r="R144" s="58">
        <v>0.119</v>
      </c>
      <c r="S144" s="59">
        <v>2.7</v>
      </c>
      <c r="T144" s="59">
        <v>1.9</v>
      </c>
      <c r="U144" s="59">
        <v>0.0</v>
      </c>
      <c r="V144" s="59">
        <v>0.5</v>
      </c>
      <c r="W144" s="5"/>
      <c r="X144" s="5"/>
      <c r="Y144" s="62" t="s">
        <v>476</v>
      </c>
      <c r="Z144" s="58">
        <v>16.72</v>
      </c>
      <c r="AA144" s="58">
        <v>0.23</v>
      </c>
      <c r="AB144" s="58">
        <v>12.145</v>
      </c>
      <c r="AC144" s="59">
        <v>0.029</v>
      </c>
      <c r="AD144" s="59">
        <v>11.452</v>
      </c>
      <c r="AE144" s="59">
        <v>0.025</v>
      </c>
      <c r="AF144" s="59">
        <v>11.071</v>
      </c>
      <c r="AG144" s="59">
        <v>0.024</v>
      </c>
      <c r="AH144" s="6"/>
      <c r="AI144" s="6"/>
      <c r="AJ144" s="63" t="s">
        <v>476</v>
      </c>
      <c r="AK144" s="64" t="s">
        <v>192</v>
      </c>
      <c r="AL144" s="64" t="s">
        <v>477</v>
      </c>
      <c r="AM144" s="13"/>
      <c r="AN144" s="102">
        <v>200.0</v>
      </c>
      <c r="AO144" s="13"/>
      <c r="AP144" s="13" t="s">
        <v>264</v>
      </c>
      <c r="AQ144" s="97">
        <v>0.5</v>
      </c>
      <c r="AR144" s="78">
        <v>3060.0</v>
      </c>
      <c r="AS144" s="97">
        <v>70.0</v>
      </c>
      <c r="AT144" s="79">
        <v>0.13</v>
      </c>
      <c r="AU144" s="73">
        <v>0.02</v>
      </c>
      <c r="AV144" s="70">
        <v>0.057</v>
      </c>
      <c r="AW144" s="70">
        <v>0.026</v>
      </c>
      <c r="AX144" s="73">
        <v>0.83</v>
      </c>
      <c r="AY144" s="73">
        <v>0.19</v>
      </c>
      <c r="AZ144" s="11" t="s">
        <v>162</v>
      </c>
      <c r="BA144" s="111" t="s">
        <v>478</v>
      </c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2"/>
      <c r="DK144" s="12"/>
      <c r="DL144" s="12"/>
      <c r="DM144" s="69"/>
      <c r="DN144" s="69"/>
      <c r="DO144" s="69"/>
      <c r="DP144" s="69"/>
      <c r="DQ144" s="11"/>
      <c r="DR144" s="69"/>
      <c r="DS144" s="69"/>
      <c r="DT144" s="69"/>
      <c r="DU144" s="69"/>
      <c r="DV144" s="73">
        <v>-3.7</v>
      </c>
      <c r="DW144" s="79">
        <v>0.25</v>
      </c>
      <c r="DX144" s="81">
        <v>5.12861E-11</v>
      </c>
      <c r="DY144" s="7"/>
      <c r="DZ144" s="7" t="s">
        <v>486</v>
      </c>
      <c r="EA144" s="7"/>
      <c r="EB144" s="7"/>
    </row>
    <row r="145">
      <c r="A145" s="55" t="s">
        <v>502</v>
      </c>
      <c r="B145" s="56" t="s">
        <v>502</v>
      </c>
      <c r="C145" s="4"/>
      <c r="D145" s="4"/>
      <c r="E145" s="4"/>
      <c r="F145" s="57" t="s">
        <v>168</v>
      </c>
      <c r="G145" s="58">
        <v>240.1088349</v>
      </c>
      <c r="H145" s="58">
        <v>-41.89871701</v>
      </c>
      <c r="I145" s="6" t="s">
        <v>314</v>
      </c>
      <c r="J145" s="6" t="s">
        <v>169</v>
      </c>
      <c r="K145" s="58">
        <v>3.0</v>
      </c>
      <c r="L145" s="59"/>
      <c r="M145" s="59">
        <v>2.0</v>
      </c>
      <c r="N145" s="58">
        <v>164.3331361</v>
      </c>
      <c r="O145" s="58">
        <v>-10.231</v>
      </c>
      <c r="P145" s="58">
        <v>0.179</v>
      </c>
      <c r="Q145" s="58">
        <v>-22.568</v>
      </c>
      <c r="R145" s="58">
        <v>0.134</v>
      </c>
      <c r="S145" s="59">
        <v>-1.1</v>
      </c>
      <c r="T145" s="59">
        <v>2.3</v>
      </c>
      <c r="U145" s="59">
        <v>0.9</v>
      </c>
      <c r="V145" s="59">
        <v>0.5</v>
      </c>
      <c r="W145" s="5"/>
      <c r="X145" s="5"/>
      <c r="Y145" s="62" t="s">
        <v>476</v>
      </c>
      <c r="Z145" s="58">
        <v>15.7</v>
      </c>
      <c r="AA145" s="58">
        <v>0.21</v>
      </c>
      <c r="AB145" s="58">
        <v>11.824</v>
      </c>
      <c r="AC145" s="59">
        <v>0.026</v>
      </c>
      <c r="AD145" s="59">
        <v>11.105</v>
      </c>
      <c r="AE145" s="59">
        <v>0.022</v>
      </c>
      <c r="AF145" s="59">
        <v>10.779</v>
      </c>
      <c r="AG145" s="59">
        <v>0.02</v>
      </c>
      <c r="AH145" s="6"/>
      <c r="AI145" s="6"/>
      <c r="AJ145" s="63" t="s">
        <v>476</v>
      </c>
      <c r="AK145" s="64" t="s">
        <v>192</v>
      </c>
      <c r="AL145" s="97">
        <v>2015.0</v>
      </c>
      <c r="AM145" s="13"/>
      <c r="AN145" s="102">
        <v>150.0</v>
      </c>
      <c r="AO145" s="13"/>
      <c r="AP145" s="13" t="s">
        <v>264</v>
      </c>
      <c r="AQ145" s="97">
        <v>0.5</v>
      </c>
      <c r="AR145" s="78">
        <v>3060.0</v>
      </c>
      <c r="AS145" s="97">
        <v>71.0</v>
      </c>
      <c r="AT145" s="79">
        <v>0.14</v>
      </c>
      <c r="AU145" s="73">
        <v>0.03</v>
      </c>
      <c r="AV145" s="70">
        <v>0.0661</v>
      </c>
      <c r="AW145" s="70">
        <v>0.0397</v>
      </c>
      <c r="AX145" s="73">
        <v>0.91</v>
      </c>
      <c r="AY145" s="73">
        <v>0.27</v>
      </c>
      <c r="AZ145" s="11" t="s">
        <v>162</v>
      </c>
      <c r="BA145" s="11" t="s">
        <v>478</v>
      </c>
      <c r="BB145" s="112">
        <v>-17.13</v>
      </c>
      <c r="BC145" s="112">
        <v>3.28</v>
      </c>
      <c r="BD145" s="105">
        <v>2.41E-14</v>
      </c>
      <c r="BE145" s="105">
        <v>1.9E-15</v>
      </c>
      <c r="BF145" s="112">
        <v>-21.76</v>
      </c>
      <c r="BG145" s="112">
        <v>7.1</v>
      </c>
      <c r="BH145" s="105">
        <v>8.05E-15</v>
      </c>
      <c r="BI145" s="105">
        <v>1.08E-15</v>
      </c>
      <c r="BJ145" s="112">
        <v>-28.33</v>
      </c>
      <c r="BK145" s="112">
        <v>5.07</v>
      </c>
      <c r="BL145" s="105">
        <v>5.97E-15</v>
      </c>
      <c r="BM145" s="105">
        <v>8.5E-16</v>
      </c>
      <c r="BN145" s="112">
        <v>-29.23</v>
      </c>
      <c r="BO145" s="112">
        <v>11.69</v>
      </c>
      <c r="BP145" s="105">
        <v>5.1E-15</v>
      </c>
      <c r="BQ145" s="105">
        <v>8.1E-16</v>
      </c>
      <c r="BR145" s="112">
        <v>-35.71</v>
      </c>
      <c r="BS145" s="112">
        <v>13.1</v>
      </c>
      <c r="BT145" s="105">
        <v>4.81E-15</v>
      </c>
      <c r="BU145" s="105">
        <v>1.02E-15</v>
      </c>
      <c r="BV145" s="105"/>
      <c r="BW145" s="105"/>
      <c r="BX145" s="105"/>
      <c r="BY145" s="105"/>
      <c r="BZ145" s="11"/>
      <c r="CA145" s="11"/>
      <c r="CB145" s="105">
        <v>3.34E-15</v>
      </c>
      <c r="CC145" s="11"/>
      <c r="CD145" s="112">
        <v>-0.52</v>
      </c>
      <c r="CE145" s="112">
        <v>0.1</v>
      </c>
      <c r="CF145" s="105">
        <v>3.71E-15</v>
      </c>
      <c r="CG145" s="105">
        <v>1.91E-15</v>
      </c>
      <c r="CH145" s="11"/>
      <c r="CI145" s="11"/>
      <c r="CJ145" s="105">
        <v>1.71E-15</v>
      </c>
      <c r="CK145" s="11"/>
      <c r="CL145" s="11"/>
      <c r="CM145" s="11"/>
      <c r="CN145" s="105">
        <v>1.43E-15</v>
      </c>
      <c r="CO145" s="11"/>
      <c r="CP145" s="11"/>
      <c r="CQ145" s="11"/>
      <c r="CR145" s="11"/>
      <c r="CS145" s="11"/>
      <c r="CT145" s="112">
        <v>-3.5</v>
      </c>
      <c r="CU145" s="112">
        <v>1.31</v>
      </c>
      <c r="CV145" s="105">
        <v>1.87E-15</v>
      </c>
      <c r="CW145" s="105">
        <v>3.0E-16</v>
      </c>
      <c r="CX145" s="112">
        <v>-0.91</v>
      </c>
      <c r="CY145" s="112">
        <v>0.27</v>
      </c>
      <c r="CZ145" s="105">
        <v>8.86E-16</v>
      </c>
      <c r="DA145" s="105">
        <v>2.35E-16</v>
      </c>
      <c r="DB145" s="112"/>
      <c r="DC145" s="112"/>
      <c r="DD145" s="112"/>
      <c r="DE145" s="112"/>
      <c r="DF145" s="105"/>
      <c r="DG145" s="105"/>
      <c r="DH145" s="105">
        <v>3.55E-15</v>
      </c>
      <c r="DI145" s="105"/>
      <c r="DJ145" s="105"/>
      <c r="DK145" s="105">
        <v>3.4E-15</v>
      </c>
      <c r="DL145" s="105"/>
      <c r="DM145" s="69"/>
      <c r="DN145" s="69"/>
      <c r="DO145" s="69"/>
      <c r="DP145" s="69"/>
      <c r="DQ145" s="11"/>
      <c r="DR145" s="69"/>
      <c r="DS145" s="69"/>
      <c r="DT145" s="69"/>
      <c r="DU145" s="69"/>
      <c r="DV145" s="73">
        <v>-3.3</v>
      </c>
      <c r="DW145" s="79">
        <v>0.25</v>
      </c>
      <c r="DX145" s="81">
        <v>1.31826E-10</v>
      </c>
      <c r="DY145" s="7"/>
      <c r="DZ145" s="7" t="s">
        <v>486</v>
      </c>
      <c r="EA145" s="7"/>
      <c r="EB145" s="7"/>
    </row>
    <row r="146">
      <c r="A146" s="55" t="s">
        <v>503</v>
      </c>
      <c r="B146" s="56" t="s">
        <v>504</v>
      </c>
      <c r="C146" s="4"/>
      <c r="D146" s="4"/>
      <c r="E146" s="4"/>
      <c r="F146" s="57" t="s">
        <v>168</v>
      </c>
      <c r="G146" s="58">
        <v>236.2869782</v>
      </c>
      <c r="H146" s="58">
        <v>-34.29262805</v>
      </c>
      <c r="I146" s="6" t="s">
        <v>314</v>
      </c>
      <c r="J146" s="6" t="s">
        <v>169</v>
      </c>
      <c r="K146" s="58">
        <v>3.0</v>
      </c>
      <c r="L146" s="59"/>
      <c r="M146" s="59">
        <v>2.0</v>
      </c>
      <c r="N146" s="58">
        <v>154.9594781</v>
      </c>
      <c r="O146" s="59">
        <v>-15.585</v>
      </c>
      <c r="P146" s="59">
        <v>0.39</v>
      </c>
      <c r="Q146" s="59">
        <v>-21.808</v>
      </c>
      <c r="R146" s="59">
        <v>0.278</v>
      </c>
      <c r="S146" s="59">
        <v>-0.8</v>
      </c>
      <c r="T146" s="59">
        <v>2.7</v>
      </c>
      <c r="U146" s="59">
        <v>5.5</v>
      </c>
      <c r="V146" s="59">
        <v>0.5</v>
      </c>
      <c r="W146" s="5"/>
      <c r="X146" s="5"/>
      <c r="Y146" s="62" t="s">
        <v>476</v>
      </c>
      <c r="Z146" s="59">
        <v>18.73</v>
      </c>
      <c r="AA146" s="59">
        <v>0.05</v>
      </c>
      <c r="AB146" s="59">
        <v>12.194</v>
      </c>
      <c r="AC146" s="59">
        <v>0.029</v>
      </c>
      <c r="AD146" s="59">
        <v>10.64</v>
      </c>
      <c r="AE146" s="59">
        <v>0.03</v>
      </c>
      <c r="AF146" s="59">
        <v>9.706</v>
      </c>
      <c r="AG146" s="59">
        <v>0.023</v>
      </c>
      <c r="AH146" s="6"/>
      <c r="AI146" s="6"/>
      <c r="AJ146" s="63" t="s">
        <v>476</v>
      </c>
      <c r="AK146" s="64" t="s">
        <v>192</v>
      </c>
      <c r="AL146" s="97">
        <v>2015.0</v>
      </c>
      <c r="AM146" s="13"/>
      <c r="AN146" s="102">
        <v>150.0</v>
      </c>
      <c r="AO146" s="13"/>
      <c r="AP146" s="13" t="s">
        <v>264</v>
      </c>
      <c r="AQ146" s="97">
        <v>0.5</v>
      </c>
      <c r="AR146" s="78">
        <v>3060.0</v>
      </c>
      <c r="AS146" s="97">
        <v>71.0</v>
      </c>
      <c r="AT146" s="79">
        <v>0.14</v>
      </c>
      <c r="AU146" s="73">
        <v>0.02</v>
      </c>
      <c r="AV146" s="70">
        <v>0.0575</v>
      </c>
      <c r="AW146" s="70">
        <v>0.0283</v>
      </c>
      <c r="AX146" s="73">
        <v>0.85</v>
      </c>
      <c r="AY146" s="73">
        <v>0.21</v>
      </c>
      <c r="AZ146" s="11" t="s">
        <v>162</v>
      </c>
      <c r="BA146" s="11" t="s">
        <v>478</v>
      </c>
      <c r="BB146" s="112">
        <v>-204.45</v>
      </c>
      <c r="BC146" s="112">
        <v>30.8</v>
      </c>
      <c r="BD146" s="105">
        <v>6.11E-13</v>
      </c>
      <c r="BE146" s="105">
        <v>1.2E-14</v>
      </c>
      <c r="BF146" s="112">
        <v>-64.07</v>
      </c>
      <c r="BG146" s="112">
        <v>18.0</v>
      </c>
      <c r="BH146" s="105">
        <v>9.52E-14</v>
      </c>
      <c r="BI146" s="105">
        <v>1.22E-14</v>
      </c>
      <c r="BJ146" s="112">
        <v>-24.77</v>
      </c>
      <c r="BK146" s="112">
        <v>8.67</v>
      </c>
      <c r="BL146" s="105">
        <v>4.62E-14</v>
      </c>
      <c r="BM146" s="105">
        <v>1.24E-14</v>
      </c>
      <c r="BN146" s="112">
        <v>-42.0</v>
      </c>
      <c r="BO146" s="112">
        <v>16.8</v>
      </c>
      <c r="BP146" s="105">
        <v>3.08E-14</v>
      </c>
      <c r="BQ146" s="105">
        <v>1.05E-14</v>
      </c>
      <c r="BR146" s="11"/>
      <c r="BS146" s="11"/>
      <c r="BT146" s="105">
        <v>1.78E-14</v>
      </c>
      <c r="BU146" s="11"/>
      <c r="BV146" s="11"/>
      <c r="BW146" s="11"/>
      <c r="BX146" s="11"/>
      <c r="BY146" s="11"/>
      <c r="BZ146" s="112">
        <v>-5.08</v>
      </c>
      <c r="CA146" s="112">
        <v>0.31</v>
      </c>
      <c r="CB146" s="105">
        <v>4.89E-14</v>
      </c>
      <c r="CC146" s="105">
        <v>2.4E-15</v>
      </c>
      <c r="CD146" s="112">
        <v>-3.91</v>
      </c>
      <c r="CE146" s="112">
        <v>0.28</v>
      </c>
      <c r="CF146" s="105">
        <v>3.29E-14</v>
      </c>
      <c r="CG146" s="105">
        <v>1.9E-15</v>
      </c>
      <c r="CH146" s="112">
        <v>-3.64</v>
      </c>
      <c r="CI146" s="112">
        <v>0.71</v>
      </c>
      <c r="CJ146" s="105">
        <v>2.5E-14</v>
      </c>
      <c r="CK146" s="105">
        <v>4.1E-15</v>
      </c>
      <c r="CL146" s="112">
        <v>-1.98</v>
      </c>
      <c r="CM146" s="112">
        <v>0.22</v>
      </c>
      <c r="CN146" s="105">
        <v>1.64E-14</v>
      </c>
      <c r="CO146" s="105">
        <v>1.7E-15</v>
      </c>
      <c r="CP146" s="105"/>
      <c r="CQ146" s="105"/>
      <c r="CR146" s="105"/>
      <c r="CS146" s="105"/>
      <c r="CT146" s="112">
        <v>-4.23</v>
      </c>
      <c r="CU146" s="112">
        <v>1.48</v>
      </c>
      <c r="CV146" s="105">
        <v>7.42E-15</v>
      </c>
      <c r="CW146" s="105">
        <v>1.7E-15</v>
      </c>
      <c r="CX146" s="112">
        <v>-1.66</v>
      </c>
      <c r="CY146" s="112">
        <v>0.48</v>
      </c>
      <c r="CZ146" s="105">
        <v>3.41E-15</v>
      </c>
      <c r="DA146" s="105">
        <v>7.3E-16</v>
      </c>
      <c r="DB146" s="112"/>
      <c r="DC146" s="112"/>
      <c r="DD146" s="112"/>
      <c r="DE146" s="112"/>
      <c r="DF146" s="105"/>
      <c r="DG146" s="105"/>
      <c r="DH146" s="105">
        <v>1.09E-13</v>
      </c>
      <c r="DI146" s="105"/>
      <c r="DJ146" s="105"/>
      <c r="DK146" s="105">
        <v>8.26E-14</v>
      </c>
      <c r="DL146" s="105"/>
      <c r="DM146" s="69"/>
      <c r="DN146" s="69"/>
      <c r="DO146" s="69"/>
      <c r="DP146" s="69"/>
      <c r="DQ146" s="11"/>
      <c r="DR146" s="69"/>
      <c r="DS146" s="69"/>
      <c r="DT146" s="69"/>
      <c r="DU146" s="69"/>
      <c r="DV146" s="73">
        <v>-1.8</v>
      </c>
      <c r="DW146" s="79">
        <v>0.25</v>
      </c>
      <c r="DX146" s="81">
        <v>3.89045E-9</v>
      </c>
      <c r="DY146" s="7"/>
      <c r="DZ146" s="7" t="s">
        <v>486</v>
      </c>
      <c r="EA146" s="7"/>
      <c r="EB146" s="7"/>
    </row>
    <row r="147">
      <c r="A147" s="55" t="s">
        <v>505</v>
      </c>
      <c r="B147" s="56" t="s">
        <v>505</v>
      </c>
      <c r="C147" s="4"/>
      <c r="D147" s="4"/>
      <c r="E147" s="4"/>
      <c r="F147" s="57" t="s">
        <v>168</v>
      </c>
      <c r="G147" s="58">
        <v>242.505561</v>
      </c>
      <c r="H147" s="58">
        <v>-39.112476</v>
      </c>
      <c r="I147" s="6" t="s">
        <v>314</v>
      </c>
      <c r="J147" s="6" t="s">
        <v>169</v>
      </c>
      <c r="K147" s="58">
        <v>3.0</v>
      </c>
      <c r="L147" s="59"/>
      <c r="M147" s="59">
        <v>2.0</v>
      </c>
      <c r="N147" s="58">
        <v>192.5595009</v>
      </c>
      <c r="O147" s="58">
        <v>-9.356</v>
      </c>
      <c r="P147" s="58">
        <v>0.352</v>
      </c>
      <c r="Q147" s="58">
        <v>-23.405</v>
      </c>
      <c r="R147" s="58">
        <v>0.209</v>
      </c>
      <c r="S147" s="59">
        <v>0.1</v>
      </c>
      <c r="T147" s="59">
        <v>2.6</v>
      </c>
      <c r="U147" s="59">
        <v>1.7</v>
      </c>
      <c r="V147" s="59">
        <v>0.5</v>
      </c>
      <c r="W147" s="5"/>
      <c r="X147" s="5"/>
      <c r="Y147" s="62" t="s">
        <v>476</v>
      </c>
      <c r="Z147" s="58">
        <v>17.9</v>
      </c>
      <c r="AA147" s="58">
        <v>0.11</v>
      </c>
      <c r="AB147" s="58">
        <v>12.202</v>
      </c>
      <c r="AC147" s="59">
        <v>0.026</v>
      </c>
      <c r="AD147" s="59">
        <v>11.146</v>
      </c>
      <c r="AE147" s="59">
        <v>0.024</v>
      </c>
      <c r="AF147" s="59">
        <v>10.523</v>
      </c>
      <c r="AG147" s="59">
        <v>0.023</v>
      </c>
      <c r="AH147" s="6"/>
      <c r="AI147" s="5"/>
      <c r="AJ147" s="63" t="s">
        <v>476</v>
      </c>
      <c r="AK147" s="64" t="s">
        <v>192</v>
      </c>
      <c r="AL147" s="97">
        <v>2015.0</v>
      </c>
      <c r="AM147" s="13"/>
      <c r="AN147" s="102">
        <v>200.0</v>
      </c>
      <c r="AO147" s="13"/>
      <c r="AP147" s="13" t="s">
        <v>217</v>
      </c>
      <c r="AQ147" s="97">
        <v>0.5</v>
      </c>
      <c r="AR147" s="78">
        <v>2940.0</v>
      </c>
      <c r="AS147" s="97">
        <v>68.0</v>
      </c>
      <c r="AT147" s="79">
        <v>0.14</v>
      </c>
      <c r="AU147" s="73">
        <v>0.03</v>
      </c>
      <c r="AV147" s="70">
        <v>0.2089</v>
      </c>
      <c r="AW147" s="70">
        <v>0.1289</v>
      </c>
      <c r="AX147" s="73">
        <v>1.77</v>
      </c>
      <c r="AY147" s="73">
        <v>0.55</v>
      </c>
      <c r="AZ147" s="11" t="s">
        <v>162</v>
      </c>
      <c r="BA147" s="11" t="s">
        <v>478</v>
      </c>
      <c r="BB147" s="112">
        <v>-44.6</v>
      </c>
      <c r="BC147" s="112">
        <v>4.4</v>
      </c>
      <c r="BD147" s="105">
        <v>2.2E-14</v>
      </c>
      <c r="BE147" s="105">
        <v>5.0E-16</v>
      </c>
      <c r="BF147" s="112">
        <v>-31.97</v>
      </c>
      <c r="BG147" s="112">
        <v>3.55</v>
      </c>
      <c r="BH147" s="105">
        <v>2.2E-15</v>
      </c>
      <c r="BI147" s="105">
        <v>2.3E-16</v>
      </c>
      <c r="BJ147" s="112">
        <v>-22.99</v>
      </c>
      <c r="BK147" s="112">
        <v>3.5</v>
      </c>
      <c r="BL147" s="105">
        <v>1.01E-15</v>
      </c>
      <c r="BM147" s="105">
        <v>2.0E-16</v>
      </c>
      <c r="BN147" s="112">
        <v>-10.81</v>
      </c>
      <c r="BO147" s="112">
        <v>4.75</v>
      </c>
      <c r="BP147" s="105">
        <v>5.08E-16</v>
      </c>
      <c r="BQ147" s="105">
        <v>1.81E-16</v>
      </c>
      <c r="BR147" s="112">
        <v>-21.33</v>
      </c>
      <c r="BS147" s="112">
        <v>10.66</v>
      </c>
      <c r="BT147" s="105">
        <v>4.7E-16</v>
      </c>
      <c r="BU147" s="105">
        <v>1.66E-16</v>
      </c>
      <c r="BV147" s="105"/>
      <c r="BW147" s="105"/>
      <c r="BX147" s="105"/>
      <c r="BY147" s="105"/>
      <c r="BZ147" s="11"/>
      <c r="CA147" s="11"/>
      <c r="CB147" s="105">
        <v>7.31E-16</v>
      </c>
      <c r="CC147" s="11"/>
      <c r="CD147" s="11"/>
      <c r="CE147" s="11"/>
      <c r="CF147" s="105">
        <v>8.32E-16</v>
      </c>
      <c r="CG147" s="11"/>
      <c r="CH147" s="11"/>
      <c r="CI147" s="11"/>
      <c r="CJ147" s="105">
        <v>1.53E-15</v>
      </c>
      <c r="CK147" s="11"/>
      <c r="CL147" s="11"/>
      <c r="CM147" s="11"/>
      <c r="CN147" s="105">
        <v>6.18E-16</v>
      </c>
      <c r="CO147" s="11"/>
      <c r="CP147" s="11"/>
      <c r="CQ147" s="11"/>
      <c r="CR147" s="11"/>
      <c r="CS147" s="11"/>
      <c r="CT147" s="112">
        <v>-3.28</v>
      </c>
      <c r="CU147" s="112">
        <v>1.15</v>
      </c>
      <c r="CV147" s="105">
        <v>4.51E-16</v>
      </c>
      <c r="CW147" s="105">
        <v>1.75E-16</v>
      </c>
      <c r="CX147" s="112">
        <v>-0.68</v>
      </c>
      <c r="CY147" s="112">
        <v>0.2</v>
      </c>
      <c r="CZ147" s="105">
        <v>2.21E-16</v>
      </c>
      <c r="DA147" s="105">
        <v>5.1E-17</v>
      </c>
      <c r="DB147" s="112"/>
      <c r="DC147" s="112"/>
      <c r="DD147" s="112"/>
      <c r="DE147" s="112"/>
      <c r="DF147" s="105"/>
      <c r="DG147" s="105"/>
      <c r="DH147" s="105">
        <v>9.91E-16</v>
      </c>
      <c r="DI147" s="105"/>
      <c r="DJ147" s="105"/>
      <c r="DK147" s="105">
        <v>9.44E-16</v>
      </c>
      <c r="DL147" s="105"/>
      <c r="DM147" s="69"/>
      <c r="DN147" s="69"/>
      <c r="DO147" s="69"/>
      <c r="DP147" s="69"/>
      <c r="DQ147" s="11"/>
      <c r="DR147" s="69"/>
      <c r="DS147" s="69"/>
      <c r="DT147" s="69"/>
      <c r="DU147" s="69"/>
      <c r="DV147" s="73">
        <v>-3.4</v>
      </c>
      <c r="DW147" s="79">
        <v>0.25</v>
      </c>
      <c r="DX147" s="81">
        <v>2.04174E-10</v>
      </c>
      <c r="DY147" s="7"/>
      <c r="DZ147" s="7" t="s">
        <v>486</v>
      </c>
      <c r="EA147" s="7"/>
      <c r="EB147" s="7"/>
    </row>
    <row r="148">
      <c r="A148" s="55" t="s">
        <v>506</v>
      </c>
      <c r="B148" s="56" t="s">
        <v>507</v>
      </c>
      <c r="C148" s="4"/>
      <c r="D148" s="3"/>
      <c r="E148" s="3"/>
      <c r="F148" s="57" t="s">
        <v>168</v>
      </c>
      <c r="G148" s="58">
        <v>243.0</v>
      </c>
      <c r="H148" s="58">
        <v>-38.3942</v>
      </c>
      <c r="I148" s="6" t="s">
        <v>314</v>
      </c>
      <c r="J148" s="6" t="s">
        <v>169</v>
      </c>
      <c r="K148" s="58">
        <v>3.0</v>
      </c>
      <c r="L148" s="59"/>
      <c r="M148" s="59">
        <v>2.0</v>
      </c>
      <c r="N148" s="58">
        <v>164.5359264</v>
      </c>
      <c r="O148" s="58">
        <v>-9.115</v>
      </c>
      <c r="P148" s="58">
        <v>0.208</v>
      </c>
      <c r="Q148" s="58">
        <v>-22.656</v>
      </c>
      <c r="R148" s="58">
        <v>0.114</v>
      </c>
      <c r="S148" s="58">
        <v>6.3</v>
      </c>
      <c r="T148" s="58">
        <v>2.6</v>
      </c>
      <c r="U148" s="59">
        <v>0.0</v>
      </c>
      <c r="V148" s="59">
        <v>0.5</v>
      </c>
      <c r="W148" s="5"/>
      <c r="X148" s="5"/>
      <c r="Y148" s="62" t="s">
        <v>476</v>
      </c>
      <c r="Z148" s="58">
        <v>16.24</v>
      </c>
      <c r="AA148" s="58">
        <v>0.05</v>
      </c>
      <c r="AB148" s="58">
        <v>12.197</v>
      </c>
      <c r="AC148" s="59">
        <v>0.024</v>
      </c>
      <c r="AD148" s="59">
        <v>11.511</v>
      </c>
      <c r="AE148" s="59">
        <v>0.026</v>
      </c>
      <c r="AF148" s="59">
        <v>11.204</v>
      </c>
      <c r="AG148" s="59">
        <v>0.023</v>
      </c>
      <c r="AH148" s="6"/>
      <c r="AI148" s="6"/>
      <c r="AJ148" s="63" t="s">
        <v>476</v>
      </c>
      <c r="AK148" s="64" t="s">
        <v>192</v>
      </c>
      <c r="AL148" s="64" t="s">
        <v>477</v>
      </c>
      <c r="AM148" s="13"/>
      <c r="AN148" s="102">
        <v>200.0</v>
      </c>
      <c r="AO148" s="13"/>
      <c r="AP148" s="13" t="s">
        <v>371</v>
      </c>
      <c r="AQ148" s="97">
        <v>0.5</v>
      </c>
      <c r="AR148" s="78">
        <v>3130.0</v>
      </c>
      <c r="AS148" s="97">
        <v>72.0</v>
      </c>
      <c r="AT148" s="79">
        <v>0.15</v>
      </c>
      <c r="AU148" s="73">
        <v>0.03</v>
      </c>
      <c r="AV148" s="70">
        <v>0.059</v>
      </c>
      <c r="AW148" s="70">
        <v>0.027</v>
      </c>
      <c r="AX148" s="73">
        <v>0.85</v>
      </c>
      <c r="AY148" s="73">
        <v>0.19</v>
      </c>
      <c r="AZ148" s="11" t="s">
        <v>162</v>
      </c>
      <c r="BA148" s="111" t="s">
        <v>478</v>
      </c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2"/>
      <c r="DK148" s="12"/>
      <c r="DL148" s="12"/>
      <c r="DM148" s="69"/>
      <c r="DN148" s="69"/>
      <c r="DO148" s="69"/>
      <c r="DP148" s="69"/>
      <c r="DQ148" s="11"/>
      <c r="DR148" s="69"/>
      <c r="DS148" s="69"/>
      <c r="DT148" s="69"/>
      <c r="DU148" s="69"/>
      <c r="DV148" s="73">
        <v>-3.6</v>
      </c>
      <c r="DW148" s="79">
        <v>0.25</v>
      </c>
      <c r="DX148" s="81">
        <v>5.7544E-11</v>
      </c>
      <c r="DY148" s="7"/>
      <c r="DZ148" s="7" t="s">
        <v>486</v>
      </c>
      <c r="EA148" s="7"/>
      <c r="EB148" s="7"/>
    </row>
    <row r="149">
      <c r="A149" s="55" t="s">
        <v>508</v>
      </c>
      <c r="B149" s="56" t="s">
        <v>508</v>
      </c>
      <c r="C149" s="4"/>
      <c r="D149" s="4"/>
      <c r="E149" s="4"/>
      <c r="F149" s="57" t="s">
        <v>168</v>
      </c>
      <c r="G149" s="58">
        <v>242.5773682</v>
      </c>
      <c r="H149" s="58">
        <v>-38.60349952</v>
      </c>
      <c r="I149" s="6" t="s">
        <v>314</v>
      </c>
      <c r="J149" s="6" t="s">
        <v>169</v>
      </c>
      <c r="K149" s="58">
        <v>3.0</v>
      </c>
      <c r="L149" s="59"/>
      <c r="M149" s="59">
        <v>2.0</v>
      </c>
      <c r="N149" s="58">
        <v>158.8007368</v>
      </c>
      <c r="O149" s="59">
        <v>-9.485</v>
      </c>
      <c r="P149" s="59">
        <v>0.207</v>
      </c>
      <c r="Q149" s="59">
        <v>-25.214</v>
      </c>
      <c r="R149" s="59">
        <v>0.129</v>
      </c>
      <c r="S149" s="59">
        <v>-0.2</v>
      </c>
      <c r="T149" s="59">
        <v>2.5</v>
      </c>
      <c r="U149" s="59">
        <v>0.5</v>
      </c>
      <c r="V149" s="59">
        <v>0.5</v>
      </c>
      <c r="W149" s="5"/>
      <c r="X149" s="5"/>
      <c r="Y149" s="62" t="s">
        <v>476</v>
      </c>
      <c r="Z149" s="58">
        <v>16.67</v>
      </c>
      <c r="AA149" s="58">
        <v>0.18</v>
      </c>
      <c r="AB149" s="58">
        <v>12.655</v>
      </c>
      <c r="AC149" s="59">
        <v>0.021</v>
      </c>
      <c r="AD149" s="59">
        <v>12.094</v>
      </c>
      <c r="AE149" s="59">
        <v>0.025</v>
      </c>
      <c r="AF149" s="59">
        <v>11.761</v>
      </c>
      <c r="AG149" s="59">
        <v>0.025</v>
      </c>
      <c r="AH149" s="6"/>
      <c r="AI149" s="6"/>
      <c r="AJ149" s="63" t="s">
        <v>476</v>
      </c>
      <c r="AK149" s="64" t="s">
        <v>192</v>
      </c>
      <c r="AL149" s="97">
        <v>2015.0</v>
      </c>
      <c r="AM149" s="13"/>
      <c r="AN149" s="102">
        <v>200.0</v>
      </c>
      <c r="AO149" s="13"/>
      <c r="AP149" s="13" t="s">
        <v>371</v>
      </c>
      <c r="AQ149" s="97">
        <v>0.5</v>
      </c>
      <c r="AR149" s="78">
        <v>3130.0</v>
      </c>
      <c r="AS149" s="97">
        <v>72.0</v>
      </c>
      <c r="AT149" s="79">
        <v>0.15</v>
      </c>
      <c r="AU149" s="73">
        <v>0.03</v>
      </c>
      <c r="AV149" s="70">
        <v>0.0603</v>
      </c>
      <c r="AW149" s="70">
        <v>0.0315</v>
      </c>
      <c r="AX149" s="73">
        <v>0.84</v>
      </c>
      <c r="AY149" s="73">
        <v>0.22</v>
      </c>
      <c r="AZ149" s="11" t="s">
        <v>162</v>
      </c>
      <c r="BA149" s="11" t="s">
        <v>478</v>
      </c>
      <c r="BB149" s="112">
        <v>-14.9</v>
      </c>
      <c r="BC149" s="112">
        <v>2.89</v>
      </c>
      <c r="BD149" s="105">
        <v>9.93E-15</v>
      </c>
      <c r="BE149" s="105">
        <v>8.3E-16</v>
      </c>
      <c r="BF149" s="112">
        <v>-14.21</v>
      </c>
      <c r="BG149" s="112">
        <v>4.06</v>
      </c>
      <c r="BH149" s="105">
        <v>2.53E-15</v>
      </c>
      <c r="BI149" s="105">
        <v>2.4E-16</v>
      </c>
      <c r="BJ149" s="112">
        <v>-18.21</v>
      </c>
      <c r="BK149" s="112">
        <v>6.38</v>
      </c>
      <c r="BL149" s="105">
        <v>1.77E-15</v>
      </c>
      <c r="BM149" s="105">
        <v>2.1E-16</v>
      </c>
      <c r="BN149" s="112">
        <v>-17.55</v>
      </c>
      <c r="BO149" s="112">
        <v>8.25</v>
      </c>
      <c r="BP149" s="105">
        <v>1.39E-15</v>
      </c>
      <c r="BQ149" s="105">
        <v>1.8E-16</v>
      </c>
      <c r="BR149" s="112">
        <v>-16.22</v>
      </c>
      <c r="BS149" s="112">
        <v>8.11</v>
      </c>
      <c r="BT149" s="105">
        <v>1.25E-15</v>
      </c>
      <c r="BU149" s="105">
        <v>2.3E-16</v>
      </c>
      <c r="BV149" s="105"/>
      <c r="BW149" s="105"/>
      <c r="BX149" s="105"/>
      <c r="BY149" s="105"/>
      <c r="BZ149" s="11"/>
      <c r="CA149" s="11"/>
      <c r="CB149" s="105">
        <v>3.37E-16</v>
      </c>
      <c r="CC149" s="11"/>
      <c r="CD149" s="11"/>
      <c r="CE149" s="11"/>
      <c r="CF149" s="105">
        <v>4.16E-16</v>
      </c>
      <c r="CG149" s="11"/>
      <c r="CH149" s="11"/>
      <c r="CI149" s="11"/>
      <c r="CJ149" s="105">
        <v>8.55E-16</v>
      </c>
      <c r="CK149" s="11"/>
      <c r="CL149" s="11"/>
      <c r="CM149" s="11"/>
      <c r="CN149" s="105">
        <v>2.13E-16</v>
      </c>
      <c r="CO149" s="11"/>
      <c r="CP149" s="11"/>
      <c r="CQ149" s="11"/>
      <c r="CR149" s="11"/>
      <c r="CS149" s="11"/>
      <c r="CT149" s="112">
        <v>-1.48</v>
      </c>
      <c r="CU149" s="112">
        <v>0.43</v>
      </c>
      <c r="CV149" s="105">
        <v>3.43E-16</v>
      </c>
      <c r="CW149" s="105">
        <v>6.4E-17</v>
      </c>
      <c r="CX149" s="112">
        <v>-0.3</v>
      </c>
      <c r="CY149" s="112">
        <v>0.1</v>
      </c>
      <c r="CZ149" s="105">
        <v>1.45E-16</v>
      </c>
      <c r="DA149" s="105">
        <v>4.4E-17</v>
      </c>
      <c r="DB149" s="112"/>
      <c r="DC149" s="112"/>
      <c r="DD149" s="112"/>
      <c r="DE149" s="112"/>
      <c r="DF149" s="105"/>
      <c r="DG149" s="105"/>
      <c r="DH149" s="105">
        <v>9.84E-16</v>
      </c>
      <c r="DI149" s="105"/>
      <c r="DJ149" s="105"/>
      <c r="DK149" s="105">
        <v>8.94E-16</v>
      </c>
      <c r="DL149" s="105"/>
      <c r="DM149" s="69"/>
      <c r="DN149" s="69"/>
      <c r="DO149" s="69"/>
      <c r="DP149" s="69"/>
      <c r="DQ149" s="11"/>
      <c r="DR149" s="69"/>
      <c r="DS149" s="69"/>
      <c r="DT149" s="69"/>
      <c r="DU149" s="69"/>
      <c r="DV149" s="73">
        <v>-3.8</v>
      </c>
      <c r="DW149" s="79">
        <v>0.25</v>
      </c>
      <c r="DX149" s="81">
        <v>3.63078E-11</v>
      </c>
      <c r="DY149" s="7"/>
      <c r="DZ149" s="7" t="s">
        <v>486</v>
      </c>
      <c r="EA149" s="7"/>
      <c r="EB149" s="7"/>
    </row>
    <row r="150">
      <c r="A150" s="55" t="s">
        <v>509</v>
      </c>
      <c r="B150" s="56" t="s">
        <v>510</v>
      </c>
      <c r="C150" s="57" t="s">
        <v>156</v>
      </c>
      <c r="D150" s="57">
        <v>1.9</v>
      </c>
      <c r="E150" s="4"/>
      <c r="F150" s="57" t="s">
        <v>168</v>
      </c>
      <c r="G150" s="58">
        <v>238.9594</v>
      </c>
      <c r="H150" s="58">
        <v>-38.0256</v>
      </c>
      <c r="I150" s="6" t="s">
        <v>314</v>
      </c>
      <c r="J150" s="6" t="s">
        <v>169</v>
      </c>
      <c r="K150" s="58">
        <v>3.0</v>
      </c>
      <c r="L150" s="59"/>
      <c r="M150" s="59">
        <v>2.0</v>
      </c>
      <c r="N150" s="58">
        <v>160.0</v>
      </c>
      <c r="O150" s="6"/>
      <c r="P150" s="6"/>
      <c r="Q150" s="6"/>
      <c r="R150" s="6"/>
      <c r="S150" s="59">
        <v>1.2</v>
      </c>
      <c r="T150" s="59">
        <v>2.4</v>
      </c>
      <c r="U150" s="59">
        <v>0.0</v>
      </c>
      <c r="V150" s="59">
        <v>0.5</v>
      </c>
      <c r="W150" s="5"/>
      <c r="X150" s="5"/>
      <c r="Y150" s="62" t="s">
        <v>476</v>
      </c>
      <c r="Z150" s="6"/>
      <c r="AA150" s="6"/>
      <c r="AB150" s="5"/>
      <c r="AC150" s="5"/>
      <c r="AD150" s="5"/>
      <c r="AE150" s="5"/>
      <c r="AF150" s="5"/>
      <c r="AG150" s="5"/>
      <c r="AH150" s="6"/>
      <c r="AI150" s="5"/>
      <c r="AJ150" s="63" t="s">
        <v>476</v>
      </c>
      <c r="AK150" s="64" t="s">
        <v>192</v>
      </c>
      <c r="AL150" s="97">
        <v>2015.0</v>
      </c>
      <c r="AM150" s="13"/>
      <c r="AN150" s="102">
        <v>150.0</v>
      </c>
      <c r="AO150" s="13"/>
      <c r="AP150" s="13" t="s">
        <v>264</v>
      </c>
      <c r="AQ150" s="97">
        <v>0.5</v>
      </c>
      <c r="AR150" s="78">
        <v>3060.0</v>
      </c>
      <c r="AS150" s="97">
        <v>71.0</v>
      </c>
      <c r="AT150" s="79">
        <v>0.15</v>
      </c>
      <c r="AU150" s="73">
        <v>0.03</v>
      </c>
      <c r="AV150" s="70">
        <v>0.1096</v>
      </c>
      <c r="AW150" s="70">
        <v>0.0638</v>
      </c>
      <c r="AX150" s="73">
        <v>1.18</v>
      </c>
      <c r="AY150" s="73">
        <v>0.34</v>
      </c>
      <c r="AZ150" s="11" t="s">
        <v>162</v>
      </c>
      <c r="BA150" s="11" t="s">
        <v>478</v>
      </c>
      <c r="BB150" s="112">
        <v>-14.98</v>
      </c>
      <c r="BC150" s="112">
        <v>2.19</v>
      </c>
      <c r="BD150" s="105">
        <v>3.4E-14</v>
      </c>
      <c r="BE150" s="105">
        <v>2.2E-15</v>
      </c>
      <c r="BF150" s="112">
        <v>-14.6</v>
      </c>
      <c r="BG150" s="112">
        <v>4.12</v>
      </c>
      <c r="BH150" s="105">
        <v>7.05E-15</v>
      </c>
      <c r="BI150" s="105">
        <v>6.3E-16</v>
      </c>
      <c r="BJ150" s="112">
        <v>-10.72</v>
      </c>
      <c r="BK150" s="112">
        <v>2.41</v>
      </c>
      <c r="BL150" s="105">
        <v>4.16E-15</v>
      </c>
      <c r="BM150" s="105">
        <v>3.0E-16</v>
      </c>
      <c r="BN150" s="112">
        <v>-10.62</v>
      </c>
      <c r="BO150" s="112">
        <v>3.68</v>
      </c>
      <c r="BP150" s="105">
        <v>3.06E-15</v>
      </c>
      <c r="BQ150" s="105">
        <v>3.6E-16</v>
      </c>
      <c r="BR150" s="112">
        <v>-14.47</v>
      </c>
      <c r="BS150" s="112">
        <v>7.23</v>
      </c>
      <c r="BT150" s="105">
        <v>2.3E-15</v>
      </c>
      <c r="BU150" s="105">
        <v>6.3E-16</v>
      </c>
      <c r="BV150" s="105"/>
      <c r="BW150" s="105"/>
      <c r="BX150" s="105"/>
      <c r="BY150" s="105"/>
      <c r="BZ150" s="112">
        <v>-0.46</v>
      </c>
      <c r="CA150" s="112">
        <v>0.12</v>
      </c>
      <c r="CB150" s="105">
        <v>4.69E-15</v>
      </c>
      <c r="CC150" s="105">
        <v>1.22E-15</v>
      </c>
      <c r="CD150" s="11"/>
      <c r="CE150" s="11"/>
      <c r="CF150" s="105">
        <v>1.34E-15</v>
      </c>
      <c r="CG150" s="11"/>
      <c r="CH150" s="11"/>
      <c r="CI150" s="11"/>
      <c r="CJ150" s="105">
        <v>3.08E-15</v>
      </c>
      <c r="CK150" s="11"/>
      <c r="CL150" s="11"/>
      <c r="CM150" s="11"/>
      <c r="CN150" s="105">
        <v>1.67E-15</v>
      </c>
      <c r="CO150" s="11"/>
      <c r="CP150" s="11"/>
      <c r="CQ150" s="11"/>
      <c r="CR150" s="11"/>
      <c r="CS150" s="11"/>
      <c r="CT150" s="112">
        <v>-1.29</v>
      </c>
      <c r="CU150" s="112">
        <v>0.4</v>
      </c>
      <c r="CV150" s="105">
        <v>9.45E-16</v>
      </c>
      <c r="CW150" s="105">
        <v>1.92E-16</v>
      </c>
      <c r="CX150" s="112">
        <v>-0.24</v>
      </c>
      <c r="CY150" s="112">
        <v>0.06</v>
      </c>
      <c r="CZ150" s="105">
        <v>3.81E-16</v>
      </c>
      <c r="DA150" s="105">
        <v>7.5E-17</v>
      </c>
      <c r="DB150" s="112"/>
      <c r="DC150" s="112"/>
      <c r="DD150" s="112"/>
      <c r="DE150" s="112"/>
      <c r="DF150" s="105"/>
      <c r="DG150" s="105"/>
      <c r="DH150" s="105">
        <v>4.98E-15</v>
      </c>
      <c r="DI150" s="105"/>
      <c r="DJ150" s="105"/>
      <c r="DK150" s="105">
        <v>3.57E-15</v>
      </c>
      <c r="DL150" s="105"/>
      <c r="DM150" s="69"/>
      <c r="DN150" s="69"/>
      <c r="DO150" s="69"/>
      <c r="DP150" s="69"/>
      <c r="DQ150" s="11"/>
      <c r="DR150" s="69"/>
      <c r="DS150" s="69"/>
      <c r="DT150" s="69"/>
      <c r="DU150" s="69"/>
      <c r="DV150" s="73">
        <v>-3.2</v>
      </c>
      <c r="DW150" s="79">
        <v>0.25</v>
      </c>
      <c r="DX150" s="81">
        <v>1.99526E-10</v>
      </c>
      <c r="DY150" s="7"/>
      <c r="DZ150" s="7" t="s">
        <v>486</v>
      </c>
      <c r="EA150" s="7"/>
      <c r="EB150" s="7"/>
    </row>
    <row r="151">
      <c r="A151" s="87" t="s">
        <v>511</v>
      </c>
      <c r="B151" s="113" t="s">
        <v>512</v>
      </c>
      <c r="C151" s="4"/>
      <c r="D151" s="4"/>
      <c r="E151" s="4"/>
      <c r="F151" s="57" t="s">
        <v>168</v>
      </c>
      <c r="G151" s="58">
        <v>242.2577035</v>
      </c>
      <c r="H151" s="58">
        <v>-39.08678228</v>
      </c>
      <c r="I151" s="6" t="s">
        <v>314</v>
      </c>
      <c r="J151" s="6" t="s">
        <v>169</v>
      </c>
      <c r="K151" s="58">
        <v>3.0</v>
      </c>
      <c r="L151" s="59"/>
      <c r="M151" s="59">
        <v>2.0</v>
      </c>
      <c r="N151" s="58">
        <v>162.2507423</v>
      </c>
      <c r="O151" s="59">
        <v>-9.656</v>
      </c>
      <c r="P151" s="59">
        <v>0.095</v>
      </c>
      <c r="Q151" s="59">
        <v>-23.931</v>
      </c>
      <c r="R151" s="59">
        <v>0.063</v>
      </c>
      <c r="S151" s="60">
        <v>4.0</v>
      </c>
      <c r="T151" s="60">
        <v>2.4</v>
      </c>
      <c r="U151" s="60">
        <v>0.0</v>
      </c>
      <c r="V151" s="60">
        <v>0.5</v>
      </c>
      <c r="W151" s="5"/>
      <c r="X151" s="5"/>
      <c r="Y151" s="62" t="s">
        <v>476</v>
      </c>
      <c r="Z151" s="59">
        <v>14.35</v>
      </c>
      <c r="AA151" s="60">
        <v>0.39</v>
      </c>
      <c r="AB151" s="59">
        <v>10.41</v>
      </c>
      <c r="AC151" s="60">
        <v>0.026</v>
      </c>
      <c r="AD151" s="61">
        <v>9.697</v>
      </c>
      <c r="AE151" s="61">
        <v>0.026</v>
      </c>
      <c r="AF151" s="61">
        <v>9.319</v>
      </c>
      <c r="AG151" s="60">
        <v>0.023</v>
      </c>
      <c r="AH151" s="6"/>
      <c r="AI151" s="5"/>
      <c r="AJ151" s="63" t="s">
        <v>476</v>
      </c>
      <c r="AK151" s="64" t="s">
        <v>192</v>
      </c>
      <c r="AL151" s="64" t="s">
        <v>477</v>
      </c>
      <c r="AM151" s="13"/>
      <c r="AN151" s="77">
        <v>200.0</v>
      </c>
      <c r="AO151" s="13"/>
      <c r="AP151" s="13" t="s">
        <v>402</v>
      </c>
      <c r="AQ151" s="97">
        <v>0.5</v>
      </c>
      <c r="AR151" s="66">
        <v>3197.0</v>
      </c>
      <c r="AS151" s="97">
        <v>74.0</v>
      </c>
      <c r="AT151" s="79">
        <v>0.16</v>
      </c>
      <c r="AU151" s="73">
        <v>0.02</v>
      </c>
      <c r="AV151" s="64">
        <v>0.003</v>
      </c>
      <c r="AW151" s="64">
        <v>0.001</v>
      </c>
      <c r="AX151" s="73">
        <v>0.17</v>
      </c>
      <c r="AY151" s="73">
        <v>0.04</v>
      </c>
      <c r="AZ151" s="11" t="s">
        <v>162</v>
      </c>
      <c r="BA151" s="111" t="s">
        <v>478</v>
      </c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2"/>
      <c r="DK151" s="12"/>
      <c r="DL151" s="12"/>
      <c r="DM151" s="69"/>
      <c r="DN151" s="69"/>
      <c r="DO151" s="69"/>
      <c r="DP151" s="69"/>
      <c r="DQ151" s="11"/>
      <c r="DR151" s="69"/>
      <c r="DS151" s="69"/>
      <c r="DT151" s="69"/>
      <c r="DU151" s="69"/>
      <c r="DV151" s="73">
        <v>-4.1</v>
      </c>
      <c r="DW151" s="79">
        <v>0.25</v>
      </c>
      <c r="DX151" s="81">
        <v>3.16E-12</v>
      </c>
      <c r="DY151" s="7"/>
      <c r="DZ151" s="7" t="s">
        <v>486</v>
      </c>
      <c r="EA151" s="7"/>
      <c r="EB151" s="7"/>
    </row>
    <row r="152">
      <c r="A152" s="55" t="s">
        <v>513</v>
      </c>
      <c r="B152" s="56" t="s">
        <v>513</v>
      </c>
      <c r="C152" s="4"/>
      <c r="D152" s="4"/>
      <c r="E152" s="4"/>
      <c r="F152" s="57" t="s">
        <v>168</v>
      </c>
      <c r="G152" s="58">
        <v>243.4337529</v>
      </c>
      <c r="H152" s="58">
        <v>-37.61285033</v>
      </c>
      <c r="I152" s="6" t="s">
        <v>314</v>
      </c>
      <c r="J152" s="6" t="s">
        <v>169</v>
      </c>
      <c r="K152" s="58">
        <v>3.0</v>
      </c>
      <c r="L152" s="59"/>
      <c r="M152" s="59">
        <v>2.0</v>
      </c>
      <c r="N152" s="58">
        <v>160.0</v>
      </c>
      <c r="O152" s="58">
        <v>-13.386</v>
      </c>
      <c r="P152" s="58">
        <v>0.18</v>
      </c>
      <c r="Q152" s="58">
        <v>-23.349</v>
      </c>
      <c r="R152" s="58">
        <v>0.101</v>
      </c>
      <c r="S152" s="59">
        <v>-1.2</v>
      </c>
      <c r="T152" s="59">
        <v>2.3</v>
      </c>
      <c r="U152" s="59">
        <v>0.6</v>
      </c>
      <c r="V152" s="59">
        <v>0.5</v>
      </c>
      <c r="W152" s="5"/>
      <c r="X152" s="5"/>
      <c r="Y152" s="62" t="s">
        <v>476</v>
      </c>
      <c r="Z152" s="58">
        <v>16.37</v>
      </c>
      <c r="AA152" s="58">
        <v>0.01</v>
      </c>
      <c r="AB152" s="58">
        <v>12.76</v>
      </c>
      <c r="AC152" s="59">
        <v>0.09</v>
      </c>
      <c r="AD152" s="59">
        <v>12.08</v>
      </c>
      <c r="AE152" s="59">
        <v>0.04</v>
      </c>
      <c r="AF152" s="59">
        <v>11.613</v>
      </c>
      <c r="AG152" s="59">
        <v>0.024</v>
      </c>
      <c r="AH152" s="6"/>
      <c r="AI152" s="6"/>
      <c r="AJ152" s="63" t="s">
        <v>476</v>
      </c>
      <c r="AK152" s="64" t="s">
        <v>192</v>
      </c>
      <c r="AL152" s="97">
        <v>2015.0</v>
      </c>
      <c r="AM152" s="13"/>
      <c r="AN152" s="102">
        <v>200.0</v>
      </c>
      <c r="AO152" s="13"/>
      <c r="AP152" s="13" t="s">
        <v>371</v>
      </c>
      <c r="AQ152" s="97">
        <v>0.5</v>
      </c>
      <c r="AR152" s="78">
        <v>3130.0</v>
      </c>
      <c r="AS152" s="97">
        <v>72.0</v>
      </c>
      <c r="AT152" s="79">
        <v>0.16</v>
      </c>
      <c r="AU152" s="73">
        <v>0.03</v>
      </c>
      <c r="AV152" s="70">
        <v>0.0692</v>
      </c>
      <c r="AW152" s="70">
        <v>0.0305</v>
      </c>
      <c r="AX152" s="73">
        <v>0.9</v>
      </c>
      <c r="AY152" s="73">
        <v>0.2</v>
      </c>
      <c r="AZ152" s="11" t="s">
        <v>162</v>
      </c>
      <c r="BA152" s="11" t="s">
        <v>478</v>
      </c>
      <c r="BB152" s="112">
        <v>-117.32</v>
      </c>
      <c r="BC152" s="112">
        <v>11.7</v>
      </c>
      <c r="BD152" s="105">
        <v>1.67E-13</v>
      </c>
      <c r="BE152" s="105">
        <v>3.0E-15</v>
      </c>
      <c r="BF152" s="112">
        <v>-63.29</v>
      </c>
      <c r="BG152" s="112">
        <v>8.3</v>
      </c>
      <c r="BH152" s="105">
        <v>4.03E-14</v>
      </c>
      <c r="BI152" s="105">
        <v>1.6E-15</v>
      </c>
      <c r="BJ152" s="112">
        <v>-62.07</v>
      </c>
      <c r="BK152" s="112">
        <v>12.1</v>
      </c>
      <c r="BL152" s="105">
        <v>3.14E-14</v>
      </c>
      <c r="BM152" s="105">
        <v>1.7E-15</v>
      </c>
      <c r="BN152" s="112">
        <v>-62.73</v>
      </c>
      <c r="BO152" s="112">
        <v>11.1</v>
      </c>
      <c r="BP152" s="105">
        <v>2.73E-14</v>
      </c>
      <c r="BQ152" s="105">
        <v>1.5E-15</v>
      </c>
      <c r="BR152" s="112">
        <v>-45.37</v>
      </c>
      <c r="BS152" s="112">
        <v>15.8</v>
      </c>
      <c r="BT152" s="105">
        <v>2.06E-14</v>
      </c>
      <c r="BU152" s="105">
        <v>2.9E-15</v>
      </c>
      <c r="BV152" s="105"/>
      <c r="BW152" s="105"/>
      <c r="BX152" s="105"/>
      <c r="BY152" s="105"/>
      <c r="BZ152" s="112">
        <v>-1.55</v>
      </c>
      <c r="CA152" s="112">
        <v>0.28</v>
      </c>
      <c r="CB152" s="105">
        <v>4.94E-15</v>
      </c>
      <c r="CC152" s="105">
        <v>7.8E-16</v>
      </c>
      <c r="CD152" s="112">
        <v>-1.59</v>
      </c>
      <c r="CE152" s="112">
        <v>0.26</v>
      </c>
      <c r="CF152" s="105">
        <v>5.77E-15</v>
      </c>
      <c r="CG152" s="105">
        <v>8.9E-16</v>
      </c>
      <c r="CH152" s="112">
        <v>-1.2</v>
      </c>
      <c r="CI152" s="112">
        <v>0.37</v>
      </c>
      <c r="CJ152" s="105">
        <v>3.74E-15</v>
      </c>
      <c r="CK152" s="105">
        <v>1.66E-15</v>
      </c>
      <c r="CL152" s="112">
        <v>-0.91</v>
      </c>
      <c r="CM152" s="112">
        <v>0.27</v>
      </c>
      <c r="CN152" s="105">
        <v>1.21E-15</v>
      </c>
      <c r="CO152" s="105">
        <v>4.8E-16</v>
      </c>
      <c r="CP152" s="105"/>
      <c r="CQ152" s="105"/>
      <c r="CR152" s="105"/>
      <c r="CS152" s="105"/>
      <c r="CT152" s="112">
        <v>-4.86</v>
      </c>
      <c r="CU152" s="112">
        <v>0.53</v>
      </c>
      <c r="CV152" s="105">
        <v>3.23E-15</v>
      </c>
      <c r="CW152" s="105">
        <v>1.7E-16</v>
      </c>
      <c r="CX152" s="112">
        <v>-1.59</v>
      </c>
      <c r="CY152" s="112">
        <v>0.14</v>
      </c>
      <c r="CZ152" s="105">
        <v>1.52E-15</v>
      </c>
      <c r="DA152" s="105">
        <v>1.0E-16</v>
      </c>
      <c r="DB152" s="112"/>
      <c r="DC152" s="112"/>
      <c r="DD152" s="112"/>
      <c r="DE152" s="112"/>
      <c r="DF152" s="105"/>
      <c r="DG152" s="105"/>
      <c r="DH152" s="105">
        <v>4.19E-15</v>
      </c>
      <c r="DI152" s="105"/>
      <c r="DJ152" s="105"/>
      <c r="DK152" s="105">
        <v>9.81E-15</v>
      </c>
      <c r="DL152" s="105"/>
      <c r="DM152" s="69"/>
      <c r="DN152" s="69"/>
      <c r="DO152" s="69"/>
      <c r="DP152" s="69"/>
      <c r="DQ152" s="11"/>
      <c r="DR152" s="69"/>
      <c r="DS152" s="69"/>
      <c r="DT152" s="69"/>
      <c r="DU152" s="69"/>
      <c r="DV152" s="73">
        <v>-2.3</v>
      </c>
      <c r="DW152" s="79">
        <v>0.25</v>
      </c>
      <c r="DX152" s="81">
        <v>1.14815E-9</v>
      </c>
      <c r="DY152" s="7"/>
      <c r="DZ152" s="7" t="s">
        <v>486</v>
      </c>
      <c r="EA152" s="7"/>
      <c r="EB152" s="7"/>
    </row>
    <row r="153">
      <c r="A153" s="55" t="s">
        <v>514</v>
      </c>
      <c r="B153" s="56" t="s">
        <v>514</v>
      </c>
      <c r="C153" s="4"/>
      <c r="D153" s="4"/>
      <c r="E153" s="4"/>
      <c r="F153" s="57" t="s">
        <v>168</v>
      </c>
      <c r="G153" s="58">
        <v>241.7659623</v>
      </c>
      <c r="H153" s="58">
        <v>-39.18657754</v>
      </c>
      <c r="I153" s="6" t="s">
        <v>314</v>
      </c>
      <c r="J153" s="6" t="s">
        <v>515</v>
      </c>
      <c r="K153" s="58">
        <v>3.0</v>
      </c>
      <c r="L153" s="59"/>
      <c r="M153" s="59"/>
      <c r="N153" s="6"/>
      <c r="O153" s="6"/>
      <c r="P153" s="6"/>
      <c r="Q153" s="6"/>
      <c r="R153" s="6"/>
      <c r="S153" s="59">
        <v>1.8</v>
      </c>
      <c r="T153" s="59">
        <v>2.7</v>
      </c>
      <c r="U153" s="59">
        <v>0.6</v>
      </c>
      <c r="V153" s="59">
        <v>0.5</v>
      </c>
      <c r="W153" s="5"/>
      <c r="X153" s="5"/>
      <c r="Y153" s="62" t="s">
        <v>476</v>
      </c>
      <c r="Z153" s="58">
        <v>18.79</v>
      </c>
      <c r="AA153" s="58">
        <v>0.06</v>
      </c>
      <c r="AB153" s="59">
        <v>14.68</v>
      </c>
      <c r="AC153" s="59">
        <v>0.04</v>
      </c>
      <c r="AD153" s="59">
        <v>13.767</v>
      </c>
      <c r="AE153" s="59">
        <v>0.037</v>
      </c>
      <c r="AF153" s="59">
        <v>13.113</v>
      </c>
      <c r="AG153" s="59">
        <v>0.055</v>
      </c>
      <c r="AH153" s="6"/>
      <c r="AI153" s="6"/>
      <c r="AJ153" s="63" t="s">
        <v>476</v>
      </c>
      <c r="AK153" s="64" t="s">
        <v>192</v>
      </c>
      <c r="AL153" s="97">
        <v>2015.0</v>
      </c>
      <c r="AM153" s="13"/>
      <c r="AN153" s="102">
        <v>200.0</v>
      </c>
      <c r="AO153" s="13"/>
      <c r="AP153" s="13" t="s">
        <v>402</v>
      </c>
      <c r="AQ153" s="97">
        <v>0.5</v>
      </c>
      <c r="AR153" s="78">
        <v>3200.0</v>
      </c>
      <c r="AS153" s="97">
        <v>74.0</v>
      </c>
      <c r="AT153" s="79">
        <v>0.17</v>
      </c>
      <c r="AU153" s="73">
        <v>0.03</v>
      </c>
      <c r="AV153" s="70">
        <v>0.0048</v>
      </c>
      <c r="AW153" s="70">
        <v>0.0026</v>
      </c>
      <c r="AX153" s="73">
        <v>0.23</v>
      </c>
      <c r="AY153" s="73">
        <v>0.06</v>
      </c>
      <c r="AZ153" s="11" t="s">
        <v>162</v>
      </c>
      <c r="BA153" s="11" t="s">
        <v>478</v>
      </c>
      <c r="BB153" s="112">
        <v>-10.74</v>
      </c>
      <c r="BC153" s="112">
        <v>2.46</v>
      </c>
      <c r="BD153" s="105">
        <v>6.77E-16</v>
      </c>
      <c r="BE153" s="105">
        <v>6.9E-17</v>
      </c>
      <c r="BF153" s="112">
        <v>-11.32</v>
      </c>
      <c r="BG153" s="112">
        <v>4.19</v>
      </c>
      <c r="BH153" s="105">
        <v>1.38E-16</v>
      </c>
      <c r="BI153" s="105">
        <v>2.3E-17</v>
      </c>
      <c r="BJ153" s="112">
        <v>-6.67</v>
      </c>
      <c r="BK153" s="112">
        <v>2.33</v>
      </c>
      <c r="BL153" s="105">
        <v>6.56E-17</v>
      </c>
      <c r="BM153" s="105">
        <v>1.18E-17</v>
      </c>
      <c r="BN153" s="112">
        <v>-4.5</v>
      </c>
      <c r="BO153" s="112">
        <v>2.04</v>
      </c>
      <c r="BP153" s="105">
        <v>4.36E-17</v>
      </c>
      <c r="BQ153" s="105">
        <v>1.21E-17</v>
      </c>
      <c r="BR153" s="112">
        <v>-5.26</v>
      </c>
      <c r="BS153" s="112">
        <v>2.18</v>
      </c>
      <c r="BT153" s="105">
        <v>3.7E-17</v>
      </c>
      <c r="BU153" s="105">
        <v>6.4E-18</v>
      </c>
      <c r="BV153" s="105"/>
      <c r="BW153" s="105"/>
      <c r="BX153" s="105"/>
      <c r="BY153" s="105"/>
      <c r="BZ153" s="11"/>
      <c r="CA153" s="11"/>
      <c r="CB153" s="105">
        <v>1.17E-16</v>
      </c>
      <c r="CC153" s="11"/>
      <c r="CD153" s="11"/>
      <c r="CE153" s="11"/>
      <c r="CF153" s="105">
        <v>9.11E-17</v>
      </c>
      <c r="CG153" s="11"/>
      <c r="CH153" s="11"/>
      <c r="CI153" s="11"/>
      <c r="CJ153" s="105">
        <v>8.43E-17</v>
      </c>
      <c r="CK153" s="11"/>
      <c r="CL153" s="11"/>
      <c r="CM153" s="11"/>
      <c r="CN153" s="105">
        <v>9.57E-17</v>
      </c>
      <c r="CO153" s="11"/>
      <c r="CP153" s="11"/>
      <c r="CQ153" s="11"/>
      <c r="CR153" s="11"/>
      <c r="CS153" s="11"/>
      <c r="CT153" s="112">
        <v>-1.95</v>
      </c>
      <c r="CU153" s="112">
        <v>0.68</v>
      </c>
      <c r="CV153" s="105">
        <v>3.15E-17</v>
      </c>
      <c r="CW153" s="105">
        <v>1.77E-17</v>
      </c>
      <c r="CX153" s="11"/>
      <c r="CY153" s="11"/>
      <c r="CZ153" s="105">
        <v>4.74E-17</v>
      </c>
      <c r="DA153" s="11"/>
      <c r="DB153" s="11"/>
      <c r="DC153" s="11"/>
      <c r="DD153" s="11"/>
      <c r="DE153" s="11"/>
      <c r="DF153" s="105"/>
      <c r="DG153" s="105"/>
      <c r="DH153" s="105">
        <v>5.72E-17</v>
      </c>
      <c r="DI153" s="105"/>
      <c r="DJ153" s="105"/>
      <c r="DK153" s="105">
        <v>5.31E-17</v>
      </c>
      <c r="DL153" s="105"/>
      <c r="DM153" s="69"/>
      <c r="DN153" s="69"/>
      <c r="DO153" s="69"/>
      <c r="DP153" s="69"/>
      <c r="DQ153" s="11"/>
      <c r="DR153" s="69"/>
      <c r="DS153" s="69"/>
      <c r="DT153" s="69"/>
      <c r="DU153" s="69"/>
      <c r="DV153" s="73">
        <v>-5.2</v>
      </c>
      <c r="DW153" s="79">
        <v>0.25</v>
      </c>
      <c r="DX153" s="81">
        <v>3.23594E-13</v>
      </c>
      <c r="DY153" s="7"/>
      <c r="DZ153" s="7" t="s">
        <v>486</v>
      </c>
      <c r="EA153" s="7"/>
      <c r="EB153" s="7"/>
    </row>
    <row r="154">
      <c r="A154" s="55" t="s">
        <v>516</v>
      </c>
      <c r="B154" s="56" t="s">
        <v>516</v>
      </c>
      <c r="C154" s="4"/>
      <c r="D154" s="4"/>
      <c r="E154" s="4"/>
      <c r="F154" s="57" t="s">
        <v>168</v>
      </c>
      <c r="G154" s="58">
        <v>239.5105051</v>
      </c>
      <c r="H154" s="58">
        <v>-37.60075925</v>
      </c>
      <c r="I154" s="6" t="s">
        <v>314</v>
      </c>
      <c r="J154" s="6" t="s">
        <v>159</v>
      </c>
      <c r="K154" s="58">
        <v>3.0</v>
      </c>
      <c r="L154" s="59"/>
      <c r="M154" s="59">
        <v>2.0</v>
      </c>
      <c r="N154" s="58">
        <v>152.6437905</v>
      </c>
      <c r="O154" s="58">
        <v>-13.224</v>
      </c>
      <c r="P154" s="58">
        <v>0.198</v>
      </c>
      <c r="Q154" s="58">
        <v>-22.804</v>
      </c>
      <c r="R154" s="58">
        <v>0.129</v>
      </c>
      <c r="S154" s="59">
        <v>-3.1</v>
      </c>
      <c r="T154" s="59">
        <v>2.0</v>
      </c>
      <c r="U154" s="59">
        <v>0.0</v>
      </c>
      <c r="V154" s="59">
        <v>0.5</v>
      </c>
      <c r="W154" s="5"/>
      <c r="X154" s="5"/>
      <c r="Y154" s="62" t="s">
        <v>476</v>
      </c>
      <c r="Z154" s="6"/>
      <c r="AA154" s="6"/>
      <c r="AB154" s="58">
        <v>10.931</v>
      </c>
      <c r="AC154" s="59">
        <v>0.023</v>
      </c>
      <c r="AD154" s="59">
        <v>10.202</v>
      </c>
      <c r="AE154" s="59">
        <v>0.024</v>
      </c>
      <c r="AF154" s="59">
        <v>9.853</v>
      </c>
      <c r="AG154" s="59">
        <v>0.025</v>
      </c>
      <c r="AH154" s="6"/>
      <c r="AI154" s="6"/>
      <c r="AJ154" s="63" t="s">
        <v>476</v>
      </c>
      <c r="AK154" s="64" t="s">
        <v>192</v>
      </c>
      <c r="AL154" s="64" t="s">
        <v>477</v>
      </c>
      <c r="AM154" s="13"/>
      <c r="AN154" s="102">
        <v>150.0</v>
      </c>
      <c r="AO154" s="13"/>
      <c r="AP154" s="13" t="s">
        <v>371</v>
      </c>
      <c r="AQ154" s="97">
        <v>0.5</v>
      </c>
      <c r="AR154" s="78">
        <v>3130.0</v>
      </c>
      <c r="AS154" s="97">
        <v>72.0</v>
      </c>
      <c r="AT154" s="79">
        <v>0.18</v>
      </c>
      <c r="AU154" s="73">
        <v>0.03</v>
      </c>
      <c r="AV154" s="70">
        <v>0.122</v>
      </c>
      <c r="AW154" s="70">
        <v>0.056</v>
      </c>
      <c r="AX154" s="73">
        <v>1.21</v>
      </c>
      <c r="AY154" s="73">
        <v>0.28</v>
      </c>
      <c r="AZ154" s="11" t="s">
        <v>162</v>
      </c>
      <c r="BA154" s="111" t="s">
        <v>478</v>
      </c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2"/>
      <c r="DK154" s="12"/>
      <c r="DL154" s="12"/>
      <c r="DM154" s="69"/>
      <c r="DN154" s="69"/>
      <c r="DO154" s="69"/>
      <c r="DP154" s="69"/>
      <c r="DQ154" s="11"/>
      <c r="DR154" s="69"/>
      <c r="DS154" s="69"/>
      <c r="DT154" s="69"/>
      <c r="DU154" s="69"/>
      <c r="DV154" s="73">
        <v>-2.7</v>
      </c>
      <c r="DW154" s="79">
        <v>0.25</v>
      </c>
      <c r="DX154" s="81">
        <v>5.37032E-10</v>
      </c>
      <c r="DY154" s="7"/>
      <c r="DZ154" s="7" t="s">
        <v>486</v>
      </c>
      <c r="EA154" s="7"/>
      <c r="EB154" s="7"/>
    </row>
    <row r="155">
      <c r="A155" s="55" t="s">
        <v>517</v>
      </c>
      <c r="B155" s="56" t="s">
        <v>518</v>
      </c>
      <c r="C155" s="4"/>
      <c r="D155" s="4"/>
      <c r="E155" s="4"/>
      <c r="F155" s="57" t="s">
        <v>168</v>
      </c>
      <c r="G155" s="58">
        <v>242.1073549</v>
      </c>
      <c r="H155" s="58">
        <v>-39.10033907</v>
      </c>
      <c r="I155" s="6" t="s">
        <v>314</v>
      </c>
      <c r="J155" s="6" t="s">
        <v>159</v>
      </c>
      <c r="K155" s="58">
        <v>3.0</v>
      </c>
      <c r="L155" s="59"/>
      <c r="M155" s="59">
        <v>2.0</v>
      </c>
      <c r="N155" s="58">
        <v>136.9394043</v>
      </c>
      <c r="O155" s="6"/>
      <c r="P155" s="6"/>
      <c r="Q155" s="6"/>
      <c r="R155" s="6"/>
      <c r="S155" s="59">
        <v>2.7</v>
      </c>
      <c r="T155" s="59">
        <v>2.5</v>
      </c>
      <c r="U155" s="59">
        <v>0.0</v>
      </c>
      <c r="V155" s="59">
        <v>0.5</v>
      </c>
      <c r="W155" s="5"/>
      <c r="X155" s="5"/>
      <c r="Y155" s="62" t="s">
        <v>476</v>
      </c>
      <c r="Z155" s="58">
        <v>14.97</v>
      </c>
      <c r="AA155" s="58">
        <v>0.25</v>
      </c>
      <c r="AB155" s="58">
        <v>10.982</v>
      </c>
      <c r="AC155" s="59">
        <v>0.023</v>
      </c>
      <c r="AD155" s="59">
        <v>10.353</v>
      </c>
      <c r="AE155" s="59">
        <v>0.023</v>
      </c>
      <c r="AF155" s="59">
        <v>9.908</v>
      </c>
      <c r="AG155" s="59">
        <v>0.019</v>
      </c>
      <c r="AH155" s="6"/>
      <c r="AI155" s="6"/>
      <c r="AJ155" s="63" t="s">
        <v>476</v>
      </c>
      <c r="AK155" s="64" t="s">
        <v>192</v>
      </c>
      <c r="AL155" s="64" t="s">
        <v>477</v>
      </c>
      <c r="AM155" s="13"/>
      <c r="AN155" s="102">
        <v>200.0</v>
      </c>
      <c r="AO155" s="13"/>
      <c r="AP155" s="13" t="s">
        <v>264</v>
      </c>
      <c r="AQ155" s="97">
        <v>0.5</v>
      </c>
      <c r="AR155" s="78">
        <v>3060.0</v>
      </c>
      <c r="AS155" s="97">
        <v>70.0</v>
      </c>
      <c r="AT155" s="79">
        <v>0.18</v>
      </c>
      <c r="AU155" s="73">
        <v>0.03</v>
      </c>
      <c r="AV155" s="70">
        <v>0.169</v>
      </c>
      <c r="AW155" s="70">
        <v>0.078</v>
      </c>
      <c r="AX155" s="73">
        <v>1.43</v>
      </c>
      <c r="AY155" s="73">
        <v>0.33</v>
      </c>
      <c r="AZ155" s="11" t="s">
        <v>162</v>
      </c>
      <c r="BA155" s="111" t="s">
        <v>478</v>
      </c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2"/>
      <c r="DK155" s="12"/>
      <c r="DL155" s="12"/>
      <c r="DM155" s="69"/>
      <c r="DN155" s="69"/>
      <c r="DO155" s="69"/>
      <c r="DP155" s="69"/>
      <c r="DQ155" s="11"/>
      <c r="DR155" s="69"/>
      <c r="DS155" s="69"/>
      <c r="DT155" s="69"/>
      <c r="DU155" s="69"/>
      <c r="DV155" s="73">
        <v>-3.0</v>
      </c>
      <c r="DW155" s="79">
        <v>0.25</v>
      </c>
      <c r="DX155" s="81">
        <v>3.23594E-10</v>
      </c>
      <c r="DY155" s="7"/>
      <c r="DZ155" s="7" t="s">
        <v>486</v>
      </c>
      <c r="EA155" s="7"/>
      <c r="EB155" s="7"/>
    </row>
    <row r="156">
      <c r="A156" s="55" t="s">
        <v>519</v>
      </c>
      <c r="B156" s="56" t="s">
        <v>520</v>
      </c>
      <c r="C156" s="4"/>
      <c r="D156" s="4"/>
      <c r="E156" s="4"/>
      <c r="F156" s="57" t="s">
        <v>168</v>
      </c>
      <c r="G156" s="58">
        <v>242.1283954</v>
      </c>
      <c r="H156" s="58">
        <v>-39.09690023</v>
      </c>
      <c r="I156" s="6" t="s">
        <v>314</v>
      </c>
      <c r="J156" s="6" t="s">
        <v>169</v>
      </c>
      <c r="K156" s="58">
        <v>3.0</v>
      </c>
      <c r="L156" s="59"/>
      <c r="M156" s="59">
        <v>2.0</v>
      </c>
      <c r="N156" s="58">
        <v>165.461555</v>
      </c>
      <c r="O156" s="6"/>
      <c r="P156" s="6"/>
      <c r="Q156" s="6"/>
      <c r="R156" s="6"/>
      <c r="S156" s="59">
        <v>2.3</v>
      </c>
      <c r="T156" s="59">
        <v>2.3</v>
      </c>
      <c r="U156" s="59">
        <v>0.0</v>
      </c>
      <c r="V156" s="59">
        <v>0.5</v>
      </c>
      <c r="W156" s="5"/>
      <c r="X156" s="5"/>
      <c r="Y156" s="62" t="s">
        <v>476</v>
      </c>
      <c r="Z156" s="58">
        <v>13.96</v>
      </c>
      <c r="AA156" s="58">
        <v>1.68</v>
      </c>
      <c r="AB156" s="58">
        <v>11.665</v>
      </c>
      <c r="AC156" s="59">
        <v>0.023</v>
      </c>
      <c r="AD156" s="59">
        <v>10.999</v>
      </c>
      <c r="AE156" s="59">
        <v>0.022</v>
      </c>
      <c r="AF156" s="59">
        <v>10.654</v>
      </c>
      <c r="AG156" s="59">
        <v>0.021</v>
      </c>
      <c r="AH156" s="6"/>
      <c r="AI156" s="6"/>
      <c r="AJ156" s="63" t="s">
        <v>476</v>
      </c>
      <c r="AK156" s="64" t="s">
        <v>192</v>
      </c>
      <c r="AL156" s="64" t="s">
        <v>477</v>
      </c>
      <c r="AM156" s="13"/>
      <c r="AN156" s="102">
        <v>200.0</v>
      </c>
      <c r="AO156" s="13"/>
      <c r="AP156" s="13" t="s">
        <v>371</v>
      </c>
      <c r="AQ156" s="97">
        <v>0.5</v>
      </c>
      <c r="AR156" s="78">
        <v>3130.0</v>
      </c>
      <c r="AS156" s="97">
        <v>72.0</v>
      </c>
      <c r="AT156" s="79">
        <v>0.18</v>
      </c>
      <c r="AU156" s="73">
        <v>0.03</v>
      </c>
      <c r="AV156" s="70">
        <v>0.102</v>
      </c>
      <c r="AW156" s="70">
        <v>0.047</v>
      </c>
      <c r="AX156" s="73">
        <v>1.11</v>
      </c>
      <c r="AY156" s="73">
        <v>0.26</v>
      </c>
      <c r="AZ156" s="11" t="s">
        <v>162</v>
      </c>
      <c r="BA156" s="111" t="s">
        <v>478</v>
      </c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2"/>
      <c r="DK156" s="12"/>
      <c r="DL156" s="12"/>
      <c r="DM156" s="69"/>
      <c r="DN156" s="69"/>
      <c r="DO156" s="69"/>
      <c r="DP156" s="69"/>
      <c r="DQ156" s="11"/>
      <c r="DR156" s="69"/>
      <c r="DS156" s="69"/>
      <c r="DT156" s="69"/>
      <c r="DU156" s="69"/>
      <c r="DV156" s="73">
        <v>-3.2</v>
      </c>
      <c r="DW156" s="79">
        <v>0.25</v>
      </c>
      <c r="DX156" s="81">
        <v>1.58489E-10</v>
      </c>
      <c r="DY156" s="7"/>
      <c r="DZ156" s="7" t="s">
        <v>486</v>
      </c>
      <c r="EA156" s="7"/>
      <c r="EB156" s="7"/>
    </row>
    <row r="157">
      <c r="A157" s="55" t="s">
        <v>521</v>
      </c>
      <c r="B157" s="56" t="s">
        <v>521</v>
      </c>
      <c r="C157" s="4"/>
      <c r="D157" s="3"/>
      <c r="E157" s="3"/>
      <c r="F157" s="57" t="s">
        <v>168</v>
      </c>
      <c r="G157" s="58">
        <v>236.3225498</v>
      </c>
      <c r="H157" s="58">
        <v>-34.30785917</v>
      </c>
      <c r="I157" s="6" t="s">
        <v>314</v>
      </c>
      <c r="J157" s="6" t="s">
        <v>169</v>
      </c>
      <c r="K157" s="58">
        <v>3.0</v>
      </c>
      <c r="L157" s="59"/>
      <c r="M157" s="59">
        <v>2.0</v>
      </c>
      <c r="N157" s="58">
        <v>154.547562</v>
      </c>
      <c r="O157" s="58">
        <v>-15.05</v>
      </c>
      <c r="P157" s="58">
        <v>0.155</v>
      </c>
      <c r="Q157" s="58">
        <v>-22.146</v>
      </c>
      <c r="R157" s="58">
        <v>0.111</v>
      </c>
      <c r="S157" s="59">
        <v>5.4</v>
      </c>
      <c r="T157" s="59">
        <v>2.9</v>
      </c>
      <c r="U157" s="59">
        <v>0.0</v>
      </c>
      <c r="V157" s="59">
        <v>0.5</v>
      </c>
      <c r="W157" s="5"/>
      <c r="X157" s="5"/>
      <c r="Y157" s="62" t="s">
        <v>476</v>
      </c>
      <c r="Z157" s="6"/>
      <c r="AA157" s="6"/>
      <c r="AB157" s="58">
        <v>11.176</v>
      </c>
      <c r="AC157" s="59">
        <v>0.026</v>
      </c>
      <c r="AD157" s="59">
        <v>10.162</v>
      </c>
      <c r="AE157" s="59">
        <v>0.025</v>
      </c>
      <c r="AF157" s="59">
        <v>9.41</v>
      </c>
      <c r="AG157" s="59">
        <v>0.023</v>
      </c>
      <c r="AH157" s="6"/>
      <c r="AI157" s="6"/>
      <c r="AJ157" s="63" t="s">
        <v>476</v>
      </c>
      <c r="AK157" s="64" t="s">
        <v>192</v>
      </c>
      <c r="AL157" s="64" t="s">
        <v>477</v>
      </c>
      <c r="AM157" s="13"/>
      <c r="AN157" s="102">
        <v>150.0</v>
      </c>
      <c r="AO157" s="13"/>
      <c r="AP157" s="13" t="s">
        <v>402</v>
      </c>
      <c r="AQ157" s="97">
        <v>0.5</v>
      </c>
      <c r="AR157" s="78">
        <v>3200.0</v>
      </c>
      <c r="AS157" s="97">
        <v>74.0</v>
      </c>
      <c r="AT157" s="79">
        <v>0.19</v>
      </c>
      <c r="AU157" s="73">
        <v>0.03</v>
      </c>
      <c r="AV157" s="70">
        <v>0.088</v>
      </c>
      <c r="AW157" s="70">
        <v>0.041</v>
      </c>
      <c r="AX157" s="73">
        <v>0.97</v>
      </c>
      <c r="AY157" s="73">
        <v>0.22</v>
      </c>
      <c r="AZ157" s="11" t="s">
        <v>162</v>
      </c>
      <c r="BA157" s="111" t="s">
        <v>478</v>
      </c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2"/>
      <c r="DK157" s="12"/>
      <c r="DL157" s="12"/>
      <c r="DM157" s="69"/>
      <c r="DN157" s="69"/>
      <c r="DO157" s="69"/>
      <c r="DP157" s="69"/>
      <c r="DQ157" s="11"/>
      <c r="DR157" s="69"/>
      <c r="DS157" s="69"/>
      <c r="DT157" s="69"/>
      <c r="DU157" s="69"/>
      <c r="DV157" s="73">
        <v>-2.8</v>
      </c>
      <c r="DW157" s="79">
        <v>0.25</v>
      </c>
      <c r="DX157" s="81">
        <v>3.31131E-10</v>
      </c>
      <c r="DY157" s="7"/>
      <c r="DZ157" s="7" t="s">
        <v>486</v>
      </c>
      <c r="EA157" s="7"/>
      <c r="EB157" s="7"/>
    </row>
    <row r="158">
      <c r="A158" s="55" t="s">
        <v>522</v>
      </c>
      <c r="B158" s="56" t="s">
        <v>522</v>
      </c>
      <c r="C158" s="4"/>
      <c r="D158" s="4"/>
      <c r="E158" s="4"/>
      <c r="F158" s="57" t="s">
        <v>168</v>
      </c>
      <c r="G158" s="58">
        <v>240.0025107</v>
      </c>
      <c r="H158" s="58">
        <v>-42.36578362</v>
      </c>
      <c r="I158" s="6" t="s">
        <v>314</v>
      </c>
      <c r="J158" s="6" t="s">
        <v>169</v>
      </c>
      <c r="K158" s="58">
        <v>3.0</v>
      </c>
      <c r="L158" s="59"/>
      <c r="M158" s="59">
        <v>2.0</v>
      </c>
      <c r="N158" s="58">
        <v>161.2045202</v>
      </c>
      <c r="O158" s="58">
        <v>-11.842</v>
      </c>
      <c r="P158" s="58">
        <v>0.145</v>
      </c>
      <c r="Q158" s="58">
        <v>-23.713</v>
      </c>
      <c r="R158" s="58">
        <v>0.097</v>
      </c>
      <c r="S158" s="59">
        <v>2.5</v>
      </c>
      <c r="T158" s="59">
        <v>2.2</v>
      </c>
      <c r="U158" s="59">
        <v>0.0</v>
      </c>
      <c r="V158" s="59">
        <v>0.5</v>
      </c>
      <c r="W158" s="5"/>
      <c r="X158" s="5"/>
      <c r="Y158" s="62" t="s">
        <v>476</v>
      </c>
      <c r="Z158" s="58">
        <v>15.25</v>
      </c>
      <c r="AA158" s="58">
        <v>0.05</v>
      </c>
      <c r="AB158" s="58">
        <v>11.631</v>
      </c>
      <c r="AC158" s="59">
        <v>0.024</v>
      </c>
      <c r="AD158" s="59">
        <v>10.983</v>
      </c>
      <c r="AE158" s="59">
        <v>0.022</v>
      </c>
      <c r="AF158" s="59">
        <v>10.656</v>
      </c>
      <c r="AG158" s="59">
        <v>0.019</v>
      </c>
      <c r="AH158" s="6"/>
      <c r="AI158" s="6"/>
      <c r="AJ158" s="63" t="s">
        <v>476</v>
      </c>
      <c r="AK158" s="64" t="s">
        <v>192</v>
      </c>
      <c r="AL158" s="97">
        <v>2015.0</v>
      </c>
      <c r="AM158" s="13"/>
      <c r="AN158" s="102">
        <v>150.0</v>
      </c>
      <c r="AO158" s="13"/>
      <c r="AP158" s="13" t="s">
        <v>402</v>
      </c>
      <c r="AQ158" s="97">
        <v>0.5</v>
      </c>
      <c r="AR158" s="78">
        <v>3200.0</v>
      </c>
      <c r="AS158" s="97">
        <v>74.0</v>
      </c>
      <c r="AT158" s="79">
        <v>0.19</v>
      </c>
      <c r="AU158" s="73">
        <v>0.03</v>
      </c>
      <c r="AV158" s="70">
        <v>0.0871</v>
      </c>
      <c r="AW158" s="70">
        <v>0.0415</v>
      </c>
      <c r="AX158" s="73">
        <v>0.96</v>
      </c>
      <c r="AY158" s="73">
        <v>0.23</v>
      </c>
      <c r="AZ158" s="11" t="s">
        <v>162</v>
      </c>
      <c r="BA158" s="11" t="s">
        <v>478</v>
      </c>
      <c r="BB158" s="112">
        <v>-9.56</v>
      </c>
      <c r="BC158" s="112">
        <v>1.54</v>
      </c>
      <c r="BD158" s="105">
        <v>1.96E-14</v>
      </c>
      <c r="BE158" s="105">
        <v>1.8E-15</v>
      </c>
      <c r="BF158" s="112">
        <v>-10.86</v>
      </c>
      <c r="BG158" s="112">
        <v>3.63</v>
      </c>
      <c r="BH158" s="105">
        <v>6.43E-15</v>
      </c>
      <c r="BI158" s="105">
        <v>1.11E-15</v>
      </c>
      <c r="BJ158" s="112">
        <v>-10.27</v>
      </c>
      <c r="BK158" s="112">
        <v>3.1</v>
      </c>
      <c r="BL158" s="105">
        <v>4.16E-15</v>
      </c>
      <c r="BM158" s="105">
        <v>5.0E-16</v>
      </c>
      <c r="BN158" s="112">
        <v>-14.33</v>
      </c>
      <c r="BO158" s="112">
        <v>6.2</v>
      </c>
      <c r="BP158" s="105">
        <v>4.07E-15</v>
      </c>
      <c r="BQ158" s="105">
        <v>7.5E-16</v>
      </c>
      <c r="BR158" s="112">
        <v>-10.32</v>
      </c>
      <c r="BS158" s="112">
        <v>4.83</v>
      </c>
      <c r="BT158" s="105">
        <v>2.59E-15</v>
      </c>
      <c r="BU158" s="105">
        <v>4.8E-16</v>
      </c>
      <c r="BV158" s="105"/>
      <c r="BW158" s="105"/>
      <c r="BX158" s="105"/>
      <c r="BY158" s="105"/>
      <c r="BZ158" s="11"/>
      <c r="CA158" s="11"/>
      <c r="CB158" s="105">
        <v>3.7E-15</v>
      </c>
      <c r="CC158" s="11"/>
      <c r="CD158" s="112">
        <v>-0.67</v>
      </c>
      <c r="CE158" s="112">
        <v>0.19</v>
      </c>
      <c r="CF158" s="105">
        <v>4.85E-15</v>
      </c>
      <c r="CG158" s="105">
        <v>1.36E-15</v>
      </c>
      <c r="CH158" s="11"/>
      <c r="CI158" s="11"/>
      <c r="CJ158" s="105">
        <v>1.44E-15</v>
      </c>
      <c r="CK158" s="11"/>
      <c r="CL158" s="11"/>
      <c r="CM158" s="11"/>
      <c r="CN158" s="105">
        <v>1.5E-15</v>
      </c>
      <c r="CO158" s="11"/>
      <c r="CP158" s="11"/>
      <c r="CQ158" s="11"/>
      <c r="CR158" s="11"/>
      <c r="CS158" s="11"/>
      <c r="CT158" s="112">
        <v>-1.31</v>
      </c>
      <c r="CU158" s="112">
        <v>0.23</v>
      </c>
      <c r="CV158" s="105">
        <v>1.05E-15</v>
      </c>
      <c r="CW158" s="105">
        <v>1.4E-16</v>
      </c>
      <c r="CX158" s="112">
        <v>-0.47</v>
      </c>
      <c r="CY158" s="112">
        <v>0.12</v>
      </c>
      <c r="CZ158" s="105">
        <v>7.18E-16</v>
      </c>
      <c r="DA158" s="105">
        <v>1.58E-16</v>
      </c>
      <c r="DB158" s="112"/>
      <c r="DC158" s="112"/>
      <c r="DD158" s="112"/>
      <c r="DE158" s="112"/>
      <c r="DF158" s="105"/>
      <c r="DG158" s="105"/>
      <c r="DH158" s="105">
        <v>2.33E-15</v>
      </c>
      <c r="DI158" s="105"/>
      <c r="DJ158" s="105"/>
      <c r="DK158" s="105">
        <v>2.62E-15</v>
      </c>
      <c r="DL158" s="105"/>
      <c r="DM158" s="69"/>
      <c r="DN158" s="69"/>
      <c r="DO158" s="69"/>
      <c r="DP158" s="69"/>
      <c r="DQ158" s="11"/>
      <c r="DR158" s="69"/>
      <c r="DS158" s="69"/>
      <c r="DT158" s="69"/>
      <c r="DU158" s="69"/>
      <c r="DV158" s="73">
        <v>-3.1</v>
      </c>
      <c r="DW158" s="79">
        <v>0.25</v>
      </c>
      <c r="DX158" s="81">
        <v>1.62181E-10</v>
      </c>
      <c r="DY158" s="7"/>
      <c r="DZ158" s="7" t="s">
        <v>486</v>
      </c>
      <c r="EA158" s="7"/>
      <c r="EB158" s="7"/>
    </row>
    <row r="159">
      <c r="A159" s="55" t="s">
        <v>523</v>
      </c>
      <c r="B159" s="56" t="s">
        <v>523</v>
      </c>
      <c r="C159" s="4"/>
      <c r="D159" s="4"/>
      <c r="E159" s="4"/>
      <c r="F159" s="57" t="s">
        <v>168</v>
      </c>
      <c r="G159" s="58">
        <v>242.2408472</v>
      </c>
      <c r="H159" s="58">
        <v>-39.039681</v>
      </c>
      <c r="I159" s="6" t="s">
        <v>314</v>
      </c>
      <c r="J159" s="6" t="s">
        <v>169</v>
      </c>
      <c r="K159" s="58">
        <v>3.0</v>
      </c>
      <c r="L159" s="59"/>
      <c r="M159" s="59">
        <v>2.0</v>
      </c>
      <c r="N159" s="58">
        <v>163.2359903</v>
      </c>
      <c r="O159" s="58">
        <v>-10.243</v>
      </c>
      <c r="P159" s="58">
        <v>0.15</v>
      </c>
      <c r="Q159" s="58">
        <v>-23.358</v>
      </c>
      <c r="R159" s="58">
        <v>0.091</v>
      </c>
      <c r="S159" s="59">
        <v>6.1</v>
      </c>
      <c r="T159" s="59">
        <v>2.4</v>
      </c>
      <c r="U159" s="59">
        <v>1.0</v>
      </c>
      <c r="V159" s="59">
        <v>0.5</v>
      </c>
      <c r="W159" s="5"/>
      <c r="X159" s="5"/>
      <c r="Y159" s="62" t="s">
        <v>476</v>
      </c>
      <c r="Z159" s="58">
        <v>16.64</v>
      </c>
      <c r="AA159" s="58">
        <v>0.11</v>
      </c>
      <c r="AB159" s="58">
        <v>12.465</v>
      </c>
      <c r="AC159" s="59">
        <v>0.024</v>
      </c>
      <c r="AD159" s="59">
        <v>11.724</v>
      </c>
      <c r="AE159" s="59">
        <v>0.027</v>
      </c>
      <c r="AF159" s="59">
        <v>11.257</v>
      </c>
      <c r="AG159" s="59">
        <v>0.019</v>
      </c>
      <c r="AH159" s="6"/>
      <c r="AI159" s="5"/>
      <c r="AJ159" s="63" t="s">
        <v>476</v>
      </c>
      <c r="AK159" s="64" t="s">
        <v>192</v>
      </c>
      <c r="AL159" s="64" t="s">
        <v>477</v>
      </c>
      <c r="AM159" s="13"/>
      <c r="AN159" s="102">
        <v>200.0</v>
      </c>
      <c r="AO159" s="13"/>
      <c r="AP159" s="13" t="s">
        <v>402</v>
      </c>
      <c r="AQ159" s="97">
        <v>0.5</v>
      </c>
      <c r="AR159" s="78">
        <v>3200.0</v>
      </c>
      <c r="AS159" s="97">
        <v>74.0</v>
      </c>
      <c r="AT159" s="79">
        <v>0.19</v>
      </c>
      <c r="AU159" s="73">
        <v>0.03</v>
      </c>
      <c r="AV159" s="70">
        <v>0.064</v>
      </c>
      <c r="AW159" s="70">
        <v>0.03</v>
      </c>
      <c r="AX159" s="73">
        <v>0.83</v>
      </c>
      <c r="AY159" s="73">
        <v>0.19</v>
      </c>
      <c r="AZ159" s="11" t="s">
        <v>162</v>
      </c>
      <c r="BA159" s="111" t="s">
        <v>478</v>
      </c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2"/>
      <c r="DK159" s="12"/>
      <c r="DL159" s="12"/>
      <c r="DM159" s="69"/>
      <c r="DN159" s="69"/>
      <c r="DO159" s="69"/>
      <c r="DP159" s="69"/>
      <c r="DQ159" s="11"/>
      <c r="DR159" s="69"/>
      <c r="DS159" s="69"/>
      <c r="DT159" s="69"/>
      <c r="DU159" s="69"/>
      <c r="DV159" s="73">
        <v>-2.1</v>
      </c>
      <c r="DW159" s="79">
        <v>0.25</v>
      </c>
      <c r="DX159" s="81">
        <v>1.41254E-9</v>
      </c>
      <c r="DY159" s="7"/>
      <c r="DZ159" s="7" t="s">
        <v>486</v>
      </c>
      <c r="EA159" s="7"/>
      <c r="EB159" s="7"/>
    </row>
    <row r="160">
      <c r="A160" s="55" t="s">
        <v>524</v>
      </c>
      <c r="B160" s="56" t="s">
        <v>525</v>
      </c>
      <c r="C160" s="57" t="s">
        <v>156</v>
      </c>
      <c r="D160" s="57">
        <v>3.95</v>
      </c>
      <c r="E160" s="4"/>
      <c r="F160" s="57" t="s">
        <v>168</v>
      </c>
      <c r="G160" s="58">
        <v>242.1792</v>
      </c>
      <c r="H160" s="58">
        <v>-39.1042</v>
      </c>
      <c r="I160" s="6" t="s">
        <v>314</v>
      </c>
      <c r="J160" s="6" t="s">
        <v>169</v>
      </c>
      <c r="K160" s="58">
        <v>3.0</v>
      </c>
      <c r="L160" s="59"/>
      <c r="M160" s="59">
        <v>2.0</v>
      </c>
      <c r="N160" s="58">
        <v>168.918919</v>
      </c>
      <c r="O160" s="5"/>
      <c r="P160" s="5"/>
      <c r="Q160" s="5"/>
      <c r="R160" s="5"/>
      <c r="S160" s="59">
        <v>0.2</v>
      </c>
      <c r="T160" s="59">
        <v>2.2</v>
      </c>
      <c r="U160" s="59">
        <v>1.6</v>
      </c>
      <c r="V160" s="59">
        <v>0.5</v>
      </c>
      <c r="W160" s="5"/>
      <c r="X160" s="5"/>
      <c r="Y160" s="62" t="s">
        <v>476</v>
      </c>
      <c r="Z160" s="58">
        <v>17.71</v>
      </c>
      <c r="AA160" s="58">
        <v>0.02</v>
      </c>
      <c r="AB160" s="58"/>
      <c r="AC160" s="59"/>
      <c r="AD160" s="59"/>
      <c r="AE160" s="59"/>
      <c r="AF160" s="59"/>
      <c r="AG160" s="59"/>
      <c r="AH160" s="6"/>
      <c r="AI160" s="5"/>
      <c r="AJ160" s="63" t="s">
        <v>476</v>
      </c>
      <c r="AK160" s="64" t="s">
        <v>192</v>
      </c>
      <c r="AL160" s="97">
        <v>2015.0</v>
      </c>
      <c r="AM160" s="13"/>
      <c r="AN160" s="102">
        <v>200.0</v>
      </c>
      <c r="AO160" s="13"/>
      <c r="AP160" s="13" t="s">
        <v>371</v>
      </c>
      <c r="AQ160" s="97">
        <v>0.5</v>
      </c>
      <c r="AR160" s="78">
        <v>3130.0</v>
      </c>
      <c r="AS160" s="97">
        <v>72.0</v>
      </c>
      <c r="AT160" s="79">
        <v>0.19</v>
      </c>
      <c r="AU160" s="73">
        <v>0.03</v>
      </c>
      <c r="AV160" s="70">
        <v>0.1514</v>
      </c>
      <c r="AW160" s="70">
        <v>0.0813</v>
      </c>
      <c r="AX160" s="73">
        <v>1.33</v>
      </c>
      <c r="AY160" s="73">
        <v>0.36</v>
      </c>
      <c r="AZ160" s="11" t="s">
        <v>162</v>
      </c>
      <c r="BA160" s="11" t="s">
        <v>478</v>
      </c>
      <c r="BB160" s="112">
        <v>-69.0</v>
      </c>
      <c r="BC160" s="112">
        <v>10.3</v>
      </c>
      <c r="BD160" s="105">
        <v>1.3E-13</v>
      </c>
      <c r="BE160" s="105">
        <v>4.0E-15</v>
      </c>
      <c r="BF160" s="112">
        <v>-33.68</v>
      </c>
      <c r="BG160" s="112">
        <v>10.5</v>
      </c>
      <c r="BH160" s="105">
        <v>1.3E-14</v>
      </c>
      <c r="BI160" s="105">
        <v>1.0E-15</v>
      </c>
      <c r="BJ160" s="112">
        <v>-26.27</v>
      </c>
      <c r="BK160" s="112">
        <v>7.83</v>
      </c>
      <c r="BL160" s="105">
        <v>6.97E-15</v>
      </c>
      <c r="BM160" s="105">
        <v>6.1E-16</v>
      </c>
      <c r="BN160" s="112">
        <v>-29.47</v>
      </c>
      <c r="BO160" s="112">
        <v>11.79</v>
      </c>
      <c r="BP160" s="105">
        <v>5.5E-15</v>
      </c>
      <c r="BQ160" s="105">
        <v>7.2E-16</v>
      </c>
      <c r="BR160" s="112">
        <v>-20.58</v>
      </c>
      <c r="BS160" s="112">
        <v>8.06</v>
      </c>
      <c r="BT160" s="105">
        <v>3.36E-15</v>
      </c>
      <c r="BU160" s="105">
        <v>4.4E-16</v>
      </c>
      <c r="BV160" s="105"/>
      <c r="BW160" s="105"/>
      <c r="BX160" s="105"/>
      <c r="BY160" s="105"/>
      <c r="BZ160" s="112">
        <v>-0.69</v>
      </c>
      <c r="CA160" s="112">
        <v>0.14</v>
      </c>
      <c r="CB160" s="105">
        <v>3.26E-15</v>
      </c>
      <c r="CC160" s="105">
        <v>1.13E-15</v>
      </c>
      <c r="CD160" s="112">
        <v>-0.74</v>
      </c>
      <c r="CE160" s="112">
        <v>0.15</v>
      </c>
      <c r="CF160" s="105">
        <v>4.3E-15</v>
      </c>
      <c r="CG160" s="105">
        <v>1.67E-15</v>
      </c>
      <c r="CH160" s="11"/>
      <c r="CI160" s="11"/>
      <c r="CJ160" s="105">
        <v>2.19E-15</v>
      </c>
      <c r="CK160" s="11"/>
      <c r="CL160" s="11"/>
      <c r="CM160" s="11"/>
      <c r="CN160" s="105">
        <v>1.23E-15</v>
      </c>
      <c r="CO160" s="11"/>
      <c r="CP160" s="11"/>
      <c r="CQ160" s="11"/>
      <c r="CR160" s="11"/>
      <c r="CS160" s="11"/>
      <c r="CT160" s="112">
        <v>-4.62</v>
      </c>
      <c r="CU160" s="112">
        <v>0.94</v>
      </c>
      <c r="CV160" s="105">
        <v>2.58E-15</v>
      </c>
      <c r="CW160" s="105">
        <v>2.5E-16</v>
      </c>
      <c r="CX160" s="112">
        <v>-0.75</v>
      </c>
      <c r="CY160" s="112">
        <v>0.19</v>
      </c>
      <c r="CZ160" s="105">
        <v>9.41E-16</v>
      </c>
      <c r="DA160" s="105">
        <v>1.89E-16</v>
      </c>
      <c r="DB160" s="112"/>
      <c r="DC160" s="112"/>
      <c r="DD160" s="112"/>
      <c r="DE160" s="112"/>
      <c r="DF160" s="105"/>
      <c r="DG160" s="105"/>
      <c r="DH160" s="105">
        <v>3.26E-15</v>
      </c>
      <c r="DI160" s="105"/>
      <c r="DJ160" s="105"/>
      <c r="DK160" s="105">
        <v>5.47E-15</v>
      </c>
      <c r="DL160" s="105"/>
      <c r="DM160" s="69"/>
      <c r="DN160" s="69"/>
      <c r="DO160" s="69"/>
      <c r="DP160" s="69"/>
      <c r="DQ160" s="11"/>
      <c r="DR160" s="69"/>
      <c r="DS160" s="69"/>
      <c r="DT160" s="69"/>
      <c r="DU160" s="69"/>
      <c r="DV160" s="73">
        <v>-2.9</v>
      </c>
      <c r="DW160" s="79">
        <v>0.25</v>
      </c>
      <c r="DX160" s="81">
        <v>3.54813E-10</v>
      </c>
      <c r="DY160" s="7"/>
      <c r="DZ160" s="7" t="s">
        <v>486</v>
      </c>
      <c r="EA160" s="7"/>
      <c r="EB160" s="7"/>
    </row>
    <row r="161">
      <c r="A161" s="55" t="s">
        <v>526</v>
      </c>
      <c r="B161" s="56" t="s">
        <v>526</v>
      </c>
      <c r="C161" s="4"/>
      <c r="D161" s="4"/>
      <c r="E161" s="4"/>
      <c r="F161" s="57" t="s">
        <v>168</v>
      </c>
      <c r="G161" s="58">
        <v>242.2313718</v>
      </c>
      <c r="H161" s="58">
        <v>-39.04276106</v>
      </c>
      <c r="I161" s="6" t="s">
        <v>314</v>
      </c>
      <c r="J161" s="6" t="s">
        <v>169</v>
      </c>
      <c r="K161" s="58">
        <v>3.0</v>
      </c>
      <c r="L161" s="59"/>
      <c r="M161" s="59">
        <v>2.0</v>
      </c>
      <c r="N161" s="58">
        <v>160.2743898</v>
      </c>
      <c r="O161" s="59">
        <v>-10.306</v>
      </c>
      <c r="P161" s="59">
        <v>0.147</v>
      </c>
      <c r="Q161" s="59">
        <v>-24.324</v>
      </c>
      <c r="R161" s="59">
        <v>0.088</v>
      </c>
      <c r="S161" s="59">
        <v>6.2</v>
      </c>
      <c r="T161" s="59">
        <v>1.7</v>
      </c>
      <c r="U161" s="59">
        <v>0.0</v>
      </c>
      <c r="V161" s="59">
        <v>0.5</v>
      </c>
      <c r="W161" s="5"/>
      <c r="X161" s="5"/>
      <c r="Y161" s="62" t="s">
        <v>476</v>
      </c>
      <c r="Z161" s="58">
        <v>14.78</v>
      </c>
      <c r="AA161" s="58">
        <v>0.15</v>
      </c>
      <c r="AB161" s="58">
        <v>11.004</v>
      </c>
      <c r="AC161" s="59">
        <v>0.024</v>
      </c>
      <c r="AD161" s="59">
        <v>10.286</v>
      </c>
      <c r="AE161" s="59">
        <v>0.026</v>
      </c>
      <c r="AF161" s="59">
        <v>9.962</v>
      </c>
      <c r="AG161" s="59">
        <v>0.024</v>
      </c>
      <c r="AH161" s="6"/>
      <c r="AI161" s="5"/>
      <c r="AJ161" s="63" t="s">
        <v>476</v>
      </c>
      <c r="AK161" s="64" t="s">
        <v>192</v>
      </c>
      <c r="AL161" s="64" t="s">
        <v>477</v>
      </c>
      <c r="AM161" s="13"/>
      <c r="AN161" s="102">
        <v>200.0</v>
      </c>
      <c r="AO161" s="13"/>
      <c r="AP161" s="13" t="s">
        <v>371</v>
      </c>
      <c r="AQ161" s="97">
        <v>0.5</v>
      </c>
      <c r="AR161" s="78">
        <v>3130.0</v>
      </c>
      <c r="AS161" s="97">
        <v>72.0</v>
      </c>
      <c r="AT161" s="79">
        <v>0.2</v>
      </c>
      <c r="AU161" s="73">
        <v>0.03</v>
      </c>
      <c r="AV161" s="70">
        <v>0.191</v>
      </c>
      <c r="AW161" s="70">
        <v>0.088</v>
      </c>
      <c r="AX161" s="73">
        <v>1.52</v>
      </c>
      <c r="AY161" s="73">
        <v>0.35</v>
      </c>
      <c r="AZ161" s="11" t="s">
        <v>162</v>
      </c>
      <c r="BA161" s="111" t="s">
        <v>478</v>
      </c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2"/>
      <c r="DK161" s="12"/>
      <c r="DL161" s="12"/>
      <c r="DM161" s="69"/>
      <c r="DN161" s="69"/>
      <c r="DO161" s="69"/>
      <c r="DP161" s="69"/>
      <c r="DQ161" s="11"/>
      <c r="DR161" s="69"/>
      <c r="DS161" s="69"/>
      <c r="DT161" s="69"/>
      <c r="DU161" s="69"/>
      <c r="DV161" s="73">
        <v>-3.2</v>
      </c>
      <c r="DW161" s="79">
        <v>0.25</v>
      </c>
      <c r="DX161" s="81">
        <v>1.94984E-10</v>
      </c>
      <c r="DY161" s="7"/>
      <c r="DZ161" s="7" t="s">
        <v>486</v>
      </c>
      <c r="EA161" s="7"/>
      <c r="EB161" s="7"/>
    </row>
    <row r="162">
      <c r="A162" s="55" t="s">
        <v>527</v>
      </c>
      <c r="B162" s="56" t="s">
        <v>527</v>
      </c>
      <c r="C162" s="4"/>
      <c r="D162" s="4"/>
      <c r="E162" s="4"/>
      <c r="F162" s="57" t="s">
        <v>168</v>
      </c>
      <c r="G162" s="58">
        <v>242.3623958</v>
      </c>
      <c r="H162" s="58">
        <v>-38.6074778</v>
      </c>
      <c r="I162" s="6" t="s">
        <v>314</v>
      </c>
      <c r="J162" s="6" t="s">
        <v>169</v>
      </c>
      <c r="K162" s="58">
        <v>3.0</v>
      </c>
      <c r="L162" s="59"/>
      <c r="M162" s="59">
        <v>2.0</v>
      </c>
      <c r="N162" s="58">
        <v>159.3549312</v>
      </c>
      <c r="O162" s="58">
        <v>-9.511</v>
      </c>
      <c r="P162" s="58">
        <v>0.189</v>
      </c>
      <c r="Q162" s="58">
        <v>-22.9</v>
      </c>
      <c r="R162" s="58">
        <v>0.111</v>
      </c>
      <c r="S162" s="59">
        <v>3.4</v>
      </c>
      <c r="T162" s="59">
        <v>2.2</v>
      </c>
      <c r="U162" s="59">
        <v>2.2</v>
      </c>
      <c r="V162" s="59">
        <v>0.5</v>
      </c>
      <c r="W162" s="5"/>
      <c r="X162" s="5"/>
      <c r="Y162" s="62" t="s">
        <v>476</v>
      </c>
      <c r="Z162" s="58">
        <v>16.31</v>
      </c>
      <c r="AA162" s="58">
        <v>0.14</v>
      </c>
      <c r="AB162" s="58">
        <v>12.552</v>
      </c>
      <c r="AC162" s="59">
        <v>0.026</v>
      </c>
      <c r="AD162" s="59">
        <v>11.69</v>
      </c>
      <c r="AE162" s="59">
        <v>0.027</v>
      </c>
      <c r="AF162" s="59">
        <v>10.947</v>
      </c>
      <c r="AG162" s="59">
        <v>0.023</v>
      </c>
      <c r="AH162" s="6"/>
      <c r="AI162" s="6"/>
      <c r="AJ162" s="63" t="s">
        <v>476</v>
      </c>
      <c r="AK162" s="64" t="s">
        <v>192</v>
      </c>
      <c r="AL162" s="97">
        <v>2015.0</v>
      </c>
      <c r="AM162" s="13"/>
      <c r="AN162" s="102">
        <v>200.0</v>
      </c>
      <c r="AO162" s="13"/>
      <c r="AP162" s="13" t="s">
        <v>402</v>
      </c>
      <c r="AQ162" s="97">
        <v>0.5</v>
      </c>
      <c r="AR162" s="78">
        <v>3200.0</v>
      </c>
      <c r="AS162" s="97">
        <v>74.0</v>
      </c>
      <c r="AT162" s="79">
        <v>0.2</v>
      </c>
      <c r="AU162" s="73">
        <v>0.03</v>
      </c>
      <c r="AV162" s="70">
        <v>0.1148</v>
      </c>
      <c r="AW162" s="70">
        <v>0.0501</v>
      </c>
      <c r="AX162" s="73">
        <v>1.1</v>
      </c>
      <c r="AY162" s="73">
        <v>0.24</v>
      </c>
      <c r="AZ162" s="11" t="s">
        <v>162</v>
      </c>
      <c r="BA162" s="11" t="s">
        <v>478</v>
      </c>
      <c r="BB162" s="112">
        <v>-73.74</v>
      </c>
      <c r="BC162" s="112">
        <v>2.37</v>
      </c>
      <c r="BD162" s="105">
        <v>3.39E-13</v>
      </c>
      <c r="BE162" s="105">
        <v>3.0E-15</v>
      </c>
      <c r="BF162" s="112">
        <v>-60.55</v>
      </c>
      <c r="BG162" s="112">
        <v>6.94</v>
      </c>
      <c r="BH162" s="105">
        <v>2.07E-13</v>
      </c>
      <c r="BI162" s="105">
        <v>9.0E-15</v>
      </c>
      <c r="BJ162" s="112">
        <v>-52.6</v>
      </c>
      <c r="BK162" s="112">
        <v>13.1</v>
      </c>
      <c r="BL162" s="105">
        <v>1.73E-13</v>
      </c>
      <c r="BM162" s="105">
        <v>1.1E-14</v>
      </c>
      <c r="BN162" s="112">
        <v>-63.47</v>
      </c>
      <c r="BO162" s="112">
        <v>12.1</v>
      </c>
      <c r="BP162" s="105">
        <v>1.7E-13</v>
      </c>
      <c r="BQ162" s="105">
        <v>1.0E-14</v>
      </c>
      <c r="BR162" s="112">
        <v>-41.96</v>
      </c>
      <c r="BS162" s="112">
        <v>13.9</v>
      </c>
      <c r="BT162" s="105">
        <v>1.14E-13</v>
      </c>
      <c r="BU162" s="105">
        <v>1.4E-14</v>
      </c>
      <c r="BV162" s="105"/>
      <c r="BW162" s="105"/>
      <c r="BX162" s="105"/>
      <c r="BY162" s="105"/>
      <c r="BZ162" s="112">
        <v>-4.62</v>
      </c>
      <c r="CA162" s="112">
        <v>0.42</v>
      </c>
      <c r="CB162" s="105">
        <v>2.15E-14</v>
      </c>
      <c r="CC162" s="105">
        <v>1.7E-15</v>
      </c>
      <c r="CD162" s="112">
        <v>-5.0</v>
      </c>
      <c r="CE162" s="112">
        <v>0.54</v>
      </c>
      <c r="CF162" s="105">
        <v>3.0E-14</v>
      </c>
      <c r="CG162" s="105">
        <v>2.7E-15</v>
      </c>
      <c r="CH162" s="112">
        <v>-4.12</v>
      </c>
      <c r="CI162" s="112">
        <v>0.72</v>
      </c>
      <c r="CJ162" s="105">
        <v>2.45E-14</v>
      </c>
      <c r="CK162" s="105">
        <v>3.7E-15</v>
      </c>
      <c r="CL162" s="112">
        <v>-1.6</v>
      </c>
      <c r="CM162" s="112">
        <v>0.23</v>
      </c>
      <c r="CN162" s="105">
        <v>3.01E-15</v>
      </c>
      <c r="CO162" s="105">
        <v>4.1E-16</v>
      </c>
      <c r="CP162" s="105"/>
      <c r="CQ162" s="105"/>
      <c r="CR162" s="105"/>
      <c r="CS162" s="105"/>
      <c r="CT162" s="112">
        <v>-9.86</v>
      </c>
      <c r="CU162" s="112">
        <v>0.86</v>
      </c>
      <c r="CV162" s="105">
        <v>3.24E-14</v>
      </c>
      <c r="CW162" s="105">
        <v>1.3E-15</v>
      </c>
      <c r="CX162" s="112">
        <v>-3.33</v>
      </c>
      <c r="CY162" s="112">
        <v>0.28</v>
      </c>
      <c r="CZ162" s="105">
        <v>1.15E-14</v>
      </c>
      <c r="DA162" s="105">
        <v>6.0E-16</v>
      </c>
      <c r="DB162" s="112"/>
      <c r="DC162" s="112"/>
      <c r="DD162" s="112"/>
      <c r="DE162" s="112"/>
      <c r="DF162" s="105"/>
      <c r="DG162" s="105"/>
      <c r="DH162" s="105">
        <v>1.58E-13</v>
      </c>
      <c r="DI162" s="105"/>
      <c r="DJ162" s="105"/>
      <c r="DK162" s="105">
        <v>1.24E-13</v>
      </c>
      <c r="DL162" s="105"/>
      <c r="DM162" s="69"/>
      <c r="DN162" s="69"/>
      <c r="DO162" s="69"/>
      <c r="DP162" s="69"/>
      <c r="DQ162" s="11"/>
      <c r="DR162" s="69"/>
      <c r="DS162" s="69"/>
      <c r="DT162" s="69"/>
      <c r="DU162" s="69"/>
      <c r="DV162" s="73">
        <v>-1.3</v>
      </c>
      <c r="DW162" s="79">
        <v>0.25</v>
      </c>
      <c r="DX162" s="81">
        <v>1.12202E-8</v>
      </c>
      <c r="DY162" s="7"/>
      <c r="DZ162" s="7" t="s">
        <v>486</v>
      </c>
      <c r="EA162" s="7"/>
      <c r="EB162" s="7"/>
    </row>
    <row r="163">
      <c r="A163" s="55" t="s">
        <v>528</v>
      </c>
      <c r="B163" s="56" t="s">
        <v>529</v>
      </c>
      <c r="C163" s="57" t="s">
        <v>156</v>
      </c>
      <c r="D163" s="57">
        <v>1.49</v>
      </c>
      <c r="E163" s="4"/>
      <c r="F163" s="57" t="s">
        <v>168</v>
      </c>
      <c r="G163" s="58">
        <v>241.7542</v>
      </c>
      <c r="H163" s="58">
        <v>-39.0383</v>
      </c>
      <c r="I163" s="6" t="s">
        <v>314</v>
      </c>
      <c r="J163" s="6" t="s">
        <v>169</v>
      </c>
      <c r="K163" s="58">
        <v>3.0</v>
      </c>
      <c r="L163" s="59"/>
      <c r="M163" s="59">
        <v>2.0</v>
      </c>
      <c r="N163" s="58">
        <v>158.982512</v>
      </c>
      <c r="O163" s="6"/>
      <c r="P163" s="6"/>
      <c r="Q163" s="6"/>
      <c r="R163" s="6"/>
      <c r="S163" s="59">
        <v>5.7</v>
      </c>
      <c r="T163" s="59">
        <v>2.1</v>
      </c>
      <c r="U163" s="59">
        <v>0.0</v>
      </c>
      <c r="V163" s="59">
        <v>0.5</v>
      </c>
      <c r="W163" s="5"/>
      <c r="X163" s="5"/>
      <c r="Y163" s="62" t="s">
        <v>476</v>
      </c>
      <c r="Z163" s="6"/>
      <c r="AA163" s="6"/>
      <c r="AB163" s="6"/>
      <c r="AC163" s="5"/>
      <c r="AD163" s="5"/>
      <c r="AE163" s="5"/>
      <c r="AF163" s="5"/>
      <c r="AG163" s="5"/>
      <c r="AH163" s="6"/>
      <c r="AI163" s="5"/>
      <c r="AJ163" s="63" t="s">
        <v>476</v>
      </c>
      <c r="AK163" s="64" t="s">
        <v>192</v>
      </c>
      <c r="AL163" s="64" t="s">
        <v>477</v>
      </c>
      <c r="AM163" s="13"/>
      <c r="AN163" s="102">
        <v>200.0</v>
      </c>
      <c r="AO163" s="13"/>
      <c r="AP163" s="13" t="s">
        <v>402</v>
      </c>
      <c r="AQ163" s="97">
        <v>0.5</v>
      </c>
      <c r="AR163" s="78">
        <v>3200.0</v>
      </c>
      <c r="AS163" s="97">
        <v>74.0</v>
      </c>
      <c r="AT163" s="79">
        <v>0.2</v>
      </c>
      <c r="AU163" s="73">
        <v>0.03</v>
      </c>
      <c r="AV163" s="70">
        <v>0.118</v>
      </c>
      <c r="AW163" s="70">
        <v>0.054</v>
      </c>
      <c r="AX163" s="73">
        <v>1.12</v>
      </c>
      <c r="AY163" s="73">
        <v>0.26</v>
      </c>
      <c r="AZ163" s="11" t="s">
        <v>162</v>
      </c>
      <c r="BA163" s="111" t="s">
        <v>478</v>
      </c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2"/>
      <c r="DK163" s="12"/>
      <c r="DL163" s="12"/>
      <c r="DM163" s="69"/>
      <c r="DN163" s="69"/>
      <c r="DO163" s="69"/>
      <c r="DP163" s="69"/>
      <c r="DQ163" s="11"/>
      <c r="DR163" s="69"/>
      <c r="DS163" s="69"/>
      <c r="DT163" s="69"/>
      <c r="DU163" s="69"/>
      <c r="DV163" s="73">
        <v>-3.1</v>
      </c>
      <c r="DW163" s="79">
        <v>0.25</v>
      </c>
      <c r="DX163" s="81">
        <v>1.8197E-10</v>
      </c>
      <c r="DY163" s="7"/>
      <c r="DZ163" s="7" t="s">
        <v>486</v>
      </c>
      <c r="EA163" s="7"/>
      <c r="EB163" s="7"/>
    </row>
    <row r="164">
      <c r="A164" s="55" t="s">
        <v>530</v>
      </c>
      <c r="B164" s="56" t="s">
        <v>530</v>
      </c>
      <c r="C164" s="4"/>
      <c r="D164" s="4"/>
      <c r="E164" s="4"/>
      <c r="F164" s="57" t="s">
        <v>168</v>
      </c>
      <c r="G164" s="58">
        <v>242.2758902</v>
      </c>
      <c r="H164" s="58">
        <v>-39.14774196</v>
      </c>
      <c r="I164" s="6" t="s">
        <v>314</v>
      </c>
      <c r="J164" s="6" t="s">
        <v>169</v>
      </c>
      <c r="K164" s="58">
        <v>3.0</v>
      </c>
      <c r="L164" s="59"/>
      <c r="M164" s="59">
        <v>2.0</v>
      </c>
      <c r="N164" s="58">
        <v>157.9055409</v>
      </c>
      <c r="O164" s="58">
        <v>-11.137</v>
      </c>
      <c r="P164" s="58">
        <v>0.132</v>
      </c>
      <c r="Q164" s="58">
        <v>-24.233</v>
      </c>
      <c r="R164" s="58">
        <v>0.091</v>
      </c>
      <c r="S164" s="59">
        <v>6.4</v>
      </c>
      <c r="T164" s="59">
        <v>2.3</v>
      </c>
      <c r="U164" s="59">
        <v>0.5</v>
      </c>
      <c r="V164" s="59">
        <v>0.5</v>
      </c>
      <c r="W164" s="5"/>
      <c r="X164" s="5"/>
      <c r="Y164" s="62" t="s">
        <v>476</v>
      </c>
      <c r="Z164" s="58">
        <v>15.09</v>
      </c>
      <c r="AA164" s="58">
        <v>0.09</v>
      </c>
      <c r="AB164" s="58">
        <v>11.334</v>
      </c>
      <c r="AC164" s="59">
        <v>0.026</v>
      </c>
      <c r="AD164" s="59">
        <v>10.649</v>
      </c>
      <c r="AE164" s="59">
        <v>0.025</v>
      </c>
      <c r="AF164" s="59">
        <v>10.447</v>
      </c>
      <c r="AG164" s="59">
        <v>0.026</v>
      </c>
      <c r="AH164" s="6"/>
      <c r="AI164" s="5"/>
      <c r="AJ164" s="63" t="s">
        <v>476</v>
      </c>
      <c r="AK164" s="64" t="s">
        <v>192</v>
      </c>
      <c r="AL164" s="64" t="s">
        <v>477</v>
      </c>
      <c r="AM164" s="13"/>
      <c r="AN164" s="102">
        <v>200.0</v>
      </c>
      <c r="AO164" s="13"/>
      <c r="AP164" s="13" t="s">
        <v>402</v>
      </c>
      <c r="AQ164" s="97">
        <v>0.5</v>
      </c>
      <c r="AR164" s="78">
        <v>3200.0</v>
      </c>
      <c r="AS164" s="97">
        <v>74.0</v>
      </c>
      <c r="AT164" s="79">
        <v>0.22</v>
      </c>
      <c r="AU164" s="73">
        <v>0.03</v>
      </c>
      <c r="AV164" s="70">
        <v>0.175</v>
      </c>
      <c r="AW164" s="70">
        <v>0.08</v>
      </c>
      <c r="AX164" s="73">
        <v>1.36</v>
      </c>
      <c r="AY164" s="73">
        <v>0.31</v>
      </c>
      <c r="AZ164" s="11" t="s">
        <v>162</v>
      </c>
      <c r="BA164" s="111" t="s">
        <v>478</v>
      </c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2"/>
      <c r="DK164" s="12"/>
      <c r="DL164" s="12"/>
      <c r="DM164" s="69"/>
      <c r="DN164" s="69"/>
      <c r="DO164" s="69"/>
      <c r="DP164" s="69"/>
      <c r="DQ164" s="11"/>
      <c r="DR164" s="69"/>
      <c r="DS164" s="69"/>
      <c r="DT164" s="69"/>
      <c r="DU164" s="69"/>
      <c r="DV164" s="73">
        <v>-2.7</v>
      </c>
      <c r="DW164" s="79">
        <v>0.25</v>
      </c>
      <c r="DX164" s="81">
        <v>5.01187E-10</v>
      </c>
      <c r="DY164" s="7"/>
      <c r="DZ164" s="7" t="s">
        <v>486</v>
      </c>
      <c r="EA164" s="7"/>
      <c r="EB164" s="7"/>
    </row>
    <row r="165">
      <c r="A165" s="55" t="s">
        <v>531</v>
      </c>
      <c r="B165" s="56" t="s">
        <v>531</v>
      </c>
      <c r="C165" s="4"/>
      <c r="D165" s="4"/>
      <c r="E165" s="4"/>
      <c r="F165" s="57" t="s">
        <v>168</v>
      </c>
      <c r="G165" s="58">
        <v>242.1001752</v>
      </c>
      <c r="H165" s="58">
        <v>-39.09706504</v>
      </c>
      <c r="I165" s="6" t="s">
        <v>314</v>
      </c>
      <c r="J165" s="6" t="s">
        <v>169</v>
      </c>
      <c r="K165" s="58">
        <v>3.0</v>
      </c>
      <c r="L165" s="59"/>
      <c r="M165" s="59">
        <v>2.0</v>
      </c>
      <c r="N165" s="58">
        <v>159.0305498</v>
      </c>
      <c r="O165" s="59">
        <v>-8.999</v>
      </c>
      <c r="P165" s="59">
        <v>0.15</v>
      </c>
      <c r="Q165" s="59">
        <v>-23.609</v>
      </c>
      <c r="R165" s="59">
        <v>0.088</v>
      </c>
      <c r="S165" s="59">
        <v>3.2</v>
      </c>
      <c r="T165" s="59">
        <v>3.1</v>
      </c>
      <c r="U165" s="59">
        <v>0.0</v>
      </c>
      <c r="V165" s="59">
        <v>0.5</v>
      </c>
      <c r="W165" s="5"/>
      <c r="X165" s="5"/>
      <c r="Y165" s="62" t="s">
        <v>476</v>
      </c>
      <c r="Z165" s="59">
        <v>15.39</v>
      </c>
      <c r="AA165" s="59">
        <v>0.35</v>
      </c>
      <c r="AB165" s="59">
        <v>11.929</v>
      </c>
      <c r="AC165" s="59">
        <v>0.022</v>
      </c>
      <c r="AD165" s="59">
        <v>11.21</v>
      </c>
      <c r="AE165" s="59">
        <v>0.022</v>
      </c>
      <c r="AF165" s="59">
        <v>10.745</v>
      </c>
      <c r="AG165" s="59">
        <v>0.019</v>
      </c>
      <c r="AH165" s="6"/>
      <c r="AI165" s="5"/>
      <c r="AJ165" s="63" t="s">
        <v>476</v>
      </c>
      <c r="AK165" s="64" t="s">
        <v>192</v>
      </c>
      <c r="AL165" s="64" t="s">
        <v>477</v>
      </c>
      <c r="AM165" s="13"/>
      <c r="AN165" s="102">
        <v>200.0</v>
      </c>
      <c r="AO165" s="13"/>
      <c r="AP165" s="13" t="s">
        <v>395</v>
      </c>
      <c r="AQ165" s="97">
        <v>0.5</v>
      </c>
      <c r="AR165" s="78">
        <v>3270.0</v>
      </c>
      <c r="AS165" s="97">
        <v>75.0</v>
      </c>
      <c r="AT165" s="79">
        <v>0.22</v>
      </c>
      <c r="AU165" s="73">
        <v>0.03</v>
      </c>
      <c r="AV165" s="70">
        <v>0.074</v>
      </c>
      <c r="AW165" s="70">
        <v>0.034</v>
      </c>
      <c r="AX165" s="73">
        <v>0.89</v>
      </c>
      <c r="AY165" s="73">
        <v>0.2</v>
      </c>
      <c r="AZ165" s="11" t="s">
        <v>162</v>
      </c>
      <c r="BA165" s="111" t="s">
        <v>478</v>
      </c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2"/>
      <c r="DK165" s="12"/>
      <c r="DL165" s="12"/>
      <c r="DM165" s="69"/>
      <c r="DN165" s="69"/>
      <c r="DO165" s="69"/>
      <c r="DP165" s="69"/>
      <c r="DQ165" s="11"/>
      <c r="DR165" s="69"/>
      <c r="DS165" s="69"/>
      <c r="DT165" s="69"/>
      <c r="DU165" s="69"/>
      <c r="DV165" s="73">
        <v>-2.6</v>
      </c>
      <c r="DW165" s="79">
        <v>0.25</v>
      </c>
      <c r="DX165" s="81">
        <v>4.0738E-10</v>
      </c>
      <c r="DY165" s="7"/>
      <c r="DZ165" s="7" t="s">
        <v>486</v>
      </c>
      <c r="EA165" s="7"/>
      <c r="EB165" s="7"/>
    </row>
    <row r="166">
      <c r="A166" s="55" t="s">
        <v>532</v>
      </c>
      <c r="B166" s="56" t="s">
        <v>532</v>
      </c>
      <c r="C166" s="4"/>
      <c r="D166" s="4"/>
      <c r="E166" s="4"/>
      <c r="F166" s="57" t="s">
        <v>168</v>
      </c>
      <c r="G166" s="58">
        <v>242.6231304</v>
      </c>
      <c r="H166" s="58">
        <v>-39.37068223</v>
      </c>
      <c r="I166" s="6" t="s">
        <v>314</v>
      </c>
      <c r="J166" s="6" t="s">
        <v>159</v>
      </c>
      <c r="K166" s="58">
        <v>3.0</v>
      </c>
      <c r="L166" s="59"/>
      <c r="M166" s="59">
        <v>2.0</v>
      </c>
      <c r="N166" s="58">
        <v>163.2333257</v>
      </c>
      <c r="O166" s="58">
        <v>-8.955</v>
      </c>
      <c r="P166" s="58">
        <v>0.161</v>
      </c>
      <c r="Q166" s="58">
        <v>-24.325</v>
      </c>
      <c r="R166" s="58">
        <v>0.099</v>
      </c>
      <c r="S166" s="58">
        <v>-2.7</v>
      </c>
      <c r="T166" s="58">
        <v>2.2</v>
      </c>
      <c r="U166" s="59">
        <v>0.9</v>
      </c>
      <c r="V166" s="59">
        <v>0.5</v>
      </c>
      <c r="W166" s="5"/>
      <c r="X166" s="5"/>
      <c r="Y166" s="62" t="s">
        <v>476</v>
      </c>
      <c r="Z166" s="58">
        <v>15.79</v>
      </c>
      <c r="AA166" s="58">
        <v>0.05</v>
      </c>
      <c r="AB166" s="58">
        <v>11.946</v>
      </c>
      <c r="AC166" s="59">
        <v>0.024</v>
      </c>
      <c r="AD166" s="59">
        <v>11.268</v>
      </c>
      <c r="AE166" s="59">
        <v>0.024</v>
      </c>
      <c r="AF166" s="59">
        <v>10.913</v>
      </c>
      <c r="AG166" s="59">
        <v>0.023</v>
      </c>
      <c r="AH166" s="6"/>
      <c r="AI166" s="6"/>
      <c r="AJ166" s="63" t="s">
        <v>476</v>
      </c>
      <c r="AK166" s="64" t="s">
        <v>192</v>
      </c>
      <c r="AL166" s="97">
        <v>2015.0</v>
      </c>
      <c r="AM166" s="13"/>
      <c r="AN166" s="102">
        <v>200.0</v>
      </c>
      <c r="AO166" s="13"/>
      <c r="AP166" s="13" t="s">
        <v>402</v>
      </c>
      <c r="AQ166" s="97">
        <v>0.5</v>
      </c>
      <c r="AR166" s="78">
        <v>3200.0</v>
      </c>
      <c r="AS166" s="97">
        <v>74.0</v>
      </c>
      <c r="AT166" s="79">
        <v>0.22</v>
      </c>
      <c r="AU166" s="73">
        <v>0.03</v>
      </c>
      <c r="AV166" s="70">
        <v>0.1585</v>
      </c>
      <c r="AW166" s="70">
        <v>0.0698</v>
      </c>
      <c r="AX166" s="73">
        <v>1.29</v>
      </c>
      <c r="AY166" s="73">
        <v>0.29</v>
      </c>
      <c r="AZ166" s="11" t="s">
        <v>162</v>
      </c>
      <c r="BA166" s="11" t="s">
        <v>478</v>
      </c>
      <c r="BB166" s="112">
        <v>-9.43</v>
      </c>
      <c r="BC166" s="112">
        <v>1.49</v>
      </c>
      <c r="BD166" s="105">
        <v>1.96E-14</v>
      </c>
      <c r="BE166" s="105">
        <v>1.6E-15</v>
      </c>
      <c r="BF166" s="112">
        <v>-8.53</v>
      </c>
      <c r="BG166" s="112">
        <v>1.93</v>
      </c>
      <c r="BH166" s="105">
        <v>4.5E-15</v>
      </c>
      <c r="BI166" s="105">
        <v>5.1E-16</v>
      </c>
      <c r="BJ166" s="112">
        <v>-7.97</v>
      </c>
      <c r="BK166" s="112">
        <v>2.15</v>
      </c>
      <c r="BL166" s="105">
        <v>2.76E-15</v>
      </c>
      <c r="BM166" s="105">
        <v>3.5E-16</v>
      </c>
      <c r="BN166" s="112">
        <v>-8.33</v>
      </c>
      <c r="BO166" s="112">
        <v>3.71</v>
      </c>
      <c r="BP166" s="105">
        <v>2.15E-15</v>
      </c>
      <c r="BQ166" s="105">
        <v>4.4E-16</v>
      </c>
      <c r="BR166" s="112">
        <v>-8.78</v>
      </c>
      <c r="BS166" s="112">
        <v>5.1</v>
      </c>
      <c r="BT166" s="105">
        <v>1.12E-15</v>
      </c>
      <c r="BU166" s="105">
        <v>1.6E-16</v>
      </c>
      <c r="BV166" s="105"/>
      <c r="BW166" s="105"/>
      <c r="BX166" s="105"/>
      <c r="BY166" s="105"/>
      <c r="BZ166" s="11"/>
      <c r="CA166" s="11"/>
      <c r="CB166" s="105">
        <v>8.65E-16</v>
      </c>
      <c r="CC166" s="11"/>
      <c r="CD166" s="11"/>
      <c r="CE166" s="11"/>
      <c r="CF166" s="105">
        <v>5.9E-16</v>
      </c>
      <c r="CG166" s="11"/>
      <c r="CH166" s="11"/>
      <c r="CI166" s="11"/>
      <c r="CJ166" s="105">
        <v>1.85E-15</v>
      </c>
      <c r="CK166" s="11"/>
      <c r="CL166" s="11"/>
      <c r="CM166" s="11"/>
      <c r="CN166" s="105">
        <v>4.18E-16</v>
      </c>
      <c r="CO166" s="11"/>
      <c r="CP166" s="11"/>
      <c r="CQ166" s="11"/>
      <c r="CR166" s="11"/>
      <c r="CS166" s="11"/>
      <c r="CT166" s="112">
        <v>-0.78</v>
      </c>
      <c r="CU166" s="112">
        <v>0.28</v>
      </c>
      <c r="CV166" s="105">
        <v>6.48E-16</v>
      </c>
      <c r="CW166" s="105">
        <v>1.87E-16</v>
      </c>
      <c r="CX166" s="112">
        <v>-0.21</v>
      </c>
      <c r="CY166" s="112">
        <v>0.06</v>
      </c>
      <c r="CZ166" s="105">
        <v>3.33E-16</v>
      </c>
      <c r="DA166" s="105">
        <v>8.2E-17</v>
      </c>
      <c r="DB166" s="112"/>
      <c r="DC166" s="112"/>
      <c r="DD166" s="112"/>
      <c r="DE166" s="112"/>
      <c r="DF166" s="105"/>
      <c r="DG166" s="105"/>
      <c r="DH166" s="105">
        <v>2.81E-15</v>
      </c>
      <c r="DI166" s="105"/>
      <c r="DJ166" s="105"/>
      <c r="DK166" s="105">
        <v>2.15E-15</v>
      </c>
      <c r="DL166" s="105"/>
      <c r="DM166" s="69"/>
      <c r="DN166" s="69"/>
      <c r="DO166" s="69"/>
      <c r="DP166" s="69"/>
      <c r="DQ166" s="11"/>
      <c r="DR166" s="69"/>
      <c r="DS166" s="69"/>
      <c r="DT166" s="69"/>
      <c r="DU166" s="69"/>
      <c r="DV166" s="73">
        <v>-3.2</v>
      </c>
      <c r="DW166" s="79">
        <v>0.25</v>
      </c>
      <c r="DX166" s="81">
        <v>1.51356E-10</v>
      </c>
      <c r="DY166" s="7"/>
      <c r="DZ166" s="7" t="s">
        <v>486</v>
      </c>
      <c r="EA166" s="7"/>
      <c r="EB166" s="7"/>
    </row>
    <row r="167">
      <c r="A167" s="55" t="s">
        <v>533</v>
      </c>
      <c r="B167" s="56" t="s">
        <v>533</v>
      </c>
      <c r="C167" s="4"/>
      <c r="D167" s="4"/>
      <c r="E167" s="4"/>
      <c r="F167" s="57" t="s">
        <v>168</v>
      </c>
      <c r="G167" s="58">
        <v>242.2577035</v>
      </c>
      <c r="H167" s="58">
        <v>-39.08678228</v>
      </c>
      <c r="I167" s="6" t="s">
        <v>314</v>
      </c>
      <c r="J167" s="6" t="s">
        <v>169</v>
      </c>
      <c r="K167" s="58">
        <v>3.0</v>
      </c>
      <c r="L167" s="59"/>
      <c r="M167" s="59">
        <v>2.0</v>
      </c>
      <c r="N167" s="58">
        <v>162.2507423</v>
      </c>
      <c r="O167" s="58">
        <v>-9.656</v>
      </c>
      <c r="P167" s="58">
        <v>0.095</v>
      </c>
      <c r="Q167" s="58">
        <v>-23.931</v>
      </c>
      <c r="R167" s="58">
        <v>0.063</v>
      </c>
      <c r="S167" s="59">
        <v>4.0</v>
      </c>
      <c r="T167" s="59">
        <v>2.4</v>
      </c>
      <c r="U167" s="59">
        <v>0.3</v>
      </c>
      <c r="V167" s="59">
        <v>0.5</v>
      </c>
      <c r="W167" s="5"/>
      <c r="X167" s="5"/>
      <c r="Y167" s="62" t="s">
        <v>476</v>
      </c>
      <c r="Z167" s="58">
        <v>14.35</v>
      </c>
      <c r="AA167" s="58">
        <v>0.39</v>
      </c>
      <c r="AB167" s="58">
        <v>10.414</v>
      </c>
      <c r="AC167" s="59">
        <v>0.026</v>
      </c>
      <c r="AD167" s="59">
        <v>9.697</v>
      </c>
      <c r="AE167" s="59">
        <v>0.026</v>
      </c>
      <c r="AF167" s="59">
        <v>9.319</v>
      </c>
      <c r="AG167" s="59">
        <v>0.023</v>
      </c>
      <c r="AH167" s="6"/>
      <c r="AI167" s="5"/>
      <c r="AJ167" s="63" t="s">
        <v>476</v>
      </c>
      <c r="AK167" s="64" t="s">
        <v>192</v>
      </c>
      <c r="AL167" s="64" t="s">
        <v>477</v>
      </c>
      <c r="AM167" s="13"/>
      <c r="AN167" s="102">
        <v>200.0</v>
      </c>
      <c r="AO167" s="13"/>
      <c r="AP167" s="13" t="s">
        <v>534</v>
      </c>
      <c r="AQ167" s="97">
        <v>0.5</v>
      </c>
      <c r="AR167" s="78">
        <v>3180.0</v>
      </c>
      <c r="AS167" s="97">
        <v>73.0</v>
      </c>
      <c r="AT167" s="79">
        <v>0.23</v>
      </c>
      <c r="AU167" s="73">
        <v>0.03</v>
      </c>
      <c r="AV167" s="70">
        <v>0.312</v>
      </c>
      <c r="AW167" s="70">
        <v>0.144</v>
      </c>
      <c r="AX167" s="73">
        <v>1.82</v>
      </c>
      <c r="AY167" s="73">
        <v>0.42</v>
      </c>
      <c r="AZ167" s="11" t="s">
        <v>162</v>
      </c>
      <c r="BA167" s="111" t="s">
        <v>478</v>
      </c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2"/>
      <c r="DK167" s="12"/>
      <c r="DL167" s="12"/>
      <c r="DM167" s="69"/>
      <c r="DN167" s="69"/>
      <c r="DO167" s="69"/>
      <c r="DP167" s="69"/>
      <c r="DQ167" s="11"/>
      <c r="DR167" s="69"/>
      <c r="DS167" s="69"/>
      <c r="DT167" s="69"/>
      <c r="DU167" s="69"/>
      <c r="DV167" s="73">
        <v>-2.5</v>
      </c>
      <c r="DW167" s="79">
        <v>0.25</v>
      </c>
      <c r="DX167" s="81">
        <v>1.02329E-9</v>
      </c>
      <c r="DY167" s="7"/>
      <c r="DZ167" s="7" t="s">
        <v>486</v>
      </c>
      <c r="EA167" s="7"/>
      <c r="EB167" s="7"/>
    </row>
    <row r="168">
      <c r="A168" s="55" t="s">
        <v>535</v>
      </c>
      <c r="B168" s="56" t="s">
        <v>536</v>
      </c>
      <c r="C168" s="57" t="s">
        <v>156</v>
      </c>
      <c r="D168" s="57">
        <v>1.9</v>
      </c>
      <c r="E168" s="4"/>
      <c r="F168" s="57" t="s">
        <v>168</v>
      </c>
      <c r="G168" s="58">
        <v>238.9583</v>
      </c>
      <c r="H168" s="58">
        <v>-38.0261</v>
      </c>
      <c r="I168" s="6" t="s">
        <v>314</v>
      </c>
      <c r="J168" s="6" t="s">
        <v>169</v>
      </c>
      <c r="K168" s="58">
        <v>3.0</v>
      </c>
      <c r="L168" s="59"/>
      <c r="M168" s="59">
        <v>2.0</v>
      </c>
      <c r="N168" s="58">
        <v>159.744409</v>
      </c>
      <c r="O168" s="6"/>
      <c r="P168" s="6"/>
      <c r="Q168" s="6"/>
      <c r="R168" s="6"/>
      <c r="S168" s="59">
        <v>-0.1</v>
      </c>
      <c r="T168" s="59">
        <v>2.9</v>
      </c>
      <c r="U168" s="59">
        <v>0.0</v>
      </c>
      <c r="V168" s="59">
        <v>0.5</v>
      </c>
      <c r="W168" s="5"/>
      <c r="X168" s="5"/>
      <c r="Y168" s="62" t="s">
        <v>476</v>
      </c>
      <c r="Z168" s="6"/>
      <c r="AA168" s="6"/>
      <c r="AB168" s="5"/>
      <c r="AC168" s="5"/>
      <c r="AD168" s="5"/>
      <c r="AE168" s="5"/>
      <c r="AF168" s="5"/>
      <c r="AG168" s="5"/>
      <c r="AH168" s="6"/>
      <c r="AI168" s="5"/>
      <c r="AJ168" s="63" t="s">
        <v>476</v>
      </c>
      <c r="AK168" s="64" t="s">
        <v>192</v>
      </c>
      <c r="AL168" s="97">
        <v>2015.0</v>
      </c>
      <c r="AM168" s="13"/>
      <c r="AN168" s="102">
        <v>150.0</v>
      </c>
      <c r="AO168" s="13"/>
      <c r="AP168" s="13" t="s">
        <v>402</v>
      </c>
      <c r="AQ168" s="97">
        <v>0.5</v>
      </c>
      <c r="AR168" s="78">
        <v>3200.0</v>
      </c>
      <c r="AS168" s="97">
        <v>74.0</v>
      </c>
      <c r="AT168" s="79">
        <v>0.23</v>
      </c>
      <c r="AU168" s="73">
        <v>0.03</v>
      </c>
      <c r="AV168" s="70">
        <v>0.2239</v>
      </c>
      <c r="AW168" s="70">
        <v>0.1103</v>
      </c>
      <c r="AX168" s="73">
        <v>1.54</v>
      </c>
      <c r="AY168" s="73">
        <v>0.38</v>
      </c>
      <c r="AZ168" s="11" t="s">
        <v>162</v>
      </c>
      <c r="BA168" s="11" t="s">
        <v>478</v>
      </c>
      <c r="BB168" s="112">
        <v>-53.13</v>
      </c>
      <c r="BC168" s="112">
        <v>6.49</v>
      </c>
      <c r="BD168" s="105">
        <v>3.31E-13</v>
      </c>
      <c r="BE168" s="105">
        <v>8.0E-15</v>
      </c>
      <c r="BF168" s="112">
        <v>-23.06</v>
      </c>
      <c r="BG168" s="112">
        <v>4.39</v>
      </c>
      <c r="BH168" s="105">
        <v>3.39E-14</v>
      </c>
      <c r="BI168" s="105">
        <v>1.4E-15</v>
      </c>
      <c r="BJ168" s="112">
        <v>-11.89</v>
      </c>
      <c r="BK168" s="112">
        <v>2.6</v>
      </c>
      <c r="BL168" s="105">
        <v>1.32E-14</v>
      </c>
      <c r="BM168" s="105">
        <v>1.0E-15</v>
      </c>
      <c r="BN168" s="112">
        <v>-9.23</v>
      </c>
      <c r="BO168" s="112">
        <v>2.42</v>
      </c>
      <c r="BP168" s="105">
        <v>7.78E-15</v>
      </c>
      <c r="BQ168" s="105">
        <v>8.5E-16</v>
      </c>
      <c r="BR168" s="112">
        <v>-10.49</v>
      </c>
      <c r="BS168" s="112">
        <v>5.8</v>
      </c>
      <c r="BT168" s="105">
        <v>6.02E-15</v>
      </c>
      <c r="BU168" s="105">
        <v>1.52E-15</v>
      </c>
      <c r="BV168" s="105"/>
      <c r="BW168" s="105"/>
      <c r="BX168" s="105"/>
      <c r="BY168" s="105"/>
      <c r="BZ168" s="112">
        <v>-1.44</v>
      </c>
      <c r="CA168" s="112">
        <v>0.22</v>
      </c>
      <c r="CB168" s="105">
        <v>2.21E-14</v>
      </c>
      <c r="CC168" s="105">
        <v>3.0E-15</v>
      </c>
      <c r="CD168" s="112">
        <v>-0.96</v>
      </c>
      <c r="CE168" s="112">
        <v>0.21</v>
      </c>
      <c r="CF168" s="105">
        <v>1.65E-14</v>
      </c>
      <c r="CG168" s="105">
        <v>3.4E-15</v>
      </c>
      <c r="CH168" s="112">
        <v>-0.79</v>
      </c>
      <c r="CI168" s="112">
        <v>0.21</v>
      </c>
      <c r="CJ168" s="105">
        <v>1.31E-14</v>
      </c>
      <c r="CK168" s="105">
        <v>4.2E-15</v>
      </c>
      <c r="CL168" s="112">
        <v>-0.82</v>
      </c>
      <c r="CM168" s="112">
        <v>0.21</v>
      </c>
      <c r="CN168" s="105">
        <v>4.47E-15</v>
      </c>
      <c r="CO168" s="105">
        <v>1.53E-15</v>
      </c>
      <c r="CP168" s="105"/>
      <c r="CQ168" s="105"/>
      <c r="CR168" s="105"/>
      <c r="CS168" s="105"/>
      <c r="CT168" s="112">
        <v>-0.8</v>
      </c>
      <c r="CU168" s="112">
        <v>0.22</v>
      </c>
      <c r="CV168" s="105">
        <v>1.82E-15</v>
      </c>
      <c r="CW168" s="105">
        <v>4.1E-16</v>
      </c>
      <c r="CX168" s="112">
        <v>-0.17</v>
      </c>
      <c r="CY168" s="112">
        <v>0.05</v>
      </c>
      <c r="CZ168" s="105">
        <v>7.17E-16</v>
      </c>
      <c r="DA168" s="105">
        <v>3.12E-16</v>
      </c>
      <c r="DB168" s="112"/>
      <c r="DC168" s="112"/>
      <c r="DD168" s="112"/>
      <c r="DE168" s="112"/>
      <c r="DF168" s="105"/>
      <c r="DG168" s="105"/>
      <c r="DH168" s="105">
        <v>1.45E-14</v>
      </c>
      <c r="DI168" s="105"/>
      <c r="DJ168" s="105"/>
      <c r="DK168" s="105">
        <v>9.37E-15</v>
      </c>
      <c r="DL168" s="105"/>
      <c r="DM168" s="69"/>
      <c r="DN168" s="69"/>
      <c r="DO168" s="69"/>
      <c r="DP168" s="69"/>
      <c r="DQ168" s="11"/>
      <c r="DR168" s="69"/>
      <c r="DS168" s="69"/>
      <c r="DT168" s="69"/>
      <c r="DU168" s="69"/>
      <c r="DV168" s="73">
        <v>-2.5</v>
      </c>
      <c r="DW168" s="79">
        <v>0.25</v>
      </c>
      <c r="DX168" s="81">
        <v>8.51138E-10</v>
      </c>
      <c r="DY168" s="7"/>
      <c r="DZ168" s="7" t="s">
        <v>486</v>
      </c>
      <c r="EA168" s="7"/>
      <c r="EB168" s="7"/>
    </row>
    <row r="169">
      <c r="A169" s="55" t="s">
        <v>537</v>
      </c>
      <c r="B169" s="56" t="s">
        <v>537</v>
      </c>
      <c r="C169" s="4"/>
      <c r="D169" s="4"/>
      <c r="E169" s="4"/>
      <c r="F169" s="57" t="s">
        <v>168</v>
      </c>
      <c r="G169" s="58">
        <v>240.0098319</v>
      </c>
      <c r="H169" s="58">
        <v>-42.37072091</v>
      </c>
      <c r="I169" s="6" t="s">
        <v>314</v>
      </c>
      <c r="J169" s="6" t="s">
        <v>169</v>
      </c>
      <c r="K169" s="58">
        <v>3.0</v>
      </c>
      <c r="L169" s="59"/>
      <c r="M169" s="59">
        <v>2.0</v>
      </c>
      <c r="N169" s="58">
        <v>164.1712635</v>
      </c>
      <c r="O169" s="58">
        <v>-12.43</v>
      </c>
      <c r="P169" s="58">
        <v>0.175</v>
      </c>
      <c r="Q169" s="58">
        <v>-23.53</v>
      </c>
      <c r="R169" s="58">
        <v>0.101</v>
      </c>
      <c r="S169" s="59">
        <v>2.6</v>
      </c>
      <c r="T169" s="59">
        <v>2.6</v>
      </c>
      <c r="U169" s="59">
        <v>1.4</v>
      </c>
      <c r="V169" s="59">
        <v>0.5</v>
      </c>
      <c r="W169" s="5"/>
      <c r="X169" s="5"/>
      <c r="Y169" s="62" t="s">
        <v>476</v>
      </c>
      <c r="Z169" s="58">
        <v>14.98</v>
      </c>
      <c r="AA169" s="58">
        <v>0.17</v>
      </c>
      <c r="AB169" s="59">
        <v>11.449</v>
      </c>
      <c r="AC169" s="59">
        <v>0.024</v>
      </c>
      <c r="AD169" s="59">
        <v>10.59</v>
      </c>
      <c r="AE169" s="59">
        <v>0.023</v>
      </c>
      <c r="AF169" s="59">
        <v>10.142</v>
      </c>
      <c r="AG169" s="59">
        <v>0.021</v>
      </c>
      <c r="AH169" s="6"/>
      <c r="AI169" s="6"/>
      <c r="AJ169" s="63" t="s">
        <v>476</v>
      </c>
      <c r="AK169" s="64" t="s">
        <v>192</v>
      </c>
      <c r="AL169" s="97">
        <v>2015.0</v>
      </c>
      <c r="AM169" s="13"/>
      <c r="AN169" s="102">
        <v>150.0</v>
      </c>
      <c r="AO169" s="13"/>
      <c r="AP169" s="13" t="s">
        <v>395</v>
      </c>
      <c r="AQ169" s="97">
        <v>0.5</v>
      </c>
      <c r="AR169" s="78">
        <v>3270.0</v>
      </c>
      <c r="AS169" s="97">
        <v>75.0</v>
      </c>
      <c r="AT169" s="79">
        <v>0.24</v>
      </c>
      <c r="AU169" s="73">
        <v>0.04</v>
      </c>
      <c r="AV169" s="70">
        <v>0.1479</v>
      </c>
      <c r="AW169" s="70">
        <v>0.0666</v>
      </c>
      <c r="AX169" s="73">
        <v>1.2</v>
      </c>
      <c r="AY169" s="73">
        <v>0.27</v>
      </c>
      <c r="AZ169" s="11" t="s">
        <v>162</v>
      </c>
      <c r="BA169" s="11" t="s">
        <v>478</v>
      </c>
      <c r="BB169" s="112">
        <v>-19.74</v>
      </c>
      <c r="BC169" s="112">
        <v>3.74</v>
      </c>
      <c r="BD169" s="105">
        <v>1.09E-13</v>
      </c>
      <c r="BE169" s="105">
        <v>1.0E-14</v>
      </c>
      <c r="BF169" s="112">
        <v>-13.34</v>
      </c>
      <c r="BG169" s="112">
        <v>3.12</v>
      </c>
      <c r="BH169" s="105">
        <v>2.64E-14</v>
      </c>
      <c r="BI169" s="105">
        <v>6.6E-15</v>
      </c>
      <c r="BJ169" s="112">
        <v>-19.96</v>
      </c>
      <c r="BK169" s="112">
        <v>6.98</v>
      </c>
      <c r="BL169" s="105">
        <v>2.28E-14</v>
      </c>
      <c r="BM169" s="105">
        <v>6.0E-15</v>
      </c>
      <c r="BN169" s="112">
        <v>-16.92</v>
      </c>
      <c r="BO169" s="112">
        <v>6.67</v>
      </c>
      <c r="BP169" s="105">
        <v>1.78E-14</v>
      </c>
      <c r="BQ169" s="105">
        <v>3.9E-15</v>
      </c>
      <c r="BR169" s="112">
        <v>-47.27</v>
      </c>
      <c r="BS169" s="112">
        <v>24.1</v>
      </c>
      <c r="BT169" s="105">
        <v>2.14E-14</v>
      </c>
      <c r="BU169" s="105">
        <v>3.0E-15</v>
      </c>
      <c r="BV169" s="105"/>
      <c r="BW169" s="105"/>
      <c r="BX169" s="105"/>
      <c r="BY169" s="105"/>
      <c r="BZ169" s="112">
        <v>-0.61</v>
      </c>
      <c r="CA169" s="112">
        <v>0.12</v>
      </c>
      <c r="CB169" s="105">
        <v>5.73E-15</v>
      </c>
      <c r="CC169" s="105">
        <v>2.15E-15</v>
      </c>
      <c r="CD169" s="112">
        <v>-1.23</v>
      </c>
      <c r="CE169" s="112">
        <v>0.32</v>
      </c>
      <c r="CF169" s="105">
        <v>1.3E-14</v>
      </c>
      <c r="CG169" s="105">
        <v>3.2E-15</v>
      </c>
      <c r="CH169" s="11"/>
      <c r="CI169" s="11"/>
      <c r="CJ169" s="105">
        <v>4.17E-15</v>
      </c>
      <c r="CK169" s="11"/>
      <c r="CL169" s="112">
        <v>-1.14</v>
      </c>
      <c r="CM169" s="112">
        <v>0.29</v>
      </c>
      <c r="CN169" s="105">
        <v>3.86E-15</v>
      </c>
      <c r="CO169" s="105">
        <v>9.5E-16</v>
      </c>
      <c r="CP169" s="105"/>
      <c r="CQ169" s="105"/>
      <c r="CR169" s="105"/>
      <c r="CS169" s="105"/>
      <c r="CT169" s="112">
        <v>-1.71</v>
      </c>
      <c r="CU169" s="112">
        <v>0.6</v>
      </c>
      <c r="CV169" s="105">
        <v>4.78E-15</v>
      </c>
      <c r="CW169" s="105">
        <v>1.12E-15</v>
      </c>
      <c r="CX169" s="112">
        <v>-0.68</v>
      </c>
      <c r="CY169" s="112">
        <v>0.21</v>
      </c>
      <c r="CZ169" s="105">
        <v>3.0E-15</v>
      </c>
      <c r="DA169" s="105">
        <v>9.2E-16</v>
      </c>
      <c r="DB169" s="112"/>
      <c r="DC169" s="112"/>
      <c r="DD169" s="112"/>
      <c r="DE169" s="112"/>
      <c r="DF169" s="105"/>
      <c r="DG169" s="105"/>
      <c r="DH169" s="105">
        <v>1.5E-14</v>
      </c>
      <c r="DI169" s="105"/>
      <c r="DJ169" s="105"/>
      <c r="DK169" s="105">
        <v>1.62E-14</v>
      </c>
      <c r="DL169" s="105"/>
      <c r="DM169" s="69"/>
      <c r="DN169" s="69"/>
      <c r="DO169" s="69"/>
      <c r="DP169" s="69"/>
      <c r="DQ169" s="11"/>
      <c r="DR169" s="69"/>
      <c r="DS169" s="69"/>
      <c r="DT169" s="69"/>
      <c r="DU169" s="69"/>
      <c r="DV169" s="73">
        <v>-3.0</v>
      </c>
      <c r="DW169" s="79">
        <v>0.25</v>
      </c>
      <c r="DX169" s="81">
        <v>2.04174E-10</v>
      </c>
      <c r="DY169" s="7"/>
      <c r="DZ169" s="7" t="s">
        <v>486</v>
      </c>
      <c r="EA169" s="7"/>
      <c r="EB169" s="7"/>
    </row>
    <row r="170">
      <c r="A170" s="55" t="s">
        <v>538</v>
      </c>
      <c r="B170" s="56" t="s">
        <v>539</v>
      </c>
      <c r="C170" s="4"/>
      <c r="D170" s="4"/>
      <c r="E170" s="4"/>
      <c r="F170" s="57" t="s">
        <v>168</v>
      </c>
      <c r="G170" s="58">
        <v>242.2542</v>
      </c>
      <c r="H170" s="58">
        <v>-39.42</v>
      </c>
      <c r="I170" s="6" t="s">
        <v>314</v>
      </c>
      <c r="J170" s="6" t="s">
        <v>169</v>
      </c>
      <c r="K170" s="58">
        <v>3.0</v>
      </c>
      <c r="L170" s="59"/>
      <c r="M170" s="59">
        <v>2.0</v>
      </c>
      <c r="N170" s="58">
        <v>164.3088349</v>
      </c>
      <c r="O170" s="59">
        <v>-9.845</v>
      </c>
      <c r="P170" s="59">
        <v>0.149</v>
      </c>
      <c r="Q170" s="59">
        <v>-23.796</v>
      </c>
      <c r="R170" s="59">
        <v>0.085</v>
      </c>
      <c r="S170" s="59">
        <v>15.9</v>
      </c>
      <c r="T170" s="59">
        <v>0.7</v>
      </c>
      <c r="U170" s="59">
        <v>0.5</v>
      </c>
      <c r="V170" s="59">
        <v>0.5</v>
      </c>
      <c r="W170" s="5"/>
      <c r="X170" s="5"/>
      <c r="Y170" s="62" t="s">
        <v>476</v>
      </c>
      <c r="Z170" s="59">
        <v>15.04</v>
      </c>
      <c r="AA170" s="59">
        <v>0.2</v>
      </c>
      <c r="AB170" s="58">
        <v>11.61</v>
      </c>
      <c r="AC170" s="59">
        <v>0.024</v>
      </c>
      <c r="AD170" s="59">
        <v>10.684</v>
      </c>
      <c r="AE170" s="59">
        <v>0.022</v>
      </c>
      <c r="AF170" s="59">
        <v>10.292</v>
      </c>
      <c r="AG170" s="59">
        <v>0.021</v>
      </c>
      <c r="AH170" s="6"/>
      <c r="AI170" s="6"/>
      <c r="AJ170" s="63" t="s">
        <v>476</v>
      </c>
      <c r="AK170" s="64" t="s">
        <v>192</v>
      </c>
      <c r="AL170" s="64" t="s">
        <v>477</v>
      </c>
      <c r="AM170" s="13"/>
      <c r="AN170" s="102">
        <v>200.0</v>
      </c>
      <c r="AO170" s="13"/>
      <c r="AP170" s="13" t="s">
        <v>395</v>
      </c>
      <c r="AQ170" s="97">
        <v>0.5</v>
      </c>
      <c r="AR170" s="78">
        <v>3270.0</v>
      </c>
      <c r="AS170" s="97">
        <v>75.0</v>
      </c>
      <c r="AT170" s="79">
        <v>0.24</v>
      </c>
      <c r="AU170" s="73">
        <v>0.04</v>
      </c>
      <c r="AV170" s="70">
        <v>0.148</v>
      </c>
      <c r="AW170" s="70">
        <v>0.068</v>
      </c>
      <c r="AX170" s="73">
        <v>1.25</v>
      </c>
      <c r="AY170" s="73">
        <v>0.29</v>
      </c>
      <c r="AZ170" s="11" t="s">
        <v>162</v>
      </c>
      <c r="BA170" s="111" t="s">
        <v>478</v>
      </c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2"/>
      <c r="DK170" s="12"/>
      <c r="DL170" s="12"/>
      <c r="DM170" s="69"/>
      <c r="DN170" s="69"/>
      <c r="DO170" s="69"/>
      <c r="DP170" s="69"/>
      <c r="DQ170" s="11"/>
      <c r="DR170" s="69"/>
      <c r="DS170" s="69"/>
      <c r="DT170" s="69"/>
      <c r="DU170" s="69"/>
      <c r="DV170" s="73">
        <v>-3.0</v>
      </c>
      <c r="DW170" s="79">
        <v>0.25</v>
      </c>
      <c r="DX170" s="81">
        <v>2.0893E-10</v>
      </c>
      <c r="DY170" s="7"/>
      <c r="DZ170" s="7" t="s">
        <v>486</v>
      </c>
      <c r="EA170" s="7"/>
      <c r="EB170" s="7"/>
    </row>
    <row r="171">
      <c r="A171" s="55" t="s">
        <v>540</v>
      </c>
      <c r="B171" s="56" t="s">
        <v>540</v>
      </c>
      <c r="C171" s="4"/>
      <c r="D171" s="4"/>
      <c r="E171" s="4"/>
      <c r="F171" s="57" t="s">
        <v>168</v>
      </c>
      <c r="G171" s="58">
        <v>237.3780644</v>
      </c>
      <c r="H171" s="58">
        <v>-35.83094953</v>
      </c>
      <c r="I171" s="6" t="s">
        <v>314</v>
      </c>
      <c r="J171" s="6" t="s">
        <v>159</v>
      </c>
      <c r="K171" s="58">
        <v>3.0</v>
      </c>
      <c r="L171" s="59"/>
      <c r="M171" s="59">
        <v>2.0</v>
      </c>
      <c r="N171" s="58">
        <v>159.537978</v>
      </c>
      <c r="O171" s="58">
        <v>-12.767</v>
      </c>
      <c r="P171" s="58">
        <v>0.11</v>
      </c>
      <c r="Q171" s="58">
        <v>-23.37</v>
      </c>
      <c r="R171" s="58">
        <v>0.077</v>
      </c>
      <c r="S171" s="59">
        <v>1.4</v>
      </c>
      <c r="T171" s="59">
        <v>1.0</v>
      </c>
      <c r="U171" s="59">
        <v>0.2</v>
      </c>
      <c r="V171" s="59">
        <v>0.5</v>
      </c>
      <c r="W171" s="5"/>
      <c r="X171" s="5"/>
      <c r="Y171" s="62" t="s">
        <v>476</v>
      </c>
      <c r="Z171" s="6"/>
      <c r="AA171" s="6"/>
      <c r="AB171" s="59">
        <v>10.96</v>
      </c>
      <c r="AC171" s="59">
        <v>0.022</v>
      </c>
      <c r="AD171" s="59">
        <v>10.28</v>
      </c>
      <c r="AE171" s="59">
        <v>0.025</v>
      </c>
      <c r="AF171" s="59">
        <v>10.022</v>
      </c>
      <c r="AG171" s="59">
        <v>0.023</v>
      </c>
      <c r="AH171" s="6"/>
      <c r="AI171" s="6"/>
      <c r="AJ171" s="63" t="s">
        <v>476</v>
      </c>
      <c r="AK171" s="64" t="s">
        <v>192</v>
      </c>
      <c r="AL171" s="97">
        <v>2010.0</v>
      </c>
      <c r="AM171" s="13"/>
      <c r="AN171" s="102">
        <v>150.0</v>
      </c>
      <c r="AO171" s="13"/>
      <c r="AP171" s="13" t="s">
        <v>395</v>
      </c>
      <c r="AQ171" s="97">
        <v>0.5</v>
      </c>
      <c r="AR171" s="78">
        <v>3270.0</v>
      </c>
      <c r="AS171" s="97">
        <v>75.0</v>
      </c>
      <c r="AT171" s="79">
        <v>0.25</v>
      </c>
      <c r="AU171" s="73">
        <v>0.03</v>
      </c>
      <c r="AV171" s="70">
        <v>0.1585</v>
      </c>
      <c r="AW171" s="70">
        <v>0.0704</v>
      </c>
      <c r="AX171" s="73">
        <v>1.24</v>
      </c>
      <c r="AY171" s="73">
        <v>0.28</v>
      </c>
      <c r="AZ171" s="11" t="s">
        <v>162</v>
      </c>
      <c r="BA171" s="11" t="s">
        <v>478</v>
      </c>
      <c r="BB171" s="112">
        <v>-24.5</v>
      </c>
      <c r="BC171" s="112">
        <v>4.5</v>
      </c>
      <c r="BD171" s="105">
        <v>1.56E-13</v>
      </c>
      <c r="BE171" s="105">
        <v>8.0E-15</v>
      </c>
      <c r="BF171" s="112">
        <v>-12.98</v>
      </c>
      <c r="BG171" s="112">
        <v>2.12</v>
      </c>
      <c r="BH171" s="105">
        <v>3.15E-14</v>
      </c>
      <c r="BI171" s="105">
        <v>2.4E-15</v>
      </c>
      <c r="BJ171" s="112">
        <v>-9.63</v>
      </c>
      <c r="BK171" s="112">
        <v>2.63</v>
      </c>
      <c r="BL171" s="105">
        <v>1.62E-14</v>
      </c>
      <c r="BM171" s="105">
        <v>1.8E-15</v>
      </c>
      <c r="BN171" s="112">
        <v>-10.11</v>
      </c>
      <c r="BO171" s="112">
        <v>2.64</v>
      </c>
      <c r="BP171" s="105">
        <v>1.18E-14</v>
      </c>
      <c r="BQ171" s="105">
        <v>1.2E-15</v>
      </c>
      <c r="BR171" s="112">
        <v>-14.16</v>
      </c>
      <c r="BS171" s="112">
        <v>5.44</v>
      </c>
      <c r="BT171" s="105">
        <v>1.0E-14</v>
      </c>
      <c r="BU171" s="105">
        <v>1.2E-15</v>
      </c>
      <c r="BV171" s="105"/>
      <c r="BW171" s="105"/>
      <c r="BX171" s="105"/>
      <c r="BY171" s="105"/>
      <c r="BZ171" s="11"/>
      <c r="CA171" s="11"/>
      <c r="CB171" s="105">
        <v>9.78E-15</v>
      </c>
      <c r="CC171" s="11"/>
      <c r="CD171" s="112">
        <v>-0.79</v>
      </c>
      <c r="CE171" s="112">
        <v>0.16</v>
      </c>
      <c r="CF171" s="105">
        <v>1.12E-14</v>
      </c>
      <c r="CG171" s="105">
        <v>7.5E-15</v>
      </c>
      <c r="CH171" s="11"/>
      <c r="CI171" s="11"/>
      <c r="CJ171" s="105">
        <v>3.09E-15</v>
      </c>
      <c r="CK171" s="11"/>
      <c r="CL171" s="11"/>
      <c r="CM171" s="11"/>
      <c r="CN171" s="105">
        <v>3.9E-15</v>
      </c>
      <c r="CO171" s="11"/>
      <c r="CP171" s="11"/>
      <c r="CQ171" s="11"/>
      <c r="CR171" s="11"/>
      <c r="CS171" s="11"/>
      <c r="CT171" s="112">
        <v>-0.84</v>
      </c>
      <c r="CU171" s="112">
        <v>0.22</v>
      </c>
      <c r="CV171" s="105">
        <v>2.62E-15</v>
      </c>
      <c r="CW171" s="105">
        <v>5.7E-16</v>
      </c>
      <c r="CX171" s="112">
        <v>-0.38</v>
      </c>
      <c r="CY171" s="112">
        <v>0.1</v>
      </c>
      <c r="CZ171" s="105">
        <v>1.9E-15</v>
      </c>
      <c r="DA171" s="105">
        <v>4.6E-16</v>
      </c>
      <c r="DB171" s="112"/>
      <c r="DC171" s="112"/>
      <c r="DD171" s="112"/>
      <c r="DE171" s="112"/>
      <c r="DF171" s="105"/>
      <c r="DG171" s="105"/>
      <c r="DH171" s="105">
        <v>1.32E-14</v>
      </c>
      <c r="DI171" s="105"/>
      <c r="DJ171" s="105"/>
      <c r="DK171" s="105">
        <v>1.41E-14</v>
      </c>
      <c r="DL171" s="105"/>
      <c r="DM171" s="69"/>
      <c r="DN171" s="69"/>
      <c r="DO171" s="69"/>
      <c r="DP171" s="69"/>
      <c r="DQ171" s="11"/>
      <c r="DR171" s="69"/>
      <c r="DS171" s="69"/>
      <c r="DT171" s="69"/>
      <c r="DU171" s="69"/>
      <c r="DV171" s="73">
        <v>-2.6</v>
      </c>
      <c r="DW171" s="79">
        <v>0.25</v>
      </c>
      <c r="DX171" s="81">
        <v>5.01187E-10</v>
      </c>
      <c r="DY171" s="7"/>
      <c r="DZ171" s="7" t="s">
        <v>486</v>
      </c>
      <c r="EA171" s="7"/>
      <c r="EB171" s="7"/>
    </row>
    <row r="172">
      <c r="A172" s="55" t="s">
        <v>541</v>
      </c>
      <c r="B172" s="56" t="s">
        <v>541</v>
      </c>
      <c r="C172" s="4"/>
      <c r="D172" s="4"/>
      <c r="E172" s="4"/>
      <c r="F172" s="57" t="s">
        <v>168</v>
      </c>
      <c r="G172" s="58">
        <v>242.0908498</v>
      </c>
      <c r="H172" s="58">
        <v>-39.07263599</v>
      </c>
      <c r="I172" s="6" t="s">
        <v>314</v>
      </c>
      <c r="J172" s="6" t="s">
        <v>169</v>
      </c>
      <c r="K172" s="58">
        <v>3.0</v>
      </c>
      <c r="L172" s="59"/>
      <c r="M172" s="59">
        <v>2.0</v>
      </c>
      <c r="N172" s="58">
        <v>157.7535889</v>
      </c>
      <c r="O172" s="58">
        <v>-9.144</v>
      </c>
      <c r="P172" s="58">
        <v>0.118</v>
      </c>
      <c r="Q172" s="58">
        <v>-24.139</v>
      </c>
      <c r="R172" s="58">
        <v>0.069</v>
      </c>
      <c r="S172" s="59">
        <v>2.4</v>
      </c>
      <c r="T172" s="59">
        <v>2.2</v>
      </c>
      <c r="U172" s="59">
        <v>0.0</v>
      </c>
      <c r="V172" s="59">
        <v>0.5</v>
      </c>
      <c r="W172" s="5"/>
      <c r="X172" s="5"/>
      <c r="Y172" s="62" t="s">
        <v>476</v>
      </c>
      <c r="Z172" s="58">
        <v>14.67</v>
      </c>
      <c r="AA172" s="58">
        <v>0.11</v>
      </c>
      <c r="AB172" s="58">
        <v>11.242</v>
      </c>
      <c r="AC172" s="59">
        <v>0.023</v>
      </c>
      <c r="AD172" s="59">
        <v>10.551</v>
      </c>
      <c r="AE172" s="59">
        <v>0.022</v>
      </c>
      <c r="AF172" s="59">
        <v>10.216</v>
      </c>
      <c r="AG172" s="59">
        <v>0.019</v>
      </c>
      <c r="AH172" s="6"/>
      <c r="AI172" s="5"/>
      <c r="AJ172" s="63" t="s">
        <v>476</v>
      </c>
      <c r="AK172" s="64" t="s">
        <v>192</v>
      </c>
      <c r="AL172" s="64" t="s">
        <v>477</v>
      </c>
      <c r="AM172" s="13"/>
      <c r="AN172" s="102">
        <v>200.0</v>
      </c>
      <c r="AO172" s="13"/>
      <c r="AP172" s="13" t="s">
        <v>395</v>
      </c>
      <c r="AQ172" s="97">
        <v>0.5</v>
      </c>
      <c r="AR172" s="78">
        <v>3270.0</v>
      </c>
      <c r="AS172" s="97">
        <v>75.0</v>
      </c>
      <c r="AT172" s="79">
        <v>0.25</v>
      </c>
      <c r="AU172" s="73">
        <v>0.03</v>
      </c>
      <c r="AV172" s="70">
        <v>0.169</v>
      </c>
      <c r="AW172" s="70">
        <v>0.078</v>
      </c>
      <c r="AX172" s="73">
        <v>1.34</v>
      </c>
      <c r="AY172" s="73">
        <v>0.28</v>
      </c>
      <c r="AZ172" s="11" t="s">
        <v>162</v>
      </c>
      <c r="BA172" s="111" t="s">
        <v>478</v>
      </c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2"/>
      <c r="DK172" s="12"/>
      <c r="DL172" s="12"/>
      <c r="DM172" s="69"/>
      <c r="DN172" s="69"/>
      <c r="DO172" s="69"/>
      <c r="DP172" s="69"/>
      <c r="DQ172" s="11"/>
      <c r="DR172" s="69"/>
      <c r="DS172" s="69"/>
      <c r="DT172" s="69"/>
      <c r="DU172" s="69"/>
      <c r="DV172" s="73">
        <v>-2.9</v>
      </c>
      <c r="DW172" s="79">
        <v>0.25</v>
      </c>
      <c r="DX172" s="81">
        <v>2.75423E-10</v>
      </c>
      <c r="DY172" s="7"/>
      <c r="DZ172" s="7" t="s">
        <v>486</v>
      </c>
      <c r="EA172" s="7"/>
      <c r="EB172" s="7"/>
    </row>
    <row r="173">
      <c r="A173" s="55" t="s">
        <v>542</v>
      </c>
      <c r="B173" s="56" t="s">
        <v>543</v>
      </c>
      <c r="C173" s="4"/>
      <c r="D173" s="4"/>
      <c r="E173" s="4"/>
      <c r="F173" s="57" t="s">
        <v>168</v>
      </c>
      <c r="G173" s="58">
        <v>242.1261209</v>
      </c>
      <c r="H173" s="58">
        <v>-39.1031041</v>
      </c>
      <c r="I173" s="6" t="s">
        <v>314</v>
      </c>
      <c r="J173" s="6" t="s">
        <v>169</v>
      </c>
      <c r="K173" s="58">
        <v>3.0</v>
      </c>
      <c r="L173" s="59"/>
      <c r="M173" s="59">
        <v>2.0</v>
      </c>
      <c r="N173" s="58">
        <v>159.4998086</v>
      </c>
      <c r="O173" s="6"/>
      <c r="P173" s="6"/>
      <c r="Q173" s="6"/>
      <c r="R173" s="6"/>
      <c r="S173" s="59">
        <v>1.4</v>
      </c>
      <c r="T173" s="59">
        <v>2.2</v>
      </c>
      <c r="U173" s="59">
        <v>0.7</v>
      </c>
      <c r="V173" s="59">
        <v>0.5</v>
      </c>
      <c r="W173" s="5"/>
      <c r="X173" s="5"/>
      <c r="Y173" s="62" t="s">
        <v>476</v>
      </c>
      <c r="Z173" s="58">
        <v>15.18</v>
      </c>
      <c r="AA173" s="58">
        <v>0.01</v>
      </c>
      <c r="AB173" s="58">
        <v>11.383</v>
      </c>
      <c r="AC173" s="59">
        <v>0.023</v>
      </c>
      <c r="AD173" s="59">
        <v>10.622</v>
      </c>
      <c r="AE173" s="59">
        <v>0.023</v>
      </c>
      <c r="AF173" s="59">
        <v>10.23</v>
      </c>
      <c r="AG173" s="59">
        <v>0.023</v>
      </c>
      <c r="AH173" s="6"/>
      <c r="AI173" s="6"/>
      <c r="AJ173" s="63" t="s">
        <v>476</v>
      </c>
      <c r="AK173" s="64" t="s">
        <v>192</v>
      </c>
      <c r="AL173" s="64" t="s">
        <v>477</v>
      </c>
      <c r="AM173" s="13"/>
      <c r="AN173" s="102">
        <v>200.0</v>
      </c>
      <c r="AO173" s="13"/>
      <c r="AP173" s="13" t="s">
        <v>395</v>
      </c>
      <c r="AQ173" s="97">
        <v>0.5</v>
      </c>
      <c r="AR173" s="78">
        <v>3270.0</v>
      </c>
      <c r="AS173" s="97">
        <v>75.0</v>
      </c>
      <c r="AT173" s="79">
        <v>0.25</v>
      </c>
      <c r="AU173" s="73">
        <v>0.03</v>
      </c>
      <c r="AV173" s="70">
        <v>0.188</v>
      </c>
      <c r="AW173" s="70">
        <v>0.087</v>
      </c>
      <c r="AX173" s="73">
        <v>1.41</v>
      </c>
      <c r="AY173" s="73">
        <v>0.3</v>
      </c>
      <c r="AZ173" s="11" t="s">
        <v>162</v>
      </c>
      <c r="BA173" s="111" t="s">
        <v>478</v>
      </c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2"/>
      <c r="DK173" s="12"/>
      <c r="DL173" s="12"/>
      <c r="DM173" s="69"/>
      <c r="DN173" s="69"/>
      <c r="DO173" s="69"/>
      <c r="DP173" s="69"/>
      <c r="DQ173" s="11"/>
      <c r="DR173" s="69"/>
      <c r="DS173" s="69"/>
      <c r="DT173" s="69"/>
      <c r="DU173" s="69"/>
      <c r="DV173" s="73">
        <v>-2.4</v>
      </c>
      <c r="DW173" s="79">
        <v>0.25</v>
      </c>
      <c r="DX173" s="81">
        <v>9.12011E-10</v>
      </c>
      <c r="DY173" s="7"/>
      <c r="DZ173" s="7" t="s">
        <v>486</v>
      </c>
      <c r="EA173" s="7"/>
      <c r="EB173" s="7"/>
    </row>
    <row r="174">
      <c r="A174" s="55" t="s">
        <v>544</v>
      </c>
      <c r="B174" s="56" t="s">
        <v>544</v>
      </c>
      <c r="C174" s="4"/>
      <c r="D174" s="4"/>
      <c r="E174" s="4"/>
      <c r="F174" s="57" t="s">
        <v>168</v>
      </c>
      <c r="G174" s="58">
        <v>242.2148728</v>
      </c>
      <c r="H174" s="58">
        <v>-39.05491827</v>
      </c>
      <c r="I174" s="6" t="s">
        <v>314</v>
      </c>
      <c r="J174" s="6" t="s">
        <v>169</v>
      </c>
      <c r="K174" s="58">
        <v>3.0</v>
      </c>
      <c r="L174" s="59"/>
      <c r="M174" s="59">
        <v>2.0</v>
      </c>
      <c r="N174" s="58">
        <v>159.507441</v>
      </c>
      <c r="O174" s="59">
        <v>-9.579</v>
      </c>
      <c r="P174" s="59">
        <v>0.087</v>
      </c>
      <c r="Q174" s="59">
        <v>-23.389</v>
      </c>
      <c r="R174" s="59">
        <v>0.052</v>
      </c>
      <c r="S174" s="59">
        <v>2.6</v>
      </c>
      <c r="T174" s="59">
        <v>2.3</v>
      </c>
      <c r="U174" s="59">
        <v>0.0</v>
      </c>
      <c r="V174" s="59">
        <v>0.5</v>
      </c>
      <c r="W174" s="5"/>
      <c r="X174" s="5"/>
      <c r="Y174" s="62" t="s">
        <v>476</v>
      </c>
      <c r="Z174" s="58">
        <v>13.72</v>
      </c>
      <c r="AA174" s="58">
        <v>0.05</v>
      </c>
      <c r="AB174" s="58">
        <v>10.967</v>
      </c>
      <c r="AC174" s="59">
        <v>0.024</v>
      </c>
      <c r="AD174" s="59">
        <v>10.22</v>
      </c>
      <c r="AE174" s="59">
        <v>0.024</v>
      </c>
      <c r="AF174" s="59">
        <v>9.746</v>
      </c>
      <c r="AG174" s="59">
        <v>0.019</v>
      </c>
      <c r="AH174" s="6"/>
      <c r="AI174" s="5"/>
      <c r="AJ174" s="63" t="s">
        <v>476</v>
      </c>
      <c r="AK174" s="64" t="s">
        <v>192</v>
      </c>
      <c r="AL174" s="64" t="s">
        <v>477</v>
      </c>
      <c r="AM174" s="13"/>
      <c r="AN174" s="102">
        <v>200.0</v>
      </c>
      <c r="AO174" s="13"/>
      <c r="AP174" s="13" t="s">
        <v>395</v>
      </c>
      <c r="AQ174" s="97">
        <v>0.5</v>
      </c>
      <c r="AR174" s="78">
        <v>3270.0</v>
      </c>
      <c r="AS174" s="97">
        <v>75.0</v>
      </c>
      <c r="AT174" s="79">
        <v>0.26</v>
      </c>
      <c r="AU174" s="73">
        <v>0.03</v>
      </c>
      <c r="AV174" s="70">
        <v>0.276</v>
      </c>
      <c r="AW174" s="70">
        <v>0.127</v>
      </c>
      <c r="AX174" s="73">
        <v>1.61</v>
      </c>
      <c r="AY174" s="73">
        <v>0.37</v>
      </c>
      <c r="AZ174" s="11" t="s">
        <v>162</v>
      </c>
      <c r="BA174" s="111" t="s">
        <v>478</v>
      </c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2"/>
      <c r="DK174" s="12"/>
      <c r="DL174" s="12"/>
      <c r="DM174" s="69"/>
      <c r="DN174" s="69"/>
      <c r="DO174" s="69"/>
      <c r="DP174" s="69"/>
      <c r="DQ174" s="11"/>
      <c r="DR174" s="69"/>
      <c r="DS174" s="69"/>
      <c r="DT174" s="69"/>
      <c r="DU174" s="69"/>
      <c r="DV174" s="73">
        <v>-2.0</v>
      </c>
      <c r="DW174" s="79">
        <v>0.25</v>
      </c>
      <c r="DX174" s="81">
        <v>2.51189E-9</v>
      </c>
      <c r="DY174" s="7"/>
      <c r="DZ174" s="7" t="s">
        <v>486</v>
      </c>
      <c r="EA174" s="7"/>
      <c r="EB174" s="7"/>
    </row>
    <row r="175">
      <c r="A175" s="55" t="s">
        <v>545</v>
      </c>
      <c r="B175" s="56" t="s">
        <v>546</v>
      </c>
      <c r="C175" s="4"/>
      <c r="D175" s="4"/>
      <c r="E175" s="4"/>
      <c r="F175" s="57" t="s">
        <v>168</v>
      </c>
      <c r="G175" s="58">
        <v>242.2042</v>
      </c>
      <c r="H175" s="58">
        <v>-39.0942</v>
      </c>
      <c r="I175" s="6" t="s">
        <v>314</v>
      </c>
      <c r="J175" s="6" t="s">
        <v>169</v>
      </c>
      <c r="K175" s="58">
        <v>3.0</v>
      </c>
      <c r="L175" s="59"/>
      <c r="M175" s="59">
        <v>2.0</v>
      </c>
      <c r="N175" s="58">
        <v>159.29654645087297</v>
      </c>
      <c r="O175" s="58">
        <v>-9.499</v>
      </c>
      <c r="P175" s="58">
        <v>0.358</v>
      </c>
      <c r="Q175" s="58">
        <v>-23.936</v>
      </c>
      <c r="R175" s="58">
        <v>0.204</v>
      </c>
      <c r="S175" s="59">
        <v>3.5</v>
      </c>
      <c r="T175" s="59">
        <v>2.5</v>
      </c>
      <c r="U175" s="59">
        <v>2.2</v>
      </c>
      <c r="V175" s="59">
        <v>0.5</v>
      </c>
      <c r="W175" s="5"/>
      <c r="X175" s="5"/>
      <c r="Y175" s="62" t="s">
        <v>476</v>
      </c>
      <c r="Z175" s="58">
        <v>15.89</v>
      </c>
      <c r="AA175" s="58">
        <v>0.39</v>
      </c>
      <c r="AB175" s="58">
        <v>11.445</v>
      </c>
      <c r="AC175" s="59">
        <v>0.026</v>
      </c>
      <c r="AD175" s="59">
        <v>10.166</v>
      </c>
      <c r="AE175" s="59">
        <v>0.023</v>
      </c>
      <c r="AF175" s="59">
        <v>9.544</v>
      </c>
      <c r="AG175" s="59">
        <v>0.024</v>
      </c>
      <c r="AH175" s="6"/>
      <c r="AI175" s="5"/>
      <c r="AJ175" s="63" t="s">
        <v>476</v>
      </c>
      <c r="AK175" s="64" t="s">
        <v>192</v>
      </c>
      <c r="AL175" s="64" t="s">
        <v>477</v>
      </c>
      <c r="AM175" s="13"/>
      <c r="AN175" s="102">
        <v>200.0</v>
      </c>
      <c r="AO175" s="13"/>
      <c r="AP175" s="13" t="s">
        <v>395</v>
      </c>
      <c r="AQ175" s="97">
        <v>0.5</v>
      </c>
      <c r="AR175" s="78">
        <v>3270.0</v>
      </c>
      <c r="AS175" s="97">
        <v>75.0</v>
      </c>
      <c r="AT175" s="79">
        <v>0.26</v>
      </c>
      <c r="AU175" s="73">
        <v>0.03</v>
      </c>
      <c r="AV175" s="70">
        <v>0.24</v>
      </c>
      <c r="AW175" s="70">
        <v>0.11</v>
      </c>
      <c r="AX175" s="73">
        <v>1.59</v>
      </c>
      <c r="AY175" s="73">
        <v>0.37</v>
      </c>
      <c r="AZ175" s="11" t="s">
        <v>162</v>
      </c>
      <c r="BA175" s="111" t="s">
        <v>478</v>
      </c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2"/>
      <c r="DK175" s="12"/>
      <c r="DL175" s="12"/>
      <c r="DM175" s="69"/>
      <c r="DN175" s="69"/>
      <c r="DO175" s="69"/>
      <c r="DP175" s="69"/>
      <c r="DQ175" s="11"/>
      <c r="DR175" s="69"/>
      <c r="DS175" s="69"/>
      <c r="DT175" s="69"/>
      <c r="DU175" s="69"/>
      <c r="DV175" s="73">
        <v>-2.9</v>
      </c>
      <c r="DW175" s="79">
        <v>0.25</v>
      </c>
      <c r="DX175" s="81">
        <v>3.0903E-10</v>
      </c>
      <c r="DY175" s="7"/>
      <c r="DZ175" s="7" t="s">
        <v>486</v>
      </c>
      <c r="EA175" s="7"/>
      <c r="EB175" s="7"/>
    </row>
    <row r="176">
      <c r="A176" s="55" t="s">
        <v>547</v>
      </c>
      <c r="B176" s="56" t="s">
        <v>547</v>
      </c>
      <c r="C176" s="4"/>
      <c r="D176" s="4"/>
      <c r="E176" s="4"/>
      <c r="F176" s="57" t="s">
        <v>168</v>
      </c>
      <c r="G176" s="58">
        <v>237.0217312</v>
      </c>
      <c r="H176" s="58">
        <v>-35.26480421</v>
      </c>
      <c r="I176" s="6" t="s">
        <v>314</v>
      </c>
      <c r="J176" s="6" t="s">
        <v>169</v>
      </c>
      <c r="K176" s="58">
        <v>3.0</v>
      </c>
      <c r="L176" s="59"/>
      <c r="M176" s="59"/>
      <c r="N176" s="6"/>
      <c r="O176" s="6"/>
      <c r="P176" s="6"/>
      <c r="Q176" s="6"/>
      <c r="R176" s="6"/>
      <c r="S176" s="59">
        <v>1.0</v>
      </c>
      <c r="T176" s="59">
        <v>1.5</v>
      </c>
      <c r="U176" s="59">
        <v>1.5</v>
      </c>
      <c r="V176" s="59">
        <v>0.5</v>
      </c>
      <c r="W176" s="5"/>
      <c r="X176" s="5"/>
      <c r="Y176" s="62" t="s">
        <v>476</v>
      </c>
      <c r="Z176" s="6"/>
      <c r="AA176" s="6"/>
      <c r="AB176" s="59">
        <v>9.225</v>
      </c>
      <c r="AC176" s="59">
        <v>0.021</v>
      </c>
      <c r="AD176" s="59">
        <v>8.098</v>
      </c>
      <c r="AE176" s="59">
        <v>0.027</v>
      </c>
      <c r="AF176" s="59">
        <v>7.432</v>
      </c>
      <c r="AG176" s="59">
        <v>0.015</v>
      </c>
      <c r="AH176" s="6"/>
      <c r="AI176" s="5"/>
      <c r="AJ176" s="63" t="s">
        <v>476</v>
      </c>
      <c r="AK176" s="64" t="s">
        <v>192</v>
      </c>
      <c r="AL176" s="64" t="s">
        <v>477</v>
      </c>
      <c r="AM176" s="13"/>
      <c r="AN176" s="102">
        <v>150.0</v>
      </c>
      <c r="AO176" s="13"/>
      <c r="AP176" s="13" t="s">
        <v>422</v>
      </c>
      <c r="AQ176" s="97">
        <v>0.5</v>
      </c>
      <c r="AR176" s="78">
        <v>3340.0</v>
      </c>
      <c r="AS176" s="97">
        <v>77.0</v>
      </c>
      <c r="AT176" s="79">
        <v>0.29</v>
      </c>
      <c r="AU176" s="73">
        <v>0.03</v>
      </c>
      <c r="AV176" s="70">
        <v>1.043</v>
      </c>
      <c r="AW176" s="70">
        <v>0.48</v>
      </c>
      <c r="AX176" s="73">
        <v>3.13</v>
      </c>
      <c r="AY176" s="73">
        <v>0.72</v>
      </c>
      <c r="AZ176" s="11" t="s">
        <v>162</v>
      </c>
      <c r="BA176" s="111" t="s">
        <v>478</v>
      </c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2"/>
      <c r="DK176" s="12"/>
      <c r="DL176" s="12"/>
      <c r="DM176" s="69"/>
      <c r="DN176" s="69"/>
      <c r="DO176" s="69"/>
      <c r="DP176" s="69"/>
      <c r="DQ176" s="11"/>
      <c r="DR176" s="69"/>
      <c r="DS176" s="69"/>
      <c r="DT176" s="69"/>
      <c r="DU176" s="69"/>
      <c r="DV176" s="73">
        <v>-1.5</v>
      </c>
      <c r="DW176" s="79">
        <v>0.25</v>
      </c>
      <c r="DX176" s="81">
        <v>1.38038E-8</v>
      </c>
      <c r="DY176" s="7"/>
      <c r="DZ176" s="7" t="s">
        <v>486</v>
      </c>
      <c r="EA176" s="7"/>
      <c r="EB176" s="7"/>
    </row>
    <row r="177">
      <c r="A177" s="55" t="s">
        <v>548</v>
      </c>
      <c r="B177" s="56" t="s">
        <v>548</v>
      </c>
      <c r="C177" s="4"/>
      <c r="D177" s="4"/>
      <c r="E177" s="4"/>
      <c r="F177" s="57" t="s">
        <v>168</v>
      </c>
      <c r="G177" s="58">
        <v>242.4348369</v>
      </c>
      <c r="H177" s="58">
        <v>-39.22504646</v>
      </c>
      <c r="I177" s="6" t="s">
        <v>314</v>
      </c>
      <c r="J177" s="6" t="s">
        <v>169</v>
      </c>
      <c r="K177" s="58">
        <v>3.0</v>
      </c>
      <c r="L177" s="59"/>
      <c r="M177" s="59">
        <v>2.0</v>
      </c>
      <c r="N177" s="58">
        <v>158.5615298</v>
      </c>
      <c r="O177" s="58">
        <v>-8.248</v>
      </c>
      <c r="P177" s="58">
        <v>0.105</v>
      </c>
      <c r="Q177" s="58">
        <v>-24.451</v>
      </c>
      <c r="R177" s="58">
        <v>0.055</v>
      </c>
      <c r="S177" s="59">
        <v>-1.4</v>
      </c>
      <c r="T177" s="59">
        <v>2.2</v>
      </c>
      <c r="U177" s="59">
        <v>0.5</v>
      </c>
      <c r="V177" s="59">
        <v>0.5</v>
      </c>
      <c r="W177" s="5"/>
      <c r="X177" s="5"/>
      <c r="Y177" s="62" t="s">
        <v>476</v>
      </c>
      <c r="Z177" s="58">
        <v>14.2</v>
      </c>
      <c r="AA177" s="58">
        <v>0.16</v>
      </c>
      <c r="AB177" s="58">
        <v>10.675</v>
      </c>
      <c r="AC177" s="59">
        <v>0.022</v>
      </c>
      <c r="AD177" s="59">
        <v>9.843</v>
      </c>
      <c r="AE177" s="59">
        <v>0.026</v>
      </c>
      <c r="AF177" s="59">
        <v>9.423</v>
      </c>
      <c r="AG177" s="59">
        <v>0.022</v>
      </c>
      <c r="AH177" s="6"/>
      <c r="AI177" s="5"/>
      <c r="AJ177" s="63" t="s">
        <v>476</v>
      </c>
      <c r="AK177" s="64" t="s">
        <v>192</v>
      </c>
      <c r="AL177" s="97">
        <v>2015.0</v>
      </c>
      <c r="AM177" s="13"/>
      <c r="AN177" s="102">
        <v>200.0</v>
      </c>
      <c r="AO177" s="13"/>
      <c r="AP177" s="13" t="s">
        <v>422</v>
      </c>
      <c r="AQ177" s="97">
        <v>0.5</v>
      </c>
      <c r="AR177" s="78">
        <v>3340.0</v>
      </c>
      <c r="AS177" s="97">
        <v>77.0</v>
      </c>
      <c r="AT177" s="79">
        <v>0.29</v>
      </c>
      <c r="AU177" s="73">
        <v>0.03</v>
      </c>
      <c r="AV177" s="70">
        <v>0.4467</v>
      </c>
      <c r="AW177" s="70">
        <v>0.1927</v>
      </c>
      <c r="AX177" s="73">
        <v>2.0</v>
      </c>
      <c r="AY177" s="73">
        <v>0.43</v>
      </c>
      <c r="AZ177" s="11" t="s">
        <v>162</v>
      </c>
      <c r="BA177" s="11" t="s">
        <v>478</v>
      </c>
      <c r="BB177" s="112">
        <v>-16.16</v>
      </c>
      <c r="BC177" s="112">
        <v>1.48</v>
      </c>
      <c r="BD177" s="105">
        <v>1.71E-13</v>
      </c>
      <c r="BE177" s="105">
        <v>7.0E-15</v>
      </c>
      <c r="BF177" s="112">
        <v>-11.2</v>
      </c>
      <c r="BG177" s="112">
        <v>1.93</v>
      </c>
      <c r="BH177" s="105">
        <v>4.36E-14</v>
      </c>
      <c r="BI177" s="105">
        <v>4.6E-15</v>
      </c>
      <c r="BJ177" s="112">
        <v>-11.17</v>
      </c>
      <c r="BK177" s="112">
        <v>1.98</v>
      </c>
      <c r="BL177" s="105">
        <v>3.16E-14</v>
      </c>
      <c r="BM177" s="105">
        <v>3.2E-15</v>
      </c>
      <c r="BN177" s="112">
        <v>-18.24</v>
      </c>
      <c r="BO177" s="112">
        <v>3.94</v>
      </c>
      <c r="BP177" s="105">
        <v>3.29E-14</v>
      </c>
      <c r="BQ177" s="105">
        <v>3.8E-15</v>
      </c>
      <c r="BR177" s="112">
        <v>-20.35</v>
      </c>
      <c r="BS177" s="112">
        <v>4.42</v>
      </c>
      <c r="BT177" s="105">
        <v>2.71E-14</v>
      </c>
      <c r="BU177" s="105">
        <v>1.7E-15</v>
      </c>
      <c r="BV177" s="105"/>
      <c r="BW177" s="105"/>
      <c r="BX177" s="105"/>
      <c r="BY177" s="105"/>
      <c r="BZ177" s="112">
        <v>-0.56</v>
      </c>
      <c r="CA177" s="112">
        <v>0.1</v>
      </c>
      <c r="CB177" s="105">
        <v>6.86E-15</v>
      </c>
      <c r="CC177" s="105">
        <v>1.12E-15</v>
      </c>
      <c r="CD177" s="112">
        <v>-0.74</v>
      </c>
      <c r="CE177" s="112">
        <v>0.19</v>
      </c>
      <c r="CF177" s="105">
        <v>1.14E-14</v>
      </c>
      <c r="CG177" s="105">
        <v>2.8E-15</v>
      </c>
      <c r="CH177" s="112">
        <v>-0.77</v>
      </c>
      <c r="CI177" s="112">
        <v>0.2</v>
      </c>
      <c r="CJ177" s="105">
        <v>1.21E-14</v>
      </c>
      <c r="CK177" s="105">
        <v>7.2E-15</v>
      </c>
      <c r="CL177" s="11"/>
      <c r="CM177" s="11"/>
      <c r="CN177" s="105">
        <v>2.72E-15</v>
      </c>
      <c r="CO177" s="11"/>
      <c r="CP177" s="11"/>
      <c r="CQ177" s="11"/>
      <c r="CR177" s="11"/>
      <c r="CS177" s="11"/>
      <c r="CT177" s="112">
        <v>-0.93</v>
      </c>
      <c r="CU177" s="112">
        <v>0.1</v>
      </c>
      <c r="CV177" s="105">
        <v>5.48E-15</v>
      </c>
      <c r="CW177" s="105">
        <v>4.7E-16</v>
      </c>
      <c r="CX177" s="112">
        <v>-0.19</v>
      </c>
      <c r="CY177" s="112">
        <v>0.06</v>
      </c>
      <c r="CZ177" s="105">
        <v>1.64E-15</v>
      </c>
      <c r="DA177" s="105">
        <v>4.8E-16</v>
      </c>
      <c r="DB177" s="112"/>
      <c r="DC177" s="112"/>
      <c r="DD177" s="112"/>
      <c r="DE177" s="112"/>
      <c r="DF177" s="105"/>
      <c r="DG177" s="105"/>
      <c r="DH177" s="105">
        <v>1.28E-14</v>
      </c>
      <c r="DI177" s="105"/>
      <c r="DJ177" s="105"/>
      <c r="DK177" s="105">
        <v>1.54E-14</v>
      </c>
      <c r="DL177" s="105"/>
      <c r="DM177" s="69"/>
      <c r="DN177" s="69"/>
      <c r="DO177" s="69"/>
      <c r="DP177" s="69"/>
      <c r="DQ177" s="11"/>
      <c r="DR177" s="69"/>
      <c r="DS177" s="69"/>
      <c r="DT177" s="69"/>
      <c r="DU177" s="69"/>
      <c r="DV177" s="73">
        <v>-2.1</v>
      </c>
      <c r="DW177" s="79">
        <v>0.25</v>
      </c>
      <c r="DX177" s="81">
        <v>2.23872E-9</v>
      </c>
      <c r="DY177" s="7"/>
      <c r="DZ177" s="7" t="s">
        <v>486</v>
      </c>
      <c r="EA177" s="7"/>
      <c r="EB177" s="7"/>
    </row>
    <row r="178">
      <c r="A178" s="55" t="s">
        <v>549</v>
      </c>
      <c r="B178" s="56" t="s">
        <v>549</v>
      </c>
      <c r="C178" s="4"/>
      <c r="D178" s="4"/>
      <c r="E178" s="4"/>
      <c r="F178" s="57" t="s">
        <v>168</v>
      </c>
      <c r="G178" s="58">
        <v>240.2059729</v>
      </c>
      <c r="H178" s="58">
        <v>-41.50108859</v>
      </c>
      <c r="I178" s="6" t="s">
        <v>314</v>
      </c>
      <c r="J178" s="6" t="s">
        <v>169</v>
      </c>
      <c r="K178" s="58">
        <v>3.0</v>
      </c>
      <c r="L178" s="59"/>
      <c r="M178" s="59">
        <v>2.0</v>
      </c>
      <c r="N178" s="58">
        <v>160.307791</v>
      </c>
      <c r="O178" s="58">
        <v>-11.179</v>
      </c>
      <c r="P178" s="58">
        <v>0.11</v>
      </c>
      <c r="Q178" s="58">
        <v>-23.666</v>
      </c>
      <c r="R178" s="58">
        <v>0.074</v>
      </c>
      <c r="S178" s="59">
        <v>2.4</v>
      </c>
      <c r="T178" s="59">
        <v>2.2</v>
      </c>
      <c r="U178" s="59">
        <v>1.3</v>
      </c>
      <c r="V178" s="59">
        <v>0.5</v>
      </c>
      <c r="W178" s="5"/>
      <c r="X178" s="5"/>
      <c r="Y178" s="62" t="s">
        <v>476</v>
      </c>
      <c r="Z178" s="58">
        <v>14.6</v>
      </c>
      <c r="AA178" s="58">
        <v>0.05</v>
      </c>
      <c r="AB178" s="58">
        <v>11.466</v>
      </c>
      <c r="AC178" s="59">
        <v>0.022</v>
      </c>
      <c r="AD178" s="59">
        <v>10.612</v>
      </c>
      <c r="AE178" s="59">
        <v>0.025</v>
      </c>
      <c r="AF178" s="59">
        <v>10.1</v>
      </c>
      <c r="AG178" s="59">
        <v>0.021</v>
      </c>
      <c r="AH178" s="6"/>
      <c r="AI178" s="5"/>
      <c r="AJ178" s="63" t="s">
        <v>476</v>
      </c>
      <c r="AK178" s="64" t="s">
        <v>192</v>
      </c>
      <c r="AL178" s="97">
        <v>2015.0</v>
      </c>
      <c r="AM178" s="13"/>
      <c r="AN178" s="102">
        <v>150.0</v>
      </c>
      <c r="AO178" s="13"/>
      <c r="AP178" s="13" t="s">
        <v>430</v>
      </c>
      <c r="AQ178" s="97">
        <v>0.5</v>
      </c>
      <c r="AR178" s="78">
        <v>3420.0</v>
      </c>
      <c r="AS178" s="97">
        <v>79.0</v>
      </c>
      <c r="AT178" s="79">
        <v>0.3</v>
      </c>
      <c r="AU178" s="73">
        <v>0.04</v>
      </c>
      <c r="AV178" s="70">
        <v>0.1318</v>
      </c>
      <c r="AW178" s="70">
        <v>0.0583</v>
      </c>
      <c r="AX178" s="73">
        <v>1.04</v>
      </c>
      <c r="AY178" s="73">
        <v>0.23</v>
      </c>
      <c r="AZ178" s="11" t="s">
        <v>162</v>
      </c>
      <c r="BA178" s="11" t="s">
        <v>478</v>
      </c>
      <c r="BB178" s="112">
        <v>-18.7</v>
      </c>
      <c r="BC178" s="112">
        <v>2.35</v>
      </c>
      <c r="BD178" s="105">
        <v>1.02E-13</v>
      </c>
      <c r="BE178" s="105">
        <v>6.0E-15</v>
      </c>
      <c r="BF178" s="112">
        <v>-13.47</v>
      </c>
      <c r="BG178" s="112">
        <v>3.63</v>
      </c>
      <c r="BH178" s="105">
        <v>2.68E-14</v>
      </c>
      <c r="BI178" s="105">
        <v>4.2E-15</v>
      </c>
      <c r="BJ178" s="112">
        <v>-14.11</v>
      </c>
      <c r="BK178" s="112">
        <v>4.94</v>
      </c>
      <c r="BL178" s="105">
        <v>2.17E-14</v>
      </c>
      <c r="BM178" s="105">
        <v>4.0E-16</v>
      </c>
      <c r="BN178" s="112">
        <v>-15.84</v>
      </c>
      <c r="BO178" s="112">
        <v>5.98</v>
      </c>
      <c r="BP178" s="105">
        <v>2.06E-14</v>
      </c>
      <c r="BQ178" s="105">
        <v>4.0E-15</v>
      </c>
      <c r="BR178" s="112">
        <v>-17.33</v>
      </c>
      <c r="BS178" s="112">
        <v>4.31</v>
      </c>
      <c r="BT178" s="105">
        <v>2.07E-14</v>
      </c>
      <c r="BU178" s="105">
        <v>2.5E-15</v>
      </c>
      <c r="BV178" s="105"/>
      <c r="BW178" s="105"/>
      <c r="BX178" s="105"/>
      <c r="BY178" s="105"/>
      <c r="BZ178" s="112">
        <v>-0.42</v>
      </c>
      <c r="CA178" s="112">
        <v>0.09</v>
      </c>
      <c r="CB178" s="105">
        <v>3.01E-15</v>
      </c>
      <c r="CC178" s="105">
        <v>6.6E-16</v>
      </c>
      <c r="CD178" s="112">
        <v>-1.1</v>
      </c>
      <c r="CE178" s="112">
        <v>0.22</v>
      </c>
      <c r="CF178" s="105">
        <v>9.02E-15</v>
      </c>
      <c r="CG178" s="105">
        <v>2.85E-15</v>
      </c>
      <c r="CH178" s="11"/>
      <c r="CI178" s="11"/>
      <c r="CJ178" s="105">
        <v>1.88E-15</v>
      </c>
      <c r="CK178" s="11"/>
      <c r="CL178" s="11"/>
      <c r="CM178" s="11"/>
      <c r="CN178" s="105">
        <v>2.74E-15</v>
      </c>
      <c r="CO178" s="11"/>
      <c r="CP178" s="11"/>
      <c r="CQ178" s="11"/>
      <c r="CR178" s="11"/>
      <c r="CS178" s="11"/>
      <c r="CT178" s="112">
        <v>-1.59</v>
      </c>
      <c r="CU178" s="112">
        <v>0.47</v>
      </c>
      <c r="CV178" s="105">
        <v>4.39E-15</v>
      </c>
      <c r="CW178" s="105">
        <v>9.0E-16</v>
      </c>
      <c r="CX178" s="112">
        <v>-0.5</v>
      </c>
      <c r="CY178" s="112">
        <v>0.16</v>
      </c>
      <c r="CZ178" s="105">
        <v>2.04E-15</v>
      </c>
      <c r="DA178" s="105">
        <v>6.6E-16</v>
      </c>
      <c r="DB178" s="112"/>
      <c r="DC178" s="112"/>
      <c r="DD178" s="112"/>
      <c r="DE178" s="112"/>
      <c r="DF178" s="105"/>
      <c r="DG178" s="105"/>
      <c r="DH178" s="105">
        <v>1.0E-14</v>
      </c>
      <c r="DI178" s="105"/>
      <c r="DJ178" s="105"/>
      <c r="DK178" s="105">
        <v>1.41E-14</v>
      </c>
      <c r="DL178" s="105"/>
      <c r="DM178" s="69"/>
      <c r="DN178" s="69"/>
      <c r="DO178" s="69"/>
      <c r="DP178" s="69"/>
      <c r="DQ178" s="11"/>
      <c r="DR178" s="69"/>
      <c r="DS178" s="69"/>
      <c r="DT178" s="69"/>
      <c r="DU178" s="69"/>
      <c r="DV178" s="73">
        <v>-2.4</v>
      </c>
      <c r="DW178" s="79">
        <v>0.25</v>
      </c>
      <c r="DX178" s="81">
        <v>5.62341E-10</v>
      </c>
      <c r="DY178" s="7"/>
      <c r="DZ178" s="7" t="s">
        <v>486</v>
      </c>
      <c r="EA178" s="7"/>
      <c r="EB178" s="7"/>
    </row>
    <row r="179">
      <c r="A179" s="55" t="s">
        <v>550</v>
      </c>
      <c r="B179" s="56" t="s">
        <v>550</v>
      </c>
      <c r="C179" s="4"/>
      <c r="D179" s="3"/>
      <c r="E179" s="3"/>
      <c r="F179" s="57" t="s">
        <v>168</v>
      </c>
      <c r="G179" s="58">
        <v>234.8678479</v>
      </c>
      <c r="H179" s="58">
        <v>-34.7716907</v>
      </c>
      <c r="I179" s="6" t="s">
        <v>314</v>
      </c>
      <c r="J179" s="6" t="s">
        <v>169</v>
      </c>
      <c r="K179" s="58">
        <v>3.0</v>
      </c>
      <c r="L179" s="59"/>
      <c r="M179" s="59">
        <v>2.0</v>
      </c>
      <c r="N179" s="58">
        <v>157.3390815</v>
      </c>
      <c r="O179" s="58">
        <v>-13.602</v>
      </c>
      <c r="P179" s="58">
        <v>0.197</v>
      </c>
      <c r="Q179" s="58">
        <v>-21.565</v>
      </c>
      <c r="R179" s="58">
        <v>0.119</v>
      </c>
      <c r="S179" s="58">
        <v>2.4</v>
      </c>
      <c r="T179" s="58">
        <v>1.8</v>
      </c>
      <c r="U179" s="59">
        <v>1.0</v>
      </c>
      <c r="V179" s="59">
        <v>0.5</v>
      </c>
      <c r="W179" s="5"/>
      <c r="X179" s="5"/>
      <c r="Y179" s="62" t="s">
        <v>476</v>
      </c>
      <c r="Z179" s="58">
        <v>14.51</v>
      </c>
      <c r="AA179" s="58"/>
      <c r="AB179" s="58">
        <v>10.893</v>
      </c>
      <c r="AC179" s="59">
        <v>0.035</v>
      </c>
      <c r="AD179" s="59">
        <v>9.885</v>
      </c>
      <c r="AE179" s="59">
        <v>0.035</v>
      </c>
      <c r="AF179" s="59">
        <v>9.288</v>
      </c>
      <c r="AG179" s="59">
        <v>0.027</v>
      </c>
      <c r="AH179" s="6"/>
      <c r="AI179" s="6"/>
      <c r="AJ179" s="63" t="s">
        <v>476</v>
      </c>
      <c r="AK179" s="64" t="s">
        <v>192</v>
      </c>
      <c r="AL179" s="64" t="s">
        <v>477</v>
      </c>
      <c r="AM179" s="13"/>
      <c r="AN179" s="102">
        <v>150.0</v>
      </c>
      <c r="AO179" s="13"/>
      <c r="AP179" s="13" t="s">
        <v>430</v>
      </c>
      <c r="AQ179" s="97">
        <v>0.5</v>
      </c>
      <c r="AR179" s="78">
        <v>3420.0</v>
      </c>
      <c r="AS179" s="97">
        <v>79.0</v>
      </c>
      <c r="AT179" s="79">
        <v>0.31</v>
      </c>
      <c r="AU179" s="73">
        <v>0.04</v>
      </c>
      <c r="AV179" s="70">
        <v>0.2</v>
      </c>
      <c r="AW179" s="70">
        <v>0.092</v>
      </c>
      <c r="AX179" s="73">
        <v>1.29</v>
      </c>
      <c r="AY179" s="73">
        <v>0.3</v>
      </c>
      <c r="AZ179" s="11" t="s">
        <v>162</v>
      </c>
      <c r="BA179" s="111" t="s">
        <v>478</v>
      </c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2"/>
      <c r="DK179" s="12"/>
      <c r="DL179" s="12"/>
      <c r="DM179" s="69"/>
      <c r="DN179" s="69"/>
      <c r="DO179" s="69"/>
      <c r="DP179" s="69"/>
      <c r="DQ179" s="11"/>
      <c r="DR179" s="69"/>
      <c r="DS179" s="69"/>
      <c r="DT179" s="69"/>
      <c r="DU179" s="69"/>
      <c r="DV179" s="73">
        <v>-1.8</v>
      </c>
      <c r="DW179" s="79">
        <v>0.25</v>
      </c>
      <c r="DX179" s="81">
        <v>2.69153E-9</v>
      </c>
      <c r="DY179" s="7"/>
      <c r="DZ179" s="7" t="s">
        <v>486</v>
      </c>
      <c r="EA179" s="7"/>
      <c r="EB179" s="7"/>
    </row>
    <row r="180">
      <c r="A180" s="55" t="s">
        <v>551</v>
      </c>
      <c r="B180" s="56" t="s">
        <v>551</v>
      </c>
      <c r="C180" s="4"/>
      <c r="D180" s="4"/>
      <c r="E180" s="4"/>
      <c r="F180" s="57" t="s">
        <v>168</v>
      </c>
      <c r="G180" s="58">
        <v>242.221844</v>
      </c>
      <c r="H180" s="58">
        <v>-39.244492</v>
      </c>
      <c r="I180" s="6" t="s">
        <v>314</v>
      </c>
      <c r="J180" s="6" t="s">
        <v>169</v>
      </c>
      <c r="K180" s="58">
        <v>3.0</v>
      </c>
      <c r="L180" s="59"/>
      <c r="M180" s="59">
        <v>2.0</v>
      </c>
      <c r="N180" s="58">
        <v>167.7064466</v>
      </c>
      <c r="O180" s="58">
        <v>-10.127</v>
      </c>
      <c r="P180" s="58">
        <v>0.167</v>
      </c>
      <c r="Q180" s="58">
        <v>-23.458</v>
      </c>
      <c r="R180" s="58">
        <v>0.102</v>
      </c>
      <c r="S180" s="59">
        <v>0.9</v>
      </c>
      <c r="T180" s="59">
        <v>2.2</v>
      </c>
      <c r="U180" s="58">
        <v>1.9</v>
      </c>
      <c r="V180" s="59">
        <v>0.5</v>
      </c>
      <c r="W180" s="5"/>
      <c r="X180" s="5"/>
      <c r="Y180" s="93" t="s">
        <v>476</v>
      </c>
      <c r="Z180" s="58">
        <v>15.35</v>
      </c>
      <c r="AA180" s="58">
        <v>0.09</v>
      </c>
      <c r="AB180" s="59">
        <v>11.325</v>
      </c>
      <c r="AC180" s="59">
        <v>0.027</v>
      </c>
      <c r="AD180" s="59">
        <v>10.283</v>
      </c>
      <c r="AE180" s="59">
        <v>0.025</v>
      </c>
      <c r="AF180" s="59">
        <v>9.8</v>
      </c>
      <c r="AG180" s="59">
        <v>0.023</v>
      </c>
      <c r="AH180" s="6"/>
      <c r="AI180" s="6"/>
      <c r="AJ180" s="63" t="s">
        <v>476</v>
      </c>
      <c r="AK180" s="64" t="s">
        <v>192</v>
      </c>
      <c r="AL180" s="97">
        <v>2015.0</v>
      </c>
      <c r="AM180" s="13"/>
      <c r="AN180" s="102">
        <v>200.0</v>
      </c>
      <c r="AO180" s="13"/>
      <c r="AP180" s="13" t="s">
        <v>430</v>
      </c>
      <c r="AQ180" s="97">
        <v>0.5</v>
      </c>
      <c r="AR180" s="78">
        <v>3420.0</v>
      </c>
      <c r="AS180" s="97">
        <v>79.0</v>
      </c>
      <c r="AT180" s="79">
        <v>0.32</v>
      </c>
      <c r="AU180" s="97">
        <v>0.04</v>
      </c>
      <c r="AV180" s="70">
        <v>0.302</v>
      </c>
      <c r="AW180" s="70">
        <v>0.1477</v>
      </c>
      <c r="AX180" s="97">
        <v>1.57</v>
      </c>
      <c r="AY180" s="73">
        <v>0.38</v>
      </c>
      <c r="AZ180" s="11" t="s">
        <v>162</v>
      </c>
      <c r="BA180" s="11" t="s">
        <v>478</v>
      </c>
      <c r="BB180" s="112">
        <v>-8.49</v>
      </c>
      <c r="BC180" s="112">
        <v>0.94</v>
      </c>
      <c r="BD180" s="105">
        <v>4.87E-14</v>
      </c>
      <c r="BE180" s="105">
        <v>2.8E-15</v>
      </c>
      <c r="BF180" s="112">
        <v>-5.45</v>
      </c>
      <c r="BG180" s="112">
        <v>2.07</v>
      </c>
      <c r="BH180" s="105">
        <v>9.61E-15</v>
      </c>
      <c r="BI180" s="105">
        <v>1.78E-15</v>
      </c>
      <c r="BJ180" s="112">
        <v>-5.3</v>
      </c>
      <c r="BK180" s="112">
        <v>1.85</v>
      </c>
      <c r="BL180" s="105">
        <v>5.92E-15</v>
      </c>
      <c r="BM180" s="105">
        <v>1.64E-15</v>
      </c>
      <c r="BN180" s="112">
        <v>-6.22</v>
      </c>
      <c r="BO180" s="112">
        <v>2.79</v>
      </c>
      <c r="BP180" s="105">
        <v>4.69E-15</v>
      </c>
      <c r="BQ180" s="105">
        <v>1.68E-15</v>
      </c>
      <c r="BR180" s="112">
        <v>-16.16</v>
      </c>
      <c r="BS180" s="112">
        <v>4.3</v>
      </c>
      <c r="BT180" s="105">
        <v>5.71E-15</v>
      </c>
      <c r="BU180" s="105">
        <v>1.94E-15</v>
      </c>
      <c r="BV180" s="105"/>
      <c r="BW180" s="105"/>
      <c r="BX180" s="105"/>
      <c r="BY180" s="105"/>
      <c r="BZ180" s="11"/>
      <c r="CA180" s="11"/>
      <c r="CB180" s="105">
        <v>9.7E-15</v>
      </c>
      <c r="CC180" s="11"/>
      <c r="CD180" s="112">
        <v>-0.39</v>
      </c>
      <c r="CE180" s="112">
        <v>0.09</v>
      </c>
      <c r="CF180" s="105">
        <v>5.07E-15</v>
      </c>
      <c r="CG180" s="105">
        <v>2.13E-15</v>
      </c>
      <c r="CH180" s="11"/>
      <c r="CI180" s="11"/>
      <c r="CJ180" s="105">
        <v>2.21E-15</v>
      </c>
      <c r="CK180" s="11"/>
      <c r="CL180" s="11"/>
      <c r="CM180" s="11"/>
      <c r="CN180" s="105">
        <v>2.41E-15</v>
      </c>
      <c r="CO180" s="11"/>
      <c r="CP180" s="11"/>
      <c r="CQ180" s="11"/>
      <c r="CR180" s="11"/>
      <c r="CS180" s="11"/>
      <c r="CT180" s="112">
        <v>-0.41</v>
      </c>
      <c r="CU180" s="112">
        <v>0.14</v>
      </c>
      <c r="CV180" s="105">
        <v>1.2E-15</v>
      </c>
      <c r="CW180" s="105">
        <v>3.6E-16</v>
      </c>
      <c r="CX180" s="11"/>
      <c r="CY180" s="11"/>
      <c r="CZ180" s="105">
        <v>1.39E-15</v>
      </c>
      <c r="DA180" s="11"/>
      <c r="DB180" s="11"/>
      <c r="DC180" s="11"/>
      <c r="DD180" s="11"/>
      <c r="DE180" s="11"/>
      <c r="DF180" s="105"/>
      <c r="DG180" s="105"/>
      <c r="DH180" s="105">
        <v>9.6E-15</v>
      </c>
      <c r="DI180" s="105"/>
      <c r="DJ180" s="105"/>
      <c r="DK180" s="105">
        <v>8.31E-15</v>
      </c>
      <c r="DL180" s="105"/>
      <c r="DM180" s="69"/>
      <c r="DN180" s="69"/>
      <c r="DO180" s="69"/>
      <c r="DP180" s="69"/>
      <c r="DQ180" s="11"/>
      <c r="DR180" s="69"/>
      <c r="DS180" s="69"/>
      <c r="DT180" s="69"/>
      <c r="DU180" s="69"/>
      <c r="DV180" s="97">
        <v>-3.1</v>
      </c>
      <c r="DW180" s="79">
        <v>0.25</v>
      </c>
      <c r="DX180" s="81">
        <v>1.58489E-10</v>
      </c>
      <c r="DY180" s="7"/>
      <c r="DZ180" s="7" t="s">
        <v>486</v>
      </c>
      <c r="EA180" s="13"/>
      <c r="EB180" s="13"/>
    </row>
    <row r="181">
      <c r="A181" s="55" t="s">
        <v>552</v>
      </c>
      <c r="B181" s="56" t="s">
        <v>552</v>
      </c>
      <c r="C181" s="4"/>
      <c r="D181" s="4"/>
      <c r="E181" s="4"/>
      <c r="F181" s="57" t="s">
        <v>168</v>
      </c>
      <c r="G181" s="58">
        <v>241.9679638</v>
      </c>
      <c r="H181" s="58">
        <v>-38.96835894</v>
      </c>
      <c r="I181" s="6" t="s">
        <v>314</v>
      </c>
      <c r="J181" s="6" t="s">
        <v>169</v>
      </c>
      <c r="K181" s="58">
        <v>3.0</v>
      </c>
      <c r="L181" s="59"/>
      <c r="M181" s="59">
        <v>2.0</v>
      </c>
      <c r="N181" s="58">
        <v>158.172788</v>
      </c>
      <c r="O181" s="58">
        <v>-10.851</v>
      </c>
      <c r="P181" s="58">
        <v>0.134</v>
      </c>
      <c r="Q181" s="58">
        <v>-23.387</v>
      </c>
      <c r="R181" s="58">
        <v>0.075</v>
      </c>
      <c r="S181" s="59">
        <v>-2.8</v>
      </c>
      <c r="T181" s="59">
        <v>2.3</v>
      </c>
      <c r="U181" s="59">
        <v>0.8</v>
      </c>
      <c r="V181" s="59">
        <v>0.5</v>
      </c>
      <c r="W181" s="5"/>
      <c r="X181" s="5"/>
      <c r="Y181" s="62" t="s">
        <v>476</v>
      </c>
      <c r="Z181" s="58">
        <v>14.25</v>
      </c>
      <c r="AA181" s="58">
        <v>0.28</v>
      </c>
      <c r="AB181" s="58">
        <v>11.012</v>
      </c>
      <c r="AC181" s="59">
        <v>0.023</v>
      </c>
      <c r="AD181" s="59">
        <v>10.283</v>
      </c>
      <c r="AE181" s="59">
        <v>0.027</v>
      </c>
      <c r="AF181" s="59">
        <v>10.009</v>
      </c>
      <c r="AG181" s="59">
        <v>0.025</v>
      </c>
      <c r="AH181" s="6"/>
      <c r="AI181" s="6"/>
      <c r="AJ181" s="63" t="s">
        <v>476</v>
      </c>
      <c r="AK181" s="64" t="s">
        <v>192</v>
      </c>
      <c r="AL181" s="97">
        <v>2015.0</v>
      </c>
      <c r="AM181" s="13"/>
      <c r="AN181" s="102">
        <v>200.0</v>
      </c>
      <c r="AO181" s="13"/>
      <c r="AP181" s="13" t="s">
        <v>430</v>
      </c>
      <c r="AQ181" s="97">
        <v>0.5</v>
      </c>
      <c r="AR181" s="78">
        <v>3420.0</v>
      </c>
      <c r="AS181" s="97">
        <v>79.0</v>
      </c>
      <c r="AT181" s="79">
        <v>0.33</v>
      </c>
      <c r="AU181" s="73">
        <v>0.04</v>
      </c>
      <c r="AV181" s="70">
        <v>0.4169</v>
      </c>
      <c r="AW181" s="70">
        <v>0.1842</v>
      </c>
      <c r="AX181" s="73">
        <v>1.84</v>
      </c>
      <c r="AY181" s="73">
        <v>0.41</v>
      </c>
      <c r="AZ181" s="11" t="s">
        <v>162</v>
      </c>
      <c r="BA181" s="11" t="s">
        <v>478</v>
      </c>
      <c r="BB181" s="112">
        <v>-4.15</v>
      </c>
      <c r="BC181" s="112">
        <v>0.45</v>
      </c>
      <c r="BD181" s="105">
        <v>3.51E-14</v>
      </c>
      <c r="BE181" s="105">
        <v>2.6E-15</v>
      </c>
      <c r="BF181" s="112">
        <v>-3.86</v>
      </c>
      <c r="BG181" s="112">
        <v>0.79</v>
      </c>
      <c r="BH181" s="105">
        <v>1.09E-14</v>
      </c>
      <c r="BI181" s="105">
        <v>1.3E-15</v>
      </c>
      <c r="BJ181" s="112">
        <v>-3.99</v>
      </c>
      <c r="BK181" s="112">
        <v>1.3</v>
      </c>
      <c r="BL181" s="105">
        <v>6.87E-15</v>
      </c>
      <c r="BM181" s="105">
        <v>1.32E-15</v>
      </c>
      <c r="BN181" s="112">
        <v>-3.62</v>
      </c>
      <c r="BO181" s="112">
        <v>0.83</v>
      </c>
      <c r="BP181" s="105">
        <v>4.57E-15</v>
      </c>
      <c r="BQ181" s="105">
        <v>6.0E-16</v>
      </c>
      <c r="BR181" s="112">
        <v>-14.84</v>
      </c>
      <c r="BS181" s="112">
        <v>6.66</v>
      </c>
      <c r="BT181" s="105">
        <v>9.13E-15</v>
      </c>
      <c r="BU181" s="105">
        <v>2.27E-15</v>
      </c>
      <c r="BV181" s="105"/>
      <c r="BW181" s="105"/>
      <c r="BX181" s="105"/>
      <c r="BY181" s="105"/>
      <c r="BZ181" s="11"/>
      <c r="CA181" s="11"/>
      <c r="CB181" s="105">
        <v>2.17E-15</v>
      </c>
      <c r="CC181" s="11"/>
      <c r="CD181" s="11"/>
      <c r="CE181" s="11"/>
      <c r="CF181" s="105">
        <v>1.24E-15</v>
      </c>
      <c r="CG181" s="11"/>
      <c r="CH181" s="11"/>
      <c r="CI181" s="11"/>
      <c r="CJ181" s="105">
        <v>2.92E-15</v>
      </c>
      <c r="CK181" s="11"/>
      <c r="CL181" s="11"/>
      <c r="CM181" s="11"/>
      <c r="CN181" s="105">
        <v>9.77E-16</v>
      </c>
      <c r="CO181" s="11"/>
      <c r="CP181" s="11"/>
      <c r="CQ181" s="11"/>
      <c r="CR181" s="11"/>
      <c r="CS181" s="11"/>
      <c r="CT181" s="112">
        <v>-0.4</v>
      </c>
      <c r="CU181" s="112">
        <v>0.09</v>
      </c>
      <c r="CV181" s="105">
        <v>1.77E-15</v>
      </c>
      <c r="CW181" s="105">
        <v>3.5E-16</v>
      </c>
      <c r="CX181" s="11"/>
      <c r="CY181" s="11"/>
      <c r="CZ181" s="105">
        <v>1.46E-15</v>
      </c>
      <c r="DA181" s="11"/>
      <c r="DB181" s="11"/>
      <c r="DC181" s="11"/>
      <c r="DD181" s="11"/>
      <c r="DE181" s="11"/>
      <c r="DF181" s="105"/>
      <c r="DG181" s="105"/>
      <c r="DH181" s="105">
        <v>1.21E-14</v>
      </c>
      <c r="DI181" s="105"/>
      <c r="DJ181" s="105"/>
      <c r="DK181" s="105">
        <v>1.02E-14</v>
      </c>
      <c r="DL181" s="105"/>
      <c r="DM181" s="69"/>
      <c r="DN181" s="69"/>
      <c r="DO181" s="69"/>
      <c r="DP181" s="69"/>
      <c r="DQ181" s="11"/>
      <c r="DR181" s="69"/>
      <c r="DS181" s="69"/>
      <c r="DT181" s="69"/>
      <c r="DU181" s="69"/>
      <c r="DV181" s="73">
        <v>-2.5</v>
      </c>
      <c r="DW181" s="79">
        <v>0.25</v>
      </c>
      <c r="DX181" s="81">
        <v>7.07946E-10</v>
      </c>
      <c r="DY181" s="7"/>
      <c r="DZ181" s="7" t="s">
        <v>486</v>
      </c>
      <c r="EA181" s="7"/>
      <c r="EB181" s="7"/>
    </row>
    <row r="182">
      <c r="A182" s="55" t="s">
        <v>553</v>
      </c>
      <c r="B182" s="56" t="s">
        <v>554</v>
      </c>
      <c r="C182" s="57" t="s">
        <v>156</v>
      </c>
      <c r="D182" s="57">
        <v>1.8</v>
      </c>
      <c r="E182" s="4"/>
      <c r="F182" s="57" t="s">
        <v>168</v>
      </c>
      <c r="G182" s="58">
        <v>242.7125</v>
      </c>
      <c r="H182" s="58">
        <v>-38.8869</v>
      </c>
      <c r="I182" s="6" t="s">
        <v>314</v>
      </c>
      <c r="J182" s="6" t="s">
        <v>169</v>
      </c>
      <c r="K182" s="58">
        <v>3.0</v>
      </c>
      <c r="L182" s="59"/>
      <c r="M182" s="59">
        <v>2.0</v>
      </c>
      <c r="N182" s="58">
        <v>162.8160667</v>
      </c>
      <c r="O182" s="6"/>
      <c r="P182" s="6"/>
      <c r="Q182" s="6"/>
      <c r="R182" s="6"/>
      <c r="S182" s="59">
        <v>7.4</v>
      </c>
      <c r="T182" s="59">
        <v>2.3</v>
      </c>
      <c r="U182" s="59">
        <v>0.0</v>
      </c>
      <c r="V182" s="59">
        <v>0.5</v>
      </c>
      <c r="W182" s="5"/>
      <c r="X182" s="5"/>
      <c r="Y182" s="62" t="s">
        <v>476</v>
      </c>
      <c r="Z182" s="6"/>
      <c r="AA182" s="6"/>
      <c r="AB182" s="6"/>
      <c r="AC182" s="5"/>
      <c r="AD182" s="5"/>
      <c r="AE182" s="5"/>
      <c r="AF182" s="5"/>
      <c r="AG182" s="5"/>
      <c r="AH182" s="6"/>
      <c r="AI182" s="6"/>
      <c r="AJ182" s="63" t="s">
        <v>476</v>
      </c>
      <c r="AK182" s="64" t="s">
        <v>192</v>
      </c>
      <c r="AL182" s="64" t="s">
        <v>477</v>
      </c>
      <c r="AM182" s="13"/>
      <c r="AN182" s="102">
        <v>200.0</v>
      </c>
      <c r="AO182" s="13"/>
      <c r="AP182" s="13" t="s">
        <v>415</v>
      </c>
      <c r="AQ182" s="97">
        <v>0.5</v>
      </c>
      <c r="AR182" s="78">
        <v>3560.0</v>
      </c>
      <c r="AS182" s="97">
        <v>164.0</v>
      </c>
      <c r="AT182" s="79">
        <v>0.34</v>
      </c>
      <c r="AU182" s="73">
        <v>0.09</v>
      </c>
      <c r="AV182" s="70">
        <v>0.051</v>
      </c>
      <c r="AW182" s="70">
        <v>0.024</v>
      </c>
      <c r="AX182" s="73">
        <v>0.58</v>
      </c>
      <c r="AY182" s="73">
        <v>0.13</v>
      </c>
      <c r="AZ182" s="11" t="s">
        <v>162</v>
      </c>
      <c r="BA182" s="111" t="s">
        <v>478</v>
      </c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2"/>
      <c r="DK182" s="12"/>
      <c r="DL182" s="12"/>
      <c r="DM182" s="69"/>
      <c r="DN182" s="69"/>
      <c r="DO182" s="69"/>
      <c r="DP182" s="69"/>
      <c r="DQ182" s="11"/>
      <c r="DR182" s="69"/>
      <c r="DS182" s="69"/>
      <c r="DT182" s="69"/>
      <c r="DU182" s="69"/>
      <c r="DV182" s="73">
        <v>-2.7</v>
      </c>
      <c r="DW182" s="79">
        <v>0.25</v>
      </c>
      <c r="DX182" s="81">
        <v>1.38038E-10</v>
      </c>
      <c r="DY182" s="7"/>
      <c r="DZ182" s="7" t="s">
        <v>486</v>
      </c>
      <c r="EA182" s="7"/>
      <c r="EB182" s="7"/>
    </row>
    <row r="183">
      <c r="A183" s="55" t="s">
        <v>555</v>
      </c>
      <c r="B183" s="56" t="s">
        <v>555</v>
      </c>
      <c r="C183" s="4"/>
      <c r="D183" s="4"/>
      <c r="E183" s="4"/>
      <c r="F183" s="57" t="s">
        <v>168</v>
      </c>
      <c r="G183" s="58">
        <v>240.1293229</v>
      </c>
      <c r="H183" s="58">
        <v>-41.72694197</v>
      </c>
      <c r="I183" s="6" t="s">
        <v>314</v>
      </c>
      <c r="J183" s="6" t="s">
        <v>169</v>
      </c>
      <c r="K183" s="58">
        <v>3.0</v>
      </c>
      <c r="L183" s="59"/>
      <c r="M183" s="59">
        <v>2.0</v>
      </c>
      <c r="N183" s="58">
        <v>160.2692523</v>
      </c>
      <c r="O183" s="58">
        <v>-10.863</v>
      </c>
      <c r="P183" s="58">
        <v>0.083</v>
      </c>
      <c r="Q183" s="58">
        <v>-23.165</v>
      </c>
      <c r="R183" s="58">
        <v>0.055</v>
      </c>
      <c r="S183" s="59">
        <v>3.6</v>
      </c>
      <c r="T183" s="59">
        <v>2.6</v>
      </c>
      <c r="U183" s="59">
        <v>0.0</v>
      </c>
      <c r="V183" s="59">
        <v>0.5</v>
      </c>
      <c r="W183" s="5"/>
      <c r="X183" s="5"/>
      <c r="Y183" s="62" t="s">
        <v>476</v>
      </c>
      <c r="Z183" s="58">
        <v>13.56</v>
      </c>
      <c r="AA183" s="58">
        <v>0.54</v>
      </c>
      <c r="AB183" s="59">
        <v>10.73</v>
      </c>
      <c r="AC183" s="59">
        <v>0.025</v>
      </c>
      <c r="AD183" s="59">
        <v>9.936</v>
      </c>
      <c r="AE183" s="59">
        <v>0.028</v>
      </c>
      <c r="AF183" s="59">
        <v>9.617</v>
      </c>
      <c r="AG183" s="59">
        <v>0.02</v>
      </c>
      <c r="AH183" s="6"/>
      <c r="AI183" s="6"/>
      <c r="AJ183" s="63" t="s">
        <v>476</v>
      </c>
      <c r="AK183" s="64" t="s">
        <v>192</v>
      </c>
      <c r="AL183" s="64" t="s">
        <v>477</v>
      </c>
      <c r="AM183" s="13"/>
      <c r="AN183" s="102">
        <v>150.0</v>
      </c>
      <c r="AO183" s="13"/>
      <c r="AP183" s="13" t="s">
        <v>415</v>
      </c>
      <c r="AQ183" s="97">
        <v>0.5</v>
      </c>
      <c r="AR183" s="78">
        <v>3560.0</v>
      </c>
      <c r="AS183" s="97">
        <v>164.0</v>
      </c>
      <c r="AT183" s="79">
        <v>0.37</v>
      </c>
      <c r="AU183" s="73">
        <v>0.09</v>
      </c>
      <c r="AV183" s="70">
        <v>0.16</v>
      </c>
      <c r="AW183" s="70">
        <v>0.074</v>
      </c>
      <c r="AX183" s="73">
        <v>1.03</v>
      </c>
      <c r="AY183" s="73">
        <v>0.24</v>
      </c>
      <c r="AZ183" s="11" t="s">
        <v>162</v>
      </c>
      <c r="BA183" s="111" t="s">
        <v>478</v>
      </c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2"/>
      <c r="DK183" s="12"/>
      <c r="DL183" s="12"/>
      <c r="DM183" s="69"/>
      <c r="DN183" s="69"/>
      <c r="DO183" s="69"/>
      <c r="DP183" s="69"/>
      <c r="DQ183" s="11"/>
      <c r="DR183" s="69"/>
      <c r="DS183" s="69"/>
      <c r="DT183" s="69"/>
      <c r="DU183" s="69"/>
      <c r="DV183" s="73">
        <v>-2.2</v>
      </c>
      <c r="DW183" s="79">
        <v>0.25</v>
      </c>
      <c r="DX183" s="81">
        <v>7.07946E-10</v>
      </c>
      <c r="DY183" s="7"/>
      <c r="DZ183" s="7" t="s">
        <v>486</v>
      </c>
      <c r="EA183" s="7"/>
      <c r="EB183" s="7"/>
    </row>
    <row r="184">
      <c r="A184" s="55" t="s">
        <v>556</v>
      </c>
      <c r="B184" s="56" t="s">
        <v>556</v>
      </c>
      <c r="C184" s="4"/>
      <c r="D184" s="4"/>
      <c r="E184" s="4"/>
      <c r="F184" s="57" t="s">
        <v>168</v>
      </c>
      <c r="G184" s="58">
        <v>236.9609544</v>
      </c>
      <c r="H184" s="58">
        <v>-35.47650125</v>
      </c>
      <c r="I184" s="6" t="s">
        <v>314</v>
      </c>
      <c r="J184" s="6" t="s">
        <v>169</v>
      </c>
      <c r="K184" s="58">
        <v>3.0</v>
      </c>
      <c r="L184" s="59"/>
      <c r="M184" s="59">
        <v>2.0</v>
      </c>
      <c r="N184" s="58">
        <v>155.8895055</v>
      </c>
      <c r="O184" s="58">
        <v>-14.263</v>
      </c>
      <c r="P184" s="58">
        <v>0.097</v>
      </c>
      <c r="Q184" s="58">
        <v>-23.16</v>
      </c>
      <c r="R184" s="58">
        <v>0.064</v>
      </c>
      <c r="S184" s="59">
        <v>6.9</v>
      </c>
      <c r="T184" s="59">
        <v>2.4</v>
      </c>
      <c r="U184" s="59">
        <v>0.75</v>
      </c>
      <c r="V184" s="59">
        <v>0.5</v>
      </c>
      <c r="W184" s="5"/>
      <c r="X184" s="5"/>
      <c r="Y184" s="62" t="s">
        <v>476</v>
      </c>
      <c r="Z184" s="6"/>
      <c r="AA184" s="6"/>
      <c r="AB184" s="59">
        <v>10.574</v>
      </c>
      <c r="AC184" s="59">
        <v>0.026</v>
      </c>
      <c r="AD184" s="59">
        <v>9.766</v>
      </c>
      <c r="AE184" s="59">
        <v>0.026</v>
      </c>
      <c r="AF184" s="59">
        <v>9.325</v>
      </c>
      <c r="AG184" s="59">
        <v>0.019</v>
      </c>
      <c r="AH184" s="6"/>
      <c r="AI184" s="5"/>
      <c r="AJ184" s="63" t="s">
        <v>476</v>
      </c>
      <c r="AK184" s="64" t="s">
        <v>192</v>
      </c>
      <c r="AL184" s="64" t="s">
        <v>477</v>
      </c>
      <c r="AM184" s="13"/>
      <c r="AN184" s="102">
        <v>150.0</v>
      </c>
      <c r="AO184" s="13"/>
      <c r="AP184" s="13" t="s">
        <v>415</v>
      </c>
      <c r="AQ184" s="97">
        <v>0.5</v>
      </c>
      <c r="AR184" s="78">
        <v>3560.0</v>
      </c>
      <c r="AS184" s="97">
        <v>164.0</v>
      </c>
      <c r="AT184" s="79">
        <v>0.38</v>
      </c>
      <c r="AU184" s="73">
        <v>0.09</v>
      </c>
      <c r="AV184" s="70">
        <v>0.252</v>
      </c>
      <c r="AW184" s="70">
        <v>0.116</v>
      </c>
      <c r="AX184" s="73">
        <v>1.29</v>
      </c>
      <c r="AY184" s="73">
        <v>0.3</v>
      </c>
      <c r="AZ184" s="11" t="s">
        <v>162</v>
      </c>
      <c r="BA184" s="111" t="s">
        <v>478</v>
      </c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2"/>
      <c r="DK184" s="12"/>
      <c r="DL184" s="12"/>
      <c r="DM184" s="69"/>
      <c r="DN184" s="69"/>
      <c r="DO184" s="69"/>
      <c r="DP184" s="69"/>
      <c r="DQ184" s="11"/>
      <c r="DR184" s="69"/>
      <c r="DS184" s="69"/>
      <c r="DT184" s="69"/>
      <c r="DU184" s="69"/>
      <c r="DV184" s="73">
        <v>-1.8</v>
      </c>
      <c r="DW184" s="79">
        <v>0.25</v>
      </c>
      <c r="DX184" s="81">
        <v>2.18776E-9</v>
      </c>
      <c r="DY184" s="7"/>
      <c r="DZ184" s="7" t="s">
        <v>486</v>
      </c>
      <c r="EA184" s="7"/>
      <c r="EB184" s="7"/>
    </row>
    <row r="185">
      <c r="A185" s="55" t="s">
        <v>557</v>
      </c>
      <c r="B185" s="56" t="s">
        <v>557</v>
      </c>
      <c r="C185" s="4"/>
      <c r="D185" s="4"/>
      <c r="E185" s="4"/>
      <c r="F185" s="57" t="s">
        <v>168</v>
      </c>
      <c r="G185" s="58">
        <v>236.686372</v>
      </c>
      <c r="H185" s="58">
        <v>-34.50991035</v>
      </c>
      <c r="I185" s="6" t="s">
        <v>314</v>
      </c>
      <c r="J185" s="6" t="s">
        <v>169</v>
      </c>
      <c r="K185" s="58">
        <v>3.0</v>
      </c>
      <c r="L185" s="59"/>
      <c r="M185" s="59">
        <v>2.0</v>
      </c>
      <c r="N185" s="58">
        <v>155.8919357</v>
      </c>
      <c r="O185" s="58">
        <v>-14.028</v>
      </c>
      <c r="P185" s="58">
        <v>0.104</v>
      </c>
      <c r="Q185" s="58">
        <v>-23.361</v>
      </c>
      <c r="R185" s="58">
        <v>0.065</v>
      </c>
      <c r="S185" s="59">
        <v>-3.3</v>
      </c>
      <c r="T185" s="59">
        <v>1.9</v>
      </c>
      <c r="U185" s="59">
        <v>0.5</v>
      </c>
      <c r="V185" s="59">
        <v>0.5</v>
      </c>
      <c r="W185" s="5"/>
      <c r="X185" s="5"/>
      <c r="Y185" s="62" t="s">
        <v>476</v>
      </c>
      <c r="Z185" s="6"/>
      <c r="AA185" s="6"/>
      <c r="AB185" s="59">
        <v>10.073</v>
      </c>
      <c r="AC185" s="59">
        <v>0.023</v>
      </c>
      <c r="AD185" s="59">
        <v>9.184</v>
      </c>
      <c r="AE185" s="59">
        <v>0.024</v>
      </c>
      <c r="AF185" s="59">
        <v>8.63</v>
      </c>
      <c r="AG185" s="59">
        <v>0.021</v>
      </c>
      <c r="AH185" s="6"/>
      <c r="AI185" s="5"/>
      <c r="AJ185" s="63" t="s">
        <v>476</v>
      </c>
      <c r="AK185" s="64" t="s">
        <v>192</v>
      </c>
      <c r="AL185" s="64" t="s">
        <v>477</v>
      </c>
      <c r="AM185" s="13"/>
      <c r="AN185" s="102">
        <v>150.0</v>
      </c>
      <c r="AO185" s="13"/>
      <c r="AP185" s="13" t="s">
        <v>558</v>
      </c>
      <c r="AQ185" s="97">
        <v>0.5</v>
      </c>
      <c r="AR185" s="78">
        <v>3630.0</v>
      </c>
      <c r="AS185" s="97">
        <v>167.0</v>
      </c>
      <c r="AT185" s="79">
        <v>0.42</v>
      </c>
      <c r="AU185" s="73">
        <v>0.11</v>
      </c>
      <c r="AV185" s="70">
        <v>0.309</v>
      </c>
      <c r="AW185" s="70">
        <v>0.142</v>
      </c>
      <c r="AX185" s="73">
        <v>1.43</v>
      </c>
      <c r="AY185" s="73">
        <v>0.33</v>
      </c>
      <c r="AZ185" s="11" t="s">
        <v>162</v>
      </c>
      <c r="BA185" s="111" t="s">
        <v>478</v>
      </c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2"/>
      <c r="DK185" s="12"/>
      <c r="DL185" s="12"/>
      <c r="DM185" s="69"/>
      <c r="DN185" s="69"/>
      <c r="DO185" s="69"/>
      <c r="DP185" s="69"/>
      <c r="DQ185" s="11"/>
      <c r="DR185" s="69"/>
      <c r="DS185" s="69"/>
      <c r="DT185" s="69"/>
      <c r="DU185" s="69"/>
      <c r="DV185" s="73">
        <v>-2.2</v>
      </c>
      <c r="DW185" s="79">
        <v>0.25</v>
      </c>
      <c r="DX185" s="81">
        <v>8.70964E-10</v>
      </c>
      <c r="DY185" s="7"/>
      <c r="DZ185" s="7" t="s">
        <v>486</v>
      </c>
      <c r="EA185" s="7"/>
      <c r="EB185" s="7"/>
    </row>
    <row r="186">
      <c r="A186" s="55" t="s">
        <v>559</v>
      </c>
      <c r="B186" s="56" t="s">
        <v>559</v>
      </c>
      <c r="C186" s="4"/>
      <c r="D186" s="4"/>
      <c r="E186" s="4"/>
      <c r="F186" s="57" t="s">
        <v>168</v>
      </c>
      <c r="G186" s="58">
        <v>242.0526277</v>
      </c>
      <c r="H186" s="58">
        <v>-39.14263044</v>
      </c>
      <c r="I186" s="6" t="s">
        <v>314</v>
      </c>
      <c r="J186" s="6" t="s">
        <v>169</v>
      </c>
      <c r="K186" s="58">
        <v>3.0</v>
      </c>
      <c r="L186" s="59"/>
      <c r="M186" s="59">
        <v>2.0</v>
      </c>
      <c r="N186" s="58">
        <v>156.5508712</v>
      </c>
      <c r="O186" s="58">
        <v>-10.095</v>
      </c>
      <c r="P186" s="58">
        <v>0.096</v>
      </c>
      <c r="Q186" s="58">
        <v>-23.412</v>
      </c>
      <c r="R186" s="58">
        <v>0.061</v>
      </c>
      <c r="S186" s="59">
        <v>-2.7</v>
      </c>
      <c r="T186" s="59">
        <v>2.6</v>
      </c>
      <c r="U186" s="59">
        <v>0.8</v>
      </c>
      <c r="V186" s="59">
        <v>0.5</v>
      </c>
      <c r="W186" s="5"/>
      <c r="X186" s="5"/>
      <c r="Y186" s="62" t="s">
        <v>476</v>
      </c>
      <c r="Z186" s="58">
        <v>13.69</v>
      </c>
      <c r="AA186" s="58">
        <v>0.08</v>
      </c>
      <c r="AB186" s="58">
        <v>10.128</v>
      </c>
      <c r="AC186" s="59">
        <v>0.023</v>
      </c>
      <c r="AD186" s="59">
        <v>9.348</v>
      </c>
      <c r="AE186" s="59">
        <v>0.022</v>
      </c>
      <c r="AF186" s="59">
        <v>8.957</v>
      </c>
      <c r="AG186" s="59">
        <v>0.019</v>
      </c>
      <c r="AH186" s="6"/>
      <c r="AI186" s="5"/>
      <c r="AJ186" s="63" t="s">
        <v>476</v>
      </c>
      <c r="AK186" s="64" t="s">
        <v>192</v>
      </c>
      <c r="AL186" s="97">
        <v>2015.0</v>
      </c>
      <c r="AM186" s="13"/>
      <c r="AN186" s="102">
        <v>200.0</v>
      </c>
      <c r="AO186" s="13"/>
      <c r="AP186" s="13" t="s">
        <v>419</v>
      </c>
      <c r="AQ186" s="97">
        <v>0.5</v>
      </c>
      <c r="AR186" s="78">
        <v>3710.0</v>
      </c>
      <c r="AS186" s="97">
        <v>171.0</v>
      </c>
      <c r="AT186" s="79">
        <v>0.46</v>
      </c>
      <c r="AU186" s="73">
        <v>0.11</v>
      </c>
      <c r="AV186" s="70">
        <v>0.6918</v>
      </c>
      <c r="AW186" s="70">
        <v>0.3234</v>
      </c>
      <c r="AX186" s="73">
        <v>2.02</v>
      </c>
      <c r="AY186" s="73">
        <v>0.47</v>
      </c>
      <c r="AZ186" s="11" t="s">
        <v>162</v>
      </c>
      <c r="BA186" s="11" t="s">
        <v>478</v>
      </c>
      <c r="BB186" s="112">
        <v>-5.54</v>
      </c>
      <c r="BC186" s="112">
        <v>0.46</v>
      </c>
      <c r="BD186" s="105">
        <v>1.63E-13</v>
      </c>
      <c r="BE186" s="105">
        <v>9.0E-15</v>
      </c>
      <c r="BF186" s="112">
        <v>-4.37</v>
      </c>
      <c r="BG186" s="112">
        <v>0.68</v>
      </c>
      <c r="BH186" s="105">
        <v>5.64E-14</v>
      </c>
      <c r="BI186" s="105">
        <v>5.8E-15</v>
      </c>
      <c r="BJ186" s="112">
        <v>-6.22</v>
      </c>
      <c r="BK186" s="112">
        <v>2.18</v>
      </c>
      <c r="BL186" s="105">
        <v>4.45E-14</v>
      </c>
      <c r="BM186" s="105">
        <v>9.9E-15</v>
      </c>
      <c r="BN186" s="112">
        <v>-6.44</v>
      </c>
      <c r="BO186" s="112">
        <v>2.24</v>
      </c>
      <c r="BP186" s="105">
        <v>3.23E-14</v>
      </c>
      <c r="BQ186" s="105">
        <v>5.6E-15</v>
      </c>
      <c r="BR186" s="112">
        <v>-14.81</v>
      </c>
      <c r="BS186" s="112">
        <v>7.41</v>
      </c>
      <c r="BT186" s="105">
        <v>3.66E-14</v>
      </c>
      <c r="BU186" s="105">
        <v>5.9E-15</v>
      </c>
      <c r="BV186" s="105"/>
      <c r="BW186" s="105"/>
      <c r="BX186" s="105"/>
      <c r="BY186" s="105"/>
      <c r="BZ186" s="11"/>
      <c r="CA186" s="11"/>
      <c r="CB186" s="105">
        <v>2.66E-14</v>
      </c>
      <c r="CC186" s="11"/>
      <c r="CD186" s="11"/>
      <c r="CE186" s="11"/>
      <c r="CF186" s="105">
        <v>5.98E-15</v>
      </c>
      <c r="CG186" s="11"/>
      <c r="CH186" s="11"/>
      <c r="CI186" s="11"/>
      <c r="CJ186" s="105">
        <v>7.22E-15</v>
      </c>
      <c r="CK186" s="11"/>
      <c r="CL186" s="11"/>
      <c r="CM186" s="11"/>
      <c r="CN186" s="105">
        <v>7.98E-15</v>
      </c>
      <c r="CO186" s="11"/>
      <c r="CP186" s="11"/>
      <c r="CQ186" s="11"/>
      <c r="CR186" s="11"/>
      <c r="CS186" s="11"/>
      <c r="CT186" s="112">
        <v>-0.34</v>
      </c>
      <c r="CU186" s="112">
        <v>0.04</v>
      </c>
      <c r="CV186" s="105">
        <v>7.55E-15</v>
      </c>
      <c r="CW186" s="105">
        <v>8.8E-16</v>
      </c>
      <c r="CX186" s="11"/>
      <c r="CY186" s="11"/>
      <c r="CZ186" s="105">
        <v>3.06E-15</v>
      </c>
      <c r="DA186" s="11"/>
      <c r="DB186" s="11"/>
      <c r="DC186" s="11"/>
      <c r="DD186" s="11"/>
      <c r="DE186" s="11"/>
      <c r="DF186" s="105"/>
      <c r="DG186" s="105"/>
      <c r="DH186" s="105">
        <v>4.7E-14</v>
      </c>
      <c r="DI186" s="105"/>
      <c r="DJ186" s="105"/>
      <c r="DK186" s="105">
        <v>4.24E-14</v>
      </c>
      <c r="DL186" s="105"/>
      <c r="DM186" s="69"/>
      <c r="DN186" s="69"/>
      <c r="DO186" s="69"/>
      <c r="DP186" s="69"/>
      <c r="DQ186" s="11"/>
      <c r="DR186" s="69"/>
      <c r="DS186" s="69"/>
      <c r="DT186" s="69"/>
      <c r="DU186" s="69"/>
      <c r="DV186" s="73">
        <v>-2.3</v>
      </c>
      <c r="DW186" s="79">
        <v>0.25</v>
      </c>
      <c r="DX186" s="81">
        <v>8.91251E-10</v>
      </c>
      <c r="DY186" s="7"/>
      <c r="DZ186" s="7" t="s">
        <v>486</v>
      </c>
      <c r="EA186" s="7"/>
      <c r="EB186" s="7"/>
    </row>
    <row r="187">
      <c r="A187" s="55" t="s">
        <v>560</v>
      </c>
      <c r="B187" s="56" t="s">
        <v>560</v>
      </c>
      <c r="C187" s="4"/>
      <c r="D187" s="4"/>
      <c r="E187" s="4"/>
      <c r="F187" s="57" t="s">
        <v>168</v>
      </c>
      <c r="G187" s="58">
        <v>239.0087466</v>
      </c>
      <c r="H187" s="58">
        <v>-36.92452068</v>
      </c>
      <c r="I187" s="6" t="s">
        <v>314</v>
      </c>
      <c r="J187" s="6" t="s">
        <v>169</v>
      </c>
      <c r="K187" s="58">
        <v>3.0</v>
      </c>
      <c r="L187" s="59"/>
      <c r="M187" s="59">
        <v>2.0</v>
      </c>
      <c r="N187" s="58">
        <v>158.0103339</v>
      </c>
      <c r="O187" s="58">
        <v>-11.66</v>
      </c>
      <c r="P187" s="58">
        <v>0.073</v>
      </c>
      <c r="Q187" s="58">
        <v>-22.503</v>
      </c>
      <c r="R187" s="58">
        <v>0.047</v>
      </c>
      <c r="S187" s="59">
        <v>2.6</v>
      </c>
      <c r="T187" s="59">
        <v>1.2</v>
      </c>
      <c r="U187" s="59">
        <v>1.0</v>
      </c>
      <c r="V187" s="59">
        <v>0.5</v>
      </c>
      <c r="W187" s="5"/>
      <c r="X187" s="5"/>
      <c r="Y187" s="62" t="s">
        <v>476</v>
      </c>
      <c r="Z187" s="59">
        <v>12.91</v>
      </c>
      <c r="AA187" s="59"/>
      <c r="AB187" s="59">
        <v>10.396</v>
      </c>
      <c r="AC187" s="59">
        <v>0.024</v>
      </c>
      <c r="AD187" s="59">
        <v>9.595</v>
      </c>
      <c r="AE187" s="59">
        <v>0.025</v>
      </c>
      <c r="AF187" s="59">
        <v>9.303</v>
      </c>
      <c r="AG187" s="59">
        <v>0.026</v>
      </c>
      <c r="AH187" s="6"/>
      <c r="AI187" s="6"/>
      <c r="AJ187" s="63" t="s">
        <v>476</v>
      </c>
      <c r="AK187" s="64" t="s">
        <v>192</v>
      </c>
      <c r="AL187" s="97">
        <v>2010.0</v>
      </c>
      <c r="AM187" s="13"/>
      <c r="AN187" s="102">
        <v>150.0</v>
      </c>
      <c r="AO187" s="13"/>
      <c r="AP187" s="13" t="s">
        <v>419</v>
      </c>
      <c r="AQ187" s="97">
        <v>0.5</v>
      </c>
      <c r="AR187" s="78">
        <v>3710.0</v>
      </c>
      <c r="AS187" s="97">
        <v>171.0</v>
      </c>
      <c r="AT187" s="79">
        <v>0.46</v>
      </c>
      <c r="AU187" s="73">
        <v>0.12</v>
      </c>
      <c r="AV187" s="70">
        <v>0.2344</v>
      </c>
      <c r="AW187" s="70">
        <v>0.1</v>
      </c>
      <c r="AX187" s="73">
        <v>1.17</v>
      </c>
      <c r="AY187" s="73">
        <v>0.27</v>
      </c>
      <c r="AZ187" s="11" t="s">
        <v>162</v>
      </c>
      <c r="BA187" s="11" t="s">
        <v>478</v>
      </c>
      <c r="BB187" s="112">
        <v>-85.45</v>
      </c>
      <c r="BC187" s="112">
        <v>4.65</v>
      </c>
      <c r="BD187" s="105">
        <v>2.97E-12</v>
      </c>
      <c r="BE187" s="105">
        <v>4.0E-14</v>
      </c>
      <c r="BF187" s="112">
        <v>-30.19</v>
      </c>
      <c r="BG187" s="112">
        <v>2.81</v>
      </c>
      <c r="BH187" s="105">
        <v>8.94E-13</v>
      </c>
      <c r="BI187" s="105">
        <v>4.2E-14</v>
      </c>
      <c r="BJ187" s="112">
        <v>-27.19</v>
      </c>
      <c r="BK187" s="112">
        <v>1.92</v>
      </c>
      <c r="BL187" s="105">
        <v>7.03E-13</v>
      </c>
      <c r="BM187" s="105">
        <v>2.5E-14</v>
      </c>
      <c r="BN187" s="112">
        <v>-24.04</v>
      </c>
      <c r="BO187" s="112">
        <v>1.78</v>
      </c>
      <c r="BP187" s="105">
        <v>5.65E-13</v>
      </c>
      <c r="BQ187" s="105">
        <v>2.3E-14</v>
      </c>
      <c r="BR187" s="112">
        <v>-20.17</v>
      </c>
      <c r="BS187" s="112">
        <v>1.59</v>
      </c>
      <c r="BT187" s="105">
        <v>4.54E-13</v>
      </c>
      <c r="BU187" s="105">
        <v>1.8E-14</v>
      </c>
      <c r="BV187" s="105"/>
      <c r="BW187" s="105"/>
      <c r="BX187" s="105"/>
      <c r="BY187" s="105"/>
      <c r="BZ187" s="112">
        <v>-7.3</v>
      </c>
      <c r="CA187" s="112">
        <v>1.74</v>
      </c>
      <c r="CB187" s="105">
        <v>1.64E-13</v>
      </c>
      <c r="CC187" s="105">
        <v>3.1E-14</v>
      </c>
      <c r="CD187" s="112">
        <v>-4.34</v>
      </c>
      <c r="CE187" s="112">
        <v>1.23</v>
      </c>
      <c r="CF187" s="105">
        <v>1.16E-13</v>
      </c>
      <c r="CG187" s="105">
        <v>2.7E-14</v>
      </c>
      <c r="CH187" s="112">
        <v>-2.89</v>
      </c>
      <c r="CI187" s="112">
        <v>0.54</v>
      </c>
      <c r="CJ187" s="105">
        <v>8.59E-14</v>
      </c>
      <c r="CK187" s="105">
        <v>1.39E-14</v>
      </c>
      <c r="CL187" s="112">
        <v>-1.39</v>
      </c>
      <c r="CM187" s="112">
        <v>0.35</v>
      </c>
      <c r="CN187" s="105">
        <v>1.47E-14</v>
      </c>
      <c r="CO187" s="105">
        <v>4.2E-15</v>
      </c>
      <c r="CP187" s="105"/>
      <c r="CQ187" s="105"/>
      <c r="CR187" s="105"/>
      <c r="CS187" s="105"/>
      <c r="CT187" s="112">
        <v>-2.65</v>
      </c>
      <c r="CU187" s="112">
        <v>0.31</v>
      </c>
      <c r="CV187" s="105">
        <v>7.2E-14</v>
      </c>
      <c r="CW187" s="105">
        <v>6.1E-15</v>
      </c>
      <c r="CX187" s="112">
        <v>-0.93</v>
      </c>
      <c r="CY187" s="112">
        <v>0.11</v>
      </c>
      <c r="CZ187" s="105">
        <v>2.65E-14</v>
      </c>
      <c r="DA187" s="105">
        <v>2.2E-15</v>
      </c>
      <c r="DB187" s="112"/>
      <c r="DC187" s="112"/>
      <c r="DD187" s="112"/>
      <c r="DE187" s="112"/>
      <c r="DF187" s="105"/>
      <c r="DG187" s="105"/>
      <c r="DH187" s="105">
        <v>2.05E-13</v>
      </c>
      <c r="DI187" s="105"/>
      <c r="DJ187" s="105"/>
      <c r="DK187" s="105">
        <v>3.0E-13</v>
      </c>
      <c r="DL187" s="105"/>
      <c r="DM187" s="69"/>
      <c r="DN187" s="69"/>
      <c r="DO187" s="69"/>
      <c r="DP187" s="69"/>
      <c r="DQ187" s="11"/>
      <c r="DR187" s="69"/>
      <c r="DS187" s="69"/>
      <c r="DT187" s="69"/>
      <c r="DU187" s="69"/>
      <c r="DV187" s="73">
        <v>-0.9</v>
      </c>
      <c r="DW187" s="79">
        <v>0.25</v>
      </c>
      <c r="DX187" s="81">
        <v>1.28825E-8</v>
      </c>
      <c r="DY187" s="7"/>
      <c r="DZ187" s="7" t="s">
        <v>486</v>
      </c>
      <c r="EA187" s="7"/>
      <c r="EB187" s="7"/>
    </row>
    <row r="188">
      <c r="A188" s="55" t="s">
        <v>561</v>
      </c>
      <c r="B188" s="56" t="s">
        <v>561</v>
      </c>
      <c r="C188" s="4"/>
      <c r="D188" s="4"/>
      <c r="E188" s="4"/>
      <c r="F188" s="57" t="s">
        <v>168</v>
      </c>
      <c r="G188" s="58">
        <v>242.2278531</v>
      </c>
      <c r="H188" s="58">
        <v>-39.62865152</v>
      </c>
      <c r="I188" s="6" t="s">
        <v>314</v>
      </c>
      <c r="J188" s="6" t="s">
        <v>169</v>
      </c>
      <c r="K188" s="58">
        <v>3.0</v>
      </c>
      <c r="L188" s="59"/>
      <c r="M188" s="59">
        <v>2.0</v>
      </c>
      <c r="N188" s="58">
        <v>158.3305625</v>
      </c>
      <c r="O188" s="59">
        <v>-9.528</v>
      </c>
      <c r="P188" s="59">
        <v>0.058</v>
      </c>
      <c r="Q188" s="59">
        <v>-22.643</v>
      </c>
      <c r="R188" s="59">
        <v>0.039</v>
      </c>
      <c r="S188" s="59">
        <v>-1.2</v>
      </c>
      <c r="T188" s="59">
        <v>2.1</v>
      </c>
      <c r="U188" s="59">
        <v>0.0</v>
      </c>
      <c r="V188" s="59">
        <v>0.5</v>
      </c>
      <c r="W188" s="5"/>
      <c r="X188" s="5"/>
      <c r="Y188" s="62" t="s">
        <v>476</v>
      </c>
      <c r="Z188" s="58">
        <v>13.29</v>
      </c>
      <c r="AA188" s="58">
        <v>0.05</v>
      </c>
      <c r="AB188" s="58">
        <v>10.62</v>
      </c>
      <c r="AC188" s="59">
        <v>0.024</v>
      </c>
      <c r="AD188" s="59">
        <v>9.801</v>
      </c>
      <c r="AE188" s="59">
        <v>0.022</v>
      </c>
      <c r="AF188" s="59">
        <v>9.539</v>
      </c>
      <c r="AG188" s="59">
        <v>0.024</v>
      </c>
      <c r="AH188" s="6"/>
      <c r="AI188" s="5"/>
      <c r="AJ188" s="63" t="s">
        <v>476</v>
      </c>
      <c r="AK188" s="64" t="s">
        <v>192</v>
      </c>
      <c r="AL188" s="64" t="s">
        <v>477</v>
      </c>
      <c r="AM188" s="13"/>
      <c r="AN188" s="102">
        <v>200.0</v>
      </c>
      <c r="AO188" s="13"/>
      <c r="AP188" s="13" t="s">
        <v>419</v>
      </c>
      <c r="AQ188" s="97">
        <v>0.5</v>
      </c>
      <c r="AR188" s="78">
        <v>3710.0</v>
      </c>
      <c r="AS188" s="97">
        <v>171.0</v>
      </c>
      <c r="AT188" s="79">
        <v>0.46</v>
      </c>
      <c r="AU188" s="73">
        <v>0.12</v>
      </c>
      <c r="AV188" s="70">
        <v>0.33</v>
      </c>
      <c r="AW188" s="70">
        <v>0.152</v>
      </c>
      <c r="AX188" s="73">
        <v>1.4</v>
      </c>
      <c r="AY188" s="73">
        <v>0.32</v>
      </c>
      <c r="AZ188" s="11" t="s">
        <v>162</v>
      </c>
      <c r="BA188" s="111" t="s">
        <v>478</v>
      </c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2"/>
      <c r="DK188" s="12"/>
      <c r="DL188" s="12"/>
      <c r="DM188" s="69"/>
      <c r="DN188" s="69"/>
      <c r="DO188" s="69"/>
      <c r="DP188" s="69"/>
      <c r="DQ188" s="11"/>
      <c r="DR188" s="69"/>
      <c r="DS188" s="69"/>
      <c r="DT188" s="69"/>
      <c r="DU188" s="69"/>
      <c r="DV188" s="73">
        <v>-2.2</v>
      </c>
      <c r="DW188" s="79">
        <v>0.25</v>
      </c>
      <c r="DX188" s="81">
        <v>7.76247E-10</v>
      </c>
      <c r="DY188" s="7"/>
      <c r="DZ188" s="7" t="s">
        <v>486</v>
      </c>
      <c r="EA188" s="7"/>
      <c r="EB188" s="7"/>
    </row>
    <row r="189">
      <c r="A189" s="55" t="s">
        <v>562</v>
      </c>
      <c r="B189" s="56" t="s">
        <v>563</v>
      </c>
      <c r="C189" s="57" t="s">
        <v>156</v>
      </c>
      <c r="D189" s="57">
        <v>1.8</v>
      </c>
      <c r="E189" s="4"/>
      <c r="F189" s="57" t="s">
        <v>168</v>
      </c>
      <c r="G189" s="58">
        <v>242.7125</v>
      </c>
      <c r="H189" s="58">
        <v>-38.8875</v>
      </c>
      <c r="I189" s="6" t="s">
        <v>314</v>
      </c>
      <c r="J189" s="6" t="s">
        <v>169</v>
      </c>
      <c r="K189" s="58">
        <v>3.0</v>
      </c>
      <c r="L189" s="59"/>
      <c r="M189" s="59">
        <v>2.0</v>
      </c>
      <c r="N189" s="58">
        <v>162.8160667</v>
      </c>
      <c r="O189" s="58">
        <v>-9.082</v>
      </c>
      <c r="P189" s="58">
        <v>0.093</v>
      </c>
      <c r="Q189" s="58">
        <v>-23.358</v>
      </c>
      <c r="R189" s="58">
        <v>0.063</v>
      </c>
      <c r="S189" s="59">
        <v>1.8</v>
      </c>
      <c r="T189" s="59">
        <v>1.8</v>
      </c>
      <c r="U189" s="59">
        <v>1.25</v>
      </c>
      <c r="V189" s="59">
        <v>0.5</v>
      </c>
      <c r="W189" s="5"/>
      <c r="X189" s="5"/>
      <c r="Y189" s="62" t="s">
        <v>476</v>
      </c>
      <c r="Z189" s="58">
        <v>14.44</v>
      </c>
      <c r="AA189" s="58">
        <v>0.17</v>
      </c>
      <c r="AB189" s="58">
        <v>11.092</v>
      </c>
      <c r="AC189" s="59">
        <v>0.024</v>
      </c>
      <c r="AD189" s="59">
        <v>10.207</v>
      </c>
      <c r="AE189" s="59">
        <v>0.025</v>
      </c>
      <c r="AF189" s="59">
        <v>9.78</v>
      </c>
      <c r="AG189" s="59">
        <v>0.021</v>
      </c>
      <c r="AH189" s="6"/>
      <c r="AI189" s="5"/>
      <c r="AJ189" s="63" t="s">
        <v>476</v>
      </c>
      <c r="AK189" s="64" t="s">
        <v>192</v>
      </c>
      <c r="AL189" s="64" t="s">
        <v>477</v>
      </c>
      <c r="AM189" s="13"/>
      <c r="AN189" s="102">
        <v>200.0</v>
      </c>
      <c r="AO189" s="13"/>
      <c r="AP189" s="13" t="s">
        <v>419</v>
      </c>
      <c r="AQ189" s="97">
        <v>0.5</v>
      </c>
      <c r="AR189" s="78">
        <v>3710.0</v>
      </c>
      <c r="AS189" s="97">
        <v>171.0</v>
      </c>
      <c r="AT189" s="79">
        <v>0.46</v>
      </c>
      <c r="AU189" s="73">
        <v>0.12</v>
      </c>
      <c r="AV189" s="70">
        <v>0.203</v>
      </c>
      <c r="AW189" s="70">
        <v>0.093</v>
      </c>
      <c r="AX189" s="73">
        <v>1.1</v>
      </c>
      <c r="AY189" s="73">
        <v>0.25</v>
      </c>
      <c r="AZ189" s="11" t="s">
        <v>162</v>
      </c>
      <c r="BA189" s="111" t="s">
        <v>478</v>
      </c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2"/>
      <c r="DK189" s="12"/>
      <c r="DL189" s="12"/>
      <c r="DM189" s="69"/>
      <c r="DN189" s="69"/>
      <c r="DO189" s="69"/>
      <c r="DP189" s="69"/>
      <c r="DQ189" s="11"/>
      <c r="DR189" s="69"/>
      <c r="DS189" s="69"/>
      <c r="DT189" s="69"/>
      <c r="DU189" s="69"/>
      <c r="DV189" s="73">
        <v>-1.8</v>
      </c>
      <c r="DW189" s="79">
        <v>0.25</v>
      </c>
      <c r="DX189" s="81">
        <v>1.54882E-9</v>
      </c>
      <c r="DY189" s="7"/>
      <c r="DZ189" s="7" t="s">
        <v>486</v>
      </c>
      <c r="EA189" s="7"/>
      <c r="EB189" s="7"/>
    </row>
    <row r="190">
      <c r="A190" s="55" t="s">
        <v>564</v>
      </c>
      <c r="B190" s="56" t="s">
        <v>564</v>
      </c>
      <c r="C190" s="4"/>
      <c r="D190" s="4"/>
      <c r="E190" s="4"/>
      <c r="F190" s="57" t="s">
        <v>168</v>
      </c>
      <c r="G190" s="58">
        <v>242.15</v>
      </c>
      <c r="H190" s="58">
        <v>-39.3842</v>
      </c>
      <c r="I190" s="6" t="s">
        <v>314</v>
      </c>
      <c r="J190" s="6" t="s">
        <v>515</v>
      </c>
      <c r="K190" s="58">
        <v>3.0</v>
      </c>
      <c r="L190" s="59"/>
      <c r="M190" s="59">
        <v>2.0</v>
      </c>
      <c r="N190" s="58">
        <v>153.6428725</v>
      </c>
      <c r="O190" s="58">
        <v>-9.83</v>
      </c>
      <c r="P190" s="58">
        <v>0.1</v>
      </c>
      <c r="Q190" s="58">
        <v>-23.435</v>
      </c>
      <c r="R190" s="58">
        <v>0.057</v>
      </c>
      <c r="S190" s="59">
        <v>2.2</v>
      </c>
      <c r="T190" s="59">
        <v>2.1</v>
      </c>
      <c r="U190" s="59">
        <v>1.7</v>
      </c>
      <c r="V190" s="59">
        <v>0.5</v>
      </c>
      <c r="W190" s="5"/>
      <c r="X190" s="5"/>
      <c r="Y190" s="62" t="s">
        <v>476</v>
      </c>
      <c r="Z190" s="58">
        <v>12.47</v>
      </c>
      <c r="AA190" s="58"/>
      <c r="AB190" s="58">
        <v>9.884</v>
      </c>
      <c r="AC190" s="59">
        <v>0.026</v>
      </c>
      <c r="AD190" s="59">
        <v>9.043</v>
      </c>
      <c r="AE190" s="59">
        <v>0.023</v>
      </c>
      <c r="AF190" s="59">
        <v>8.658</v>
      </c>
      <c r="AG190" s="59">
        <v>0.021</v>
      </c>
      <c r="AH190" s="6"/>
      <c r="AI190" s="6"/>
      <c r="AJ190" s="63" t="s">
        <v>476</v>
      </c>
      <c r="AK190" s="64" t="s">
        <v>192</v>
      </c>
      <c r="AL190" s="97">
        <v>2015.0</v>
      </c>
      <c r="AM190" s="13"/>
      <c r="AN190" s="102">
        <v>200.0</v>
      </c>
      <c r="AO190" s="13"/>
      <c r="AP190" s="13" t="s">
        <v>453</v>
      </c>
      <c r="AQ190" s="97">
        <v>1.0</v>
      </c>
      <c r="AR190" s="78">
        <v>4210.0</v>
      </c>
      <c r="AS190" s="97">
        <v>193.0</v>
      </c>
      <c r="AT190" s="79">
        <v>0.47</v>
      </c>
      <c r="AU190" s="73">
        <v>0.14</v>
      </c>
      <c r="AV190" s="70">
        <v>1.9499</v>
      </c>
      <c r="AW190" s="70">
        <v>0.8633</v>
      </c>
      <c r="AX190" s="73">
        <v>2.63</v>
      </c>
      <c r="AY190" s="73">
        <v>0.63</v>
      </c>
      <c r="AZ190" s="11" t="s">
        <v>162</v>
      </c>
      <c r="BA190" s="11" t="s">
        <v>478</v>
      </c>
      <c r="BB190" s="112">
        <v>-14.5</v>
      </c>
      <c r="BC190" s="112">
        <v>2.68</v>
      </c>
      <c r="BD190" s="105">
        <v>1.86E-12</v>
      </c>
      <c r="BE190" s="105">
        <v>1.9E-13</v>
      </c>
      <c r="BF190" s="112">
        <v>-5.42</v>
      </c>
      <c r="BG190" s="112">
        <v>2.15</v>
      </c>
      <c r="BH190" s="105">
        <v>3.92E-13</v>
      </c>
      <c r="BI190" s="105">
        <v>1.0E-13</v>
      </c>
      <c r="BJ190" s="112">
        <v>-3.73</v>
      </c>
      <c r="BK190" s="112">
        <v>1.3</v>
      </c>
      <c r="BL190" s="105">
        <v>1.82E-13</v>
      </c>
      <c r="BM190" s="105">
        <v>6.5E-14</v>
      </c>
      <c r="BN190" s="112">
        <v>-3.6</v>
      </c>
      <c r="BO190" s="112">
        <v>1.76</v>
      </c>
      <c r="BP190" s="105">
        <v>1.31E-13</v>
      </c>
      <c r="BQ190" s="105">
        <v>3.7E-14</v>
      </c>
      <c r="BR190" s="112">
        <v>-7.8</v>
      </c>
      <c r="BS190" s="112">
        <v>2.75</v>
      </c>
      <c r="BT190" s="105">
        <v>1.42E-13</v>
      </c>
      <c r="BU190" s="105">
        <v>2.7E-14</v>
      </c>
      <c r="BV190" s="105"/>
      <c r="BW190" s="105"/>
      <c r="BX190" s="105"/>
      <c r="BY190" s="105"/>
      <c r="BZ190" s="112">
        <v>-1.52</v>
      </c>
      <c r="CA190" s="112">
        <v>0.37</v>
      </c>
      <c r="CB190" s="105">
        <v>1.09E-13</v>
      </c>
      <c r="CC190" s="105">
        <v>2.4E-14</v>
      </c>
      <c r="CD190" s="112">
        <v>-1.5</v>
      </c>
      <c r="CE190" s="112">
        <v>0.43</v>
      </c>
      <c r="CF190" s="105">
        <v>1.37E-13</v>
      </c>
      <c r="CG190" s="105">
        <v>3.6E-14</v>
      </c>
      <c r="CH190" s="112">
        <v>-0.57</v>
      </c>
      <c r="CI190" s="112">
        <v>0.14</v>
      </c>
      <c r="CJ190" s="105">
        <v>5.26E-14</v>
      </c>
      <c r="CK190" s="105">
        <v>1.92E-14</v>
      </c>
      <c r="CL190" s="112">
        <v>-0.67</v>
      </c>
      <c r="CM190" s="112">
        <v>0.2</v>
      </c>
      <c r="CN190" s="105">
        <v>1.79E-14</v>
      </c>
      <c r="CO190" s="105">
        <v>5.2E-15</v>
      </c>
      <c r="CP190" s="105"/>
      <c r="CQ190" s="105"/>
      <c r="CR190" s="105"/>
      <c r="CS190" s="105"/>
      <c r="CT190" s="112">
        <v>-0.3</v>
      </c>
      <c r="CU190" s="112">
        <v>0.05</v>
      </c>
      <c r="CV190" s="105">
        <v>4.18E-14</v>
      </c>
      <c r="CW190" s="105">
        <v>6.2E-15</v>
      </c>
      <c r="CX190" s="11"/>
      <c r="CY190" s="11"/>
      <c r="CZ190" s="11"/>
      <c r="DA190" s="11"/>
      <c r="DB190" s="11"/>
      <c r="DC190" s="11"/>
      <c r="DD190" s="11"/>
      <c r="DE190" s="11"/>
      <c r="DF190" s="105"/>
      <c r="DG190" s="105"/>
      <c r="DH190" s="105">
        <v>1.87E-13</v>
      </c>
      <c r="DI190" s="105"/>
      <c r="DJ190" s="105"/>
      <c r="DK190" s="105">
        <v>1.94E-13</v>
      </c>
      <c r="DL190" s="105"/>
      <c r="DM190" s="69"/>
      <c r="DN190" s="69"/>
      <c r="DO190" s="69"/>
      <c r="DP190" s="69"/>
      <c r="DQ190" s="11"/>
      <c r="DR190" s="69"/>
      <c r="DS190" s="69"/>
      <c r="DT190" s="69"/>
      <c r="DU190" s="69"/>
      <c r="DV190" s="73">
        <v>-0.8</v>
      </c>
      <c r="DW190" s="79">
        <v>0.25</v>
      </c>
      <c r="DX190" s="81">
        <v>1.90546E-8</v>
      </c>
      <c r="DY190" s="7"/>
      <c r="DZ190" s="7" t="s">
        <v>486</v>
      </c>
      <c r="EA190" s="7"/>
      <c r="EB190" s="7"/>
    </row>
    <row r="191">
      <c r="A191" s="55" t="s">
        <v>565</v>
      </c>
      <c r="B191" s="56" t="s">
        <v>565</v>
      </c>
      <c r="C191" s="4"/>
      <c r="D191" s="4"/>
      <c r="E191" s="4"/>
      <c r="F191" s="57" t="s">
        <v>168</v>
      </c>
      <c r="G191" s="58">
        <v>243.1822918</v>
      </c>
      <c r="H191" s="58">
        <v>-38.25085441</v>
      </c>
      <c r="I191" s="6" t="s">
        <v>314</v>
      </c>
      <c r="J191" s="6" t="s">
        <v>169</v>
      </c>
      <c r="K191" s="58">
        <v>3.0</v>
      </c>
      <c r="L191" s="59"/>
      <c r="M191" s="59">
        <v>2.0</v>
      </c>
      <c r="N191" s="58">
        <v>159.813338</v>
      </c>
      <c r="O191" s="58">
        <v>-8.562</v>
      </c>
      <c r="P191" s="58">
        <v>0.095</v>
      </c>
      <c r="Q191" s="58">
        <v>-22.391</v>
      </c>
      <c r="R191" s="58">
        <v>0.053</v>
      </c>
      <c r="S191" s="59">
        <v>-2.3</v>
      </c>
      <c r="T191" s="59">
        <v>2.4</v>
      </c>
      <c r="U191" s="59">
        <v>0.8</v>
      </c>
      <c r="V191" s="59">
        <v>0.5</v>
      </c>
      <c r="W191" s="5"/>
      <c r="X191" s="5"/>
      <c r="Y191" s="62" t="s">
        <v>476</v>
      </c>
      <c r="Z191" s="58">
        <v>13.39</v>
      </c>
      <c r="AA191" s="58">
        <v>0.05</v>
      </c>
      <c r="AB191" s="58">
        <v>10.544</v>
      </c>
      <c r="AC191" s="59">
        <v>0.024</v>
      </c>
      <c r="AD191" s="59">
        <v>9.762</v>
      </c>
      <c r="AE191" s="59">
        <v>0.025</v>
      </c>
      <c r="AF191" s="59">
        <v>9.539</v>
      </c>
      <c r="AG191" s="59">
        <v>0.025</v>
      </c>
      <c r="AH191" s="6"/>
      <c r="AI191" s="6"/>
      <c r="AJ191" s="63" t="s">
        <v>476</v>
      </c>
      <c r="AK191" s="64" t="s">
        <v>192</v>
      </c>
      <c r="AL191" s="97">
        <v>2015.0</v>
      </c>
      <c r="AM191" s="13"/>
      <c r="AN191" s="102">
        <v>200.0</v>
      </c>
      <c r="AO191" s="13"/>
      <c r="AP191" s="13" t="s">
        <v>419</v>
      </c>
      <c r="AQ191" s="97">
        <v>0.5</v>
      </c>
      <c r="AR191" s="78">
        <v>3710.0</v>
      </c>
      <c r="AS191" s="97">
        <v>171.0</v>
      </c>
      <c r="AT191" s="79">
        <v>0.47</v>
      </c>
      <c r="AU191" s="73">
        <v>0.11</v>
      </c>
      <c r="AV191" s="70">
        <v>0.6166</v>
      </c>
      <c r="AW191" s="70">
        <v>0.2691</v>
      </c>
      <c r="AX191" s="73">
        <v>1.91</v>
      </c>
      <c r="AY191" s="73">
        <v>0.42</v>
      </c>
      <c r="AZ191" s="11" t="s">
        <v>162</v>
      </c>
      <c r="BA191" s="11" t="s">
        <v>478</v>
      </c>
      <c r="BB191" s="112">
        <v>-17.62</v>
      </c>
      <c r="BC191" s="112">
        <v>1.73</v>
      </c>
      <c r="BD191" s="105">
        <v>4.7E-13</v>
      </c>
      <c r="BE191" s="105">
        <v>2.0E-14</v>
      </c>
      <c r="BF191" s="112">
        <v>-8.17</v>
      </c>
      <c r="BG191" s="112">
        <v>1.86</v>
      </c>
      <c r="BH191" s="105">
        <v>9.35E-14</v>
      </c>
      <c r="BI191" s="105">
        <v>1.23E-14</v>
      </c>
      <c r="BJ191" s="112">
        <v>-7.59</v>
      </c>
      <c r="BK191" s="112">
        <v>2.86</v>
      </c>
      <c r="BL191" s="105">
        <v>5.4E-14</v>
      </c>
      <c r="BM191" s="105">
        <v>9.4E-15</v>
      </c>
      <c r="BN191" s="112">
        <v>-10.55</v>
      </c>
      <c r="BO191" s="112">
        <v>3.25</v>
      </c>
      <c r="BP191" s="105">
        <v>4.8E-14</v>
      </c>
      <c r="BQ191" s="105">
        <v>7.6E-15</v>
      </c>
      <c r="BR191" s="112">
        <v>-19.62</v>
      </c>
      <c r="BS191" s="112">
        <v>8.06</v>
      </c>
      <c r="BT191" s="105">
        <v>5.19E-14</v>
      </c>
      <c r="BU191" s="105">
        <v>7.5E-15</v>
      </c>
      <c r="BV191" s="105"/>
      <c r="BW191" s="105"/>
      <c r="BX191" s="105"/>
      <c r="BY191" s="105"/>
      <c r="BZ191" s="112">
        <v>-0.97</v>
      </c>
      <c r="CA191" s="112">
        <v>0.19</v>
      </c>
      <c r="CB191" s="105">
        <v>2.39E-14</v>
      </c>
      <c r="CC191" s="105">
        <v>7.4E-15</v>
      </c>
      <c r="CD191" s="112">
        <v>-1.17</v>
      </c>
      <c r="CE191" s="112">
        <v>0.35</v>
      </c>
      <c r="CF191" s="105">
        <v>3.42E-14</v>
      </c>
      <c r="CG191" s="105">
        <v>9.9E-15</v>
      </c>
      <c r="CH191" s="112">
        <v>-0.45</v>
      </c>
      <c r="CI191" s="112">
        <v>0.07</v>
      </c>
      <c r="CJ191" s="105">
        <v>1.37E-14</v>
      </c>
      <c r="CK191" s="105">
        <v>2.2E-15</v>
      </c>
      <c r="CL191" s="11"/>
      <c r="CM191" s="11"/>
      <c r="CN191" s="105">
        <v>9.99E-15</v>
      </c>
      <c r="CO191" s="11"/>
      <c r="CP191" s="11"/>
      <c r="CQ191" s="11"/>
      <c r="CR191" s="11"/>
      <c r="CS191" s="11"/>
      <c r="CT191" s="112">
        <v>-0.42</v>
      </c>
      <c r="CU191" s="112">
        <v>0.04</v>
      </c>
      <c r="CV191" s="105">
        <v>8.5E-15</v>
      </c>
      <c r="CW191" s="105">
        <v>8.1E-16</v>
      </c>
      <c r="CX191" s="11"/>
      <c r="CY191" s="11"/>
      <c r="CZ191" s="105">
        <v>3.12E-15</v>
      </c>
      <c r="DA191" s="11"/>
      <c r="DB191" s="11"/>
      <c r="DC191" s="11"/>
      <c r="DD191" s="11"/>
      <c r="DE191" s="11"/>
      <c r="DF191" s="105"/>
      <c r="DG191" s="105"/>
      <c r="DH191" s="105">
        <v>4.55E-14</v>
      </c>
      <c r="DI191" s="105"/>
      <c r="DJ191" s="105"/>
      <c r="DK191" s="105">
        <v>4.04E-14</v>
      </c>
      <c r="DL191" s="105"/>
      <c r="DM191" s="69"/>
      <c r="DN191" s="69"/>
      <c r="DO191" s="69"/>
      <c r="DP191" s="69"/>
      <c r="DQ191" s="11"/>
      <c r="DR191" s="69"/>
      <c r="DS191" s="69"/>
      <c r="DT191" s="69"/>
      <c r="DU191" s="69"/>
      <c r="DV191" s="73">
        <v>-2.0</v>
      </c>
      <c r="DW191" s="79">
        <v>0.25</v>
      </c>
      <c r="DX191" s="81">
        <v>1.65959E-9</v>
      </c>
      <c r="DY191" s="7"/>
      <c r="DZ191" s="7" t="s">
        <v>486</v>
      </c>
      <c r="EA191" s="7"/>
      <c r="EB191" s="7"/>
    </row>
    <row r="192">
      <c r="A192" s="55" t="s">
        <v>566</v>
      </c>
      <c r="B192" s="56" t="s">
        <v>566</v>
      </c>
      <c r="C192" s="4"/>
      <c r="D192" s="4"/>
      <c r="E192" s="4"/>
      <c r="F192" s="57" t="s">
        <v>168</v>
      </c>
      <c r="G192" s="58">
        <v>241.7982817</v>
      </c>
      <c r="H192" s="58">
        <v>-39.06319191</v>
      </c>
      <c r="I192" s="6" t="s">
        <v>314</v>
      </c>
      <c r="J192" s="6" t="s">
        <v>159</v>
      </c>
      <c r="K192" s="58">
        <v>3.0</v>
      </c>
      <c r="L192" s="59"/>
      <c r="M192" s="59">
        <v>2.0</v>
      </c>
      <c r="N192" s="58">
        <v>159.0609044</v>
      </c>
      <c r="O192" s="58">
        <v>-10.201</v>
      </c>
      <c r="P192" s="58">
        <v>0.152</v>
      </c>
      <c r="Q192" s="58">
        <v>-22.851</v>
      </c>
      <c r="R192" s="58">
        <v>0.076</v>
      </c>
      <c r="S192" s="59">
        <v>4.0</v>
      </c>
      <c r="T192" s="59">
        <v>2.4</v>
      </c>
      <c r="U192" s="59">
        <v>1.2</v>
      </c>
      <c r="V192" s="59">
        <v>0.5</v>
      </c>
      <c r="W192" s="5"/>
      <c r="X192" s="5"/>
      <c r="Y192" s="62" t="s">
        <v>476</v>
      </c>
      <c r="Z192" s="58">
        <v>14.11</v>
      </c>
      <c r="AA192" s="58">
        <v>0.27</v>
      </c>
      <c r="AB192" s="58">
        <v>11.055</v>
      </c>
      <c r="AC192" s="59">
        <v>0.023</v>
      </c>
      <c r="AD192" s="59">
        <v>10.124</v>
      </c>
      <c r="AE192" s="59">
        <v>0.025</v>
      </c>
      <c r="AF192" s="59">
        <v>9.848</v>
      </c>
      <c r="AG192" s="59">
        <v>0.023</v>
      </c>
      <c r="AH192" s="6"/>
      <c r="AI192" s="5"/>
      <c r="AJ192" s="63" t="s">
        <v>476</v>
      </c>
      <c r="AK192" s="64" t="s">
        <v>192</v>
      </c>
      <c r="AL192" s="64" t="s">
        <v>477</v>
      </c>
      <c r="AM192" s="13"/>
      <c r="AN192" s="102">
        <v>200.0</v>
      </c>
      <c r="AO192" s="13"/>
      <c r="AP192" s="13" t="s">
        <v>419</v>
      </c>
      <c r="AQ192" s="97">
        <v>0.5</v>
      </c>
      <c r="AR192" s="78">
        <v>3710.0</v>
      </c>
      <c r="AS192" s="97">
        <v>171.0</v>
      </c>
      <c r="AT192" s="79">
        <v>0.47</v>
      </c>
      <c r="AU192" s="73">
        <v>0.12</v>
      </c>
      <c r="AV192" s="70">
        <v>0.311</v>
      </c>
      <c r="AW192" s="70">
        <v>0.143</v>
      </c>
      <c r="AX192" s="73">
        <v>1.36</v>
      </c>
      <c r="AY192" s="73">
        <v>0.31</v>
      </c>
      <c r="AZ192" s="11" t="s">
        <v>162</v>
      </c>
      <c r="BA192" s="111" t="s">
        <v>478</v>
      </c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2"/>
      <c r="DK192" s="12"/>
      <c r="DL192" s="12"/>
      <c r="DM192" s="69"/>
      <c r="DN192" s="69"/>
      <c r="DO192" s="69"/>
      <c r="DP192" s="69"/>
      <c r="DQ192" s="11"/>
      <c r="DR192" s="69"/>
      <c r="DS192" s="69"/>
      <c r="DT192" s="69"/>
      <c r="DU192" s="69"/>
      <c r="DV192" s="73">
        <v>-1.8</v>
      </c>
      <c r="DW192" s="79">
        <v>0.25</v>
      </c>
      <c r="DX192" s="81">
        <v>1.86209E-9</v>
      </c>
      <c r="DY192" s="7"/>
      <c r="DZ192" s="7" t="s">
        <v>486</v>
      </c>
      <c r="EA192" s="7"/>
      <c r="EB192" s="7"/>
    </row>
    <row r="193">
      <c r="A193" s="55" t="s">
        <v>567</v>
      </c>
      <c r="B193" s="56" t="s">
        <v>568</v>
      </c>
      <c r="C193" s="4"/>
      <c r="D193" s="4"/>
      <c r="E193" s="4"/>
      <c r="F193" s="57" t="s">
        <v>168</v>
      </c>
      <c r="G193" s="58">
        <v>237.3</v>
      </c>
      <c r="H193" s="58">
        <v>-35.6514</v>
      </c>
      <c r="I193" s="6" t="s">
        <v>314</v>
      </c>
      <c r="J193" s="6" t="s">
        <v>169</v>
      </c>
      <c r="K193" s="58">
        <v>3.0</v>
      </c>
      <c r="L193" s="59"/>
      <c r="M193" s="59">
        <v>2.0</v>
      </c>
      <c r="N193" s="58">
        <v>151.8187891</v>
      </c>
      <c r="O193" s="59">
        <v>-14.257</v>
      </c>
      <c r="P193" s="59">
        <v>0.097</v>
      </c>
      <c r="Q193" s="59">
        <v>-23.596</v>
      </c>
      <c r="R193" s="59">
        <v>0.066</v>
      </c>
      <c r="S193" s="59">
        <v>-3.6</v>
      </c>
      <c r="T193" s="59">
        <v>1.3</v>
      </c>
      <c r="U193" s="59">
        <v>0.7</v>
      </c>
      <c r="V193" s="59">
        <v>0.5</v>
      </c>
      <c r="W193" s="5"/>
      <c r="X193" s="5"/>
      <c r="Y193" s="62" t="s">
        <v>476</v>
      </c>
      <c r="Z193" s="58">
        <v>11.15</v>
      </c>
      <c r="AA193" s="58">
        <v>0.12</v>
      </c>
      <c r="AB193" s="59">
        <v>8.605</v>
      </c>
      <c r="AC193" s="59">
        <v>0.021</v>
      </c>
      <c r="AD193" s="59">
        <v>7.702</v>
      </c>
      <c r="AE193" s="59">
        <v>0.033</v>
      </c>
      <c r="AF193" s="59">
        <v>7.096</v>
      </c>
      <c r="AG193" s="59">
        <v>0.02</v>
      </c>
      <c r="AH193" s="6"/>
      <c r="AI193" s="5"/>
      <c r="AJ193" s="63" t="s">
        <v>476</v>
      </c>
      <c r="AK193" s="64" t="s">
        <v>192</v>
      </c>
      <c r="AL193" s="97">
        <v>2010.0</v>
      </c>
      <c r="AM193" s="13"/>
      <c r="AN193" s="102">
        <v>150.0</v>
      </c>
      <c r="AO193" s="13"/>
      <c r="AP193" s="13" t="s">
        <v>453</v>
      </c>
      <c r="AQ193" s="97">
        <v>1.0</v>
      </c>
      <c r="AR193" s="78">
        <v>4210.0</v>
      </c>
      <c r="AS193" s="97">
        <v>193.0</v>
      </c>
      <c r="AT193" s="79">
        <v>0.51</v>
      </c>
      <c r="AU193" s="73">
        <v>0.14</v>
      </c>
      <c r="AV193" s="70">
        <v>1.4454</v>
      </c>
      <c r="AW193" s="70">
        <v>0.626</v>
      </c>
      <c r="AX193" s="73">
        <v>2.26</v>
      </c>
      <c r="AY193" s="73">
        <v>0.53</v>
      </c>
      <c r="AZ193" s="11" t="s">
        <v>162</v>
      </c>
      <c r="BA193" s="11" t="s">
        <v>478</v>
      </c>
      <c r="BB193" s="112">
        <v>-42.76</v>
      </c>
      <c r="BC193" s="112">
        <v>2.93</v>
      </c>
      <c r="BD193" s="105">
        <v>9.66E-12</v>
      </c>
      <c r="BE193" s="105">
        <v>2.2E-13</v>
      </c>
      <c r="BF193" s="112">
        <v>-9.19</v>
      </c>
      <c r="BG193" s="112">
        <v>1.52</v>
      </c>
      <c r="BH193" s="105">
        <v>1.37E-12</v>
      </c>
      <c r="BI193" s="105">
        <v>1.2E-13</v>
      </c>
      <c r="BJ193" s="112">
        <v>-6.85</v>
      </c>
      <c r="BK193" s="112">
        <v>2.64</v>
      </c>
      <c r="BL193" s="105">
        <v>7.48E-13</v>
      </c>
      <c r="BM193" s="105">
        <v>1.78E-13</v>
      </c>
      <c r="BN193" s="112">
        <v>-5.57</v>
      </c>
      <c r="BO193" s="112">
        <v>1.99</v>
      </c>
      <c r="BP193" s="105">
        <v>4.97E-13</v>
      </c>
      <c r="BQ193" s="105">
        <v>1.01E-13</v>
      </c>
      <c r="BR193" s="112">
        <v>-5.17</v>
      </c>
      <c r="BS193" s="112">
        <v>2.82</v>
      </c>
      <c r="BT193" s="105">
        <v>3.41E-13</v>
      </c>
      <c r="BU193" s="105">
        <v>1.79E-13</v>
      </c>
      <c r="BV193" s="105"/>
      <c r="BW193" s="105"/>
      <c r="BX193" s="105"/>
      <c r="BY193" s="105"/>
      <c r="BZ193" s="112">
        <v>-5.39</v>
      </c>
      <c r="CA193" s="112">
        <v>1.07</v>
      </c>
      <c r="CB193" s="105">
        <v>6.92E-13</v>
      </c>
      <c r="CC193" s="105">
        <v>1.06E-13</v>
      </c>
      <c r="CD193" s="112">
        <v>-2.97</v>
      </c>
      <c r="CE193" s="112">
        <v>0.59</v>
      </c>
      <c r="CF193" s="105">
        <v>4.31E-13</v>
      </c>
      <c r="CG193" s="105">
        <v>7.0E-14</v>
      </c>
      <c r="CH193" s="112">
        <v>-2.48</v>
      </c>
      <c r="CI193" s="112">
        <v>0.52</v>
      </c>
      <c r="CJ193" s="105">
        <v>3.71E-13</v>
      </c>
      <c r="CK193" s="105">
        <v>6.9E-14</v>
      </c>
      <c r="CL193" s="112">
        <v>-1.71</v>
      </c>
      <c r="CM193" s="112">
        <v>0.5</v>
      </c>
      <c r="CN193" s="105">
        <v>1.4E-13</v>
      </c>
      <c r="CO193" s="105">
        <v>3.7E-14</v>
      </c>
      <c r="CP193" s="105"/>
      <c r="CQ193" s="105"/>
      <c r="CR193" s="105"/>
      <c r="CS193" s="105"/>
      <c r="CT193" s="112">
        <v>-1.09</v>
      </c>
      <c r="CU193" s="112">
        <v>0.12</v>
      </c>
      <c r="CV193" s="105">
        <v>2.23E-13</v>
      </c>
      <c r="CW193" s="105">
        <v>2.1E-14</v>
      </c>
      <c r="CX193" s="112">
        <v>-0.16</v>
      </c>
      <c r="CY193" s="112">
        <v>0.04</v>
      </c>
      <c r="CZ193" s="105">
        <v>3.08E-14</v>
      </c>
      <c r="DA193" s="105">
        <v>7.9E-15</v>
      </c>
      <c r="DB193" s="112"/>
      <c r="DC193" s="112"/>
      <c r="DD193" s="112"/>
      <c r="DE193" s="112"/>
      <c r="DF193" s="105"/>
      <c r="DG193" s="105"/>
      <c r="DH193" s="105">
        <v>9.01E-13</v>
      </c>
      <c r="DI193" s="105"/>
      <c r="DJ193" s="105"/>
      <c r="DK193" s="105">
        <v>9.38E-13</v>
      </c>
      <c r="DL193" s="105"/>
      <c r="DM193" s="69"/>
      <c r="DN193" s="69"/>
      <c r="DO193" s="69"/>
      <c r="DP193" s="69"/>
      <c r="DQ193" s="11"/>
      <c r="DR193" s="69"/>
      <c r="DS193" s="69"/>
      <c r="DT193" s="69"/>
      <c r="DU193" s="69"/>
      <c r="DV193" s="73">
        <v>-0.7</v>
      </c>
      <c r="DW193" s="79">
        <v>0.25</v>
      </c>
      <c r="DX193" s="81">
        <v>1.90546E-8</v>
      </c>
      <c r="DY193" s="7"/>
      <c r="DZ193" s="7" t="s">
        <v>486</v>
      </c>
      <c r="EA193" s="7"/>
      <c r="EB193" s="7"/>
    </row>
    <row r="194">
      <c r="A194" s="55" t="s">
        <v>569</v>
      </c>
      <c r="B194" s="56" t="s">
        <v>570</v>
      </c>
      <c r="C194" s="4"/>
      <c r="D194" s="4"/>
      <c r="E194" s="4"/>
      <c r="F194" s="57" t="s">
        <v>168</v>
      </c>
      <c r="G194" s="58">
        <v>242.1656663</v>
      </c>
      <c r="H194" s="58">
        <v>-39.10703349</v>
      </c>
      <c r="I194" s="6" t="s">
        <v>314</v>
      </c>
      <c r="J194" s="6" t="s">
        <v>169</v>
      </c>
      <c r="K194" s="58">
        <v>3.0</v>
      </c>
      <c r="L194" s="59"/>
      <c r="M194" s="59">
        <v>2.0</v>
      </c>
      <c r="N194" s="58">
        <v>161.6684181</v>
      </c>
      <c r="O194" s="6"/>
      <c r="P194" s="6"/>
      <c r="Q194" s="6"/>
      <c r="R194" s="6"/>
      <c r="S194" s="59">
        <v>8.0</v>
      </c>
      <c r="T194" s="59">
        <v>2.6</v>
      </c>
      <c r="U194" s="59">
        <v>1.0</v>
      </c>
      <c r="V194" s="59">
        <v>0.5</v>
      </c>
      <c r="W194" s="5"/>
      <c r="X194" s="5"/>
      <c r="Y194" s="62" t="s">
        <v>476</v>
      </c>
      <c r="Z194" s="58">
        <v>15.0</v>
      </c>
      <c r="AA194" s="58">
        <v>0.98</v>
      </c>
      <c r="AB194" s="58">
        <v>11.65</v>
      </c>
      <c r="AC194" s="59">
        <v>0.027</v>
      </c>
      <c r="AD194" s="59">
        <v>10.66</v>
      </c>
      <c r="AE194" s="59">
        <v>0.022</v>
      </c>
      <c r="AF194" s="59">
        <v>10.149</v>
      </c>
      <c r="AG194" s="59">
        <v>0.019</v>
      </c>
      <c r="AH194" s="6"/>
      <c r="AI194" s="6"/>
      <c r="AJ194" s="63" t="s">
        <v>476</v>
      </c>
      <c r="AK194" s="64" t="s">
        <v>192</v>
      </c>
      <c r="AL194" s="64" t="s">
        <v>477</v>
      </c>
      <c r="AM194" s="13"/>
      <c r="AN194" s="102">
        <v>200.0</v>
      </c>
      <c r="AO194" s="13"/>
      <c r="AP194" s="13" t="s">
        <v>571</v>
      </c>
      <c r="AQ194" s="97">
        <v>0.5</v>
      </c>
      <c r="AR194" s="78">
        <v>3780.0</v>
      </c>
      <c r="AS194" s="97">
        <v>174.0</v>
      </c>
      <c r="AT194" s="79">
        <v>0.51</v>
      </c>
      <c r="AU194" s="73">
        <v>0.11</v>
      </c>
      <c r="AV194" s="70">
        <v>0.098</v>
      </c>
      <c r="AW194" s="70">
        <v>0.045</v>
      </c>
      <c r="AX194" s="73">
        <v>0.72</v>
      </c>
      <c r="AY194" s="73">
        <v>0.17</v>
      </c>
      <c r="AZ194" s="11" t="s">
        <v>162</v>
      </c>
      <c r="BA194" s="111" t="s">
        <v>478</v>
      </c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2"/>
      <c r="DK194" s="12"/>
      <c r="DL194" s="12"/>
      <c r="DM194" s="69"/>
      <c r="DN194" s="69"/>
      <c r="DO194" s="69"/>
      <c r="DP194" s="69"/>
      <c r="DQ194" s="11"/>
      <c r="DR194" s="69"/>
      <c r="DS194" s="69"/>
      <c r="DT194" s="69"/>
      <c r="DU194" s="69"/>
      <c r="DV194" s="73">
        <v>-2.5</v>
      </c>
      <c r="DW194" s="79">
        <v>0.25</v>
      </c>
      <c r="DX194" s="81">
        <v>1.8197E-10</v>
      </c>
      <c r="DY194" s="7"/>
      <c r="DZ194" s="7" t="s">
        <v>486</v>
      </c>
      <c r="EA194" s="7"/>
      <c r="EB194" s="7"/>
    </row>
    <row r="195">
      <c r="A195" s="55" t="s">
        <v>572</v>
      </c>
      <c r="B195" s="56" t="s">
        <v>573</v>
      </c>
      <c r="C195" s="4"/>
      <c r="D195" s="4"/>
      <c r="E195" s="4"/>
      <c r="F195" s="57" t="s">
        <v>168</v>
      </c>
      <c r="G195" s="58">
        <v>240.772881</v>
      </c>
      <c r="H195" s="58">
        <v>-40.30706293</v>
      </c>
      <c r="I195" s="6" t="s">
        <v>314</v>
      </c>
      <c r="J195" s="6" t="s">
        <v>169</v>
      </c>
      <c r="K195" s="58">
        <v>3.0</v>
      </c>
      <c r="L195" s="59"/>
      <c r="M195" s="59">
        <v>2.0</v>
      </c>
      <c r="N195" s="58">
        <v>157.6963714</v>
      </c>
      <c r="O195" s="58">
        <v>-10.095</v>
      </c>
      <c r="P195" s="58">
        <v>0.075</v>
      </c>
      <c r="Q195" s="58">
        <v>-22.536</v>
      </c>
      <c r="R195" s="58">
        <v>0.052</v>
      </c>
      <c r="S195" s="59">
        <v>1.9</v>
      </c>
      <c r="T195" s="59">
        <v>1.4</v>
      </c>
      <c r="U195" s="59">
        <v>1.1</v>
      </c>
      <c r="V195" s="59">
        <v>0.5</v>
      </c>
      <c r="W195" s="5"/>
      <c r="X195" s="5"/>
      <c r="Y195" s="62" t="s">
        <v>476</v>
      </c>
      <c r="Z195" s="6"/>
      <c r="AA195" s="6"/>
      <c r="AB195" s="58">
        <v>9.728</v>
      </c>
      <c r="AC195" s="59">
        <v>0.024</v>
      </c>
      <c r="AD195" s="59">
        <v>8.958</v>
      </c>
      <c r="AE195" s="59">
        <v>0.022</v>
      </c>
      <c r="AF195" s="59">
        <v>8.496</v>
      </c>
      <c r="AG195" s="59">
        <v>0.021</v>
      </c>
      <c r="AH195" s="6"/>
      <c r="AI195" s="6"/>
      <c r="AJ195" s="63" t="s">
        <v>476</v>
      </c>
      <c r="AK195" s="64" t="s">
        <v>192</v>
      </c>
      <c r="AL195" s="97">
        <v>2010.0</v>
      </c>
      <c r="AM195" s="13"/>
      <c r="AN195" s="102">
        <v>200.0</v>
      </c>
      <c r="AO195" s="13"/>
      <c r="AP195" s="13" t="s">
        <v>427</v>
      </c>
      <c r="AQ195" s="97">
        <v>0.5</v>
      </c>
      <c r="AR195" s="78">
        <v>3850.0</v>
      </c>
      <c r="AS195" s="97">
        <v>177.0</v>
      </c>
      <c r="AT195" s="79">
        <v>0.56</v>
      </c>
      <c r="AU195" s="73">
        <v>0.14</v>
      </c>
      <c r="AV195" s="70">
        <v>1.2303</v>
      </c>
      <c r="AW195" s="70">
        <v>0.5302</v>
      </c>
      <c r="AX195" s="73">
        <v>2.49</v>
      </c>
      <c r="AY195" s="73">
        <v>0.58</v>
      </c>
      <c r="AZ195" s="11" t="s">
        <v>162</v>
      </c>
      <c r="BA195" s="11" t="s">
        <v>478</v>
      </c>
      <c r="BB195" s="112">
        <v>-19.39</v>
      </c>
      <c r="BC195" s="112">
        <v>2.59</v>
      </c>
      <c r="BD195" s="105">
        <v>1.53E-12</v>
      </c>
      <c r="BE195" s="105">
        <v>9.0E-14</v>
      </c>
      <c r="BF195" s="112">
        <v>-11.12</v>
      </c>
      <c r="BG195" s="112">
        <v>1.6</v>
      </c>
      <c r="BH195" s="105">
        <v>6.68E-13</v>
      </c>
      <c r="BI195" s="105">
        <v>5.1E-14</v>
      </c>
      <c r="BJ195" s="112">
        <v>-13.8</v>
      </c>
      <c r="BK195" s="112">
        <v>4.25</v>
      </c>
      <c r="BL195" s="105">
        <v>6.37E-13</v>
      </c>
      <c r="BM195" s="105">
        <v>1.19E-13</v>
      </c>
      <c r="BN195" s="112">
        <v>-11.37</v>
      </c>
      <c r="BO195" s="112">
        <v>2.68</v>
      </c>
      <c r="BP195" s="105">
        <v>4.65E-13</v>
      </c>
      <c r="BQ195" s="105">
        <v>5.7E-14</v>
      </c>
      <c r="BR195" s="112">
        <v>-14.16</v>
      </c>
      <c r="BS195" s="112">
        <v>4.24</v>
      </c>
      <c r="BT195" s="105">
        <v>4.46E-13</v>
      </c>
      <c r="BU195" s="105">
        <v>9.2E-14</v>
      </c>
      <c r="BV195" s="105"/>
      <c r="BW195" s="105"/>
      <c r="BX195" s="105"/>
      <c r="BY195" s="105"/>
      <c r="BZ195" s="112">
        <v>-1.57</v>
      </c>
      <c r="CA195" s="112">
        <v>0.43</v>
      </c>
      <c r="CB195" s="105">
        <v>7.75E-14</v>
      </c>
      <c r="CC195" s="105">
        <v>1.83E-14</v>
      </c>
      <c r="CD195" s="112">
        <v>-1.63</v>
      </c>
      <c r="CE195" s="112">
        <v>0.35</v>
      </c>
      <c r="CF195" s="105">
        <v>9.71E-14</v>
      </c>
      <c r="CG195" s="105">
        <v>2.7E-14</v>
      </c>
      <c r="CH195" s="112">
        <v>-1.23</v>
      </c>
      <c r="CI195" s="112">
        <v>0.33</v>
      </c>
      <c r="CJ195" s="105">
        <v>7.98E-14</v>
      </c>
      <c r="CK195" s="105">
        <v>2.6E-14</v>
      </c>
      <c r="CL195" s="112">
        <v>-1.71</v>
      </c>
      <c r="CM195" s="112">
        <v>0.22</v>
      </c>
      <c r="CN195" s="105">
        <v>3.29E-14</v>
      </c>
      <c r="CO195" s="105">
        <v>4.1E-15</v>
      </c>
      <c r="CP195" s="105"/>
      <c r="CQ195" s="105"/>
      <c r="CR195" s="105"/>
      <c r="CS195" s="105"/>
      <c r="CT195" s="112">
        <v>-1.23</v>
      </c>
      <c r="CU195" s="112">
        <v>0.18</v>
      </c>
      <c r="CV195" s="105">
        <v>9.32E-14</v>
      </c>
      <c r="CW195" s="105">
        <v>1.06E-14</v>
      </c>
      <c r="CX195" s="112">
        <v>-0.32</v>
      </c>
      <c r="CY195" s="112">
        <v>0.06</v>
      </c>
      <c r="CZ195" s="105">
        <v>2.43E-14</v>
      </c>
      <c r="DA195" s="105">
        <v>4.0E-15</v>
      </c>
      <c r="DB195" s="112"/>
      <c r="DC195" s="112"/>
      <c r="DD195" s="112"/>
      <c r="DE195" s="112"/>
      <c r="DF195" s="105"/>
      <c r="DG195" s="105"/>
      <c r="DH195" s="105">
        <v>4.01E-13</v>
      </c>
      <c r="DI195" s="105"/>
      <c r="DJ195" s="105"/>
      <c r="DK195" s="105">
        <v>5.32E-13</v>
      </c>
      <c r="DL195" s="105"/>
      <c r="DM195" s="69"/>
      <c r="DN195" s="69"/>
      <c r="DO195" s="69"/>
      <c r="DP195" s="69"/>
      <c r="DQ195" s="11"/>
      <c r="DR195" s="69"/>
      <c r="DS195" s="69"/>
      <c r="DT195" s="69"/>
      <c r="DU195" s="69"/>
      <c r="DV195" s="73">
        <v>-0.7</v>
      </c>
      <c r="DW195" s="79">
        <v>0.25</v>
      </c>
      <c r="DX195" s="81">
        <v>3.63078E-8</v>
      </c>
      <c r="DY195" s="7"/>
      <c r="DZ195" s="7" t="s">
        <v>486</v>
      </c>
      <c r="EA195" s="7"/>
      <c r="EB195" s="7"/>
    </row>
    <row r="196">
      <c r="A196" s="55" t="s">
        <v>574</v>
      </c>
      <c r="B196" s="56" t="s">
        <v>575</v>
      </c>
      <c r="C196" s="57" t="s">
        <v>156</v>
      </c>
      <c r="D196" s="57">
        <v>1.49</v>
      </c>
      <c r="E196" s="4"/>
      <c r="F196" s="57" t="s">
        <v>168</v>
      </c>
      <c r="G196" s="58">
        <v>241.7542</v>
      </c>
      <c r="H196" s="58">
        <v>-39.0386</v>
      </c>
      <c r="I196" s="6" t="s">
        <v>314</v>
      </c>
      <c r="J196" s="6" t="s">
        <v>169</v>
      </c>
      <c r="K196" s="58">
        <v>3.0</v>
      </c>
      <c r="L196" s="59"/>
      <c r="M196" s="59">
        <v>2.0</v>
      </c>
      <c r="N196" s="58">
        <v>158.478605</v>
      </c>
      <c r="O196" s="6"/>
      <c r="P196" s="6"/>
      <c r="Q196" s="6"/>
      <c r="R196" s="6"/>
      <c r="S196" s="59">
        <v>6.5</v>
      </c>
      <c r="T196" s="59">
        <v>2.3</v>
      </c>
      <c r="U196" s="59">
        <v>0.25</v>
      </c>
      <c r="V196" s="59">
        <v>0.5</v>
      </c>
      <c r="W196" s="5"/>
      <c r="X196" s="5"/>
      <c r="Y196" s="62" t="s">
        <v>476</v>
      </c>
      <c r="Z196" s="6"/>
      <c r="AA196" s="6"/>
      <c r="AB196" s="6"/>
      <c r="AC196" s="5"/>
      <c r="AD196" s="5"/>
      <c r="AE196" s="5"/>
      <c r="AF196" s="5"/>
      <c r="AG196" s="5"/>
      <c r="AH196" s="6"/>
      <c r="AI196" s="6"/>
      <c r="AJ196" s="63" t="s">
        <v>476</v>
      </c>
      <c r="AK196" s="64" t="s">
        <v>192</v>
      </c>
      <c r="AL196" s="64" t="s">
        <v>477</v>
      </c>
      <c r="AM196" s="13"/>
      <c r="AN196" s="102">
        <v>200.0</v>
      </c>
      <c r="AO196" s="13"/>
      <c r="AP196" s="13" t="s">
        <v>427</v>
      </c>
      <c r="AQ196" s="97">
        <v>0.5</v>
      </c>
      <c r="AR196" s="78">
        <v>3850.0</v>
      </c>
      <c r="AS196" s="97">
        <v>177.0</v>
      </c>
      <c r="AT196" s="79">
        <v>0.57</v>
      </c>
      <c r="AU196" s="73">
        <v>0.15</v>
      </c>
      <c r="AV196" s="70">
        <v>0.488</v>
      </c>
      <c r="AW196" s="70">
        <v>0.225</v>
      </c>
      <c r="AX196" s="73">
        <v>1.61</v>
      </c>
      <c r="AY196" s="73">
        <v>0.37</v>
      </c>
      <c r="AZ196" s="11" t="s">
        <v>162</v>
      </c>
      <c r="BA196" s="111" t="s">
        <v>478</v>
      </c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2"/>
      <c r="DK196" s="12"/>
      <c r="DL196" s="12"/>
      <c r="DM196" s="69"/>
      <c r="DN196" s="69"/>
      <c r="DO196" s="69"/>
      <c r="DP196" s="69"/>
      <c r="DQ196" s="11"/>
      <c r="DR196" s="69"/>
      <c r="DS196" s="69"/>
      <c r="DT196" s="69"/>
      <c r="DU196" s="69"/>
      <c r="DV196" s="73">
        <v>-1.2</v>
      </c>
      <c r="DW196" s="79">
        <v>0.25</v>
      </c>
      <c r="DX196" s="81">
        <v>7.24436E-9</v>
      </c>
      <c r="DY196" s="7"/>
      <c r="DZ196" s="7" t="s">
        <v>486</v>
      </c>
      <c r="EA196" s="7"/>
      <c r="EB196" s="7"/>
    </row>
    <row r="197">
      <c r="A197" s="55" t="s">
        <v>576</v>
      </c>
      <c r="B197" s="56" t="s">
        <v>576</v>
      </c>
      <c r="C197" s="4"/>
      <c r="D197" s="4"/>
      <c r="E197" s="4"/>
      <c r="F197" s="57" t="s">
        <v>168</v>
      </c>
      <c r="G197" s="58">
        <v>242.0937229</v>
      </c>
      <c r="H197" s="58">
        <v>-39.07956329</v>
      </c>
      <c r="I197" s="6" t="s">
        <v>314</v>
      </c>
      <c r="J197" s="6" t="s">
        <v>169</v>
      </c>
      <c r="K197" s="58">
        <v>3.0</v>
      </c>
      <c r="L197" s="59"/>
      <c r="M197" s="59">
        <v>2.0</v>
      </c>
      <c r="N197" s="58">
        <v>156.2182682</v>
      </c>
      <c r="O197" s="59">
        <v>-9.594</v>
      </c>
      <c r="P197" s="59">
        <v>0.094</v>
      </c>
      <c r="Q197" s="59">
        <v>-24.475</v>
      </c>
      <c r="R197" s="59">
        <v>0.053</v>
      </c>
      <c r="S197" s="59">
        <v>-1.4</v>
      </c>
      <c r="T197" s="59">
        <v>2.1</v>
      </c>
      <c r="U197" s="59">
        <v>1.0</v>
      </c>
      <c r="V197" s="59">
        <v>0.5</v>
      </c>
      <c r="W197" s="5"/>
      <c r="X197" s="5"/>
      <c r="Y197" s="62" t="s">
        <v>476</v>
      </c>
      <c r="Z197" s="59">
        <v>11.7</v>
      </c>
      <c r="AA197" s="59">
        <v>0.05</v>
      </c>
      <c r="AB197" s="59">
        <v>9.53</v>
      </c>
      <c r="AC197" s="59">
        <v>0.023</v>
      </c>
      <c r="AD197" s="59">
        <v>8.65</v>
      </c>
      <c r="AE197" s="59">
        <v>0.05</v>
      </c>
      <c r="AF197" s="59">
        <v>8.014</v>
      </c>
      <c r="AG197" s="59">
        <v>0.021</v>
      </c>
      <c r="AH197" s="6"/>
      <c r="AI197" s="5"/>
      <c r="AJ197" s="63" t="s">
        <v>476</v>
      </c>
      <c r="AK197" s="64" t="s">
        <v>192</v>
      </c>
      <c r="AL197" s="97">
        <v>2015.0</v>
      </c>
      <c r="AM197" s="13"/>
      <c r="AN197" s="102">
        <v>200.0</v>
      </c>
      <c r="AO197" s="13"/>
      <c r="AP197" s="13" t="s">
        <v>434</v>
      </c>
      <c r="AQ197" s="97">
        <v>1.0</v>
      </c>
      <c r="AR197" s="78">
        <v>4060.0</v>
      </c>
      <c r="AS197" s="97">
        <v>187.0</v>
      </c>
      <c r="AT197" s="79">
        <v>0.74</v>
      </c>
      <c r="AU197" s="73">
        <v>0.2</v>
      </c>
      <c r="AV197" s="70">
        <v>2.5119</v>
      </c>
      <c r="AW197" s="70">
        <v>1.0755</v>
      </c>
      <c r="AX197" s="73">
        <v>3.2</v>
      </c>
      <c r="AY197" s="73">
        <v>0.69</v>
      </c>
      <c r="AZ197" s="11" t="s">
        <v>162</v>
      </c>
      <c r="BA197" s="11" t="s">
        <v>478</v>
      </c>
      <c r="BB197" s="112">
        <v>-27.42</v>
      </c>
      <c r="BC197" s="112">
        <v>1.41</v>
      </c>
      <c r="BD197" s="105">
        <v>4.24E-12</v>
      </c>
      <c r="BE197" s="105">
        <v>1.0E-13</v>
      </c>
      <c r="BF197" s="112">
        <v>-9.42</v>
      </c>
      <c r="BG197" s="112">
        <v>1.52</v>
      </c>
      <c r="BH197" s="105">
        <v>9.93E-13</v>
      </c>
      <c r="BI197" s="105">
        <v>9.2E-14</v>
      </c>
      <c r="BJ197" s="112">
        <v>-6.45</v>
      </c>
      <c r="BK197" s="112">
        <v>2.13</v>
      </c>
      <c r="BL197" s="105">
        <v>5.31E-13</v>
      </c>
      <c r="BM197" s="105">
        <v>9.9E-14</v>
      </c>
      <c r="BN197" s="112">
        <v>-6.85</v>
      </c>
      <c r="BO197" s="112">
        <v>1.53</v>
      </c>
      <c r="BP197" s="105">
        <v>4.28E-13</v>
      </c>
      <c r="BQ197" s="105">
        <v>6.2E-14</v>
      </c>
      <c r="BR197" s="112">
        <v>-7.43</v>
      </c>
      <c r="BS197" s="112">
        <v>1.58</v>
      </c>
      <c r="BT197" s="105">
        <v>3.4E-13</v>
      </c>
      <c r="BU197" s="105">
        <v>4.3E-14</v>
      </c>
      <c r="BV197" s="105"/>
      <c r="BW197" s="105"/>
      <c r="BX197" s="105"/>
      <c r="BY197" s="105"/>
      <c r="BZ197" s="112">
        <v>-2.38</v>
      </c>
      <c r="CA197" s="112">
        <v>0.21</v>
      </c>
      <c r="CB197" s="105">
        <v>2.82E-13</v>
      </c>
      <c r="CC197" s="105">
        <v>2.2E-14</v>
      </c>
      <c r="CD197" s="112">
        <v>-2.69</v>
      </c>
      <c r="CE197" s="112">
        <v>0.65</v>
      </c>
      <c r="CF197" s="105">
        <v>3.33E-13</v>
      </c>
      <c r="CG197" s="105">
        <v>7.4E-14</v>
      </c>
      <c r="CH197" s="112">
        <v>-1.5</v>
      </c>
      <c r="CI197" s="112">
        <v>0.37</v>
      </c>
      <c r="CJ197" s="105">
        <v>1.88E-13</v>
      </c>
      <c r="CK197" s="105">
        <v>4.3E-14</v>
      </c>
      <c r="CL197" s="112">
        <v>-0.85</v>
      </c>
      <c r="CM197" s="112">
        <v>0.2</v>
      </c>
      <c r="CN197" s="105">
        <v>5.62E-14</v>
      </c>
      <c r="CO197" s="105">
        <v>1.29E-14</v>
      </c>
      <c r="CP197" s="105"/>
      <c r="CQ197" s="105"/>
      <c r="CR197" s="105"/>
      <c r="CS197" s="105"/>
      <c r="CT197" s="112">
        <v>-0.74</v>
      </c>
      <c r="CU197" s="112">
        <v>0.08</v>
      </c>
      <c r="CV197" s="105">
        <v>1.08E-13</v>
      </c>
      <c r="CW197" s="105">
        <v>1.0E-14</v>
      </c>
      <c r="CX197" s="112">
        <v>-0.09</v>
      </c>
      <c r="CY197" s="112">
        <v>0.02</v>
      </c>
      <c r="CZ197" s="105">
        <v>1.26E-14</v>
      </c>
      <c r="DA197" s="105">
        <v>3.1E-15</v>
      </c>
      <c r="DB197" s="112"/>
      <c r="DC197" s="112"/>
      <c r="DD197" s="112"/>
      <c r="DE197" s="112"/>
      <c r="DF197" s="105"/>
      <c r="DG197" s="105"/>
      <c r="DH197" s="105">
        <v>4.85E-13</v>
      </c>
      <c r="DI197" s="105"/>
      <c r="DJ197" s="105"/>
      <c r="DK197" s="105">
        <v>3.75E-13</v>
      </c>
      <c r="DL197" s="105"/>
      <c r="DM197" s="69"/>
      <c r="DN197" s="69"/>
      <c r="DO197" s="69"/>
      <c r="DP197" s="69"/>
      <c r="DQ197" s="11"/>
      <c r="DR197" s="69"/>
      <c r="DS197" s="69"/>
      <c r="DT197" s="69"/>
      <c r="DU197" s="69"/>
      <c r="DV197" s="73">
        <v>-0.5</v>
      </c>
      <c r="DW197" s="79">
        <v>0.25</v>
      </c>
      <c r="DX197" s="81">
        <v>5.49541E-8</v>
      </c>
      <c r="DY197" s="7"/>
      <c r="DZ197" s="7" t="s">
        <v>486</v>
      </c>
      <c r="EA197" s="7"/>
      <c r="EB197" s="7"/>
    </row>
    <row r="198">
      <c r="A198" s="55" t="s">
        <v>577</v>
      </c>
      <c r="B198" s="56" t="s">
        <v>577</v>
      </c>
      <c r="C198" s="4"/>
      <c r="D198" s="4"/>
      <c r="E198" s="4"/>
      <c r="F198" s="57" t="s">
        <v>168</v>
      </c>
      <c r="G198" s="58">
        <v>239.1762958</v>
      </c>
      <c r="H198" s="58">
        <v>-37.82096485</v>
      </c>
      <c r="I198" s="6" t="s">
        <v>314</v>
      </c>
      <c r="J198" s="6" t="s">
        <v>169</v>
      </c>
      <c r="K198" s="58">
        <v>3.0</v>
      </c>
      <c r="L198" s="59"/>
      <c r="M198" s="59">
        <v>2.0</v>
      </c>
      <c r="N198" s="58">
        <v>159.5736193</v>
      </c>
      <c r="O198" s="58">
        <v>-11.546</v>
      </c>
      <c r="P198" s="58">
        <v>0.139</v>
      </c>
      <c r="Q198" s="58">
        <v>-23.234</v>
      </c>
      <c r="R198" s="58">
        <v>0.09</v>
      </c>
      <c r="S198" s="59">
        <v>3.3</v>
      </c>
      <c r="T198" s="59">
        <v>1.8</v>
      </c>
      <c r="U198" s="59">
        <v>0.0</v>
      </c>
      <c r="V198" s="59">
        <v>0.5</v>
      </c>
      <c r="W198" s="5"/>
      <c r="X198" s="5"/>
      <c r="Y198" s="62" t="s">
        <v>476</v>
      </c>
      <c r="Z198" s="6"/>
      <c r="AA198" s="6"/>
      <c r="AB198" s="58">
        <v>8.732</v>
      </c>
      <c r="AC198" s="59">
        <v>0.026</v>
      </c>
      <c r="AD198" s="59">
        <v>7.824</v>
      </c>
      <c r="AE198" s="59">
        <v>0.042</v>
      </c>
      <c r="AF198" s="59">
        <v>7.138</v>
      </c>
      <c r="AG198" s="59">
        <v>0.024</v>
      </c>
      <c r="AH198" s="6"/>
      <c r="AI198" s="5"/>
      <c r="AJ198" s="63" t="s">
        <v>476</v>
      </c>
      <c r="AK198" s="64" t="s">
        <v>192</v>
      </c>
      <c r="AL198" s="64" t="s">
        <v>477</v>
      </c>
      <c r="AM198" s="13"/>
      <c r="AN198" s="102">
        <v>150.0</v>
      </c>
      <c r="AO198" s="13"/>
      <c r="AP198" s="13" t="s">
        <v>434</v>
      </c>
      <c r="AQ198" s="97">
        <v>1.0</v>
      </c>
      <c r="AR198" s="78">
        <v>4060.0</v>
      </c>
      <c r="AS198" s="97">
        <v>187.0</v>
      </c>
      <c r="AT198" s="79">
        <v>0.75</v>
      </c>
      <c r="AU198" s="73">
        <v>0.19</v>
      </c>
      <c r="AV198" s="70">
        <v>1.313</v>
      </c>
      <c r="AW198" s="70">
        <v>0.605</v>
      </c>
      <c r="AX198" s="73">
        <v>2.39</v>
      </c>
      <c r="AY198" s="73">
        <v>0.55</v>
      </c>
      <c r="AZ198" s="11" t="s">
        <v>162</v>
      </c>
      <c r="BA198" s="111" t="s">
        <v>478</v>
      </c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2"/>
      <c r="DK198" s="12"/>
      <c r="DL198" s="12"/>
      <c r="DM198" s="69"/>
      <c r="DN198" s="69"/>
      <c r="DO198" s="69"/>
      <c r="DP198" s="69"/>
      <c r="DQ198" s="11"/>
      <c r="DR198" s="69"/>
      <c r="DS198" s="69"/>
      <c r="DT198" s="69"/>
      <c r="DU198" s="69"/>
      <c r="DV198" s="73">
        <v>-0.3</v>
      </c>
      <c r="DW198" s="79">
        <v>0.25</v>
      </c>
      <c r="DX198" s="81">
        <v>6.45654E-8</v>
      </c>
      <c r="DY198" s="7"/>
      <c r="DZ198" s="7" t="s">
        <v>486</v>
      </c>
      <c r="EA198" s="7"/>
      <c r="EB198" s="7"/>
    </row>
    <row r="199">
      <c r="A199" s="55" t="s">
        <v>578</v>
      </c>
      <c r="B199" s="56" t="s">
        <v>578</v>
      </c>
      <c r="C199" s="4"/>
      <c r="D199" s="4"/>
      <c r="E199" s="4" t="s">
        <v>137</v>
      </c>
      <c r="F199" s="57" t="s">
        <v>168</v>
      </c>
      <c r="G199" s="58">
        <v>234.8657156</v>
      </c>
      <c r="H199" s="58">
        <v>-34.77144696</v>
      </c>
      <c r="I199" s="6" t="s">
        <v>314</v>
      </c>
      <c r="J199" s="6" t="s">
        <v>169</v>
      </c>
      <c r="K199" s="58">
        <v>3.0</v>
      </c>
      <c r="L199" s="59"/>
      <c r="M199" s="59">
        <v>2.0</v>
      </c>
      <c r="N199" s="58">
        <v>155.2939715</v>
      </c>
      <c r="O199" s="58">
        <v>-13.271</v>
      </c>
      <c r="P199" s="58">
        <v>0.12</v>
      </c>
      <c r="Q199" s="58">
        <v>-22.242</v>
      </c>
      <c r="R199" s="58">
        <v>0.069</v>
      </c>
      <c r="S199" s="59">
        <v>-2.7</v>
      </c>
      <c r="T199" s="59">
        <v>2.0</v>
      </c>
      <c r="U199" s="59">
        <v>0.6</v>
      </c>
      <c r="V199" s="59">
        <v>0.5</v>
      </c>
      <c r="W199" s="5"/>
      <c r="X199" s="5"/>
      <c r="Y199" s="62" t="s">
        <v>476</v>
      </c>
      <c r="Z199" s="58">
        <v>11.33</v>
      </c>
      <c r="AA199" s="58">
        <v>0.05</v>
      </c>
      <c r="AB199" s="58">
        <v>9.189</v>
      </c>
      <c r="AC199" s="59">
        <v>0.036</v>
      </c>
      <c r="AD199" s="59">
        <v>8.414</v>
      </c>
      <c r="AE199" s="59">
        <v>0.067</v>
      </c>
      <c r="AF199" s="59">
        <v>7.982</v>
      </c>
      <c r="AG199" s="59">
        <v>0.017</v>
      </c>
      <c r="AH199" s="6"/>
      <c r="AI199" s="6"/>
      <c r="AJ199" s="63" t="s">
        <v>476</v>
      </c>
      <c r="AK199" s="64" t="s">
        <v>192</v>
      </c>
      <c r="AL199" s="97">
        <v>2015.0</v>
      </c>
      <c r="AM199" s="13"/>
      <c r="AN199" s="102">
        <v>150.0</v>
      </c>
      <c r="AO199" s="13"/>
      <c r="AP199" s="13" t="s">
        <v>434</v>
      </c>
      <c r="AQ199" s="97">
        <v>1.0</v>
      </c>
      <c r="AR199" s="78">
        <v>4060.0</v>
      </c>
      <c r="AS199" s="97">
        <v>187.0</v>
      </c>
      <c r="AT199" s="79">
        <v>0.76</v>
      </c>
      <c r="AU199" s="73">
        <v>0.18</v>
      </c>
      <c r="AV199" s="70">
        <v>0.8318</v>
      </c>
      <c r="AW199" s="70">
        <v>0.3623</v>
      </c>
      <c r="AX199" s="73">
        <v>1.84</v>
      </c>
      <c r="AY199" s="73">
        <v>0.4</v>
      </c>
      <c r="AZ199" s="11" t="s">
        <v>162</v>
      </c>
      <c r="BA199" s="11" t="s">
        <v>478</v>
      </c>
      <c r="BB199" s="112">
        <v>-3.48</v>
      </c>
      <c r="BC199" s="112">
        <v>0.41</v>
      </c>
      <c r="BD199" s="105">
        <v>2.55E-13</v>
      </c>
      <c r="BE199" s="105">
        <v>2.2E-14</v>
      </c>
      <c r="BF199" s="112">
        <v>-0.66</v>
      </c>
      <c r="BG199" s="112">
        <v>0.22</v>
      </c>
      <c r="BH199" s="105">
        <v>2.87E-14</v>
      </c>
      <c r="BI199" s="105">
        <v>1.47E-14</v>
      </c>
      <c r="BJ199" s="11"/>
      <c r="BK199" s="11"/>
      <c r="BL199" s="11"/>
      <c r="BM199" s="11"/>
      <c r="BN199" s="112">
        <v>-0.88</v>
      </c>
      <c r="BO199" s="112">
        <v>0.35</v>
      </c>
      <c r="BP199" s="105">
        <v>1.45E-14</v>
      </c>
      <c r="BQ199" s="105">
        <v>8.5E-15</v>
      </c>
      <c r="BR199" s="112">
        <v>-2.07</v>
      </c>
      <c r="BS199" s="112">
        <v>0.83</v>
      </c>
      <c r="BT199" s="105">
        <v>1.38E-14</v>
      </c>
      <c r="BU199" s="105">
        <v>2.7E-15</v>
      </c>
      <c r="BV199" s="105"/>
      <c r="BW199" s="105"/>
      <c r="BX199" s="105"/>
      <c r="BY199" s="105"/>
      <c r="BZ199" s="11"/>
      <c r="CA199" s="11"/>
      <c r="CB199" s="105">
        <v>1.38E-14</v>
      </c>
      <c r="CC199" s="11"/>
      <c r="CD199" s="11"/>
      <c r="CE199" s="11"/>
      <c r="CF199" s="105">
        <v>7.58E-15</v>
      </c>
      <c r="CG199" s="11"/>
      <c r="CH199" s="11"/>
      <c r="CI199" s="11"/>
      <c r="CJ199" s="105">
        <v>1.45E-14</v>
      </c>
      <c r="CK199" s="11"/>
      <c r="CL199" s="11"/>
      <c r="CM199" s="11"/>
      <c r="CN199" s="105">
        <v>8.23E-15</v>
      </c>
      <c r="CO199" s="11"/>
      <c r="CP199" s="11"/>
      <c r="CQ199" s="11"/>
      <c r="CR199" s="11"/>
      <c r="CS199" s="11"/>
      <c r="CT199" s="11"/>
      <c r="CU199" s="11"/>
      <c r="CV199" s="105">
        <v>5.12E-15</v>
      </c>
      <c r="CW199" s="11"/>
      <c r="CX199" s="11"/>
      <c r="CY199" s="11"/>
      <c r="CZ199" s="11"/>
      <c r="DA199" s="11"/>
      <c r="DB199" s="11"/>
      <c r="DC199" s="11"/>
      <c r="DD199" s="11"/>
      <c r="DE199" s="11"/>
      <c r="DF199" s="105"/>
      <c r="DG199" s="105"/>
      <c r="DH199" s="105">
        <v>6.34E-14</v>
      </c>
      <c r="DI199" s="105"/>
      <c r="DJ199" s="105"/>
      <c r="DK199" s="105">
        <v>5.31E-14</v>
      </c>
      <c r="DL199" s="105"/>
      <c r="DM199" s="69"/>
      <c r="DN199" s="69"/>
      <c r="DO199" s="69"/>
      <c r="DP199" s="69"/>
      <c r="DQ199" s="11"/>
      <c r="DR199" s="69"/>
      <c r="DS199" s="69"/>
      <c r="DT199" s="69"/>
      <c r="DU199" s="69"/>
      <c r="DV199" s="73">
        <v>-2.6</v>
      </c>
      <c r="DW199" s="79">
        <v>0.25</v>
      </c>
      <c r="DX199" s="81">
        <v>2.45471E-10</v>
      </c>
      <c r="DY199" s="7"/>
      <c r="DZ199" s="7" t="s">
        <v>486</v>
      </c>
      <c r="EA199" s="7"/>
      <c r="EB199" s="7"/>
    </row>
    <row r="200">
      <c r="A200" s="55" t="s">
        <v>579</v>
      </c>
      <c r="B200" s="56" t="s">
        <v>579</v>
      </c>
      <c r="C200" s="4"/>
      <c r="D200" s="4"/>
      <c r="E200" s="4"/>
      <c r="F200" s="57" t="s">
        <v>168</v>
      </c>
      <c r="G200" s="58">
        <v>237.945658</v>
      </c>
      <c r="H200" s="58">
        <v>-35.94558694</v>
      </c>
      <c r="I200" s="6" t="s">
        <v>314</v>
      </c>
      <c r="J200" s="6" t="s">
        <v>169</v>
      </c>
      <c r="K200" s="58">
        <v>3.0</v>
      </c>
      <c r="L200" s="59"/>
      <c r="M200" s="59">
        <v>2.0</v>
      </c>
      <c r="N200" s="58">
        <v>154.822728</v>
      </c>
      <c r="O200" s="58">
        <v>-12.418</v>
      </c>
      <c r="P200" s="58">
        <v>0.088</v>
      </c>
      <c r="Q200" s="58">
        <v>-24.158</v>
      </c>
      <c r="R200" s="58">
        <v>0.058</v>
      </c>
      <c r="S200" s="58">
        <v>2.4</v>
      </c>
      <c r="T200" s="58">
        <v>1.5</v>
      </c>
      <c r="U200" s="59">
        <v>0.0</v>
      </c>
      <c r="V200" s="59">
        <v>0.5</v>
      </c>
      <c r="W200" s="5"/>
      <c r="X200" s="5"/>
      <c r="Y200" s="62" t="s">
        <v>476</v>
      </c>
      <c r="Z200" s="6"/>
      <c r="AA200" s="6"/>
      <c r="AB200" s="59">
        <v>9.444</v>
      </c>
      <c r="AC200" s="59">
        <v>0.024</v>
      </c>
      <c r="AD200" s="59">
        <v>8.59</v>
      </c>
      <c r="AE200" s="59">
        <v>0.021</v>
      </c>
      <c r="AF200" s="59">
        <v>8.271</v>
      </c>
      <c r="AG200" s="59">
        <v>0.026</v>
      </c>
      <c r="AH200" s="6"/>
      <c r="AI200" s="6"/>
      <c r="AJ200" s="63" t="s">
        <v>476</v>
      </c>
      <c r="AK200" s="64" t="s">
        <v>192</v>
      </c>
      <c r="AL200" s="97">
        <v>2010.0</v>
      </c>
      <c r="AM200" s="13"/>
      <c r="AN200" s="102">
        <v>150.0</v>
      </c>
      <c r="AO200" s="13"/>
      <c r="AP200" s="13" t="s">
        <v>434</v>
      </c>
      <c r="AQ200" s="97">
        <v>1.0</v>
      </c>
      <c r="AR200" s="78">
        <v>4060.0</v>
      </c>
      <c r="AS200" s="97">
        <v>187.0</v>
      </c>
      <c r="AT200" s="79">
        <v>0.79</v>
      </c>
      <c r="AU200" s="73">
        <v>0.17</v>
      </c>
      <c r="AV200" s="70">
        <v>0.5495</v>
      </c>
      <c r="AW200" s="70">
        <v>0.2428</v>
      </c>
      <c r="AX200" s="73">
        <v>1.5</v>
      </c>
      <c r="AY200" s="73">
        <v>0.36</v>
      </c>
      <c r="AZ200" s="11" t="s">
        <v>162</v>
      </c>
      <c r="BA200" s="11" t="s">
        <v>478</v>
      </c>
      <c r="BB200" s="112">
        <v>-7.79</v>
      </c>
      <c r="BC200" s="112">
        <v>0.96</v>
      </c>
      <c r="BD200" s="105">
        <v>4.13E-13</v>
      </c>
      <c r="BE200" s="105">
        <v>2.9E-14</v>
      </c>
      <c r="BF200" s="112">
        <v>-3.28</v>
      </c>
      <c r="BG200" s="112">
        <v>1.27</v>
      </c>
      <c r="BH200" s="105">
        <v>1.0E-13</v>
      </c>
      <c r="BI200" s="105">
        <v>2.6E-14</v>
      </c>
      <c r="BJ200" s="112">
        <v>-3.75</v>
      </c>
      <c r="BK200" s="112">
        <v>1.31</v>
      </c>
      <c r="BL200" s="105">
        <v>6.93E-14</v>
      </c>
      <c r="BM200" s="105">
        <v>2.91E-14</v>
      </c>
      <c r="BN200" s="112">
        <v>-3.83</v>
      </c>
      <c r="BO200" s="112">
        <v>1.6</v>
      </c>
      <c r="BP200" s="105">
        <v>5.1E-14</v>
      </c>
      <c r="BQ200" s="105">
        <v>1.79E-14</v>
      </c>
      <c r="BR200" s="112">
        <v>-4.82</v>
      </c>
      <c r="BS200" s="112">
        <v>2.38</v>
      </c>
      <c r="BT200" s="105">
        <v>3.84E-14</v>
      </c>
      <c r="BU200" s="105">
        <v>1.13E-14</v>
      </c>
      <c r="BV200" s="105"/>
      <c r="BW200" s="105"/>
      <c r="BX200" s="105"/>
      <c r="BY200" s="105"/>
      <c r="BZ200" s="11"/>
      <c r="CA200" s="11"/>
      <c r="CB200" s="105">
        <v>9.46E-14</v>
      </c>
      <c r="CC200" s="11"/>
      <c r="CD200" s="11"/>
      <c r="CE200" s="11"/>
      <c r="CF200" s="105">
        <v>1.48E-13</v>
      </c>
      <c r="CG200" s="11"/>
      <c r="CH200" s="11"/>
      <c r="CI200" s="11"/>
      <c r="CJ200" s="105">
        <v>1.17E-14</v>
      </c>
      <c r="CK200" s="11"/>
      <c r="CL200" s="11"/>
      <c r="CM200" s="11"/>
      <c r="CN200" s="105">
        <v>2.59E-14</v>
      </c>
      <c r="CO200" s="11"/>
      <c r="CP200" s="11"/>
      <c r="CQ200" s="11"/>
      <c r="CR200" s="11"/>
      <c r="CS200" s="11"/>
      <c r="CT200" s="112">
        <v>-0.24</v>
      </c>
      <c r="CU200" s="112">
        <v>0.07</v>
      </c>
      <c r="CV200" s="105">
        <v>1.17E-14</v>
      </c>
      <c r="CW200" s="105">
        <v>3.2E-15</v>
      </c>
      <c r="CX200" s="11"/>
      <c r="CY200" s="11"/>
      <c r="CZ200" s="105">
        <v>5.06E-15</v>
      </c>
      <c r="DA200" s="11"/>
      <c r="DB200" s="11"/>
      <c r="DC200" s="11"/>
      <c r="DD200" s="11"/>
      <c r="DE200" s="11"/>
      <c r="DF200" s="105"/>
      <c r="DG200" s="105"/>
      <c r="DH200" s="105">
        <v>6.2E-14</v>
      </c>
      <c r="DI200" s="105"/>
      <c r="DJ200" s="105"/>
      <c r="DK200" s="105">
        <v>7.6E-14</v>
      </c>
      <c r="DL200" s="105"/>
      <c r="DM200" s="69"/>
      <c r="DN200" s="69"/>
      <c r="DO200" s="69"/>
      <c r="DP200" s="69"/>
      <c r="DQ200" s="11"/>
      <c r="DR200" s="69"/>
      <c r="DS200" s="69"/>
      <c r="DT200" s="69"/>
      <c r="DU200" s="69"/>
      <c r="DV200" s="73">
        <v>-1.7</v>
      </c>
      <c r="DW200" s="79">
        <v>0.25</v>
      </c>
      <c r="DX200" s="81">
        <v>1.54882E-9</v>
      </c>
      <c r="DY200" s="7"/>
      <c r="DZ200" s="7" t="s">
        <v>486</v>
      </c>
      <c r="EA200" s="7"/>
      <c r="EB200" s="7"/>
    </row>
    <row r="201">
      <c r="A201" s="55" t="s">
        <v>580</v>
      </c>
      <c r="B201" s="56" t="s">
        <v>580</v>
      </c>
      <c r="C201" s="4"/>
      <c r="D201" s="4"/>
      <c r="E201" s="4"/>
      <c r="F201" s="57" t="s">
        <v>168</v>
      </c>
      <c r="G201" s="58">
        <v>241.7919556</v>
      </c>
      <c r="H201" s="58">
        <v>-39.18423846</v>
      </c>
      <c r="I201" s="6" t="s">
        <v>314</v>
      </c>
      <c r="J201" s="6" t="s">
        <v>169</v>
      </c>
      <c r="K201" s="58">
        <v>3.0</v>
      </c>
      <c r="L201" s="59"/>
      <c r="M201" s="59">
        <v>2.0</v>
      </c>
      <c r="N201" s="58">
        <v>160.4003593</v>
      </c>
      <c r="O201" s="58">
        <v>-9.279</v>
      </c>
      <c r="P201" s="58">
        <v>0.112</v>
      </c>
      <c r="Q201" s="58">
        <v>-25.434</v>
      </c>
      <c r="R201" s="58">
        <v>0.058</v>
      </c>
      <c r="S201" s="59">
        <v>1.6</v>
      </c>
      <c r="T201" s="59">
        <v>2.3</v>
      </c>
      <c r="U201" s="59">
        <v>1.8</v>
      </c>
      <c r="V201" s="59">
        <v>0.5</v>
      </c>
      <c r="W201" s="5"/>
      <c r="X201" s="5"/>
      <c r="Y201" s="62" t="s">
        <v>476</v>
      </c>
      <c r="Z201" s="58">
        <v>13.7</v>
      </c>
      <c r="AA201" s="58">
        <v>0.68</v>
      </c>
      <c r="AB201" s="58">
        <v>10.356</v>
      </c>
      <c r="AC201" s="59">
        <v>0.021</v>
      </c>
      <c r="AD201" s="59">
        <v>9.32</v>
      </c>
      <c r="AE201" s="59">
        <v>0.024</v>
      </c>
      <c r="AF201" s="59">
        <v>8.724</v>
      </c>
      <c r="AG201" s="59">
        <v>0.023</v>
      </c>
      <c r="AH201" s="6"/>
      <c r="AI201" s="6"/>
      <c r="AJ201" s="63" t="s">
        <v>476</v>
      </c>
      <c r="AK201" s="64" t="s">
        <v>192</v>
      </c>
      <c r="AL201" s="97">
        <v>2015.0</v>
      </c>
      <c r="AM201" s="13"/>
      <c r="AN201" s="102">
        <v>200.0</v>
      </c>
      <c r="AO201" s="13"/>
      <c r="AP201" s="13" t="s">
        <v>434</v>
      </c>
      <c r="AQ201" s="97">
        <v>1.0</v>
      </c>
      <c r="AR201" s="78">
        <v>4060.0</v>
      </c>
      <c r="AS201" s="97">
        <v>187.0</v>
      </c>
      <c r="AT201" s="79">
        <v>0.79</v>
      </c>
      <c r="AU201" s="73">
        <v>0.17</v>
      </c>
      <c r="AV201" s="70">
        <v>0.6607</v>
      </c>
      <c r="AW201" s="70">
        <v>0.2845</v>
      </c>
      <c r="AX201" s="73">
        <v>1.64</v>
      </c>
      <c r="AY201" s="73">
        <v>0.36</v>
      </c>
      <c r="AZ201" s="11" t="s">
        <v>162</v>
      </c>
      <c r="BA201" s="11" t="s">
        <v>478</v>
      </c>
      <c r="BB201" s="112">
        <v>-16.79</v>
      </c>
      <c r="BC201" s="112">
        <v>1.34</v>
      </c>
      <c r="BD201" s="105">
        <v>6.01E-13</v>
      </c>
      <c r="BE201" s="105">
        <v>2.5E-14</v>
      </c>
      <c r="BF201" s="112">
        <v>-8.46</v>
      </c>
      <c r="BG201" s="112">
        <v>2.18</v>
      </c>
      <c r="BH201" s="105">
        <v>1.65E-13</v>
      </c>
      <c r="BI201" s="105">
        <v>2.7E-14</v>
      </c>
      <c r="BJ201" s="112">
        <v>-6.91</v>
      </c>
      <c r="BK201" s="112">
        <v>2.09</v>
      </c>
      <c r="BL201" s="105">
        <v>9.79E-14</v>
      </c>
      <c r="BM201" s="105">
        <v>2.12E-14</v>
      </c>
      <c r="BN201" s="112">
        <v>-12.29</v>
      </c>
      <c r="BO201" s="112">
        <v>3.17</v>
      </c>
      <c r="BP201" s="105">
        <v>1.04E-13</v>
      </c>
      <c r="BQ201" s="105">
        <v>1.5E-14</v>
      </c>
      <c r="BR201" s="112">
        <v>-17.05</v>
      </c>
      <c r="BS201" s="112">
        <v>4.78</v>
      </c>
      <c r="BT201" s="105">
        <v>1.07E-13</v>
      </c>
      <c r="BU201" s="105">
        <v>2.0E-14</v>
      </c>
      <c r="BV201" s="105"/>
      <c r="BW201" s="105"/>
      <c r="BX201" s="105"/>
      <c r="BY201" s="105"/>
      <c r="BZ201" s="112">
        <v>-2.18</v>
      </c>
      <c r="CA201" s="112">
        <v>0.38</v>
      </c>
      <c r="CB201" s="105">
        <v>5.77E-14</v>
      </c>
      <c r="CC201" s="105">
        <v>9.5E-15</v>
      </c>
      <c r="CD201" s="112">
        <v>-2.14</v>
      </c>
      <c r="CE201" s="112">
        <v>0.44</v>
      </c>
      <c r="CF201" s="105">
        <v>6.59E-14</v>
      </c>
      <c r="CG201" s="105">
        <v>1.25E-14</v>
      </c>
      <c r="CH201" s="112">
        <v>-1.26</v>
      </c>
      <c r="CI201" s="112">
        <v>0.33</v>
      </c>
      <c r="CJ201" s="105">
        <v>4.02E-14</v>
      </c>
      <c r="CK201" s="105">
        <v>1.0E-14</v>
      </c>
      <c r="CL201" s="11"/>
      <c r="CM201" s="11"/>
      <c r="CN201" s="105">
        <v>1.93E-14</v>
      </c>
      <c r="CO201" s="11"/>
      <c r="CP201" s="11"/>
      <c r="CQ201" s="11"/>
      <c r="CR201" s="11"/>
      <c r="CS201" s="11"/>
      <c r="CT201" s="112">
        <v>-0.55</v>
      </c>
      <c r="CU201" s="112">
        <v>0.06</v>
      </c>
      <c r="CV201" s="105">
        <v>1.78E-14</v>
      </c>
      <c r="CW201" s="105">
        <v>1.7E-15</v>
      </c>
      <c r="CX201" s="11"/>
      <c r="CY201" s="11"/>
      <c r="CZ201" s="105">
        <v>5.42E-15</v>
      </c>
      <c r="DA201" s="11"/>
      <c r="DB201" s="11"/>
      <c r="DC201" s="11"/>
      <c r="DD201" s="11"/>
      <c r="DE201" s="11"/>
      <c r="DF201" s="105"/>
      <c r="DG201" s="105"/>
      <c r="DH201" s="105">
        <v>8.55E-14</v>
      </c>
      <c r="DI201" s="105"/>
      <c r="DJ201" s="105"/>
      <c r="DK201" s="105">
        <v>5.26E-14</v>
      </c>
      <c r="DL201" s="105"/>
      <c r="DM201" s="12"/>
      <c r="DN201" s="12"/>
      <c r="DO201" s="12"/>
      <c r="DP201" s="12"/>
      <c r="DQ201" s="11"/>
      <c r="DR201" s="12"/>
      <c r="DS201" s="12"/>
      <c r="DT201" s="12"/>
      <c r="DU201" s="12"/>
      <c r="DV201" s="73">
        <v>-1.6</v>
      </c>
      <c r="DW201" s="79">
        <v>0.25</v>
      </c>
      <c r="DX201" s="81">
        <v>2.0893E-9</v>
      </c>
      <c r="DY201" s="7"/>
      <c r="DZ201" s="7" t="s">
        <v>486</v>
      </c>
      <c r="EA201" s="7"/>
      <c r="EB201" s="7"/>
    </row>
    <row r="202">
      <c r="A202" s="55" t="s">
        <v>581</v>
      </c>
      <c r="B202" s="56" t="s">
        <v>581</v>
      </c>
      <c r="C202" s="4"/>
      <c r="D202" s="4"/>
      <c r="E202" s="4"/>
      <c r="F202" s="57" t="s">
        <v>168</v>
      </c>
      <c r="G202" s="58">
        <v>239.8186311</v>
      </c>
      <c r="H202" s="58">
        <v>-41.95286119</v>
      </c>
      <c r="I202" s="6" t="s">
        <v>314</v>
      </c>
      <c r="J202" s="6" t="s">
        <v>169</v>
      </c>
      <c r="K202" s="58">
        <v>3.0</v>
      </c>
      <c r="L202" s="59"/>
      <c r="M202" s="59">
        <v>2.0</v>
      </c>
      <c r="N202" s="58">
        <v>161.6814875</v>
      </c>
      <c r="O202" s="58">
        <v>-10.463</v>
      </c>
      <c r="P202" s="58">
        <v>0.09</v>
      </c>
      <c r="Q202" s="58">
        <v>-23.114</v>
      </c>
      <c r="R202" s="58">
        <v>0.06</v>
      </c>
      <c r="S202" s="59">
        <v>3.2</v>
      </c>
      <c r="T202" s="59">
        <v>2.5</v>
      </c>
      <c r="U202" s="59">
        <v>0.9</v>
      </c>
      <c r="V202" s="59">
        <v>0.5</v>
      </c>
      <c r="W202" s="5"/>
      <c r="X202" s="5"/>
      <c r="Y202" s="62" t="s">
        <v>476</v>
      </c>
      <c r="Z202" s="6"/>
      <c r="AA202" s="6"/>
      <c r="AB202" s="58">
        <v>9.933</v>
      </c>
      <c r="AC202" s="59">
        <v>0.024</v>
      </c>
      <c r="AD202" s="59">
        <v>9.083</v>
      </c>
      <c r="AE202" s="59">
        <v>0.022</v>
      </c>
      <c r="AF202" s="59">
        <v>8.608</v>
      </c>
      <c r="AG202" s="59">
        <v>0.023</v>
      </c>
      <c r="AH202" s="6"/>
      <c r="AI202" s="6"/>
      <c r="AJ202" s="63" t="s">
        <v>476</v>
      </c>
      <c r="AK202" s="64" t="s">
        <v>192</v>
      </c>
      <c r="AL202" s="97">
        <v>2015.0</v>
      </c>
      <c r="AM202" s="13"/>
      <c r="AN202" s="102">
        <v>150.0</v>
      </c>
      <c r="AO202" s="13"/>
      <c r="AP202" s="13" t="s">
        <v>434</v>
      </c>
      <c r="AQ202" s="97">
        <v>1.0</v>
      </c>
      <c r="AR202" s="78">
        <v>4060.0</v>
      </c>
      <c r="AS202" s="97">
        <v>187.0</v>
      </c>
      <c r="AT202" s="79">
        <v>0.8</v>
      </c>
      <c r="AU202" s="73">
        <v>0.16</v>
      </c>
      <c r="AV202" s="70">
        <v>0.3715</v>
      </c>
      <c r="AW202" s="70">
        <v>0.16</v>
      </c>
      <c r="AX202" s="73">
        <v>1.23</v>
      </c>
      <c r="AY202" s="73">
        <v>0.27</v>
      </c>
      <c r="AZ202" s="11" t="s">
        <v>162</v>
      </c>
      <c r="BA202" s="11" t="s">
        <v>478</v>
      </c>
      <c r="BB202" s="112">
        <v>-25.11</v>
      </c>
      <c r="BC202" s="112">
        <v>2.04</v>
      </c>
      <c r="BD202" s="105">
        <v>1.13E-12</v>
      </c>
      <c r="BE202" s="105">
        <v>3.0E-14</v>
      </c>
      <c r="BF202" s="112">
        <v>-15.98</v>
      </c>
      <c r="BG202" s="112">
        <v>2.84</v>
      </c>
      <c r="BH202" s="105">
        <v>5.07E-13</v>
      </c>
      <c r="BI202" s="105">
        <v>4.2E-14</v>
      </c>
      <c r="BJ202" s="112">
        <v>-16.38</v>
      </c>
      <c r="BK202" s="112">
        <v>3.28</v>
      </c>
      <c r="BL202" s="105">
        <v>4.14E-13</v>
      </c>
      <c r="BM202" s="105">
        <v>3.9E-14</v>
      </c>
      <c r="BN202" s="112">
        <v>-16.71</v>
      </c>
      <c r="BO202" s="112">
        <v>2.94</v>
      </c>
      <c r="BP202" s="105">
        <v>3.54E-13</v>
      </c>
      <c r="BQ202" s="105">
        <v>3.2E-14</v>
      </c>
      <c r="BR202" s="112">
        <v>-13.86</v>
      </c>
      <c r="BS202" s="112">
        <v>1.95</v>
      </c>
      <c r="BT202" s="105">
        <v>2.38E-13</v>
      </c>
      <c r="BU202" s="105">
        <v>1.9E-14</v>
      </c>
      <c r="BV202" s="105"/>
      <c r="BW202" s="105"/>
      <c r="BX202" s="105"/>
      <c r="BY202" s="105"/>
      <c r="BZ202" s="112">
        <v>-2.08</v>
      </c>
      <c r="CA202" s="112">
        <v>0.4</v>
      </c>
      <c r="CB202" s="105">
        <v>6.14E-14</v>
      </c>
      <c r="CC202" s="105">
        <v>1.04E-14</v>
      </c>
      <c r="CD202" s="112">
        <v>-2.99</v>
      </c>
      <c r="CE202" s="112">
        <v>0.38</v>
      </c>
      <c r="CF202" s="105">
        <v>1.1E-13</v>
      </c>
      <c r="CG202" s="105">
        <v>1.3E-14</v>
      </c>
      <c r="CH202" s="112">
        <v>-2.33</v>
      </c>
      <c r="CI202" s="112">
        <v>0.6</v>
      </c>
      <c r="CJ202" s="105">
        <v>8.1E-14</v>
      </c>
      <c r="CK202" s="105">
        <v>2.43E-14</v>
      </c>
      <c r="CL202" s="112">
        <v>-1.22</v>
      </c>
      <c r="CM202" s="112">
        <v>0.37</v>
      </c>
      <c r="CN202" s="105">
        <v>1.62E-14</v>
      </c>
      <c r="CO202" s="105">
        <v>4.7E-15</v>
      </c>
      <c r="CP202" s="105"/>
      <c r="CQ202" s="105"/>
      <c r="CR202" s="105"/>
      <c r="CS202" s="105"/>
      <c r="CT202" s="112">
        <v>-1.79</v>
      </c>
      <c r="CU202" s="112">
        <v>0.14</v>
      </c>
      <c r="CV202" s="105">
        <v>7.06E-14</v>
      </c>
      <c r="CW202" s="105">
        <v>3.7E-15</v>
      </c>
      <c r="CX202" s="112">
        <v>-0.58</v>
      </c>
      <c r="CY202" s="112">
        <v>0.08</v>
      </c>
      <c r="CZ202" s="105">
        <v>2.33E-14</v>
      </c>
      <c r="DA202" s="105">
        <v>2.5E-15</v>
      </c>
      <c r="DB202" s="112"/>
      <c r="DC202" s="112"/>
      <c r="DD202" s="112"/>
      <c r="DE202" s="112"/>
      <c r="DF202" s="105"/>
      <c r="DG202" s="105"/>
      <c r="DH202" s="105">
        <v>1.54E-13</v>
      </c>
      <c r="DI202" s="105"/>
      <c r="DJ202" s="105"/>
      <c r="DK202" s="105">
        <v>2.02E-13</v>
      </c>
      <c r="DL202" s="105"/>
      <c r="DM202" s="69"/>
      <c r="DN202" s="69"/>
      <c r="DO202" s="69"/>
      <c r="DP202" s="69"/>
      <c r="DQ202" s="11"/>
      <c r="DR202" s="69"/>
      <c r="DS202" s="69"/>
      <c r="DT202" s="69"/>
      <c r="DU202" s="69"/>
      <c r="DV202" s="73">
        <v>-1.2</v>
      </c>
      <c r="DW202" s="79">
        <v>0.25</v>
      </c>
      <c r="DX202" s="81">
        <v>3.89045E-9</v>
      </c>
      <c r="DY202" s="7"/>
      <c r="DZ202" s="7" t="s">
        <v>486</v>
      </c>
      <c r="EA202" s="7"/>
      <c r="EB202" s="7"/>
    </row>
    <row r="203">
      <c r="A203" s="55" t="s">
        <v>582</v>
      </c>
      <c r="B203" s="56" t="s">
        <v>582</v>
      </c>
      <c r="C203" s="4"/>
      <c r="D203" s="4"/>
      <c r="E203" s="4"/>
      <c r="F203" s="57" t="s">
        <v>168</v>
      </c>
      <c r="G203" s="58">
        <v>236.9872639</v>
      </c>
      <c r="H203" s="58">
        <v>-35.2429994</v>
      </c>
      <c r="I203" s="6" t="s">
        <v>314</v>
      </c>
      <c r="J203" s="6" t="s">
        <v>169</v>
      </c>
      <c r="K203" s="58">
        <v>3.0</v>
      </c>
      <c r="L203" s="59"/>
      <c r="M203" s="59">
        <v>2.0</v>
      </c>
      <c r="N203" s="58">
        <v>156.7791296</v>
      </c>
      <c r="O203" s="58">
        <v>-14.203</v>
      </c>
      <c r="P203" s="58">
        <v>0.112</v>
      </c>
      <c r="Q203" s="58">
        <v>-22.264</v>
      </c>
      <c r="R203" s="58">
        <v>0.073</v>
      </c>
      <c r="S203" s="59">
        <v>5.0</v>
      </c>
      <c r="T203" s="59">
        <v>2.2</v>
      </c>
      <c r="U203" s="59">
        <v>3.5</v>
      </c>
      <c r="V203" s="59">
        <v>0.5</v>
      </c>
      <c r="W203" s="5"/>
      <c r="X203" s="5"/>
      <c r="Y203" s="62" t="s">
        <v>476</v>
      </c>
      <c r="Z203" s="6"/>
      <c r="AA203" s="6"/>
      <c r="AB203" s="59">
        <v>10.739</v>
      </c>
      <c r="AC203" s="59">
        <v>0.026</v>
      </c>
      <c r="AD203" s="59">
        <v>9.526</v>
      </c>
      <c r="AE203" s="59">
        <v>0.026</v>
      </c>
      <c r="AF203" s="59">
        <v>8.826</v>
      </c>
      <c r="AG203" s="59">
        <v>0.019</v>
      </c>
      <c r="AH203" s="6"/>
      <c r="AI203" s="5"/>
      <c r="AJ203" s="63" t="s">
        <v>476</v>
      </c>
      <c r="AK203" s="64" t="s">
        <v>192</v>
      </c>
      <c r="AL203" s="64" t="s">
        <v>477</v>
      </c>
      <c r="AM203" s="13"/>
      <c r="AN203" s="102">
        <v>150.0</v>
      </c>
      <c r="AO203" s="13"/>
      <c r="AP203" s="13" t="s">
        <v>434</v>
      </c>
      <c r="AQ203" s="97">
        <v>1.0</v>
      </c>
      <c r="AR203" s="78">
        <v>4060.0</v>
      </c>
      <c r="AS203" s="97">
        <v>187.0</v>
      </c>
      <c r="AT203" s="79">
        <v>0.82</v>
      </c>
      <c r="AU203" s="73">
        <v>0.16</v>
      </c>
      <c r="AV203" s="70">
        <v>0.419</v>
      </c>
      <c r="AW203" s="70">
        <v>0.193</v>
      </c>
      <c r="AX203" s="73">
        <v>1.35</v>
      </c>
      <c r="AY203" s="73">
        <v>0.31</v>
      </c>
      <c r="AZ203" s="11" t="s">
        <v>162</v>
      </c>
      <c r="BA203" s="111" t="s">
        <v>478</v>
      </c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2"/>
      <c r="DK203" s="12"/>
      <c r="DL203" s="12"/>
      <c r="DM203" s="69"/>
      <c r="DN203" s="69"/>
      <c r="DO203" s="69"/>
      <c r="DP203" s="69"/>
      <c r="DQ203" s="11"/>
      <c r="DR203" s="69"/>
      <c r="DS203" s="69"/>
      <c r="DT203" s="69"/>
      <c r="DU203" s="69"/>
      <c r="DV203" s="73">
        <v>-1.0</v>
      </c>
      <c r="DW203" s="79">
        <v>0.25</v>
      </c>
      <c r="DX203" s="81">
        <v>6.60693E-9</v>
      </c>
      <c r="DY203" s="7"/>
      <c r="DZ203" s="7" t="s">
        <v>486</v>
      </c>
      <c r="EA203" s="7"/>
      <c r="EB203" s="7"/>
    </row>
    <row r="204">
      <c r="A204" s="55" t="s">
        <v>583</v>
      </c>
      <c r="B204" s="56" t="s">
        <v>583</v>
      </c>
      <c r="C204" s="4"/>
      <c r="D204" s="4"/>
      <c r="E204" s="4" t="s">
        <v>137</v>
      </c>
      <c r="F204" s="57" t="s">
        <v>168</v>
      </c>
      <c r="G204" s="58">
        <v>240.1875</v>
      </c>
      <c r="H204" s="58">
        <v>-41.9253</v>
      </c>
      <c r="I204" s="6" t="s">
        <v>314</v>
      </c>
      <c r="J204" s="6" t="s">
        <v>159</v>
      </c>
      <c r="K204" s="58">
        <v>3.0</v>
      </c>
      <c r="L204" s="59"/>
      <c r="M204" s="59">
        <v>2.0</v>
      </c>
      <c r="N204" s="58">
        <v>156.5851902</v>
      </c>
      <c r="O204" s="58">
        <v>-11.429</v>
      </c>
      <c r="P204" s="58">
        <v>0.095</v>
      </c>
      <c r="Q204" s="58">
        <v>-23.399</v>
      </c>
      <c r="R204" s="58">
        <v>0.069</v>
      </c>
      <c r="S204" s="59">
        <v>4.4</v>
      </c>
      <c r="T204" s="59">
        <v>2.1</v>
      </c>
      <c r="U204" s="59">
        <v>1.3</v>
      </c>
      <c r="V204" s="59">
        <v>0.5</v>
      </c>
      <c r="W204" s="5"/>
      <c r="X204" s="5"/>
      <c r="Y204" s="62" t="s">
        <v>476</v>
      </c>
      <c r="Z204" s="58">
        <v>11.06</v>
      </c>
      <c r="AA204" s="58">
        <v>0.05</v>
      </c>
      <c r="AB204" s="58">
        <v>9.457</v>
      </c>
      <c r="AC204" s="59">
        <v>0.026</v>
      </c>
      <c r="AD204" s="59">
        <v>8.69</v>
      </c>
      <c r="AE204" s="59">
        <v>0.03</v>
      </c>
      <c r="AF204" s="59">
        <v>8.348</v>
      </c>
      <c r="AG204" s="59">
        <v>0.023</v>
      </c>
      <c r="AH204" s="6"/>
      <c r="AI204" s="6"/>
      <c r="AJ204" s="63" t="s">
        <v>476</v>
      </c>
      <c r="AK204" s="64" t="s">
        <v>192</v>
      </c>
      <c r="AL204" s="97">
        <v>2015.0</v>
      </c>
      <c r="AM204" s="13"/>
      <c r="AN204" s="102">
        <v>150.0</v>
      </c>
      <c r="AO204" s="13"/>
      <c r="AP204" s="13" t="s">
        <v>584</v>
      </c>
      <c r="AQ204" s="97">
        <v>1.0</v>
      </c>
      <c r="AR204" s="78">
        <v>5100.0</v>
      </c>
      <c r="AS204" s="97">
        <v>235.0</v>
      </c>
      <c r="AT204" s="79">
        <v>1.02</v>
      </c>
      <c r="AU204" s="73">
        <v>0.13</v>
      </c>
      <c r="AV204" s="70">
        <v>0.7762</v>
      </c>
      <c r="AW204" s="70">
        <v>0.3315</v>
      </c>
      <c r="AX204" s="73">
        <v>1.13</v>
      </c>
      <c r="AY204" s="73">
        <v>0.24</v>
      </c>
      <c r="AZ204" s="11" t="s">
        <v>162</v>
      </c>
      <c r="BA204" s="11" t="s">
        <v>478</v>
      </c>
      <c r="BB204" s="112">
        <v>-0.51</v>
      </c>
      <c r="BC204" s="112">
        <v>0.45</v>
      </c>
      <c r="BD204" s="105">
        <v>6.04E-14</v>
      </c>
      <c r="BE204" s="105">
        <v>4.93E-14</v>
      </c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2">
        <v>-1.88</v>
      </c>
      <c r="CA204" s="112">
        <v>0.08</v>
      </c>
      <c r="CB204" s="105">
        <v>6.11E-14</v>
      </c>
      <c r="CC204" s="105">
        <v>2.4E-15</v>
      </c>
      <c r="CD204" s="11"/>
      <c r="CE204" s="11"/>
      <c r="CF204" s="105">
        <v>5.48E-15</v>
      </c>
      <c r="CG204" s="11"/>
      <c r="CH204" s="11"/>
      <c r="CI204" s="11"/>
      <c r="CJ204" s="105">
        <v>7.58E-15</v>
      </c>
      <c r="CK204" s="11"/>
      <c r="CL204" s="11"/>
      <c r="CM204" s="11"/>
      <c r="CN204" s="105">
        <v>1.74E-14</v>
      </c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05"/>
      <c r="DG204" s="105"/>
      <c r="DH204" s="105">
        <v>1.01E-13</v>
      </c>
      <c r="DI204" s="105"/>
      <c r="DJ204" s="105"/>
      <c r="DK204" s="105">
        <v>8.47E-14</v>
      </c>
      <c r="DL204" s="105"/>
      <c r="DM204" s="69"/>
      <c r="DN204" s="69"/>
      <c r="DO204" s="69"/>
      <c r="DP204" s="69"/>
      <c r="DQ204" s="11"/>
      <c r="DR204" s="69"/>
      <c r="DS204" s="69"/>
      <c r="DT204" s="69"/>
      <c r="DU204" s="69"/>
      <c r="DV204" s="73">
        <v>-2.3</v>
      </c>
      <c r="DW204" s="79">
        <v>0.25</v>
      </c>
      <c r="DX204" s="81">
        <v>2.23872E-10</v>
      </c>
      <c r="DY204" s="7"/>
      <c r="DZ204" s="7" t="s">
        <v>486</v>
      </c>
      <c r="EA204" s="7"/>
      <c r="EB204" s="7"/>
    </row>
    <row r="205">
      <c r="A205" s="55" t="s">
        <v>585</v>
      </c>
      <c r="B205" s="56" t="s">
        <v>585</v>
      </c>
      <c r="C205" s="4"/>
      <c r="D205" s="4"/>
      <c r="E205" s="4"/>
      <c r="F205" s="57" t="s">
        <v>168</v>
      </c>
      <c r="G205" s="58">
        <v>242.4527322</v>
      </c>
      <c r="H205" s="58">
        <v>-39.18801279</v>
      </c>
      <c r="I205" s="6" t="s">
        <v>314</v>
      </c>
      <c r="J205" s="6" t="s">
        <v>169</v>
      </c>
      <c r="K205" s="58">
        <v>3.0</v>
      </c>
      <c r="L205" s="59"/>
      <c r="M205" s="59">
        <v>2.0</v>
      </c>
      <c r="N205" s="58">
        <v>163.9048696</v>
      </c>
      <c r="O205" s="58">
        <v>-10.196</v>
      </c>
      <c r="P205" s="58">
        <v>0.092</v>
      </c>
      <c r="Q205" s="58">
        <v>-23.655</v>
      </c>
      <c r="R205" s="58">
        <v>0.053</v>
      </c>
      <c r="S205" s="59">
        <v>-0.8</v>
      </c>
      <c r="T205" s="59">
        <v>2.3</v>
      </c>
      <c r="U205" s="59">
        <v>1.9</v>
      </c>
      <c r="V205" s="59">
        <v>0.5</v>
      </c>
      <c r="W205" s="5"/>
      <c r="X205" s="5"/>
      <c r="Y205" s="62" t="s">
        <v>476</v>
      </c>
      <c r="Z205" s="58">
        <v>16.61</v>
      </c>
      <c r="AA205" s="58">
        <v>0.05</v>
      </c>
      <c r="AB205" s="58">
        <v>10.456</v>
      </c>
      <c r="AC205" s="59">
        <v>0.026</v>
      </c>
      <c r="AD205" s="59">
        <v>9.351</v>
      </c>
      <c r="AE205" s="59">
        <v>0.024</v>
      </c>
      <c r="AF205" s="59">
        <v>8.685</v>
      </c>
      <c r="AG205" s="59">
        <v>0.021</v>
      </c>
      <c r="AH205" s="6"/>
      <c r="AI205" s="5"/>
      <c r="AJ205" s="63" t="s">
        <v>476</v>
      </c>
      <c r="AK205" s="64" t="s">
        <v>192</v>
      </c>
      <c r="AL205" s="97">
        <v>2015.0</v>
      </c>
      <c r="AM205" s="13"/>
      <c r="AN205" s="102">
        <v>200.0</v>
      </c>
      <c r="AO205" s="13"/>
      <c r="AP205" s="13" t="s">
        <v>459</v>
      </c>
      <c r="AQ205" s="97">
        <v>1.0</v>
      </c>
      <c r="AR205" s="78">
        <v>4350.0</v>
      </c>
      <c r="AS205" s="97">
        <v>200.0</v>
      </c>
      <c r="AT205" s="79">
        <v>1.09</v>
      </c>
      <c r="AU205" s="73">
        <v>0.2</v>
      </c>
      <c r="AV205" s="70">
        <v>1.0715</v>
      </c>
      <c r="AW205" s="70">
        <v>0.4663</v>
      </c>
      <c r="AX205" s="73">
        <v>1.82</v>
      </c>
      <c r="AY205" s="73">
        <v>0.4</v>
      </c>
      <c r="AZ205" s="11" t="s">
        <v>162</v>
      </c>
      <c r="BA205" s="11" t="s">
        <v>478</v>
      </c>
      <c r="BB205" s="112">
        <v>-12.5</v>
      </c>
      <c r="BC205" s="112">
        <v>1.69</v>
      </c>
      <c r="BD205" s="105">
        <v>5.98E-13</v>
      </c>
      <c r="BE205" s="105">
        <v>4.3E-14</v>
      </c>
      <c r="BF205" s="112">
        <v>-7.23</v>
      </c>
      <c r="BG205" s="112">
        <v>1.39</v>
      </c>
      <c r="BH205" s="105">
        <v>1.97E-13</v>
      </c>
      <c r="BI205" s="105">
        <v>2.2E-14</v>
      </c>
      <c r="BJ205" s="112">
        <v>-8.72</v>
      </c>
      <c r="BK205" s="112">
        <v>2.14</v>
      </c>
      <c r="BL205" s="105">
        <v>1.55E-13</v>
      </c>
      <c r="BM205" s="105">
        <v>1.9E-14</v>
      </c>
      <c r="BN205" s="112">
        <v>-13.1</v>
      </c>
      <c r="BO205" s="112">
        <v>3.13</v>
      </c>
      <c r="BP205" s="105">
        <v>1.43E-13</v>
      </c>
      <c r="BQ205" s="105">
        <v>1.4E-14</v>
      </c>
      <c r="BR205" s="112">
        <v>-28.24</v>
      </c>
      <c r="BS205" s="112">
        <v>5.04</v>
      </c>
      <c r="BT205" s="105">
        <v>1.76E-13</v>
      </c>
      <c r="BU205" s="105">
        <v>9.0E-15</v>
      </c>
      <c r="BV205" s="105"/>
      <c r="BW205" s="105"/>
      <c r="BX205" s="105"/>
      <c r="BY205" s="105"/>
      <c r="BZ205" s="112">
        <v>-1.51</v>
      </c>
      <c r="CA205" s="112">
        <v>0.21</v>
      </c>
      <c r="CB205" s="105">
        <v>5.27E-14</v>
      </c>
      <c r="CC205" s="105">
        <v>6.9E-15</v>
      </c>
      <c r="CD205" s="112">
        <v>-2.06</v>
      </c>
      <c r="CE205" s="112">
        <v>0.33</v>
      </c>
      <c r="CF205" s="105">
        <v>8.69E-14</v>
      </c>
      <c r="CG205" s="105">
        <v>1.3E-14</v>
      </c>
      <c r="CH205" s="112">
        <v>-1.42</v>
      </c>
      <c r="CI205" s="112">
        <v>0.41</v>
      </c>
      <c r="CJ205" s="105">
        <v>6.27E-14</v>
      </c>
      <c r="CK205" s="105">
        <v>1.69E-14</v>
      </c>
      <c r="CL205" s="112">
        <v>-0.58</v>
      </c>
      <c r="CM205" s="112">
        <v>0.17</v>
      </c>
      <c r="CN205" s="105">
        <v>8.62E-15</v>
      </c>
      <c r="CO205" s="105">
        <v>2.46E-15</v>
      </c>
      <c r="CP205" s="105"/>
      <c r="CQ205" s="105"/>
      <c r="CR205" s="105"/>
      <c r="CS205" s="105"/>
      <c r="CT205" s="112">
        <v>-1.04</v>
      </c>
      <c r="CU205" s="112">
        <v>0.09</v>
      </c>
      <c r="CV205" s="105">
        <v>4.32E-14</v>
      </c>
      <c r="CW205" s="105">
        <v>3.1E-15</v>
      </c>
      <c r="CX205" s="112">
        <v>-0.16</v>
      </c>
      <c r="CY205" s="112">
        <v>0.02</v>
      </c>
      <c r="CZ205" s="105">
        <v>7.23E-15</v>
      </c>
      <c r="DA205" s="105">
        <v>7.5E-16</v>
      </c>
      <c r="DB205" s="112"/>
      <c r="DC205" s="112"/>
      <c r="DD205" s="112"/>
      <c r="DE205" s="112"/>
      <c r="DF205" s="105"/>
      <c r="DG205" s="105"/>
      <c r="DH205" s="105">
        <v>1.18E-13</v>
      </c>
      <c r="DI205" s="105"/>
      <c r="DJ205" s="105"/>
      <c r="DK205" s="105">
        <v>1.15E-13</v>
      </c>
      <c r="DL205" s="105"/>
      <c r="DM205" s="69"/>
      <c r="DN205" s="69"/>
      <c r="DO205" s="69"/>
      <c r="DP205" s="69"/>
      <c r="DQ205" s="11"/>
      <c r="DR205" s="69"/>
      <c r="DS205" s="69"/>
      <c r="DT205" s="69"/>
      <c r="DU205" s="69"/>
      <c r="DV205" s="73">
        <v>-1.8</v>
      </c>
      <c r="DW205" s="79">
        <v>0.25</v>
      </c>
      <c r="DX205" s="81">
        <v>1.07152E-9</v>
      </c>
      <c r="DY205" s="7"/>
      <c r="DZ205" s="7" t="s">
        <v>486</v>
      </c>
      <c r="EA205" s="7"/>
      <c r="EB205" s="7"/>
    </row>
    <row r="206">
      <c r="A206" s="55" t="s">
        <v>586</v>
      </c>
      <c r="B206" s="56" t="s">
        <v>587</v>
      </c>
      <c r="C206" s="4"/>
      <c r="D206" s="4"/>
      <c r="E206" s="4"/>
      <c r="F206" s="57" t="s">
        <v>168</v>
      </c>
      <c r="G206" s="58">
        <v>239.0383613</v>
      </c>
      <c r="H206" s="58">
        <v>-37.93503504</v>
      </c>
      <c r="I206" s="6" t="s">
        <v>314</v>
      </c>
      <c r="J206" s="6" t="s">
        <v>159</v>
      </c>
      <c r="K206" s="58">
        <v>3.0</v>
      </c>
      <c r="L206" s="59"/>
      <c r="M206" s="59">
        <v>2.0</v>
      </c>
      <c r="N206" s="58">
        <v>158.445962</v>
      </c>
      <c r="O206" s="58">
        <v>-12.091</v>
      </c>
      <c r="P206" s="58">
        <v>0.12</v>
      </c>
      <c r="Q206" s="58">
        <v>-23.718</v>
      </c>
      <c r="R206" s="58">
        <v>0.074</v>
      </c>
      <c r="S206" s="59">
        <v>-0.5</v>
      </c>
      <c r="T206" s="59">
        <v>1.3</v>
      </c>
      <c r="U206" s="59">
        <v>0.9</v>
      </c>
      <c r="V206" s="59">
        <v>0.5</v>
      </c>
      <c r="W206" s="5"/>
      <c r="X206" s="5"/>
      <c r="Y206" s="62" t="s">
        <v>476</v>
      </c>
      <c r="Z206" s="58">
        <v>11.45</v>
      </c>
      <c r="AA206" s="58">
        <v>0.04</v>
      </c>
      <c r="AB206" s="58">
        <v>8.783</v>
      </c>
      <c r="AC206" s="59">
        <v>0.021</v>
      </c>
      <c r="AD206" s="59">
        <v>8.089</v>
      </c>
      <c r="AE206" s="59">
        <v>0.04</v>
      </c>
      <c r="AF206" s="59">
        <v>7.739</v>
      </c>
      <c r="AG206" s="59">
        <v>0.023</v>
      </c>
      <c r="AH206" s="6"/>
      <c r="AI206" s="6"/>
      <c r="AJ206" s="63" t="s">
        <v>476</v>
      </c>
      <c r="AK206" s="64" t="s">
        <v>192</v>
      </c>
      <c r="AL206" s="97">
        <v>2010.0</v>
      </c>
      <c r="AM206" s="13"/>
      <c r="AN206" s="102">
        <v>150.0</v>
      </c>
      <c r="AO206" s="13"/>
      <c r="AP206" s="13" t="s">
        <v>459</v>
      </c>
      <c r="AQ206" s="97">
        <v>1.0</v>
      </c>
      <c r="AR206" s="78">
        <v>4350.0</v>
      </c>
      <c r="AS206" s="97">
        <v>200.0</v>
      </c>
      <c r="AT206" s="79">
        <v>1.1</v>
      </c>
      <c r="AU206" s="73">
        <v>0.0</v>
      </c>
      <c r="AV206" s="70">
        <v>2.33</v>
      </c>
      <c r="AW206" s="70">
        <v>1.0397</v>
      </c>
      <c r="AX206" s="73">
        <v>2.69</v>
      </c>
      <c r="AY206" s="73">
        <v>0.65</v>
      </c>
      <c r="AZ206" s="11" t="s">
        <v>162</v>
      </c>
      <c r="BA206" s="11" t="s">
        <v>478</v>
      </c>
      <c r="BB206" s="112">
        <v>-8.68</v>
      </c>
      <c r="BC206" s="112">
        <v>1.46</v>
      </c>
      <c r="BD206" s="105">
        <v>1.49E-12</v>
      </c>
      <c r="BE206" s="105">
        <v>2.6E-13</v>
      </c>
      <c r="BF206" s="112">
        <v>-7.25</v>
      </c>
      <c r="BG206" s="112">
        <v>1.42</v>
      </c>
      <c r="BH206" s="105">
        <v>7.72E-13</v>
      </c>
      <c r="BI206" s="105">
        <v>8.8E-14</v>
      </c>
      <c r="BJ206" s="112">
        <v>-2.56</v>
      </c>
      <c r="BK206" s="112">
        <v>0.61</v>
      </c>
      <c r="BL206" s="105">
        <v>2.38E-13</v>
      </c>
      <c r="BM206" s="105">
        <v>3.7E-14</v>
      </c>
      <c r="BN206" s="112">
        <v>-3.14</v>
      </c>
      <c r="BO206" s="112">
        <v>0.62</v>
      </c>
      <c r="BP206" s="105">
        <v>2.16E-13</v>
      </c>
      <c r="BQ206" s="105">
        <v>2.8E-14</v>
      </c>
      <c r="BR206" s="112">
        <v>-5.84</v>
      </c>
      <c r="BS206" s="112">
        <v>0.91</v>
      </c>
      <c r="BT206" s="105">
        <v>1.79E-13</v>
      </c>
      <c r="BU206" s="105">
        <v>1.7E-14</v>
      </c>
      <c r="BV206" s="105"/>
      <c r="BW206" s="105"/>
      <c r="BX206" s="105"/>
      <c r="BY206" s="105"/>
      <c r="BZ206" s="11"/>
      <c r="CA206" s="11"/>
      <c r="CB206" s="105">
        <v>1.2E-13</v>
      </c>
      <c r="CC206" s="11"/>
      <c r="CD206" s="11"/>
      <c r="CE206" s="11"/>
      <c r="CF206" s="105">
        <v>2.35E-14</v>
      </c>
      <c r="CG206" s="11"/>
      <c r="CH206" s="11"/>
      <c r="CI206" s="11"/>
      <c r="CJ206" s="105">
        <v>6.12E-14</v>
      </c>
      <c r="CK206" s="11"/>
      <c r="CL206" s="11"/>
      <c r="CM206" s="11"/>
      <c r="CN206" s="105">
        <v>3.62E-14</v>
      </c>
      <c r="CO206" s="11"/>
      <c r="CP206" s="11"/>
      <c r="CQ206" s="11"/>
      <c r="CR206" s="11"/>
      <c r="CS206" s="11"/>
      <c r="CT206" s="112">
        <v>-0.29</v>
      </c>
      <c r="CU206" s="112">
        <v>0.02</v>
      </c>
      <c r="CV206" s="105">
        <v>5.79E-14</v>
      </c>
      <c r="CW206" s="105">
        <v>4.7E-15</v>
      </c>
      <c r="CX206" s="11"/>
      <c r="CY206" s="11"/>
      <c r="CZ206" s="105">
        <v>8.67E-14</v>
      </c>
      <c r="DA206" s="11"/>
      <c r="DB206" s="11"/>
      <c r="DC206" s="11"/>
      <c r="DD206" s="11"/>
      <c r="DE206" s="11"/>
      <c r="DF206" s="105"/>
      <c r="DG206" s="105"/>
      <c r="DH206" s="105">
        <v>3.35E-13</v>
      </c>
      <c r="DI206" s="105"/>
      <c r="DJ206" s="105"/>
      <c r="DK206" s="105">
        <v>3.15E-13</v>
      </c>
      <c r="DL206" s="105"/>
      <c r="DM206" s="69"/>
      <c r="DN206" s="69"/>
      <c r="DO206" s="69"/>
      <c r="DP206" s="69"/>
      <c r="DQ206" s="11"/>
      <c r="DR206" s="69"/>
      <c r="DS206" s="69"/>
      <c r="DT206" s="69"/>
      <c r="DU206" s="69"/>
      <c r="DV206" s="73">
        <v>-1.1</v>
      </c>
      <c r="DW206" s="79">
        <v>0.25</v>
      </c>
      <c r="DX206" s="81">
        <v>7.94328E-9</v>
      </c>
      <c r="DY206" s="7"/>
      <c r="DZ206" s="7" t="s">
        <v>486</v>
      </c>
      <c r="EA206" s="7"/>
      <c r="EB206" s="7"/>
    </row>
    <row r="207">
      <c r="A207" s="55" t="s">
        <v>588</v>
      </c>
      <c r="B207" s="56" t="s">
        <v>588</v>
      </c>
      <c r="C207" s="4"/>
      <c r="D207" s="4"/>
      <c r="E207" s="4"/>
      <c r="F207" s="57" t="s">
        <v>168</v>
      </c>
      <c r="G207" s="58">
        <v>239.8708</v>
      </c>
      <c r="H207" s="58">
        <v>-40.3642</v>
      </c>
      <c r="I207" s="6" t="s">
        <v>314</v>
      </c>
      <c r="J207" s="6" t="s">
        <v>159</v>
      </c>
      <c r="K207" s="58">
        <v>3.0</v>
      </c>
      <c r="L207" s="59"/>
      <c r="M207" s="59">
        <v>2.0</v>
      </c>
      <c r="N207" s="58">
        <v>159.098864</v>
      </c>
      <c r="O207" s="59">
        <v>-10.046</v>
      </c>
      <c r="P207" s="59">
        <v>0.138</v>
      </c>
      <c r="Q207" s="59">
        <v>-21.854</v>
      </c>
      <c r="R207" s="59">
        <v>0.094</v>
      </c>
      <c r="S207" s="59">
        <v>1.3</v>
      </c>
      <c r="T207" s="59">
        <v>2.0</v>
      </c>
      <c r="U207" s="59">
        <v>0.4</v>
      </c>
      <c r="V207" s="59">
        <v>0.5</v>
      </c>
      <c r="W207" s="5"/>
      <c r="X207" s="5"/>
      <c r="Y207" s="62" t="s">
        <v>476</v>
      </c>
      <c r="Z207" s="6"/>
      <c r="AA207" s="6"/>
      <c r="AB207" s="58">
        <v>8.546</v>
      </c>
      <c r="AC207" s="59">
        <v>0.023</v>
      </c>
      <c r="AD207" s="59">
        <v>7.69</v>
      </c>
      <c r="AE207" s="59">
        <v>0.046</v>
      </c>
      <c r="AF207" s="59">
        <v>6.976</v>
      </c>
      <c r="AG207" s="59">
        <v>0.018</v>
      </c>
      <c r="AH207" s="6"/>
      <c r="AI207" s="5"/>
      <c r="AJ207" s="63" t="s">
        <v>476</v>
      </c>
      <c r="AK207" s="64" t="s">
        <v>192</v>
      </c>
      <c r="AL207" s="97">
        <v>2015.0</v>
      </c>
      <c r="AM207" s="13"/>
      <c r="AN207" s="102">
        <v>150.0</v>
      </c>
      <c r="AO207" s="13"/>
      <c r="AP207" s="13" t="s">
        <v>589</v>
      </c>
      <c r="AQ207" s="97">
        <v>1.0</v>
      </c>
      <c r="AR207" s="78">
        <v>4900.0</v>
      </c>
      <c r="AS207" s="97">
        <v>226.0</v>
      </c>
      <c r="AT207" s="79">
        <v>1.47</v>
      </c>
      <c r="AU207" s="73">
        <v>0.22</v>
      </c>
      <c r="AV207" s="70">
        <v>1.6596</v>
      </c>
      <c r="AW207" s="70">
        <v>0.7077</v>
      </c>
      <c r="AX207" s="73">
        <v>1.79</v>
      </c>
      <c r="AY207" s="73">
        <v>0.38</v>
      </c>
      <c r="AZ207" s="11" t="s">
        <v>162</v>
      </c>
      <c r="BA207" s="11" t="s">
        <v>478</v>
      </c>
      <c r="BB207" s="112">
        <v>-9.39</v>
      </c>
      <c r="BC207" s="112">
        <v>0.44</v>
      </c>
      <c r="BD207" s="105">
        <v>2.26E-12</v>
      </c>
      <c r="BE207" s="105">
        <v>7.0E-14</v>
      </c>
      <c r="BF207" s="112">
        <v>-1.57</v>
      </c>
      <c r="BG207" s="112">
        <v>0.19</v>
      </c>
      <c r="BH207" s="105">
        <v>3.41E-13</v>
      </c>
      <c r="BI207" s="105">
        <v>3.7E-14</v>
      </c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2">
        <v>-1.62</v>
      </c>
      <c r="CA207" s="112">
        <v>0.38</v>
      </c>
      <c r="CB207" s="105">
        <v>2.3E-13</v>
      </c>
      <c r="CC207" s="105">
        <v>5.1E-14</v>
      </c>
      <c r="CD207" s="112">
        <v>-1.42</v>
      </c>
      <c r="CE207" s="112">
        <v>0.19</v>
      </c>
      <c r="CF207" s="105">
        <v>2.05E-13</v>
      </c>
      <c r="CG207" s="105">
        <v>2.5E-14</v>
      </c>
      <c r="CH207" s="112">
        <v>-0.42</v>
      </c>
      <c r="CI207" s="112">
        <v>0.12</v>
      </c>
      <c r="CJ207" s="105">
        <v>6.97E-14</v>
      </c>
      <c r="CK207" s="105">
        <v>2.44E-14</v>
      </c>
      <c r="CL207" s="112">
        <v>-0.52</v>
      </c>
      <c r="CM207" s="112">
        <v>0.07</v>
      </c>
      <c r="CN207" s="105">
        <v>5.05E-14</v>
      </c>
      <c r="CO207" s="105">
        <v>7.1E-15</v>
      </c>
      <c r="CP207" s="105"/>
      <c r="CQ207" s="105"/>
      <c r="CR207" s="105"/>
      <c r="CS207" s="105"/>
      <c r="CT207" s="11"/>
      <c r="CU207" s="11"/>
      <c r="CV207" s="105">
        <v>2.42E-14</v>
      </c>
      <c r="CW207" s="11"/>
      <c r="CX207" s="11"/>
      <c r="CY207" s="11"/>
      <c r="CZ207" s="11"/>
      <c r="DA207" s="11"/>
      <c r="DB207" s="11"/>
      <c r="DC207" s="11"/>
      <c r="DD207" s="11"/>
      <c r="DE207" s="11"/>
      <c r="DF207" s="105"/>
      <c r="DG207" s="105"/>
      <c r="DH207" s="105">
        <v>2.07E-13</v>
      </c>
      <c r="DI207" s="105"/>
      <c r="DJ207" s="105"/>
      <c r="DK207" s="105">
        <v>1.22E-13</v>
      </c>
      <c r="DL207" s="105"/>
      <c r="DM207" s="69"/>
      <c r="DN207" s="69"/>
      <c r="DO207" s="69"/>
      <c r="DP207" s="69"/>
      <c r="DQ207" s="11"/>
      <c r="DR207" s="69"/>
      <c r="DS207" s="69"/>
      <c r="DT207" s="69"/>
      <c r="DU207" s="69"/>
      <c r="DV207" s="73">
        <v>-0.9</v>
      </c>
      <c r="DW207" s="79">
        <v>0.25</v>
      </c>
      <c r="DX207" s="81">
        <v>6.16595E-9</v>
      </c>
      <c r="DY207" s="7"/>
      <c r="DZ207" s="7" t="s">
        <v>486</v>
      </c>
      <c r="EA207" s="7"/>
      <c r="EB207" s="7"/>
    </row>
    <row r="208">
      <c r="A208" s="55" t="s">
        <v>590</v>
      </c>
      <c r="B208" s="56" t="s">
        <v>590</v>
      </c>
      <c r="C208" s="4"/>
      <c r="D208" s="4"/>
      <c r="E208" s="4" t="s">
        <v>137</v>
      </c>
      <c r="F208" s="57" t="s">
        <v>168</v>
      </c>
      <c r="G208" s="58">
        <v>242.1279134</v>
      </c>
      <c r="H208" s="58">
        <v>-38.47412417</v>
      </c>
      <c r="I208" s="6" t="s">
        <v>314</v>
      </c>
      <c r="J208" s="6" t="s">
        <v>159</v>
      </c>
      <c r="K208" s="58">
        <v>3.0</v>
      </c>
      <c r="L208" s="59"/>
      <c r="M208" s="59">
        <v>2.0</v>
      </c>
      <c r="N208" s="58">
        <v>156.115838</v>
      </c>
      <c r="O208" s="58">
        <v>-9.74</v>
      </c>
      <c r="P208" s="58">
        <v>0.083</v>
      </c>
      <c r="Q208" s="58">
        <v>-25.235</v>
      </c>
      <c r="R208" s="58">
        <v>0.052</v>
      </c>
      <c r="S208" s="59">
        <v>1.2</v>
      </c>
      <c r="T208" s="59">
        <v>1.9</v>
      </c>
      <c r="U208" s="59">
        <v>0.2</v>
      </c>
      <c r="V208" s="59">
        <v>0.5</v>
      </c>
      <c r="W208" s="5"/>
      <c r="X208" s="5"/>
      <c r="Y208" s="62" t="s">
        <v>476</v>
      </c>
      <c r="Z208" s="58">
        <v>10.67</v>
      </c>
      <c r="AA208" s="58">
        <v>0.05</v>
      </c>
      <c r="AB208" s="58">
        <v>8.974</v>
      </c>
      <c r="AC208" s="59">
        <v>0.021</v>
      </c>
      <c r="AD208" s="59">
        <v>8.389</v>
      </c>
      <c r="AE208" s="59">
        <v>0.036</v>
      </c>
      <c r="AF208" s="59">
        <v>8.225</v>
      </c>
      <c r="AG208" s="59">
        <v>0.029</v>
      </c>
      <c r="AH208" s="6"/>
      <c r="AI208" s="6"/>
      <c r="AJ208" s="63" t="s">
        <v>476</v>
      </c>
      <c r="AK208" s="64" t="s">
        <v>192</v>
      </c>
      <c r="AL208" s="97">
        <v>2015.0</v>
      </c>
      <c r="AM208" s="13"/>
      <c r="AN208" s="102">
        <v>200.0</v>
      </c>
      <c r="AO208" s="13"/>
      <c r="AP208" s="13" t="s">
        <v>589</v>
      </c>
      <c r="AQ208" s="97">
        <v>1.0</v>
      </c>
      <c r="AR208" s="78">
        <v>4900.0</v>
      </c>
      <c r="AS208" s="97">
        <v>226.0</v>
      </c>
      <c r="AT208" s="79">
        <v>1.81</v>
      </c>
      <c r="AU208" s="73">
        <v>0.28</v>
      </c>
      <c r="AV208" s="70">
        <v>3.02</v>
      </c>
      <c r="AW208" s="70">
        <v>1.3082</v>
      </c>
      <c r="AX208" s="73">
        <v>2.41</v>
      </c>
      <c r="AY208" s="73">
        <v>0.52</v>
      </c>
      <c r="AZ208" s="11" t="s">
        <v>162</v>
      </c>
      <c r="BA208" s="111" t="s">
        <v>478</v>
      </c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05">
        <v>3.77E-14</v>
      </c>
      <c r="CC208" s="11"/>
      <c r="CD208" s="11"/>
      <c r="CE208" s="11"/>
      <c r="CF208" s="105">
        <v>2.04E-14</v>
      </c>
      <c r="CG208" s="11"/>
      <c r="CH208" s="11"/>
      <c r="CI208" s="11"/>
      <c r="CJ208" s="105">
        <v>2.03E-14</v>
      </c>
      <c r="CK208" s="11"/>
      <c r="CL208" s="11"/>
      <c r="CM208" s="11"/>
      <c r="CN208" s="105">
        <v>1.18E-14</v>
      </c>
      <c r="CO208" s="11"/>
      <c r="CP208" s="11"/>
      <c r="CQ208" s="11"/>
      <c r="CR208" s="11"/>
      <c r="CS208" s="11"/>
      <c r="CT208" s="11"/>
      <c r="CU208" s="11"/>
      <c r="CV208" s="105">
        <v>2.85E-14</v>
      </c>
      <c r="CW208" s="11"/>
      <c r="CX208" s="11"/>
      <c r="CY208" s="11"/>
      <c r="CZ208" s="11"/>
      <c r="DA208" s="11"/>
      <c r="DB208" s="11"/>
      <c r="DC208" s="11"/>
      <c r="DD208" s="11"/>
      <c r="DE208" s="11"/>
      <c r="DF208" s="105"/>
      <c r="DG208" s="105"/>
      <c r="DH208" s="105">
        <v>1.31E-13</v>
      </c>
      <c r="DI208" s="105"/>
      <c r="DJ208" s="105"/>
      <c r="DK208" s="105">
        <v>1.06E-13</v>
      </c>
      <c r="DL208" s="105"/>
      <c r="DM208" s="69"/>
      <c r="DN208" s="69"/>
      <c r="DO208" s="69"/>
      <c r="DP208" s="69"/>
      <c r="DQ208" s="11"/>
      <c r="DR208" s="69"/>
      <c r="DS208" s="69"/>
      <c r="DT208" s="69"/>
      <c r="DU208" s="69"/>
      <c r="DV208" s="73">
        <v>-1.8</v>
      </c>
      <c r="DW208" s="79">
        <v>0.25</v>
      </c>
      <c r="DX208" s="81">
        <v>8.51138E-10</v>
      </c>
      <c r="DY208" s="7"/>
      <c r="DZ208" s="7" t="s">
        <v>486</v>
      </c>
      <c r="EA208" s="7"/>
      <c r="EB208" s="7"/>
    </row>
    <row r="209">
      <c r="A209" s="55" t="s">
        <v>591</v>
      </c>
      <c r="B209" s="56" t="s">
        <v>591</v>
      </c>
      <c r="C209" s="4"/>
      <c r="D209" s="4"/>
      <c r="E209" s="4" t="s">
        <v>137</v>
      </c>
      <c r="F209" s="57" t="s">
        <v>168</v>
      </c>
      <c r="G209" s="58">
        <v>236.3036126</v>
      </c>
      <c r="H209" s="58">
        <v>-34.29184637</v>
      </c>
      <c r="I209" s="6" t="s">
        <v>314</v>
      </c>
      <c r="J209" s="6" t="s">
        <v>169</v>
      </c>
      <c r="K209" s="58">
        <v>3.0</v>
      </c>
      <c r="L209" s="59"/>
      <c r="M209" s="59">
        <v>2.0</v>
      </c>
      <c r="N209" s="58">
        <v>154.1948715</v>
      </c>
      <c r="O209" s="58">
        <v>-13.625</v>
      </c>
      <c r="P209" s="58">
        <v>0.128</v>
      </c>
      <c r="Q209" s="58">
        <v>-21.605</v>
      </c>
      <c r="R209" s="58">
        <v>0.081</v>
      </c>
      <c r="S209" s="59">
        <v>-4.3</v>
      </c>
      <c r="T209" s="59">
        <v>1.8</v>
      </c>
      <c r="U209" s="59">
        <v>1.0</v>
      </c>
      <c r="V209" s="59">
        <v>0.5</v>
      </c>
      <c r="W209" s="5"/>
      <c r="X209" s="5"/>
      <c r="Y209" s="62" t="s">
        <v>476</v>
      </c>
      <c r="Z209" s="58">
        <v>9.6</v>
      </c>
      <c r="AA209" s="58">
        <v>0.02</v>
      </c>
      <c r="AB209" s="58">
        <v>7.573</v>
      </c>
      <c r="AC209" s="59">
        <v>0.021</v>
      </c>
      <c r="AD209" s="59">
        <v>6.866</v>
      </c>
      <c r="AE209" s="59">
        <v>0.029</v>
      </c>
      <c r="AF209" s="59">
        <v>6.48</v>
      </c>
      <c r="AG209" s="59">
        <v>0.02</v>
      </c>
      <c r="AH209" s="6"/>
      <c r="AI209" s="5"/>
      <c r="AJ209" s="63" t="s">
        <v>476</v>
      </c>
      <c r="AK209" s="64" t="s">
        <v>192</v>
      </c>
      <c r="AL209" s="97">
        <v>2015.0</v>
      </c>
      <c r="AM209" s="13"/>
      <c r="AN209" s="102">
        <v>150.0</v>
      </c>
      <c r="AO209" s="13"/>
      <c r="AP209" s="13" t="s">
        <v>589</v>
      </c>
      <c r="AQ209" s="97">
        <v>1.0</v>
      </c>
      <c r="AR209" s="78">
        <v>4900.0</v>
      </c>
      <c r="AS209" s="97">
        <v>226.0</v>
      </c>
      <c r="AT209" s="79">
        <v>2.13</v>
      </c>
      <c r="AU209" s="73">
        <v>0.33</v>
      </c>
      <c r="AV209" s="70">
        <v>5.1286</v>
      </c>
      <c r="AW209" s="70">
        <v>2.1919</v>
      </c>
      <c r="AX209" s="73">
        <v>3.14</v>
      </c>
      <c r="AY209" s="73">
        <v>0.67</v>
      </c>
      <c r="AZ209" s="11" t="s">
        <v>162</v>
      </c>
      <c r="BA209" s="11" t="s">
        <v>478</v>
      </c>
      <c r="BB209" s="112">
        <v>-6.7</v>
      </c>
      <c r="BC209" s="112">
        <v>0.39</v>
      </c>
      <c r="BD209" s="105">
        <v>5.06E-12</v>
      </c>
      <c r="BE209" s="105">
        <v>2.0E-13</v>
      </c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2">
        <v>-1.52</v>
      </c>
      <c r="CA209" s="112">
        <v>0.1</v>
      </c>
      <c r="CB209" s="105">
        <v>4.72E-13</v>
      </c>
      <c r="CC209" s="105">
        <v>2.8E-14</v>
      </c>
      <c r="CD209" s="112">
        <v>-0.71</v>
      </c>
      <c r="CE209" s="112">
        <v>0.06</v>
      </c>
      <c r="CF209" s="105">
        <v>2.82E-13</v>
      </c>
      <c r="CG209" s="105">
        <v>2.4E-14</v>
      </c>
      <c r="CH209" s="112">
        <v>-0.33</v>
      </c>
      <c r="CI209" s="112">
        <v>0.09</v>
      </c>
      <c r="CJ209" s="105">
        <v>1.5E-13</v>
      </c>
      <c r="CK209" s="105">
        <v>6.4E-14</v>
      </c>
      <c r="CL209" s="11"/>
      <c r="CM209" s="11"/>
      <c r="CN209" s="105">
        <v>6.78E-14</v>
      </c>
      <c r="CO209" s="11"/>
      <c r="CP209" s="11"/>
      <c r="CQ209" s="11"/>
      <c r="CR209" s="11"/>
      <c r="CS209" s="11"/>
      <c r="CT209" s="11"/>
      <c r="CU209" s="11"/>
      <c r="CV209" s="105">
        <v>7.97E-14</v>
      </c>
      <c r="CW209" s="11"/>
      <c r="CX209" s="11"/>
      <c r="CY209" s="11"/>
      <c r="CZ209" s="11"/>
      <c r="DA209" s="11"/>
      <c r="DB209" s="11"/>
      <c r="DC209" s="11"/>
      <c r="DD209" s="11"/>
      <c r="DE209" s="11"/>
      <c r="DF209" s="105"/>
      <c r="DG209" s="105"/>
      <c r="DH209" s="105">
        <v>5.26E-13</v>
      </c>
      <c r="DI209" s="105"/>
      <c r="DJ209" s="105"/>
      <c r="DK209" s="105">
        <v>3.82E-13</v>
      </c>
      <c r="DL209" s="105"/>
      <c r="DM209" s="69"/>
      <c r="DN209" s="69"/>
      <c r="DO209" s="69"/>
      <c r="DP209" s="69"/>
      <c r="DQ209" s="11"/>
      <c r="DR209" s="69"/>
      <c r="DS209" s="69"/>
      <c r="DT209" s="69"/>
      <c r="DU209" s="69"/>
      <c r="DV209" s="73">
        <v>-1.2</v>
      </c>
      <c r="DW209" s="79">
        <v>0.25</v>
      </c>
      <c r="DX209" s="81">
        <v>3.80189E-9</v>
      </c>
      <c r="DY209" s="7"/>
      <c r="DZ209" s="7" t="s">
        <v>486</v>
      </c>
      <c r="EA209" s="7"/>
      <c r="EB209" s="7"/>
    </row>
    <row r="210">
      <c r="A210" s="55" t="s">
        <v>592</v>
      </c>
      <c r="B210" s="56" t="s">
        <v>592</v>
      </c>
      <c r="C210" s="3" t="s">
        <v>156</v>
      </c>
      <c r="D210" s="57">
        <v>0.235</v>
      </c>
      <c r="E210" s="4"/>
      <c r="F210" s="57" t="s">
        <v>157</v>
      </c>
      <c r="G210" s="58">
        <v>212.0423105</v>
      </c>
      <c r="H210" s="58">
        <v>-41.39793796</v>
      </c>
      <c r="I210" s="6" t="s">
        <v>593</v>
      </c>
      <c r="J210" s="6" t="s">
        <v>169</v>
      </c>
      <c r="K210" s="58">
        <v>5.4</v>
      </c>
      <c r="L210" s="60"/>
      <c r="M210" s="60">
        <v>2.0</v>
      </c>
      <c r="N210" s="60">
        <v>113.43</v>
      </c>
      <c r="O210" s="60">
        <v>-29.661</v>
      </c>
      <c r="P210" s="60">
        <v>0.066</v>
      </c>
      <c r="Q210" s="60">
        <v>-23.823</v>
      </c>
      <c r="R210" s="60">
        <v>0.064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60">
        <v>8.8</v>
      </c>
      <c r="AG210" s="60">
        <v>0.2</v>
      </c>
      <c r="AH210" s="60">
        <v>7.7</v>
      </c>
      <c r="AI210" s="60">
        <v>0.2</v>
      </c>
      <c r="AJ210" s="76" t="s">
        <v>594</v>
      </c>
      <c r="AK210" s="64" t="s">
        <v>595</v>
      </c>
      <c r="AL210" s="97">
        <v>2018.0</v>
      </c>
      <c r="AM210" s="97">
        <v>4.5</v>
      </c>
      <c r="AN210" s="8"/>
      <c r="AO210" s="7"/>
      <c r="AP210" s="7"/>
      <c r="AQ210" s="7"/>
      <c r="AR210" s="9"/>
      <c r="AS210" s="7"/>
      <c r="AT210" s="79">
        <v>0.009542</v>
      </c>
      <c r="AU210" s="7"/>
      <c r="AV210" s="114">
        <v>7.6E-8</v>
      </c>
      <c r="AW210" s="114">
        <v>1.3E-8</v>
      </c>
      <c r="AX210" s="7"/>
      <c r="AY210" s="7"/>
      <c r="AZ210" s="68" t="s">
        <v>596</v>
      </c>
      <c r="BA210" s="68" t="s">
        <v>597</v>
      </c>
      <c r="BB210" s="11"/>
      <c r="BC210" s="11"/>
      <c r="BD210" s="80">
        <v>1.9E-16</v>
      </c>
      <c r="BE210" s="80">
        <v>3.2E-17</v>
      </c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69"/>
      <c r="DN210" s="69"/>
      <c r="DO210" s="69"/>
      <c r="DP210" s="69"/>
      <c r="DQ210" s="11"/>
      <c r="DR210" s="69"/>
      <c r="DS210" s="69"/>
      <c r="DT210" s="69"/>
      <c r="DU210" s="69"/>
      <c r="DV210" s="7"/>
      <c r="DW210" s="10"/>
      <c r="DX210" s="81">
        <v>9.54E-12</v>
      </c>
      <c r="DY210" s="7"/>
      <c r="DZ210" s="7"/>
      <c r="EA210" s="7"/>
      <c r="EB210" s="7"/>
    </row>
    <row r="211">
      <c r="A211" s="55" t="s">
        <v>197</v>
      </c>
      <c r="B211" s="56" t="s">
        <v>198</v>
      </c>
      <c r="C211" s="4"/>
      <c r="D211" s="3"/>
      <c r="E211" s="3" t="s">
        <v>137</v>
      </c>
      <c r="F211" s="57" t="s">
        <v>187</v>
      </c>
      <c r="G211" s="58">
        <v>66.8667</v>
      </c>
      <c r="H211" s="58">
        <v>26.2014</v>
      </c>
      <c r="I211" s="6" t="s">
        <v>199</v>
      </c>
      <c r="J211" s="6" t="s">
        <v>159</v>
      </c>
      <c r="K211" s="61">
        <v>1.5</v>
      </c>
      <c r="L211" s="5"/>
      <c r="M211" s="59">
        <v>2.0</v>
      </c>
      <c r="N211" s="61">
        <v>134.692832994356</v>
      </c>
      <c r="O211" s="61">
        <v>1.805</v>
      </c>
      <c r="P211" s="61">
        <v>2.433</v>
      </c>
      <c r="Q211" s="61">
        <v>-23.448</v>
      </c>
      <c r="R211" s="61">
        <v>2.328</v>
      </c>
      <c r="S211" s="60"/>
      <c r="T211" s="60"/>
      <c r="U211" s="59">
        <v>2.16</v>
      </c>
      <c r="V211" s="59">
        <v>0.85</v>
      </c>
      <c r="W211" s="5"/>
      <c r="X211" s="5"/>
      <c r="Y211" s="83" t="s">
        <v>200</v>
      </c>
      <c r="Z211" s="60">
        <v>20.54</v>
      </c>
      <c r="AA211" s="60"/>
      <c r="AB211" s="60">
        <v>15.0</v>
      </c>
      <c r="AC211" s="60">
        <v>0.04</v>
      </c>
      <c r="AD211" s="60">
        <v>14.03</v>
      </c>
      <c r="AE211" s="60">
        <v>0.04</v>
      </c>
      <c r="AF211" s="60">
        <v>13.28</v>
      </c>
      <c r="AG211" s="60">
        <v>0.03</v>
      </c>
      <c r="AH211" s="6"/>
      <c r="AI211" s="96"/>
      <c r="AJ211" s="63" t="s">
        <v>598</v>
      </c>
      <c r="AK211" s="64" t="s">
        <v>226</v>
      </c>
      <c r="AL211" s="97">
        <v>2003.0</v>
      </c>
      <c r="AM211" s="7"/>
      <c r="AN211" s="8"/>
      <c r="AO211" s="13"/>
      <c r="AP211" s="13" t="s">
        <v>204</v>
      </c>
      <c r="AQ211" s="7"/>
      <c r="AR211" s="78">
        <v>2300.0</v>
      </c>
      <c r="AS211" s="7"/>
      <c r="AT211" s="79">
        <v>0.011</v>
      </c>
      <c r="AU211" s="7"/>
      <c r="AV211" s="64">
        <v>0.0023</v>
      </c>
      <c r="AW211" s="7"/>
      <c r="AX211" s="73">
        <v>0.3</v>
      </c>
      <c r="AY211" s="7"/>
      <c r="AZ211" s="11" t="s">
        <v>596</v>
      </c>
      <c r="BA211" s="11" t="s">
        <v>597</v>
      </c>
      <c r="BB211" s="68">
        <v>-38.4</v>
      </c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69"/>
      <c r="DN211" s="69"/>
      <c r="DO211" s="69"/>
      <c r="DP211" s="69"/>
      <c r="DQ211" s="11"/>
      <c r="DR211" s="69"/>
      <c r="DS211" s="69"/>
      <c r="DT211" s="69"/>
      <c r="DU211" s="69"/>
      <c r="DV211" s="13"/>
      <c r="DW211" s="10"/>
      <c r="DX211" s="81">
        <v>1.0E-12</v>
      </c>
      <c r="DY211" s="7"/>
      <c r="DZ211" s="64" t="s">
        <v>248</v>
      </c>
      <c r="EA211" s="72" t="s">
        <v>354</v>
      </c>
      <c r="EB211" s="82" t="s">
        <v>599</v>
      </c>
    </row>
    <row r="212">
      <c r="A212" s="55" t="s">
        <v>600</v>
      </c>
      <c r="B212" s="56" t="s">
        <v>600</v>
      </c>
      <c r="C212" s="3" t="s">
        <v>156</v>
      </c>
      <c r="D212" s="57">
        <v>0.176</v>
      </c>
      <c r="E212" s="4"/>
      <c r="F212" s="57" t="s">
        <v>157</v>
      </c>
      <c r="G212" s="58">
        <v>212.0423105</v>
      </c>
      <c r="H212" s="58">
        <v>-41.39793796</v>
      </c>
      <c r="I212" s="6" t="s">
        <v>593</v>
      </c>
      <c r="J212" s="6" t="s">
        <v>169</v>
      </c>
      <c r="K212" s="58">
        <v>5.4</v>
      </c>
      <c r="L212" s="60"/>
      <c r="M212" s="60">
        <v>2.0</v>
      </c>
      <c r="N212" s="60">
        <v>113.43</v>
      </c>
      <c r="O212" s="60">
        <v>-29.661</v>
      </c>
      <c r="P212" s="60">
        <v>0.066</v>
      </c>
      <c r="Q212" s="60">
        <v>-23.823</v>
      </c>
      <c r="R212" s="60">
        <v>0.064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60">
        <v>8.0</v>
      </c>
      <c r="AG212" s="60">
        <v>0.2</v>
      </c>
      <c r="AH212" s="60">
        <v>6.9</v>
      </c>
      <c r="AI212" s="60">
        <v>0.1</v>
      </c>
      <c r="AJ212" s="76" t="s">
        <v>594</v>
      </c>
      <c r="AK212" s="64" t="s">
        <v>595</v>
      </c>
      <c r="AL212" s="64">
        <v>2018.0</v>
      </c>
      <c r="AM212" s="64">
        <v>4.5</v>
      </c>
      <c r="AN212" s="8"/>
      <c r="AO212" s="7"/>
      <c r="AP212" s="7"/>
      <c r="AQ212" s="7"/>
      <c r="AR212" s="9"/>
      <c r="AS212" s="7"/>
      <c r="AT212" s="79">
        <v>0.01145</v>
      </c>
      <c r="AU212" s="7"/>
      <c r="AV212" s="114">
        <v>1.6E-7</v>
      </c>
      <c r="AW212" s="114">
        <v>1.4E-8</v>
      </c>
      <c r="AX212" s="7"/>
      <c r="AY212" s="7"/>
      <c r="AZ212" s="68" t="s">
        <v>596</v>
      </c>
      <c r="BA212" s="68" t="s">
        <v>597</v>
      </c>
      <c r="BB212" s="11"/>
      <c r="BC212" s="11"/>
      <c r="BD212" s="80">
        <v>3.9E-16</v>
      </c>
      <c r="BE212" s="80">
        <v>3.7E-17</v>
      </c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69"/>
      <c r="DN212" s="69"/>
      <c r="DO212" s="69"/>
      <c r="DP212" s="69"/>
      <c r="DQ212" s="11"/>
      <c r="DR212" s="69"/>
      <c r="DS212" s="69"/>
      <c r="DT212" s="69"/>
      <c r="DU212" s="69"/>
      <c r="DV212" s="7"/>
      <c r="DW212" s="10"/>
      <c r="DX212" s="81">
        <v>3.82E-11</v>
      </c>
      <c r="DY212" s="7"/>
      <c r="DZ212" s="7"/>
      <c r="EA212" s="7"/>
      <c r="EB212" s="7"/>
    </row>
    <row r="213">
      <c r="A213" s="74" t="s">
        <v>601</v>
      </c>
      <c r="B213" s="56" t="s">
        <v>602</v>
      </c>
      <c r="C213" s="3" t="s">
        <v>156</v>
      </c>
      <c r="D213" s="57">
        <v>1.77</v>
      </c>
      <c r="E213" s="4"/>
      <c r="F213" s="57" t="s">
        <v>157</v>
      </c>
      <c r="G213" s="60">
        <v>51.8958</v>
      </c>
      <c r="H213" s="60">
        <v>-55.2656</v>
      </c>
      <c r="I213" s="115" t="s">
        <v>603</v>
      </c>
      <c r="J213" s="5"/>
      <c r="K213" s="60">
        <v>30.0</v>
      </c>
      <c r="L213" s="60"/>
      <c r="M213" s="60"/>
      <c r="N213" s="6"/>
      <c r="O213" s="60">
        <v>100.2</v>
      </c>
      <c r="P213" s="60">
        <v>2.0</v>
      </c>
      <c r="Q213" s="60">
        <v>-47.0</v>
      </c>
      <c r="R213" s="60">
        <v>2.4</v>
      </c>
      <c r="S213" s="60">
        <v>4.0</v>
      </c>
      <c r="T213" s="60">
        <v>2.0</v>
      </c>
      <c r="U213" s="60">
        <v>0.0582</v>
      </c>
      <c r="V213" s="5"/>
      <c r="W213" s="5"/>
      <c r="X213" s="5"/>
      <c r="Y213" s="83" t="s">
        <v>604</v>
      </c>
      <c r="Z213" s="5"/>
      <c r="AA213" s="5"/>
      <c r="AB213" s="60">
        <v>15.4</v>
      </c>
      <c r="AC213" s="60">
        <v>0.3</v>
      </c>
      <c r="AD213" s="60">
        <v>14.2</v>
      </c>
      <c r="AE213" s="60">
        <v>0.2</v>
      </c>
      <c r="AF213" s="60">
        <v>13.6</v>
      </c>
      <c r="AG213" s="60">
        <v>0.2</v>
      </c>
      <c r="AH213" s="6"/>
      <c r="AI213" s="5"/>
      <c r="AJ213" s="76" t="s">
        <v>605</v>
      </c>
      <c r="AK213" s="13" t="s">
        <v>595</v>
      </c>
      <c r="AL213" s="64">
        <v>2018.0</v>
      </c>
      <c r="AM213" s="7"/>
      <c r="AN213" s="77">
        <v>47.2</v>
      </c>
      <c r="AO213" s="64">
        <v>3.1</v>
      </c>
      <c r="AP213" s="7" t="s">
        <v>193</v>
      </c>
      <c r="AQ213" s="7"/>
      <c r="AR213" s="116">
        <v>1801.0</v>
      </c>
      <c r="AS213" s="7"/>
      <c r="AT213" s="67">
        <v>0.012</v>
      </c>
      <c r="AU213" s="7"/>
      <c r="AV213" s="13">
        <v>2.6302679918953814E-4</v>
      </c>
      <c r="AW213" s="7"/>
      <c r="AX213" s="73">
        <v>0.163</v>
      </c>
      <c r="AY213" s="7"/>
      <c r="AZ213" s="68" t="s">
        <v>162</v>
      </c>
      <c r="BA213" s="68" t="s">
        <v>597</v>
      </c>
      <c r="BB213" s="68">
        <v>-135.0</v>
      </c>
      <c r="BC213" s="68">
        <v>5.0</v>
      </c>
      <c r="BD213" s="80">
        <v>1.28E-15</v>
      </c>
      <c r="BE213" s="80">
        <v>7.0E-17</v>
      </c>
      <c r="BF213" s="11"/>
      <c r="BG213" s="11"/>
      <c r="BH213" s="80">
        <v>1.39E-16</v>
      </c>
      <c r="BI213" s="80">
        <v>1.0E-17</v>
      </c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68">
        <v>-1.9</v>
      </c>
      <c r="CY213" s="68">
        <v>0.2</v>
      </c>
      <c r="CZ213" s="80">
        <v>1.8E-17</v>
      </c>
      <c r="DA213" s="80">
        <v>3.0E-18</v>
      </c>
      <c r="DB213" s="68">
        <v>-1.0</v>
      </c>
      <c r="DC213" s="68">
        <v>0.1</v>
      </c>
      <c r="DD213" s="80">
        <v>1.5E-17</v>
      </c>
      <c r="DE213" s="80">
        <v>4.0E-18</v>
      </c>
      <c r="DF213" s="11"/>
      <c r="DG213" s="11"/>
      <c r="DH213" s="11"/>
      <c r="DI213" s="11"/>
      <c r="DJ213" s="11"/>
      <c r="DK213" s="11"/>
      <c r="DL213" s="11"/>
      <c r="DM213" s="12"/>
      <c r="DN213" s="12"/>
      <c r="DO213" s="12"/>
      <c r="DP213" s="12"/>
      <c r="DQ213" s="11"/>
      <c r="DR213" s="12"/>
      <c r="DS213" s="12"/>
      <c r="DT213" s="12"/>
      <c r="DU213" s="12"/>
      <c r="DV213" s="64"/>
      <c r="DW213" s="98"/>
      <c r="DX213" s="71">
        <f>1048*(0.00000003)</f>
        <v>0.00003144</v>
      </c>
      <c r="DY213" s="114"/>
      <c r="DZ213" s="114" t="s">
        <v>269</v>
      </c>
      <c r="EA213" s="7"/>
      <c r="EB213" s="7"/>
    </row>
    <row r="214">
      <c r="A214" s="74" t="s">
        <v>185</v>
      </c>
      <c r="B214" s="56" t="s">
        <v>186</v>
      </c>
      <c r="C214" s="3" t="s">
        <v>156</v>
      </c>
      <c r="D214" s="57">
        <v>8.7</v>
      </c>
      <c r="E214" s="4"/>
      <c r="F214" s="57" t="s">
        <v>187</v>
      </c>
      <c r="G214" s="58">
        <v>246.8333</v>
      </c>
      <c r="H214" s="58">
        <v>-24.5831</v>
      </c>
      <c r="I214" s="6" t="s">
        <v>158</v>
      </c>
      <c r="J214" s="6" t="s">
        <v>189</v>
      </c>
      <c r="K214" s="58">
        <v>1.0</v>
      </c>
      <c r="L214" s="5"/>
      <c r="M214" s="5"/>
      <c r="N214" s="60"/>
      <c r="O214" s="60">
        <v>-5.9</v>
      </c>
      <c r="P214" s="60">
        <v>0.5</v>
      </c>
      <c r="Q214" s="60">
        <v>-24.4</v>
      </c>
      <c r="R214" s="60">
        <v>0.4</v>
      </c>
      <c r="S214" s="5"/>
      <c r="T214" s="5"/>
      <c r="U214" s="58">
        <v>1.77</v>
      </c>
      <c r="V214" s="58">
        <v>0.71</v>
      </c>
      <c r="W214" s="5"/>
      <c r="X214" s="5"/>
      <c r="Y214" s="75" t="s">
        <v>190</v>
      </c>
      <c r="Z214" s="5"/>
      <c r="AA214" s="6"/>
      <c r="AB214" s="60">
        <v>16.069</v>
      </c>
      <c r="AC214" s="60">
        <v>0.01</v>
      </c>
      <c r="AD214" s="61">
        <v>15.321</v>
      </c>
      <c r="AE214" s="61">
        <v>0.09</v>
      </c>
      <c r="AF214" s="59">
        <v>14.57</v>
      </c>
      <c r="AG214" s="60">
        <v>0.009</v>
      </c>
      <c r="AH214" s="6"/>
      <c r="AI214" s="6"/>
      <c r="AJ214" s="76" t="s">
        <v>191</v>
      </c>
      <c r="AK214" s="64" t="s">
        <v>192</v>
      </c>
      <c r="AL214" s="64">
        <v>2016.0</v>
      </c>
      <c r="AM214" s="64">
        <v>4.0</v>
      </c>
      <c r="AN214" s="77">
        <v>125.0</v>
      </c>
      <c r="AO214" s="64">
        <v>25.0</v>
      </c>
      <c r="AP214" s="13" t="s">
        <v>193</v>
      </c>
      <c r="AQ214" s="64">
        <v>1.0</v>
      </c>
      <c r="AR214" s="78">
        <v>2600.0</v>
      </c>
      <c r="AS214" s="64">
        <v>100.0</v>
      </c>
      <c r="AT214" s="79">
        <v>0.013</v>
      </c>
      <c r="AU214" s="64">
        <v>0.007</v>
      </c>
      <c r="AV214" s="13"/>
      <c r="AW214" s="7"/>
      <c r="AX214" s="73">
        <v>0.19</v>
      </c>
      <c r="AY214" s="7"/>
      <c r="AZ214" s="11" t="s">
        <v>596</v>
      </c>
      <c r="BA214" s="11" t="s">
        <v>597</v>
      </c>
      <c r="BB214" s="68">
        <v>-57.39</v>
      </c>
      <c r="BC214" s="68">
        <v>17.71</v>
      </c>
      <c r="BD214" s="80">
        <v>1.34E-15</v>
      </c>
      <c r="BE214" s="80">
        <v>5.0E-17</v>
      </c>
      <c r="BF214" s="68">
        <v>-46.9</v>
      </c>
      <c r="BG214" s="68">
        <v>4.21</v>
      </c>
      <c r="BH214" s="80">
        <v>2.19E-16</v>
      </c>
      <c r="BI214" s="80">
        <v>3.0E-18</v>
      </c>
      <c r="BJ214" s="68">
        <v>-23.06</v>
      </c>
      <c r="BK214" s="68">
        <v>2.28</v>
      </c>
      <c r="BL214" s="80">
        <v>6.57E-16</v>
      </c>
      <c r="BM214" s="80">
        <v>4.0E-18</v>
      </c>
      <c r="BN214" s="11"/>
      <c r="BO214" s="11"/>
      <c r="BP214" s="11"/>
      <c r="BQ214" s="11"/>
      <c r="BR214" s="11"/>
      <c r="BS214" s="11"/>
      <c r="BT214" s="11"/>
      <c r="BU214" s="11"/>
      <c r="BV214" s="68">
        <v>-9.37</v>
      </c>
      <c r="BW214" s="68">
        <v>0.44</v>
      </c>
      <c r="BX214" s="80">
        <v>8.93E-17</v>
      </c>
      <c r="BY214" s="80">
        <v>1.2E-18</v>
      </c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2"/>
      <c r="DK214" s="12"/>
      <c r="DL214" s="12"/>
      <c r="DM214" s="69"/>
      <c r="DN214" s="69"/>
      <c r="DO214" s="69"/>
      <c r="DP214" s="69"/>
      <c r="DQ214" s="11"/>
      <c r="DR214" s="68">
        <v>-6.97</v>
      </c>
      <c r="DS214" s="68">
        <v>0.5</v>
      </c>
      <c r="DT214" s="80">
        <v>1.61E-16</v>
      </c>
      <c r="DU214" s="80">
        <v>1.29E-16</v>
      </c>
      <c r="DV214" s="97">
        <v>-5.465973893943865</v>
      </c>
      <c r="DW214" s="10">
        <v>-6.031517051446064</v>
      </c>
      <c r="DX214" s="81">
        <v>4.9E-11</v>
      </c>
      <c r="DY214" s="114">
        <v>5.64E-11</v>
      </c>
      <c r="DZ214" s="64" t="s">
        <v>269</v>
      </c>
      <c r="EA214" s="82"/>
      <c r="EB214" s="82" t="s">
        <v>196</v>
      </c>
    </row>
    <row r="215">
      <c r="A215" s="107" t="s">
        <v>606</v>
      </c>
      <c r="B215" s="99" t="s">
        <v>607</v>
      </c>
      <c r="C215" s="4"/>
      <c r="D215" s="4"/>
      <c r="E215" s="4"/>
      <c r="F215" s="57" t="s">
        <v>187</v>
      </c>
      <c r="G215" s="61">
        <v>241.526224999999</v>
      </c>
      <c r="H215" s="61">
        <v>-23.5870458333333</v>
      </c>
      <c r="I215" s="60" t="s">
        <v>608</v>
      </c>
      <c r="J215" s="5"/>
      <c r="K215" s="61">
        <v>11.0</v>
      </c>
      <c r="L215" s="5"/>
      <c r="M215" s="60"/>
      <c r="N215" s="60"/>
      <c r="O215" s="60">
        <v>-6.6</v>
      </c>
      <c r="P215" s="60">
        <v>2.46</v>
      </c>
      <c r="Q215" s="60">
        <v>-19.21</v>
      </c>
      <c r="R215" s="60">
        <v>2.46</v>
      </c>
      <c r="S215" s="60"/>
      <c r="T215" s="60"/>
      <c r="U215" s="58"/>
      <c r="V215" s="5"/>
      <c r="W215" s="60">
        <v>0.1142</v>
      </c>
      <c r="X215" s="5"/>
      <c r="Y215" s="83" t="s">
        <v>351</v>
      </c>
      <c r="Z215" s="60"/>
      <c r="AA215" s="60"/>
      <c r="AB215" s="60">
        <v>16.107</v>
      </c>
      <c r="AC215" s="60">
        <v>0.11</v>
      </c>
      <c r="AD215" s="60">
        <v>15.544</v>
      </c>
      <c r="AE215" s="60">
        <v>0.13</v>
      </c>
      <c r="AF215" s="60">
        <v>15.052</v>
      </c>
      <c r="AG215" s="60">
        <v>0.161</v>
      </c>
      <c r="AH215" s="6"/>
      <c r="AI215" s="96"/>
      <c r="AJ215" s="76" t="s">
        <v>609</v>
      </c>
      <c r="AK215" s="64" t="s">
        <v>610</v>
      </c>
      <c r="AL215" s="117">
        <v>41791.0</v>
      </c>
      <c r="AM215" s="64">
        <v>4.36</v>
      </c>
      <c r="AN215" s="77">
        <v>146.0</v>
      </c>
      <c r="AO215" s="64">
        <v>3.0</v>
      </c>
      <c r="AP215" s="64" t="s">
        <v>193</v>
      </c>
      <c r="AQ215" s="13"/>
      <c r="AR215" s="66">
        <v>2519.0</v>
      </c>
      <c r="AS215" s="70">
        <v>141.0</v>
      </c>
      <c r="AT215" s="79">
        <f>15.2/1043</f>
        <v>0.01457334612</v>
      </c>
      <c r="AU215" s="73">
        <f>1.1/1043</f>
        <v>0.001054650048</v>
      </c>
      <c r="AV215" s="13">
        <f>10^-3.11</f>
        <v>0.0007762471166</v>
      </c>
      <c r="AW215" s="13">
        <f>(AV215*0.16)/0.434</f>
        <v>0.0002861740522</v>
      </c>
      <c r="AX215" s="73">
        <f>1.63/9.731</f>
        <v>0.167505909</v>
      </c>
      <c r="AY215" s="73">
        <f>0.15/9.731</f>
        <v>0.0154146542</v>
      </c>
      <c r="AZ215" s="68" t="s">
        <v>596</v>
      </c>
      <c r="BA215" s="118" t="s">
        <v>597</v>
      </c>
      <c r="BB215" s="11"/>
      <c r="BC215" s="11"/>
      <c r="BD215" s="80">
        <v>7.2E-17</v>
      </c>
      <c r="BE215" s="80">
        <v>1.7E-17</v>
      </c>
      <c r="BF215" s="11"/>
      <c r="BG215" s="11"/>
      <c r="BH215" s="80">
        <v>1.8E-17</v>
      </c>
      <c r="BI215" s="80">
        <v>1.1E-17</v>
      </c>
      <c r="BJ215" s="11"/>
      <c r="BK215" s="11"/>
      <c r="BL215" s="80">
        <v>2.2E-17</v>
      </c>
      <c r="BM215" s="80">
        <v>1.9E-17</v>
      </c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80" t="s">
        <v>611</v>
      </c>
      <c r="DI215" s="11"/>
      <c r="DJ215" s="11"/>
      <c r="DK215" s="68" t="s">
        <v>612</v>
      </c>
      <c r="DL215" s="11"/>
      <c r="DM215" s="69"/>
      <c r="DN215" s="69"/>
      <c r="DO215" s="69"/>
      <c r="DP215" s="69"/>
      <c r="DQ215" s="11"/>
      <c r="DR215" s="69"/>
      <c r="DS215" s="69"/>
      <c r="DT215" s="69"/>
      <c r="DU215" s="69"/>
      <c r="DV215" s="64">
        <v>-6.54</v>
      </c>
      <c r="DW215" s="98">
        <v>0.09</v>
      </c>
      <c r="DX215" s="81">
        <f>10^(-11.25)</f>
        <v>0</v>
      </c>
      <c r="DY215" s="92">
        <f>(DX215*0.42)/0.434</f>
        <v>0</v>
      </c>
      <c r="DZ215" s="64" t="s">
        <v>269</v>
      </c>
      <c r="EA215" s="7"/>
      <c r="EB215" s="7"/>
    </row>
    <row r="216">
      <c r="A216" s="55" t="s">
        <v>613</v>
      </c>
      <c r="B216" s="56" t="s">
        <v>614</v>
      </c>
      <c r="C216" s="4"/>
      <c r="D216" s="4"/>
      <c r="E216" s="4"/>
      <c r="F216" s="57" t="s">
        <v>187</v>
      </c>
      <c r="G216" s="61">
        <v>242.118630833333</v>
      </c>
      <c r="H216" s="61">
        <v>-23.2528833333333</v>
      </c>
      <c r="I216" s="60" t="s">
        <v>608</v>
      </c>
      <c r="J216" s="5"/>
      <c r="K216" s="61">
        <v>10.0</v>
      </c>
      <c r="L216" s="5"/>
      <c r="M216" s="60">
        <v>2.0</v>
      </c>
      <c r="N216" s="60">
        <v>221.862312249018</v>
      </c>
      <c r="O216" s="60">
        <v>-5.664</v>
      </c>
      <c r="P216" s="60">
        <v>2.382</v>
      </c>
      <c r="Q216" s="60">
        <v>-23.504</v>
      </c>
      <c r="R216" s="60">
        <v>1.334</v>
      </c>
      <c r="S216" s="60"/>
      <c r="T216" s="60"/>
      <c r="U216" s="58"/>
      <c r="V216" s="5"/>
      <c r="W216" s="60">
        <v>0.1384</v>
      </c>
      <c r="X216" s="5"/>
      <c r="Y216" s="106" t="s">
        <v>351</v>
      </c>
      <c r="Z216" s="60"/>
      <c r="AA216" s="60"/>
      <c r="AB216" s="60">
        <v>15.482</v>
      </c>
      <c r="AC216" s="60">
        <v>0.06</v>
      </c>
      <c r="AD216" s="60">
        <v>14.775</v>
      </c>
      <c r="AE216" s="60">
        <v>0.048</v>
      </c>
      <c r="AF216" s="60">
        <v>14.205</v>
      </c>
      <c r="AG216" s="60">
        <v>0.07</v>
      </c>
      <c r="AH216" s="6"/>
      <c r="AI216" s="96"/>
      <c r="AJ216" s="76" t="s">
        <v>609</v>
      </c>
      <c r="AK216" s="64" t="s">
        <v>610</v>
      </c>
      <c r="AL216" s="117">
        <v>41791.0</v>
      </c>
      <c r="AM216" s="64">
        <v>4.16</v>
      </c>
      <c r="AN216" s="77">
        <f t="shared" ref="AN216:AN217" si="5">1000/4.5073</f>
        <v>221.8623122</v>
      </c>
      <c r="AO216" s="64"/>
      <c r="AP216" s="64" t="s">
        <v>615</v>
      </c>
      <c r="AQ216" s="13"/>
      <c r="AR216" s="66">
        <v>2487.0</v>
      </c>
      <c r="AS216" s="70">
        <v>147.0</v>
      </c>
      <c r="AT216" s="67">
        <v>0.0188</v>
      </c>
      <c r="AU216" s="73"/>
      <c r="AV216" s="13">
        <f t="shared" ref="AV216:AV217" si="6">10^-2.86</f>
        <v>0.001380384265</v>
      </c>
      <c r="AW216" s="13">
        <f t="shared" ref="AW216:AW217" si="7">(AV216*0.15)/0.434</f>
        <v>0.0004770913357</v>
      </c>
      <c r="AX216" s="73">
        <f t="shared" ref="AX216:AX217" si="8">2/9.731</f>
        <v>0.2055287226</v>
      </c>
      <c r="AY216" s="73">
        <f t="shared" ref="AY216:AY217" si="9">0.12/9.731</f>
        <v>0.01233172336</v>
      </c>
      <c r="AZ216" s="68" t="s">
        <v>596</v>
      </c>
      <c r="BA216" s="118" t="s">
        <v>597</v>
      </c>
      <c r="BB216" s="11"/>
      <c r="BC216" s="11"/>
      <c r="BD216" s="80">
        <v>7.65E-16</v>
      </c>
      <c r="BE216" s="80">
        <v>7.65E-16</v>
      </c>
      <c r="BF216" s="11"/>
      <c r="BG216" s="11"/>
      <c r="BH216" s="80">
        <v>1.07E-16</v>
      </c>
      <c r="BI216" s="80">
        <v>1.4E-17</v>
      </c>
      <c r="BJ216" s="11"/>
      <c r="BK216" s="11"/>
      <c r="BL216" s="80">
        <v>8.3E-17</v>
      </c>
      <c r="BM216" s="80">
        <v>1.4E-17</v>
      </c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68" t="s">
        <v>616</v>
      </c>
      <c r="DI216" s="11"/>
      <c r="DJ216" s="11"/>
      <c r="DK216" s="68" t="s">
        <v>617</v>
      </c>
      <c r="DL216" s="11"/>
      <c r="DM216" s="69"/>
      <c r="DN216" s="69"/>
      <c r="DO216" s="69"/>
      <c r="DP216" s="69"/>
      <c r="DQ216" s="11"/>
      <c r="DR216" s="69"/>
      <c r="DS216" s="69"/>
      <c r="DT216" s="69"/>
      <c r="DU216" s="69"/>
      <c r="DV216" s="64">
        <v>-6.34</v>
      </c>
      <c r="DW216" s="98">
        <v>0.04</v>
      </c>
      <c r="DX216" s="81">
        <f>10^(-10.86)</f>
        <v>0</v>
      </c>
      <c r="DY216" s="92">
        <f t="shared" ref="DY216:DY217" si="10">(DX216*0.45)/0.434</f>
        <v>0</v>
      </c>
      <c r="DZ216" s="64" t="s">
        <v>269</v>
      </c>
      <c r="EA216" s="7"/>
      <c r="EB216" s="7"/>
    </row>
    <row r="217">
      <c r="A217" s="55" t="s">
        <v>613</v>
      </c>
      <c r="B217" s="56" t="s">
        <v>614</v>
      </c>
      <c r="C217" s="4"/>
      <c r="D217" s="4"/>
      <c r="E217" s="4"/>
      <c r="F217" s="57" t="s">
        <v>187</v>
      </c>
      <c r="G217" s="61">
        <v>242.118630833333</v>
      </c>
      <c r="H217" s="61">
        <v>-23.2528833333333</v>
      </c>
      <c r="I217" s="60" t="s">
        <v>608</v>
      </c>
      <c r="J217" s="5"/>
      <c r="K217" s="61">
        <v>10.0</v>
      </c>
      <c r="L217" s="5"/>
      <c r="M217" s="60">
        <v>2.0</v>
      </c>
      <c r="N217" s="60">
        <v>221.862312249018</v>
      </c>
      <c r="O217" s="60">
        <v>-5.664</v>
      </c>
      <c r="P217" s="60">
        <v>2.382</v>
      </c>
      <c r="Q217" s="60">
        <v>-23.504</v>
      </c>
      <c r="R217" s="60">
        <v>1.334</v>
      </c>
      <c r="S217" s="60"/>
      <c r="T217" s="60"/>
      <c r="U217" s="58"/>
      <c r="V217" s="5"/>
      <c r="W217" s="60">
        <v>0.1384</v>
      </c>
      <c r="X217" s="5"/>
      <c r="Y217" s="83" t="s">
        <v>351</v>
      </c>
      <c r="Z217" s="60"/>
      <c r="AA217" s="60"/>
      <c r="AB217" s="60">
        <v>15.482</v>
      </c>
      <c r="AC217" s="60">
        <v>0.06</v>
      </c>
      <c r="AD217" s="60">
        <v>14.775</v>
      </c>
      <c r="AE217" s="60">
        <v>0.048</v>
      </c>
      <c r="AF217" s="60">
        <v>14.205</v>
      </c>
      <c r="AG217" s="60">
        <v>0.07</v>
      </c>
      <c r="AH217" s="6"/>
      <c r="AI217" s="96"/>
      <c r="AJ217" s="76" t="s">
        <v>609</v>
      </c>
      <c r="AK217" s="64" t="s">
        <v>610</v>
      </c>
      <c r="AL217" s="117">
        <v>41791.0</v>
      </c>
      <c r="AM217" s="64">
        <v>4.16</v>
      </c>
      <c r="AN217" s="77">
        <f t="shared" si="5"/>
        <v>221.8623122</v>
      </c>
      <c r="AO217" s="64"/>
      <c r="AP217" s="64" t="s">
        <v>615</v>
      </c>
      <c r="AQ217" s="13"/>
      <c r="AR217" s="66">
        <v>2487.0</v>
      </c>
      <c r="AS217" s="70">
        <v>147.0</v>
      </c>
      <c r="AT217" s="67">
        <v>0.0188</v>
      </c>
      <c r="AU217" s="73"/>
      <c r="AV217" s="13">
        <f t="shared" si="6"/>
        <v>0.001380384265</v>
      </c>
      <c r="AW217" s="13">
        <f t="shared" si="7"/>
        <v>0.0004770913357</v>
      </c>
      <c r="AX217" s="73">
        <f t="shared" si="8"/>
        <v>0.2055287226</v>
      </c>
      <c r="AY217" s="73">
        <f t="shared" si="9"/>
        <v>0.01233172336</v>
      </c>
      <c r="AZ217" s="68" t="s">
        <v>596</v>
      </c>
      <c r="BA217" s="118" t="s">
        <v>597</v>
      </c>
      <c r="BB217" s="11"/>
      <c r="BC217" s="11"/>
      <c r="BD217" s="80">
        <v>1.199E-15</v>
      </c>
      <c r="BE217" s="80">
        <v>3.8E-17</v>
      </c>
      <c r="BF217" s="11"/>
      <c r="BG217" s="11"/>
      <c r="BH217" s="80">
        <v>1.85E-16</v>
      </c>
      <c r="BI217" s="80">
        <v>2.5E-17</v>
      </c>
      <c r="BJ217" s="11"/>
      <c r="BK217" s="11"/>
      <c r="BL217" s="80">
        <v>1.07E-16</v>
      </c>
      <c r="BM217" s="80">
        <v>2.3E-17</v>
      </c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68" t="s">
        <v>618</v>
      </c>
      <c r="DI217" s="11"/>
      <c r="DJ217" s="11"/>
      <c r="DK217" s="68" t="s">
        <v>617</v>
      </c>
      <c r="DL217" s="11"/>
      <c r="DM217" s="69"/>
      <c r="DN217" s="69"/>
      <c r="DO217" s="69"/>
      <c r="DP217" s="69"/>
      <c r="DQ217" s="11"/>
      <c r="DR217" s="69"/>
      <c r="DS217" s="69"/>
      <c r="DT217" s="69"/>
      <c r="DU217" s="69"/>
      <c r="DV217" s="64">
        <v>-5.16</v>
      </c>
      <c r="DW217" s="98">
        <v>0.03</v>
      </c>
      <c r="DX217" s="81">
        <f>10^(-10.76)</f>
        <v>0</v>
      </c>
      <c r="DY217" s="92">
        <f t="shared" si="10"/>
        <v>0</v>
      </c>
      <c r="DZ217" s="64" t="s">
        <v>269</v>
      </c>
      <c r="EA217" s="7"/>
      <c r="EB217" s="7"/>
    </row>
    <row r="218">
      <c r="A218" s="74" t="s">
        <v>619</v>
      </c>
      <c r="B218" s="99" t="s">
        <v>620</v>
      </c>
      <c r="C218" s="57" t="s">
        <v>156</v>
      </c>
      <c r="D218" s="57">
        <v>5.837</v>
      </c>
      <c r="E218" s="4"/>
      <c r="F218" s="57" t="s">
        <v>187</v>
      </c>
      <c r="G218" s="61">
        <v>242.634694583333</v>
      </c>
      <c r="H218" s="61">
        <v>-19.2189972222222</v>
      </c>
      <c r="I218" s="60" t="s">
        <v>608</v>
      </c>
      <c r="J218" s="5"/>
      <c r="K218" s="61">
        <v>10.0</v>
      </c>
      <c r="L218" s="5"/>
      <c r="M218" s="59">
        <v>2.0</v>
      </c>
      <c r="N218" s="60">
        <v>143.67816091954</v>
      </c>
      <c r="O218" s="60">
        <v>-7.043</v>
      </c>
      <c r="P218" s="60">
        <v>1.112</v>
      </c>
      <c r="Q218" s="60">
        <v>-24.982</v>
      </c>
      <c r="R218" s="60">
        <v>0.576</v>
      </c>
      <c r="S218" s="60"/>
      <c r="T218" s="60"/>
      <c r="U218" s="61">
        <v>0.13</v>
      </c>
      <c r="V218" s="5"/>
      <c r="W218" s="5"/>
      <c r="X218" s="5"/>
      <c r="Y218" s="83" t="s">
        <v>609</v>
      </c>
      <c r="Z218" s="60"/>
      <c r="AA218" s="60"/>
      <c r="AB218" s="60">
        <v>13.94</v>
      </c>
      <c r="AC218" s="60">
        <v>0.09</v>
      </c>
      <c r="AD218" s="60">
        <v>13.18</v>
      </c>
      <c r="AE218" s="60">
        <v>0.1</v>
      </c>
      <c r="AF218" s="60">
        <v>12.73</v>
      </c>
      <c r="AG218" s="60">
        <v>0.05</v>
      </c>
      <c r="AH218" s="6"/>
      <c r="AI218" s="96"/>
      <c r="AJ218" s="76" t="s">
        <v>609</v>
      </c>
      <c r="AK218" s="64" t="s">
        <v>610</v>
      </c>
      <c r="AL218" s="70">
        <v>2014.0</v>
      </c>
      <c r="AM218" s="64">
        <v>4.17</v>
      </c>
      <c r="AN218" s="77">
        <v>143.9</v>
      </c>
      <c r="AO218" s="64">
        <v>8.0</v>
      </c>
      <c r="AP218" s="64" t="s">
        <v>621</v>
      </c>
      <c r="AQ218" s="64">
        <v>0.5</v>
      </c>
      <c r="AR218" s="66">
        <v>2542.0</v>
      </c>
      <c r="AS218" s="70">
        <v>104.0</v>
      </c>
      <c r="AT218" s="67">
        <v>0.0190918</v>
      </c>
      <c r="AU218" s="70">
        <v>0.00477294</v>
      </c>
      <c r="AV218" s="13">
        <f>10^-2.25</f>
        <v>0.005623413252</v>
      </c>
      <c r="AW218" s="13">
        <f>(AV218*0.1)/0.434</f>
        <v>0.001295717339</v>
      </c>
      <c r="AX218" s="73">
        <f>3.87/9.731</f>
        <v>0.3976980783</v>
      </c>
      <c r="AY218" s="73">
        <f>0.24/9.731</f>
        <v>0.02466344672</v>
      </c>
      <c r="AZ218" s="68" t="s">
        <v>596</v>
      </c>
      <c r="BA218" s="118" t="s">
        <v>597</v>
      </c>
      <c r="BB218" s="11"/>
      <c r="BC218" s="11"/>
      <c r="BD218" s="80">
        <v>4.86E-16</v>
      </c>
      <c r="BE218" s="80">
        <v>2.6E-17</v>
      </c>
      <c r="BF218" s="11"/>
      <c r="BG218" s="11"/>
      <c r="BH218" s="80">
        <v>5.6E-16</v>
      </c>
      <c r="BI218" s="80">
        <v>2.1E-17</v>
      </c>
      <c r="BJ218" s="11"/>
      <c r="BK218" s="11"/>
      <c r="BL218" s="80">
        <v>2.3E-17</v>
      </c>
      <c r="BM218" s="80">
        <v>1.8E-17</v>
      </c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80">
        <v>2.3E-17</v>
      </c>
      <c r="DI218" s="80">
        <v>1.5E-17</v>
      </c>
      <c r="DJ218" s="11"/>
      <c r="DK218" s="80">
        <v>2.7E-17</v>
      </c>
      <c r="DL218" s="80">
        <v>1.1E-17</v>
      </c>
      <c r="DM218" s="69"/>
      <c r="DN218" s="69"/>
      <c r="DO218" s="69"/>
      <c r="DP218" s="69"/>
      <c r="DQ218" s="11"/>
      <c r="DR218" s="69"/>
      <c r="DS218" s="69"/>
      <c r="DT218" s="69"/>
      <c r="DU218" s="69"/>
      <c r="DV218" s="64">
        <v>-5.7</v>
      </c>
      <c r="DW218" s="98">
        <v>0.3</v>
      </c>
      <c r="DX218" s="81">
        <f>10^(-11.48)</f>
        <v>0</v>
      </c>
      <c r="DY218" s="92">
        <f>(DX218*0.4)/0.434</f>
        <v>0</v>
      </c>
      <c r="DZ218" s="64" t="s">
        <v>269</v>
      </c>
      <c r="EA218" s="7"/>
      <c r="EB218" s="7"/>
    </row>
    <row r="219">
      <c r="A219" s="55" t="s">
        <v>208</v>
      </c>
      <c r="B219" s="56" t="s">
        <v>209</v>
      </c>
      <c r="C219" s="4"/>
      <c r="D219" s="3"/>
      <c r="E219" s="3"/>
      <c r="F219" s="57" t="s">
        <v>187</v>
      </c>
      <c r="G219" s="58">
        <v>64.7542</v>
      </c>
      <c r="H219" s="58">
        <v>28.0469</v>
      </c>
      <c r="I219" s="6" t="s">
        <v>199</v>
      </c>
      <c r="J219" s="6" t="s">
        <v>169</v>
      </c>
      <c r="K219" s="61">
        <v>1.5</v>
      </c>
      <c r="L219" s="5"/>
      <c r="M219" s="59"/>
      <c r="N219" s="60"/>
      <c r="O219" s="60">
        <v>7.09</v>
      </c>
      <c r="P219" s="60">
        <v>5.6</v>
      </c>
      <c r="Q219" s="60">
        <v>-28.41</v>
      </c>
      <c r="R219" s="60">
        <v>5.27</v>
      </c>
      <c r="S219" s="60"/>
      <c r="T219" s="60"/>
      <c r="U219" s="58">
        <v>0.02</v>
      </c>
      <c r="V219" s="58">
        <v>0.85</v>
      </c>
      <c r="W219" s="5"/>
      <c r="X219" s="5"/>
      <c r="Y219" s="83" t="s">
        <v>200</v>
      </c>
      <c r="Z219" s="60"/>
      <c r="AA219" s="60"/>
      <c r="AB219" s="60">
        <v>16.3</v>
      </c>
      <c r="AC219" s="60">
        <v>0.09</v>
      </c>
      <c r="AD219" s="60">
        <v>15.48</v>
      </c>
      <c r="AE219" s="60">
        <v>0.1</v>
      </c>
      <c r="AF219" s="60">
        <v>14.93</v>
      </c>
      <c r="AG219" s="60">
        <v>0.09</v>
      </c>
      <c r="AH219" s="6"/>
      <c r="AI219" s="96"/>
      <c r="AJ219" s="63" t="s">
        <v>598</v>
      </c>
      <c r="AK219" s="64" t="s">
        <v>226</v>
      </c>
      <c r="AL219" s="97">
        <v>2003.0</v>
      </c>
      <c r="AM219" s="7"/>
      <c r="AN219" s="8"/>
      <c r="AO219" s="13"/>
      <c r="AP219" s="13" t="s">
        <v>621</v>
      </c>
      <c r="AQ219" s="7"/>
      <c r="AR219" s="78">
        <v>2400.0</v>
      </c>
      <c r="AS219" s="7"/>
      <c r="AT219" s="79">
        <v>0.02</v>
      </c>
      <c r="AU219" s="7"/>
      <c r="AV219" s="64">
        <v>8.2E-4</v>
      </c>
      <c r="AW219" s="7"/>
      <c r="AX219" s="73">
        <v>0.17</v>
      </c>
      <c r="AY219" s="7"/>
      <c r="AZ219" s="11" t="s">
        <v>596</v>
      </c>
      <c r="BA219" s="11" t="s">
        <v>597</v>
      </c>
      <c r="BB219" s="68">
        <v>-66.8</v>
      </c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69"/>
      <c r="DN219" s="69"/>
      <c r="DO219" s="69"/>
      <c r="DP219" s="69"/>
      <c r="DQ219" s="11"/>
      <c r="DR219" s="69"/>
      <c r="DS219" s="69"/>
      <c r="DT219" s="69"/>
      <c r="DU219" s="69"/>
      <c r="DV219" s="13"/>
      <c r="DW219" s="10"/>
      <c r="DX219" s="81">
        <v>3.98E-12</v>
      </c>
      <c r="DY219" s="7"/>
      <c r="DZ219" s="64" t="s">
        <v>248</v>
      </c>
      <c r="EA219" s="72" t="s">
        <v>354</v>
      </c>
      <c r="EB219" s="85" t="s">
        <v>599</v>
      </c>
    </row>
    <row r="220">
      <c r="A220" s="107" t="s">
        <v>324</v>
      </c>
      <c r="B220" s="99" t="s">
        <v>622</v>
      </c>
      <c r="C220" s="4"/>
      <c r="D220" s="4"/>
      <c r="E220" s="4"/>
      <c r="F220" s="57" t="s">
        <v>187</v>
      </c>
      <c r="G220" s="61">
        <v>241.849305833333</v>
      </c>
      <c r="H220" s="61">
        <v>-22.1838641666666</v>
      </c>
      <c r="I220" s="60" t="s">
        <v>608</v>
      </c>
      <c r="J220" s="5"/>
      <c r="K220" s="61">
        <v>10.0</v>
      </c>
      <c r="L220" s="5"/>
      <c r="M220" s="60">
        <v>2.0</v>
      </c>
      <c r="N220" s="60">
        <v>119.306115631487</v>
      </c>
      <c r="O220" s="60">
        <v>-17.958</v>
      </c>
      <c r="P220" s="60">
        <v>2.804</v>
      </c>
      <c r="Q220" s="60">
        <v>-21.801</v>
      </c>
      <c r="R220" s="60">
        <v>1.42</v>
      </c>
      <c r="S220" s="60"/>
      <c r="T220" s="60"/>
      <c r="U220" s="58"/>
      <c r="V220" s="5"/>
      <c r="W220" s="60">
        <v>0.1283</v>
      </c>
      <c r="X220" s="5"/>
      <c r="Y220" s="109" t="s">
        <v>351</v>
      </c>
      <c r="Z220" s="60"/>
      <c r="AA220" s="60"/>
      <c r="AB220" s="60">
        <v>15.292</v>
      </c>
      <c r="AC220" s="60">
        <v>0.06</v>
      </c>
      <c r="AD220" s="60">
        <v>14.524</v>
      </c>
      <c r="AE220" s="60">
        <v>0.052</v>
      </c>
      <c r="AF220" s="60">
        <v>14.086</v>
      </c>
      <c r="AG220" s="60">
        <v>0.065</v>
      </c>
      <c r="AH220" s="6"/>
      <c r="AI220" s="96"/>
      <c r="AJ220" s="76" t="s">
        <v>609</v>
      </c>
      <c r="AK220" s="64" t="s">
        <v>610</v>
      </c>
      <c r="AL220" s="117">
        <v>41730.0</v>
      </c>
      <c r="AM220" s="64">
        <v>4.05</v>
      </c>
      <c r="AN220" s="77">
        <v>119.3</v>
      </c>
      <c r="AO220" s="64">
        <v>20.8</v>
      </c>
      <c r="AP220" s="64" t="s">
        <v>615</v>
      </c>
      <c r="AQ220" s="13"/>
      <c r="AR220" s="66">
        <v>2557.0</v>
      </c>
      <c r="AS220" s="70">
        <v>117.0</v>
      </c>
      <c r="AT220" s="67">
        <v>0.0202</v>
      </c>
      <c r="AU220" s="70">
        <v>7.0E-4</v>
      </c>
      <c r="AV220" s="13">
        <f>10^-2.84</f>
        <v>0.001445439771</v>
      </c>
      <c r="AW220" s="13">
        <f>(AV220*0.11)/0.434</f>
        <v>0.0003663557023</v>
      </c>
      <c r="AX220" s="73">
        <f>1.92/9.731</f>
        <v>0.1973075737</v>
      </c>
      <c r="AY220" s="73">
        <f>0.06/9.731</f>
        <v>0.006165861679</v>
      </c>
      <c r="AZ220" s="68" t="s">
        <v>596</v>
      </c>
      <c r="BA220" s="118" t="s">
        <v>597</v>
      </c>
      <c r="BB220" s="11"/>
      <c r="BC220" s="11"/>
      <c r="BD220" s="80">
        <v>9.9E-17</v>
      </c>
      <c r="BE220" s="80">
        <v>1.8E-17</v>
      </c>
      <c r="BF220" s="11"/>
      <c r="BG220" s="11"/>
      <c r="BH220" s="68" t="s">
        <v>623</v>
      </c>
      <c r="BI220" s="11"/>
      <c r="BJ220" s="11"/>
      <c r="BK220" s="11"/>
      <c r="BL220" s="68" t="s">
        <v>624</v>
      </c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68" t="s">
        <v>625</v>
      </c>
      <c r="DI220" s="11"/>
      <c r="DJ220" s="11"/>
      <c r="DK220" s="68" t="s">
        <v>626</v>
      </c>
      <c r="DL220" s="11"/>
      <c r="DM220" s="69"/>
      <c r="DN220" s="69"/>
      <c r="DO220" s="69"/>
      <c r="DP220" s="69"/>
      <c r="DQ220" s="11"/>
      <c r="DR220" s="69"/>
      <c r="DS220" s="69"/>
      <c r="DT220" s="69"/>
      <c r="DU220" s="69"/>
      <c r="DV220" s="64">
        <v>-6.57</v>
      </c>
      <c r="DW220" s="98">
        <v>0.07</v>
      </c>
      <c r="DX220" s="81">
        <f>10^(-11.34)</f>
        <v>0</v>
      </c>
      <c r="DY220" s="92">
        <f>(DX220*0.41)/0.434</f>
        <v>0</v>
      </c>
      <c r="DZ220" s="64" t="s">
        <v>269</v>
      </c>
      <c r="EA220" s="7"/>
      <c r="EB220" s="7"/>
    </row>
    <row r="221">
      <c r="A221" s="55" t="s">
        <v>211</v>
      </c>
      <c r="B221" s="56" t="s">
        <v>212</v>
      </c>
      <c r="C221" s="4"/>
      <c r="D221" s="4"/>
      <c r="E221" s="4"/>
      <c r="F221" s="57" t="s">
        <v>187</v>
      </c>
      <c r="G221" s="58">
        <v>67.5292</v>
      </c>
      <c r="H221" s="58">
        <v>26.1392</v>
      </c>
      <c r="I221" s="6" t="s">
        <v>199</v>
      </c>
      <c r="J221" s="6" t="s">
        <v>169</v>
      </c>
      <c r="K221" s="61">
        <v>1.5</v>
      </c>
      <c r="L221" s="5"/>
      <c r="M221" s="59">
        <v>2.0</v>
      </c>
      <c r="N221" s="61">
        <v>116.059097292341</v>
      </c>
      <c r="O221" s="61">
        <v>2.667</v>
      </c>
      <c r="P221" s="61">
        <v>1.193</v>
      </c>
      <c r="Q221" s="61">
        <v>-21.925</v>
      </c>
      <c r="R221" s="61">
        <v>0.86</v>
      </c>
      <c r="S221" s="60"/>
      <c r="T221" s="60"/>
      <c r="U221" s="58">
        <v>0.68</v>
      </c>
      <c r="V221" s="58">
        <v>0.85</v>
      </c>
      <c r="W221" s="5"/>
      <c r="X221" s="5"/>
      <c r="Y221" s="83" t="s">
        <v>200</v>
      </c>
      <c r="Z221" s="60">
        <v>20.56</v>
      </c>
      <c r="AA221" s="60"/>
      <c r="AB221" s="60">
        <v>14.99</v>
      </c>
      <c r="AC221" s="60">
        <v>0.03</v>
      </c>
      <c r="AD221" s="60">
        <v>14.2</v>
      </c>
      <c r="AE221" s="60">
        <v>0.04</v>
      </c>
      <c r="AF221" s="60">
        <v>13.69</v>
      </c>
      <c r="AG221" s="60">
        <v>0.04</v>
      </c>
      <c r="AH221" s="6"/>
      <c r="AI221" s="96"/>
      <c r="AJ221" s="63" t="s">
        <v>598</v>
      </c>
      <c r="AK221" s="64" t="s">
        <v>226</v>
      </c>
      <c r="AL221" s="97">
        <v>2003.0</v>
      </c>
      <c r="AM221" s="13"/>
      <c r="AN221" s="8"/>
      <c r="AO221" s="13"/>
      <c r="AP221" s="13" t="s">
        <v>213</v>
      </c>
      <c r="AQ221" s="7"/>
      <c r="AR221" s="78">
        <v>2555.0</v>
      </c>
      <c r="AS221" s="7"/>
      <c r="AT221" s="79">
        <v>0.025</v>
      </c>
      <c r="AU221" s="7"/>
      <c r="AV221" s="64">
        <v>0.0021</v>
      </c>
      <c r="AW221" s="7"/>
      <c r="AX221" s="73">
        <v>0.23</v>
      </c>
      <c r="AY221" s="7"/>
      <c r="AZ221" s="11" t="s">
        <v>596</v>
      </c>
      <c r="BA221" s="11" t="s">
        <v>597</v>
      </c>
      <c r="BB221" s="68">
        <v>-41.1</v>
      </c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69"/>
      <c r="DN221" s="69"/>
      <c r="DO221" s="69"/>
      <c r="DP221" s="69"/>
      <c r="DQ221" s="11"/>
      <c r="DR221" s="69"/>
      <c r="DS221" s="69"/>
      <c r="DT221" s="69"/>
      <c r="DU221" s="69"/>
      <c r="DV221" s="13"/>
      <c r="DW221" s="10"/>
      <c r="DX221" s="81">
        <v>3.98E-12</v>
      </c>
      <c r="DY221" s="7"/>
      <c r="DZ221" s="64" t="s">
        <v>248</v>
      </c>
      <c r="EA221" s="72" t="s">
        <v>354</v>
      </c>
      <c r="EB221" s="85" t="s">
        <v>599</v>
      </c>
    </row>
    <row r="222">
      <c r="A222" s="55" t="s">
        <v>627</v>
      </c>
      <c r="B222" s="56" t="s">
        <v>627</v>
      </c>
      <c r="C222" s="4"/>
      <c r="D222" s="3"/>
      <c r="E222" s="3" t="s">
        <v>137</v>
      </c>
      <c r="F222" s="57" t="s">
        <v>187</v>
      </c>
      <c r="G222" s="58">
        <v>167.5927126</v>
      </c>
      <c r="H222" s="58">
        <v>-76.42051134</v>
      </c>
      <c r="I222" s="6" t="s">
        <v>268</v>
      </c>
      <c r="J222" s="6" t="s">
        <v>159</v>
      </c>
      <c r="K222" s="58">
        <v>2.0</v>
      </c>
      <c r="L222" s="5"/>
      <c r="M222" s="59">
        <v>2.0</v>
      </c>
      <c r="N222" s="61">
        <v>190.16106642326</v>
      </c>
      <c r="O222" s="61">
        <v>-21.54</v>
      </c>
      <c r="P222" s="61">
        <v>0.276</v>
      </c>
      <c r="Q222" s="61">
        <v>-0.554</v>
      </c>
      <c r="R222" s="61">
        <v>0.305</v>
      </c>
      <c r="S222" s="60"/>
      <c r="T222" s="60"/>
      <c r="U222" s="59">
        <v>0.0</v>
      </c>
      <c r="V222" s="5"/>
      <c r="W222" s="60">
        <v>0.0</v>
      </c>
      <c r="X222" s="5"/>
      <c r="Y222" s="83" t="s">
        <v>628</v>
      </c>
      <c r="Z222" s="60"/>
      <c r="AA222" s="60"/>
      <c r="AB222" s="60">
        <v>13.53</v>
      </c>
      <c r="AC222" s="60">
        <v>0.03</v>
      </c>
      <c r="AD222" s="60">
        <v>12.9</v>
      </c>
      <c r="AE222" s="60">
        <v>0.027</v>
      </c>
      <c r="AF222" s="60">
        <v>12.446</v>
      </c>
      <c r="AG222" s="60">
        <v>0.023</v>
      </c>
      <c r="AH222" s="6"/>
      <c r="AI222" s="96"/>
      <c r="AJ222" s="63" t="s">
        <v>598</v>
      </c>
      <c r="AK222" s="64" t="s">
        <v>226</v>
      </c>
      <c r="AL222" s="97">
        <v>2003.0</v>
      </c>
      <c r="AM222" s="7"/>
      <c r="AN222" s="8"/>
      <c r="AO222" s="13"/>
      <c r="AP222" s="13" t="s">
        <v>318</v>
      </c>
      <c r="AQ222" s="7"/>
      <c r="AR222" s="78">
        <v>2710.0</v>
      </c>
      <c r="AS222" s="7"/>
      <c r="AT222" s="79">
        <v>0.03</v>
      </c>
      <c r="AU222" s="7"/>
      <c r="AV222" s="64">
        <v>0.011</v>
      </c>
      <c r="AW222" s="7"/>
      <c r="AX222" s="73">
        <v>0.48</v>
      </c>
      <c r="AY222" s="7"/>
      <c r="AZ222" s="11" t="s">
        <v>596</v>
      </c>
      <c r="BA222" s="11" t="s">
        <v>597</v>
      </c>
      <c r="BB222" s="68">
        <v>-85.3</v>
      </c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3"/>
      <c r="DW222" s="10"/>
      <c r="DX222" s="81">
        <v>1.0E-12</v>
      </c>
      <c r="DY222" s="7"/>
      <c r="DZ222" s="64" t="s">
        <v>248</v>
      </c>
      <c r="EA222" s="72" t="s">
        <v>354</v>
      </c>
      <c r="EB222" s="82" t="s">
        <v>629</v>
      </c>
    </row>
    <row r="223">
      <c r="A223" s="55" t="s">
        <v>219</v>
      </c>
      <c r="B223" s="56" t="s">
        <v>220</v>
      </c>
      <c r="C223" s="4"/>
      <c r="D223" s="4"/>
      <c r="E223" s="4"/>
      <c r="F223" s="57" t="s">
        <v>187</v>
      </c>
      <c r="G223" s="58">
        <v>67.7375</v>
      </c>
      <c r="H223" s="58">
        <v>25.9444</v>
      </c>
      <c r="I223" s="6" t="s">
        <v>199</v>
      </c>
      <c r="J223" s="6" t="s">
        <v>169</v>
      </c>
      <c r="K223" s="61">
        <v>1.5</v>
      </c>
      <c r="L223" s="5"/>
      <c r="M223" s="59">
        <v>2.0</v>
      </c>
      <c r="N223" s="61">
        <v>122.821454451663</v>
      </c>
      <c r="O223" s="61">
        <v>5.424</v>
      </c>
      <c r="P223" s="61">
        <v>0.886</v>
      </c>
      <c r="Q223" s="61">
        <v>-23.019</v>
      </c>
      <c r="R223" s="61">
        <v>0.596</v>
      </c>
      <c r="S223" s="60"/>
      <c r="T223" s="60"/>
      <c r="U223" s="58">
        <v>0.93</v>
      </c>
      <c r="V223" s="59">
        <v>0.85</v>
      </c>
      <c r="W223" s="5"/>
      <c r="X223" s="5"/>
      <c r="Y223" s="83" t="s">
        <v>200</v>
      </c>
      <c r="Z223" s="60"/>
      <c r="AA223" s="60"/>
      <c r="AB223" s="60">
        <v>14.52</v>
      </c>
      <c r="AC223" s="60">
        <v>0.03</v>
      </c>
      <c r="AD223" s="60">
        <v>13.828</v>
      </c>
      <c r="AE223" s="60">
        <v>0.027</v>
      </c>
      <c r="AF223" s="60">
        <v>13.27</v>
      </c>
      <c r="AG223" s="60">
        <v>0.03</v>
      </c>
      <c r="AH223" s="6"/>
      <c r="AI223" s="96"/>
      <c r="AJ223" s="63" t="s">
        <v>598</v>
      </c>
      <c r="AK223" s="64" t="s">
        <v>226</v>
      </c>
      <c r="AL223" s="97">
        <v>2003.0</v>
      </c>
      <c r="AM223" s="13"/>
      <c r="AN223" s="8"/>
      <c r="AO223" s="13"/>
      <c r="AP223" s="13" t="s">
        <v>221</v>
      </c>
      <c r="AQ223" s="7"/>
      <c r="AR223" s="78">
        <v>2632.0</v>
      </c>
      <c r="AS223" s="7"/>
      <c r="AT223" s="79">
        <v>0.03</v>
      </c>
      <c r="AU223" s="7"/>
      <c r="AV223" s="64">
        <v>0.0033</v>
      </c>
      <c r="AW223" s="7"/>
      <c r="AX223" s="73">
        <v>0.28</v>
      </c>
      <c r="AY223" s="7"/>
      <c r="AZ223" s="11" t="s">
        <v>596</v>
      </c>
      <c r="BA223" s="11" t="s">
        <v>597</v>
      </c>
      <c r="BB223" s="68">
        <v>-31.1</v>
      </c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69"/>
      <c r="DN223" s="69"/>
      <c r="DO223" s="69"/>
      <c r="DP223" s="69"/>
      <c r="DQ223" s="11"/>
      <c r="DR223" s="69"/>
      <c r="DS223" s="69"/>
      <c r="DT223" s="69"/>
      <c r="DU223" s="69"/>
      <c r="DV223" s="13"/>
      <c r="DW223" s="10"/>
      <c r="DX223" s="81">
        <v>3.98E-12</v>
      </c>
      <c r="DY223" s="7"/>
      <c r="DZ223" s="64" t="s">
        <v>248</v>
      </c>
      <c r="EA223" s="72" t="s">
        <v>354</v>
      </c>
      <c r="EB223" s="85" t="s">
        <v>599</v>
      </c>
    </row>
    <row r="224">
      <c r="A224" s="119" t="s">
        <v>630</v>
      </c>
      <c r="B224" s="120" t="s">
        <v>631</v>
      </c>
      <c r="C224" s="4"/>
      <c r="D224" s="3"/>
      <c r="E224" s="3"/>
      <c r="F224" s="57" t="s">
        <v>187</v>
      </c>
      <c r="G224" s="61">
        <v>166.819455833333</v>
      </c>
      <c r="H224" s="61">
        <v>-77.5981172222222</v>
      </c>
      <c r="I224" s="6" t="s">
        <v>268</v>
      </c>
      <c r="J224" s="6" t="s">
        <v>169</v>
      </c>
      <c r="K224" s="58">
        <v>2.0</v>
      </c>
      <c r="L224" s="59"/>
      <c r="M224" s="59">
        <v>2.0</v>
      </c>
      <c r="N224" s="61">
        <v>196.803904589467</v>
      </c>
      <c r="O224" s="61">
        <v>-22.448</v>
      </c>
      <c r="P224" s="61">
        <v>0.26</v>
      </c>
      <c r="Q224" s="61">
        <v>1.006</v>
      </c>
      <c r="R224" s="61">
        <v>0.244</v>
      </c>
      <c r="S224" s="60">
        <v>15.5</v>
      </c>
      <c r="T224" s="60">
        <v>0.2</v>
      </c>
      <c r="U224" s="58">
        <v>0.2</v>
      </c>
      <c r="V224" s="5"/>
      <c r="W224" s="5"/>
      <c r="X224" s="5"/>
      <c r="Y224" s="93" t="s">
        <v>269</v>
      </c>
      <c r="Z224" s="60"/>
      <c r="AA224" s="60"/>
      <c r="AB224" s="60">
        <v>13.342</v>
      </c>
      <c r="AC224" s="60">
        <v>0.024</v>
      </c>
      <c r="AD224" s="60">
        <v>12.668</v>
      </c>
      <c r="AE224" s="60">
        <v>0.026</v>
      </c>
      <c r="AF224" s="60">
        <v>12.174</v>
      </c>
      <c r="AG224" s="60">
        <v>0.024</v>
      </c>
      <c r="AH224" s="6"/>
      <c r="AI224" s="96"/>
      <c r="AJ224" s="63" t="s">
        <v>598</v>
      </c>
      <c r="AK224" s="64" t="s">
        <v>226</v>
      </c>
      <c r="AL224" s="97">
        <v>2003.0</v>
      </c>
      <c r="AM224" s="13"/>
      <c r="AN224" s="8"/>
      <c r="AO224" s="13"/>
      <c r="AP224" s="13" t="s">
        <v>334</v>
      </c>
      <c r="AQ224" s="7"/>
      <c r="AR224" s="78">
        <v>2752.0</v>
      </c>
      <c r="AS224" s="7"/>
      <c r="AT224" s="79">
        <v>0.035</v>
      </c>
      <c r="AU224" s="7"/>
      <c r="AV224" s="64">
        <v>0.013</v>
      </c>
      <c r="AW224" s="7"/>
      <c r="AX224" s="73">
        <v>0.5</v>
      </c>
      <c r="AY224" s="7"/>
      <c r="AZ224" s="11" t="s">
        <v>596</v>
      </c>
      <c r="BA224" s="11" t="s">
        <v>597</v>
      </c>
      <c r="BB224" s="95">
        <v>-118.3</v>
      </c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69"/>
      <c r="DN224" s="69"/>
      <c r="DO224" s="69"/>
      <c r="DP224" s="69"/>
      <c r="DQ224" s="11"/>
      <c r="DR224" s="69"/>
      <c r="DS224" s="69"/>
      <c r="DT224" s="69"/>
      <c r="DU224" s="69"/>
      <c r="DV224" s="7"/>
      <c r="DW224" s="10"/>
      <c r="DX224" s="81">
        <v>5.01E-12</v>
      </c>
      <c r="DY224" s="7"/>
      <c r="DZ224" s="64" t="s">
        <v>248</v>
      </c>
      <c r="EA224" s="72" t="s">
        <v>354</v>
      </c>
      <c r="EB224" s="13"/>
    </row>
    <row r="225">
      <c r="A225" s="74" t="s">
        <v>632</v>
      </c>
      <c r="B225" s="99" t="s">
        <v>633</v>
      </c>
      <c r="C225" s="4"/>
      <c r="D225" s="3"/>
      <c r="E225" s="57" t="s">
        <v>137</v>
      </c>
      <c r="F225" s="57" t="s">
        <v>187</v>
      </c>
      <c r="G225" s="61">
        <v>166.907248749999</v>
      </c>
      <c r="H225" s="61">
        <v>-77.5918883333333</v>
      </c>
      <c r="I225" s="6" t="s">
        <v>268</v>
      </c>
      <c r="J225" s="6" t="s">
        <v>169</v>
      </c>
      <c r="K225" s="61">
        <v>2.0</v>
      </c>
      <c r="L225" s="5"/>
      <c r="M225" s="59">
        <v>2.0</v>
      </c>
      <c r="N225" s="61">
        <v>184.240101700536</v>
      </c>
      <c r="O225" s="61">
        <v>-22.803</v>
      </c>
      <c r="P225" s="61">
        <v>0.49</v>
      </c>
      <c r="Q225" s="61">
        <v>1.298</v>
      </c>
      <c r="R225" s="61">
        <v>0.499</v>
      </c>
      <c r="S225" s="60">
        <v>13.7</v>
      </c>
      <c r="T225" s="60">
        <v>0.2</v>
      </c>
      <c r="U225" s="61">
        <v>0.3</v>
      </c>
      <c r="V225" s="5"/>
      <c r="W225" s="5"/>
      <c r="X225" s="5"/>
      <c r="Y225" s="62" t="s">
        <v>269</v>
      </c>
      <c r="Z225" s="60"/>
      <c r="AA225" s="60"/>
      <c r="AB225" s="60">
        <v>13.613</v>
      </c>
      <c r="AC225" s="60">
        <v>0.03</v>
      </c>
      <c r="AD225" s="60">
        <v>12.9</v>
      </c>
      <c r="AE225" s="60">
        <v>0.026</v>
      </c>
      <c r="AF225" s="60">
        <v>12.421</v>
      </c>
      <c r="AG225" s="60">
        <v>0.03</v>
      </c>
      <c r="AH225" s="6"/>
      <c r="AI225" s="96"/>
      <c r="AJ225" s="63" t="s">
        <v>598</v>
      </c>
      <c r="AK225" s="64" t="s">
        <v>226</v>
      </c>
      <c r="AL225" s="97">
        <v>2003.0</v>
      </c>
      <c r="AM225" s="7"/>
      <c r="AN225" s="8"/>
      <c r="AO225" s="13"/>
      <c r="AP225" s="64" t="s">
        <v>334</v>
      </c>
      <c r="AQ225" s="7"/>
      <c r="AR225" s="66">
        <v>2752.0</v>
      </c>
      <c r="AS225" s="7"/>
      <c r="AT225" s="67">
        <v>0.035</v>
      </c>
      <c r="AU225" s="7"/>
      <c r="AV225" s="64">
        <v>0.012</v>
      </c>
      <c r="AW225" s="7"/>
      <c r="AX225" s="70">
        <v>0.48</v>
      </c>
      <c r="AY225" s="7"/>
      <c r="AZ225" s="11" t="s">
        <v>596</v>
      </c>
      <c r="BA225" s="11" t="s">
        <v>597</v>
      </c>
      <c r="BB225" s="90">
        <v>-26.0</v>
      </c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7"/>
      <c r="DW225" s="10"/>
      <c r="DX225" s="81">
        <v>1.0E-12</v>
      </c>
      <c r="DY225" s="7"/>
      <c r="DZ225" s="64" t="s">
        <v>248</v>
      </c>
      <c r="EA225" s="72" t="s">
        <v>354</v>
      </c>
      <c r="EB225" s="82"/>
    </row>
    <row r="226">
      <c r="A226" s="55" t="s">
        <v>634</v>
      </c>
      <c r="B226" s="56" t="s">
        <v>635</v>
      </c>
      <c r="C226" s="4"/>
      <c r="D226" s="4"/>
      <c r="E226" s="4" t="s">
        <v>137</v>
      </c>
      <c r="F226" s="57" t="s">
        <v>187</v>
      </c>
      <c r="G226" s="58">
        <v>69.1625</v>
      </c>
      <c r="H226" s="58">
        <v>22.97</v>
      </c>
      <c r="I226" s="6" t="s">
        <v>199</v>
      </c>
      <c r="J226" s="6" t="s">
        <v>159</v>
      </c>
      <c r="K226" s="61">
        <v>1.5</v>
      </c>
      <c r="L226" s="5"/>
      <c r="M226" s="59">
        <v>2.0</v>
      </c>
      <c r="N226" s="61">
        <v>183.908045977011</v>
      </c>
      <c r="O226" s="61">
        <v>9.548</v>
      </c>
      <c r="P226" s="61">
        <v>0.731</v>
      </c>
      <c r="Q226" s="61">
        <v>-15.974</v>
      </c>
      <c r="R226" s="61">
        <v>0.372</v>
      </c>
      <c r="S226" s="60">
        <v>16.76</v>
      </c>
      <c r="T226" s="60">
        <v>0.376</v>
      </c>
      <c r="U226" s="59">
        <v>0.81</v>
      </c>
      <c r="V226" s="59">
        <v>0.85</v>
      </c>
      <c r="W226" s="5"/>
      <c r="X226" s="5"/>
      <c r="Y226" s="83" t="s">
        <v>200</v>
      </c>
      <c r="Z226" s="60"/>
      <c r="AA226" s="60"/>
      <c r="AB226" s="60">
        <v>13.724</v>
      </c>
      <c r="AC226" s="60">
        <v>0.026</v>
      </c>
      <c r="AD226" s="60">
        <v>12.861</v>
      </c>
      <c r="AE226" s="60">
        <v>0.024</v>
      </c>
      <c r="AF226" s="60">
        <v>12.367</v>
      </c>
      <c r="AG226" s="60">
        <v>0.025</v>
      </c>
      <c r="AH226" s="6"/>
      <c r="AI226" s="96"/>
      <c r="AJ226" s="63" t="s">
        <v>598</v>
      </c>
      <c r="AK226" s="64" t="s">
        <v>226</v>
      </c>
      <c r="AL226" s="97">
        <v>2003.0</v>
      </c>
      <c r="AM226" s="7"/>
      <c r="AN226" s="8"/>
      <c r="AO226" s="13"/>
      <c r="AP226" s="13" t="s">
        <v>334</v>
      </c>
      <c r="AQ226" s="7"/>
      <c r="AR226" s="78">
        <v>2752.0</v>
      </c>
      <c r="AS226" s="7"/>
      <c r="AT226" s="79">
        <v>0.035</v>
      </c>
      <c r="AU226" s="7"/>
      <c r="AV226" s="64">
        <v>0.0088</v>
      </c>
      <c r="AW226" s="7"/>
      <c r="AX226" s="73">
        <v>0.41</v>
      </c>
      <c r="AY226" s="7"/>
      <c r="AZ226" s="11" t="s">
        <v>596</v>
      </c>
      <c r="BA226" s="11" t="s">
        <v>597</v>
      </c>
      <c r="BB226" s="68">
        <v>-10.5</v>
      </c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69"/>
      <c r="DN226" s="69"/>
      <c r="DO226" s="69"/>
      <c r="DP226" s="69"/>
      <c r="DQ226" s="11"/>
      <c r="DR226" s="69"/>
      <c r="DS226" s="69"/>
      <c r="DT226" s="69"/>
      <c r="DU226" s="69"/>
      <c r="DV226" s="13"/>
      <c r="DW226" s="10"/>
      <c r="DX226" s="81">
        <v>1.0E-12</v>
      </c>
      <c r="DY226" s="7"/>
      <c r="DZ226" s="64" t="s">
        <v>248</v>
      </c>
      <c r="EA226" s="72" t="s">
        <v>354</v>
      </c>
      <c r="EB226" s="82" t="s">
        <v>599</v>
      </c>
    </row>
    <row r="227">
      <c r="A227" s="55" t="s">
        <v>333</v>
      </c>
      <c r="B227" s="56" t="s">
        <v>333</v>
      </c>
      <c r="C227" s="4"/>
      <c r="D227" s="3"/>
      <c r="E227" s="3"/>
      <c r="F227" s="57" t="s">
        <v>187</v>
      </c>
      <c r="G227" s="58">
        <v>70.45</v>
      </c>
      <c r="H227" s="58">
        <v>25.5753</v>
      </c>
      <c r="I227" s="6" t="s">
        <v>199</v>
      </c>
      <c r="J227" s="6" t="s">
        <v>169</v>
      </c>
      <c r="K227" s="61">
        <v>1.5</v>
      </c>
      <c r="L227" s="5"/>
      <c r="M227" s="59">
        <v>2.0</v>
      </c>
      <c r="N227" s="61">
        <v>136.16186923014</v>
      </c>
      <c r="O227" s="61">
        <v>4.511</v>
      </c>
      <c r="P227" s="61">
        <v>0.4</v>
      </c>
      <c r="Q227" s="61">
        <v>-19.605</v>
      </c>
      <c r="R227" s="61">
        <v>0.251</v>
      </c>
      <c r="S227" s="60">
        <v>15.22</v>
      </c>
      <c r="T227" s="60">
        <v>0.333</v>
      </c>
      <c r="U227" s="58">
        <v>1.0</v>
      </c>
      <c r="V227" s="5"/>
      <c r="W227" s="5"/>
      <c r="X227" s="5"/>
      <c r="Y227" s="83" t="s">
        <v>225</v>
      </c>
      <c r="Z227" s="60"/>
      <c r="AA227" s="60"/>
      <c r="AB227" s="60">
        <v>13.73</v>
      </c>
      <c r="AC227" s="60">
        <v>0.026</v>
      </c>
      <c r="AD227" s="60">
        <v>12.799</v>
      </c>
      <c r="AE227" s="60">
        <v>0.021</v>
      </c>
      <c r="AF227" s="60">
        <v>12.22</v>
      </c>
      <c r="AG227" s="60">
        <v>0.023</v>
      </c>
      <c r="AH227" s="6"/>
      <c r="AI227" s="96"/>
      <c r="AJ227" s="63" t="s">
        <v>598</v>
      </c>
      <c r="AK227" s="64" t="s">
        <v>226</v>
      </c>
      <c r="AL227" s="97">
        <v>2003.0</v>
      </c>
      <c r="AM227" s="7"/>
      <c r="AN227" s="8"/>
      <c r="AO227" s="13"/>
      <c r="AP227" s="13" t="s">
        <v>334</v>
      </c>
      <c r="AQ227" s="73"/>
      <c r="AR227" s="78">
        <v>2752.0</v>
      </c>
      <c r="AS227" s="7"/>
      <c r="AT227" s="79">
        <v>0.035</v>
      </c>
      <c r="AU227" s="7"/>
      <c r="AV227" s="64">
        <v>0.0086</v>
      </c>
      <c r="AW227" s="7"/>
      <c r="AX227" s="73">
        <v>0.41</v>
      </c>
      <c r="AY227" s="7"/>
      <c r="AZ227" s="11" t="s">
        <v>596</v>
      </c>
      <c r="BA227" s="11" t="s">
        <v>597</v>
      </c>
      <c r="BB227" s="68">
        <v>-233.7</v>
      </c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69"/>
      <c r="DN227" s="69"/>
      <c r="DO227" s="69"/>
      <c r="DP227" s="69"/>
      <c r="DQ227" s="11"/>
      <c r="DR227" s="69"/>
      <c r="DS227" s="69"/>
      <c r="DT227" s="69"/>
      <c r="DU227" s="69"/>
      <c r="DV227" s="13"/>
      <c r="DW227" s="10"/>
      <c r="DX227" s="81">
        <v>5.01E-12</v>
      </c>
      <c r="DY227" s="7"/>
      <c r="DZ227" s="64" t="s">
        <v>248</v>
      </c>
      <c r="EA227" s="72" t="s">
        <v>354</v>
      </c>
      <c r="EB227" s="85" t="s">
        <v>599</v>
      </c>
    </row>
    <row r="228">
      <c r="A228" s="55" t="s">
        <v>636</v>
      </c>
      <c r="B228" s="56" t="s">
        <v>636</v>
      </c>
      <c r="C228" s="4"/>
      <c r="D228" s="4"/>
      <c r="E228" s="4"/>
      <c r="F228" s="57" t="s">
        <v>187</v>
      </c>
      <c r="G228" s="61">
        <v>246.591284583333</v>
      </c>
      <c r="H228" s="61">
        <v>-24.7443666666666</v>
      </c>
      <c r="I228" s="6" t="s">
        <v>158</v>
      </c>
      <c r="J228" s="6" t="s">
        <v>169</v>
      </c>
      <c r="K228" s="58">
        <v>1.0</v>
      </c>
      <c r="L228" s="5"/>
      <c r="M228" s="59">
        <v>2.0</v>
      </c>
      <c r="N228" s="61">
        <v>151.258470474346</v>
      </c>
      <c r="O228" s="61">
        <v>-8.227</v>
      </c>
      <c r="P228" s="61">
        <v>0.457</v>
      </c>
      <c r="Q228" s="61">
        <v>-25.155</v>
      </c>
      <c r="R228" s="61">
        <v>0.347</v>
      </c>
      <c r="S228" s="60"/>
      <c r="T228" s="60"/>
      <c r="U228" s="61">
        <v>2.0</v>
      </c>
      <c r="V228" s="5"/>
      <c r="W228" s="5"/>
      <c r="X228" s="5"/>
      <c r="Y228" s="93" t="s">
        <v>269</v>
      </c>
      <c r="Z228" s="60">
        <v>17.95</v>
      </c>
      <c r="AA228" s="60"/>
      <c r="AB228" s="60">
        <v>12.34</v>
      </c>
      <c r="AC228" s="60">
        <v>0.023</v>
      </c>
      <c r="AD228" s="60">
        <v>11.48</v>
      </c>
      <c r="AE228" s="60">
        <v>0.022</v>
      </c>
      <c r="AF228" s="60">
        <v>10.857</v>
      </c>
      <c r="AG228" s="60">
        <v>0.023</v>
      </c>
      <c r="AH228" s="6"/>
      <c r="AI228" s="6"/>
      <c r="AJ228" s="63" t="s">
        <v>269</v>
      </c>
      <c r="AK228" s="64" t="s">
        <v>637</v>
      </c>
      <c r="AL228" s="97">
        <v>2003.0</v>
      </c>
      <c r="AM228" s="7"/>
      <c r="AN228" s="77">
        <v>150.0</v>
      </c>
      <c r="AO228" s="13"/>
      <c r="AP228" s="64" t="s">
        <v>232</v>
      </c>
      <c r="AQ228" s="97">
        <v>0.5</v>
      </c>
      <c r="AR228" s="66">
        <v>2600.0</v>
      </c>
      <c r="AS228" s="73">
        <v>100.0</v>
      </c>
      <c r="AT228" s="67">
        <v>0.03816793893</v>
      </c>
      <c r="AU228" s="7"/>
      <c r="AV228" s="64">
        <v>0.06025595861</v>
      </c>
      <c r="AW228" s="7"/>
      <c r="AX228" s="73">
        <v>1.21</v>
      </c>
      <c r="AY228" s="7"/>
      <c r="AZ228" s="11" t="s">
        <v>596</v>
      </c>
      <c r="BA228" s="68" t="s">
        <v>597</v>
      </c>
      <c r="BB228" s="68">
        <v>-50.0</v>
      </c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68">
        <v>-0.4</v>
      </c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68">
        <v>-0.9</v>
      </c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69"/>
      <c r="DN228" s="69"/>
      <c r="DO228" s="69"/>
      <c r="DP228" s="69"/>
      <c r="DQ228" s="11"/>
      <c r="DR228" s="69"/>
      <c r="DS228" s="69"/>
      <c r="DT228" s="69"/>
      <c r="DU228" s="69"/>
      <c r="DV228" s="7"/>
      <c r="DW228" s="10"/>
      <c r="DX228" s="71">
        <v>3.16E-11</v>
      </c>
      <c r="DY228" s="7"/>
      <c r="DZ228" s="64" t="s">
        <v>248</v>
      </c>
      <c r="EA228" s="72" t="s">
        <v>166</v>
      </c>
      <c r="EB228" s="13"/>
    </row>
    <row r="229">
      <c r="A229" s="55" t="s">
        <v>630</v>
      </c>
      <c r="B229" s="120" t="s">
        <v>631</v>
      </c>
      <c r="C229" s="4"/>
      <c r="D229" s="3"/>
      <c r="E229" s="3" t="s">
        <v>137</v>
      </c>
      <c r="F229" s="57" t="s">
        <v>187</v>
      </c>
      <c r="G229" s="61">
        <v>166.819455833333</v>
      </c>
      <c r="H229" s="61">
        <v>-77.5981172222222</v>
      </c>
      <c r="I229" s="6" t="s">
        <v>268</v>
      </c>
      <c r="J229" s="6" t="s">
        <v>169</v>
      </c>
      <c r="K229" s="58">
        <v>2.0</v>
      </c>
      <c r="L229" s="58"/>
      <c r="M229" s="58">
        <v>2.0</v>
      </c>
      <c r="N229" s="61">
        <v>196.803904589467</v>
      </c>
      <c r="O229" s="61">
        <v>-22.448</v>
      </c>
      <c r="P229" s="61">
        <v>0.26</v>
      </c>
      <c r="Q229" s="61">
        <v>1.006</v>
      </c>
      <c r="R229" s="61">
        <v>0.244</v>
      </c>
      <c r="S229" s="60">
        <v>15.5</v>
      </c>
      <c r="T229" s="60">
        <v>0.2</v>
      </c>
      <c r="U229" s="61">
        <v>0.2</v>
      </c>
      <c r="V229" s="5"/>
      <c r="W229" s="5"/>
      <c r="X229" s="5"/>
      <c r="Y229" s="93" t="s">
        <v>269</v>
      </c>
      <c r="Z229" s="60"/>
      <c r="AA229" s="60"/>
      <c r="AB229" s="60">
        <v>13.342</v>
      </c>
      <c r="AC229" s="60">
        <v>0.024</v>
      </c>
      <c r="AD229" s="60">
        <v>12.668</v>
      </c>
      <c r="AE229" s="60">
        <v>0.026</v>
      </c>
      <c r="AF229" s="60">
        <v>12.174</v>
      </c>
      <c r="AG229" s="60">
        <v>0.024</v>
      </c>
      <c r="AH229" s="6"/>
      <c r="AI229" s="6"/>
      <c r="AJ229" s="63" t="s">
        <v>269</v>
      </c>
      <c r="AK229" s="64" t="s">
        <v>637</v>
      </c>
      <c r="AL229" s="97">
        <v>2003.0</v>
      </c>
      <c r="AM229" s="13"/>
      <c r="AN229" s="102">
        <v>160.0</v>
      </c>
      <c r="AO229" s="13"/>
      <c r="AP229" s="64" t="s">
        <v>232</v>
      </c>
      <c r="AQ229" s="97">
        <v>0.5</v>
      </c>
      <c r="AR229" s="66">
        <v>2770.0</v>
      </c>
      <c r="AS229" s="73">
        <v>150.0</v>
      </c>
      <c r="AT229" s="67">
        <v>0.03816793893</v>
      </c>
      <c r="AU229" s="7"/>
      <c r="AV229" s="70">
        <v>0.01096478196</v>
      </c>
      <c r="AW229" s="64">
        <v>1.584893192</v>
      </c>
      <c r="AX229" s="97">
        <v>0.46</v>
      </c>
      <c r="AY229" s="7"/>
      <c r="AZ229" s="11" t="s">
        <v>596</v>
      </c>
      <c r="BA229" s="68" t="s">
        <v>597</v>
      </c>
      <c r="BB229" s="90">
        <v>-35.0</v>
      </c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68">
        <v>-0.3</v>
      </c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68">
        <v>-1.0</v>
      </c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69"/>
      <c r="DN229" s="69"/>
      <c r="DO229" s="69"/>
      <c r="DP229" s="69"/>
      <c r="DQ229" s="11"/>
      <c r="DR229" s="69"/>
      <c r="DS229" s="69"/>
      <c r="DT229" s="69"/>
      <c r="DU229" s="69"/>
      <c r="DV229" s="13"/>
      <c r="DW229" s="10"/>
      <c r="DX229" s="71">
        <v>1.0E-12</v>
      </c>
      <c r="DY229" s="7"/>
      <c r="DZ229" s="64" t="s">
        <v>248</v>
      </c>
      <c r="EA229" s="72" t="s">
        <v>166</v>
      </c>
      <c r="EB229" s="85" t="s">
        <v>638</v>
      </c>
    </row>
    <row r="230">
      <c r="A230" s="55" t="s">
        <v>639</v>
      </c>
      <c r="B230" s="56" t="s">
        <v>640</v>
      </c>
      <c r="C230" s="4"/>
      <c r="D230" s="3"/>
      <c r="E230" s="3" t="s">
        <v>137</v>
      </c>
      <c r="F230" s="57" t="s">
        <v>187</v>
      </c>
      <c r="G230" s="58">
        <v>67.4417</v>
      </c>
      <c r="H230" s="58">
        <v>26.5131</v>
      </c>
      <c r="I230" s="6" t="s">
        <v>199</v>
      </c>
      <c r="J230" s="6" t="s">
        <v>159</v>
      </c>
      <c r="K230" s="61">
        <v>1.5</v>
      </c>
      <c r="L230" s="5"/>
      <c r="M230" s="59">
        <v>2.0</v>
      </c>
      <c r="N230" s="61">
        <v>128.228143512938</v>
      </c>
      <c r="O230" s="61">
        <v>6.868</v>
      </c>
      <c r="P230" s="61">
        <v>0.386</v>
      </c>
      <c r="Q230" s="61">
        <v>-20.967</v>
      </c>
      <c r="R230" s="61">
        <v>0.252</v>
      </c>
      <c r="S230" s="60">
        <v>15.77</v>
      </c>
      <c r="T230" s="60">
        <v>0.234</v>
      </c>
      <c r="U230" s="58">
        <v>0.13</v>
      </c>
      <c r="V230" s="58">
        <v>0.85</v>
      </c>
      <c r="W230" s="5"/>
      <c r="X230" s="5"/>
      <c r="Y230" s="83" t="s">
        <v>200</v>
      </c>
      <c r="Z230" s="60">
        <v>19.1</v>
      </c>
      <c r="AA230" s="60"/>
      <c r="AB230" s="60">
        <v>12.64</v>
      </c>
      <c r="AC230" s="60">
        <v>0.024</v>
      </c>
      <c r="AD230" s="60">
        <v>11.918</v>
      </c>
      <c r="AE230" s="60">
        <v>0.024</v>
      </c>
      <c r="AF230" s="60">
        <v>11.536</v>
      </c>
      <c r="AG230" s="60">
        <v>0.018</v>
      </c>
      <c r="AH230" s="6"/>
      <c r="AI230" s="96"/>
      <c r="AJ230" s="63" t="s">
        <v>598</v>
      </c>
      <c r="AK230" s="64" t="s">
        <v>226</v>
      </c>
      <c r="AL230" s="97">
        <v>2003.0</v>
      </c>
      <c r="AM230" s="7"/>
      <c r="AN230" s="8"/>
      <c r="AO230" s="13"/>
      <c r="AP230" s="13" t="s">
        <v>232</v>
      </c>
      <c r="AQ230" s="7"/>
      <c r="AR230" s="78">
        <v>2795.0</v>
      </c>
      <c r="AS230" s="7"/>
      <c r="AT230" s="79">
        <v>0.04</v>
      </c>
      <c r="AU230" s="7"/>
      <c r="AV230" s="64">
        <v>0.019</v>
      </c>
      <c r="AW230" s="7"/>
      <c r="AX230" s="73">
        <v>0.59</v>
      </c>
      <c r="AY230" s="7"/>
      <c r="AZ230" s="11" t="s">
        <v>596</v>
      </c>
      <c r="BA230" s="11" t="s">
        <v>597</v>
      </c>
      <c r="BB230" s="68">
        <v>-26.4</v>
      </c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69"/>
      <c r="DN230" s="69"/>
      <c r="DO230" s="69"/>
      <c r="DP230" s="69"/>
      <c r="DQ230" s="11"/>
      <c r="DR230" s="69"/>
      <c r="DS230" s="69"/>
      <c r="DT230" s="69"/>
      <c r="DU230" s="69"/>
      <c r="DV230" s="13"/>
      <c r="DW230" s="10"/>
      <c r="DX230" s="81">
        <v>1.0E-12</v>
      </c>
      <c r="DY230" s="7"/>
      <c r="DZ230" s="64" t="s">
        <v>248</v>
      </c>
      <c r="EA230" s="72" t="s">
        <v>354</v>
      </c>
      <c r="EB230" s="85" t="s">
        <v>599</v>
      </c>
    </row>
    <row r="231">
      <c r="A231" s="55" t="s">
        <v>246</v>
      </c>
      <c r="B231" s="56" t="s">
        <v>247</v>
      </c>
      <c r="C231" s="4"/>
      <c r="D231" s="4"/>
      <c r="E231" s="4"/>
      <c r="F231" s="57" t="s">
        <v>187</v>
      </c>
      <c r="G231" s="61">
        <v>56.1248533333333</v>
      </c>
      <c r="H231" s="61">
        <v>32.1609613888888</v>
      </c>
      <c r="I231" s="6" t="s">
        <v>235</v>
      </c>
      <c r="J231" s="6" t="s">
        <v>169</v>
      </c>
      <c r="K231" s="61">
        <v>1.174897555</v>
      </c>
      <c r="L231" s="5"/>
      <c r="M231" s="59">
        <v>2.0</v>
      </c>
      <c r="N231" s="61">
        <v>417.955362367299</v>
      </c>
      <c r="O231" s="61">
        <v>3.938</v>
      </c>
      <c r="P231" s="61">
        <v>1.984</v>
      </c>
      <c r="Q231" s="61">
        <v>-6.118</v>
      </c>
      <c r="R231" s="61">
        <v>1.302</v>
      </c>
      <c r="S231" s="60"/>
      <c r="T231" s="60"/>
      <c r="U231" s="61">
        <v>1.35</v>
      </c>
      <c r="V231" s="5"/>
      <c r="W231" s="5"/>
      <c r="X231" s="5"/>
      <c r="Y231" s="62" t="s">
        <v>248</v>
      </c>
      <c r="Z231" s="60"/>
      <c r="AA231" s="60"/>
      <c r="AB231" s="60">
        <v>15.218</v>
      </c>
      <c r="AC231" s="60">
        <v>0.038</v>
      </c>
      <c r="AD231" s="60">
        <v>14.371</v>
      </c>
      <c r="AE231" s="60">
        <v>0.047</v>
      </c>
      <c r="AF231" s="60">
        <v>13.748</v>
      </c>
      <c r="AG231" s="60">
        <v>0.039</v>
      </c>
      <c r="AH231" s="6"/>
      <c r="AI231" s="6"/>
      <c r="AJ231" s="63" t="s">
        <v>248</v>
      </c>
      <c r="AK231" s="64" t="s">
        <v>641</v>
      </c>
      <c r="AL231" s="64">
        <v>2001.0</v>
      </c>
      <c r="AM231" s="7"/>
      <c r="AN231" s="8"/>
      <c r="AO231" s="13"/>
      <c r="AP231" s="64" t="s">
        <v>642</v>
      </c>
      <c r="AQ231" s="7"/>
      <c r="AR231" s="9"/>
      <c r="AS231" s="7"/>
      <c r="AT231" s="67">
        <v>0.04</v>
      </c>
      <c r="AU231" s="7"/>
      <c r="AV231" s="13"/>
      <c r="AW231" s="7"/>
      <c r="AX231" s="73">
        <v>0.5</v>
      </c>
      <c r="AY231" s="7"/>
      <c r="AZ231" s="11" t="s">
        <v>596</v>
      </c>
      <c r="BA231" s="11" t="s">
        <v>597</v>
      </c>
      <c r="BB231" s="68">
        <v>-152.0</v>
      </c>
      <c r="BC231" s="11"/>
      <c r="BD231" s="11"/>
      <c r="BE231" s="11"/>
      <c r="BF231" s="68">
        <v>-40.0</v>
      </c>
      <c r="BG231" s="11"/>
      <c r="BH231" s="11"/>
      <c r="BI231" s="11"/>
      <c r="BJ231" s="68"/>
      <c r="BK231" s="11"/>
      <c r="BL231" s="11"/>
      <c r="BM231" s="11"/>
      <c r="BN231" s="68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68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2"/>
      <c r="DK231" s="12"/>
      <c r="DL231" s="12"/>
      <c r="DM231" s="80">
        <v>-2.6</v>
      </c>
      <c r="DN231" s="69"/>
      <c r="DO231" s="69"/>
      <c r="DP231" s="69"/>
      <c r="DQ231" s="68">
        <v>1.1</v>
      </c>
      <c r="DR231" s="69"/>
      <c r="DS231" s="69"/>
      <c r="DT231" s="69"/>
      <c r="DU231" s="69"/>
      <c r="DV231" s="97"/>
      <c r="DW231" s="10"/>
      <c r="DX231" s="71">
        <v>5.01E-10</v>
      </c>
      <c r="DY231" s="7"/>
      <c r="DZ231" s="64" t="s">
        <v>643</v>
      </c>
      <c r="EA231" s="72" t="s">
        <v>166</v>
      </c>
      <c r="EB231" s="82" t="s">
        <v>644</v>
      </c>
    </row>
    <row r="232">
      <c r="A232" s="55" t="s">
        <v>263</v>
      </c>
      <c r="B232" s="56" t="s">
        <v>645</v>
      </c>
      <c r="C232" s="4"/>
      <c r="D232" s="4"/>
      <c r="E232" s="4"/>
      <c r="F232" s="57" t="s">
        <v>187</v>
      </c>
      <c r="G232" s="61">
        <v>56.1289775</v>
      </c>
      <c r="H232" s="61">
        <v>32.0455925</v>
      </c>
      <c r="I232" s="6" t="s">
        <v>235</v>
      </c>
      <c r="J232" s="6" t="s">
        <v>169</v>
      </c>
      <c r="K232" s="61">
        <v>0.4897788194</v>
      </c>
      <c r="L232" s="5"/>
      <c r="M232" s="59"/>
      <c r="N232" s="60"/>
      <c r="O232" s="60"/>
      <c r="P232" s="60"/>
      <c r="Q232" s="60"/>
      <c r="R232" s="60"/>
      <c r="S232" s="60">
        <v>14.801207</v>
      </c>
      <c r="T232" s="60">
        <v>2.610948</v>
      </c>
      <c r="U232" s="61">
        <v>2.77</v>
      </c>
      <c r="V232" s="5"/>
      <c r="W232" s="5"/>
      <c r="X232" s="5"/>
      <c r="Y232" s="62" t="s">
        <v>248</v>
      </c>
      <c r="Z232" s="60"/>
      <c r="AA232" s="60"/>
      <c r="AB232" s="60">
        <v>15.534</v>
      </c>
      <c r="AC232" s="60">
        <v>0.055</v>
      </c>
      <c r="AD232" s="60">
        <v>14.446</v>
      </c>
      <c r="AE232" s="60">
        <v>0.049</v>
      </c>
      <c r="AF232" s="60">
        <v>13.72</v>
      </c>
      <c r="AG232" s="60">
        <v>0.04</v>
      </c>
      <c r="AH232" s="6"/>
      <c r="AI232" s="6"/>
      <c r="AJ232" s="63" t="s">
        <v>248</v>
      </c>
      <c r="AK232" s="64" t="s">
        <v>641</v>
      </c>
      <c r="AL232" s="64">
        <v>2001.0</v>
      </c>
      <c r="AM232" s="7"/>
      <c r="AN232" s="8"/>
      <c r="AO232" s="13"/>
      <c r="AP232" s="64" t="s">
        <v>217</v>
      </c>
      <c r="AQ232" s="7"/>
      <c r="AR232" s="9"/>
      <c r="AS232" s="7"/>
      <c r="AT232" s="67">
        <v>0.04</v>
      </c>
      <c r="AU232" s="7"/>
      <c r="AV232" s="13"/>
      <c r="AW232" s="7"/>
      <c r="AX232" s="73">
        <v>0.5</v>
      </c>
      <c r="AY232" s="7"/>
      <c r="AZ232" s="11" t="s">
        <v>596</v>
      </c>
      <c r="BA232" s="11" t="s">
        <v>597</v>
      </c>
      <c r="BB232" s="68">
        <v>-70.0</v>
      </c>
      <c r="BC232" s="11"/>
      <c r="BD232" s="11"/>
      <c r="BE232" s="11"/>
      <c r="BF232" s="68"/>
      <c r="BG232" s="11"/>
      <c r="BH232" s="11"/>
      <c r="BI232" s="11"/>
      <c r="BJ232" s="68"/>
      <c r="BK232" s="11"/>
      <c r="BL232" s="11"/>
      <c r="BM232" s="11"/>
      <c r="BN232" s="68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68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2"/>
      <c r="DK232" s="12"/>
      <c r="DL232" s="12"/>
      <c r="DM232" s="80" t="s">
        <v>646</v>
      </c>
      <c r="DN232" s="69"/>
      <c r="DO232" s="69"/>
      <c r="DP232" s="69"/>
      <c r="DQ232" s="68"/>
      <c r="DR232" s="69"/>
      <c r="DS232" s="69"/>
      <c r="DT232" s="69"/>
      <c r="DU232" s="69"/>
      <c r="DV232" s="97"/>
      <c r="DW232" s="10"/>
      <c r="DX232" s="71">
        <v>1.58E-11</v>
      </c>
      <c r="DY232" s="7"/>
      <c r="DZ232" s="64" t="s">
        <v>643</v>
      </c>
      <c r="EA232" s="72" t="s">
        <v>166</v>
      </c>
      <c r="EB232" s="82" t="s">
        <v>644</v>
      </c>
    </row>
    <row r="233">
      <c r="A233" s="107" t="s">
        <v>647</v>
      </c>
      <c r="B233" s="56" t="s">
        <v>648</v>
      </c>
      <c r="C233" s="4"/>
      <c r="D233" s="4"/>
      <c r="E233" s="4"/>
      <c r="F233" s="57" t="s">
        <v>187</v>
      </c>
      <c r="G233" s="60">
        <v>234.631961249999</v>
      </c>
      <c r="H233" s="60">
        <v>-10.6474205555555</v>
      </c>
      <c r="I233" s="60" t="s">
        <v>608</v>
      </c>
      <c r="J233" s="60" t="s">
        <v>169</v>
      </c>
      <c r="K233" s="60">
        <v>1.0</v>
      </c>
      <c r="L233" s="5"/>
      <c r="M233" s="60">
        <v>2.0</v>
      </c>
      <c r="N233" s="60">
        <v>107.70175230751</v>
      </c>
      <c r="O233" s="60">
        <v>-16.728</v>
      </c>
      <c r="P233" s="60">
        <v>0.732</v>
      </c>
      <c r="Q233" s="60">
        <v>-22.267</v>
      </c>
      <c r="R233" s="60">
        <v>0.506</v>
      </c>
      <c r="S233" s="60"/>
      <c r="T233" s="60"/>
      <c r="U233" s="5"/>
      <c r="V233" s="5"/>
      <c r="W233" s="5"/>
      <c r="X233" s="5"/>
      <c r="Y233" s="121"/>
      <c r="Z233" s="60"/>
      <c r="AA233" s="60"/>
      <c r="AB233" s="60">
        <v>12.029</v>
      </c>
      <c r="AC233" s="60">
        <v>0.026</v>
      </c>
      <c r="AD233" s="60">
        <v>11.447</v>
      </c>
      <c r="AE233" s="60">
        <v>0.03</v>
      </c>
      <c r="AF233" s="60">
        <v>11.096</v>
      </c>
      <c r="AG233" s="60">
        <v>0.023</v>
      </c>
      <c r="AH233" s="6"/>
      <c r="AI233" s="5"/>
      <c r="AJ233" s="122" t="s">
        <v>649</v>
      </c>
      <c r="AK233" s="64" t="s">
        <v>650</v>
      </c>
      <c r="AL233" s="123">
        <v>43282.0</v>
      </c>
      <c r="AM233" s="64">
        <v>3.5</v>
      </c>
      <c r="AN233" s="77">
        <v>107.7</v>
      </c>
      <c r="AO233" s="64">
        <v>4.1</v>
      </c>
      <c r="AP233" s="7" t="s">
        <v>264</v>
      </c>
      <c r="AQ233" s="64">
        <v>0.5</v>
      </c>
      <c r="AR233" s="9"/>
      <c r="AS233" s="7"/>
      <c r="AT233" s="98">
        <v>0.0448657</v>
      </c>
      <c r="AU233" s="7"/>
      <c r="AV233" s="7"/>
      <c r="AW233" s="7"/>
      <c r="AX233" s="7"/>
      <c r="AY233" s="7"/>
      <c r="AZ233" s="68" t="s">
        <v>596</v>
      </c>
      <c r="BA233" s="68" t="s">
        <v>597</v>
      </c>
      <c r="BB233" s="68">
        <v>-13.0</v>
      </c>
      <c r="BC233" s="68">
        <v>1.0</v>
      </c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68">
        <v>-2.0</v>
      </c>
      <c r="CU233" s="68">
        <v>0.2</v>
      </c>
      <c r="CV233" s="11"/>
      <c r="CW233" s="11"/>
      <c r="CX233" s="68">
        <v>0.4</v>
      </c>
      <c r="CY233" s="68">
        <v>0.1</v>
      </c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68">
        <v>0.41</v>
      </c>
      <c r="DR233" s="11"/>
      <c r="DS233" s="11"/>
      <c r="DT233" s="11"/>
      <c r="DU233" s="11"/>
      <c r="DV233" s="7"/>
      <c r="DW233" s="10"/>
      <c r="DX233" s="92">
        <f>10^-10.5</f>
        <v>0</v>
      </c>
      <c r="DY233" s="92">
        <f>(0.2*DX233)/0.434</f>
        <v>0</v>
      </c>
      <c r="DZ233" s="64" t="s">
        <v>269</v>
      </c>
      <c r="EA233" s="64" t="s">
        <v>651</v>
      </c>
      <c r="EB233" s="7"/>
    </row>
    <row r="234">
      <c r="A234" s="107" t="s">
        <v>647</v>
      </c>
      <c r="B234" s="56" t="s">
        <v>648</v>
      </c>
      <c r="C234" s="4"/>
      <c r="D234" s="4"/>
      <c r="E234" s="4"/>
      <c r="F234" s="57" t="s">
        <v>187</v>
      </c>
      <c r="G234" s="60">
        <v>234.631961249999</v>
      </c>
      <c r="H234" s="60">
        <v>-10.6474205555555</v>
      </c>
      <c r="I234" s="60" t="s">
        <v>608</v>
      </c>
      <c r="J234" s="60" t="s">
        <v>169</v>
      </c>
      <c r="K234" s="60">
        <v>1.0</v>
      </c>
      <c r="L234" s="5"/>
      <c r="M234" s="60">
        <v>2.0</v>
      </c>
      <c r="N234" s="60">
        <v>107.70175230751</v>
      </c>
      <c r="O234" s="60">
        <v>-16.728</v>
      </c>
      <c r="P234" s="60">
        <v>0.732</v>
      </c>
      <c r="Q234" s="60">
        <v>-22.267</v>
      </c>
      <c r="R234" s="60">
        <v>0.506</v>
      </c>
      <c r="S234" s="60"/>
      <c r="T234" s="60"/>
      <c r="U234" s="5"/>
      <c r="V234" s="5"/>
      <c r="W234" s="5"/>
      <c r="X234" s="5"/>
      <c r="Y234" s="121"/>
      <c r="Z234" s="60"/>
      <c r="AA234" s="60"/>
      <c r="AB234" s="60">
        <v>12.029</v>
      </c>
      <c r="AC234" s="60">
        <v>0.026</v>
      </c>
      <c r="AD234" s="60">
        <v>11.447</v>
      </c>
      <c r="AE234" s="60">
        <v>0.03</v>
      </c>
      <c r="AF234" s="60">
        <v>11.096</v>
      </c>
      <c r="AG234" s="60">
        <v>0.023</v>
      </c>
      <c r="AH234" s="6"/>
      <c r="AI234" s="5"/>
      <c r="AJ234" s="122" t="s">
        <v>649</v>
      </c>
      <c r="AK234" s="64" t="s">
        <v>650</v>
      </c>
      <c r="AL234" s="123">
        <v>43313.0</v>
      </c>
      <c r="AM234" s="64">
        <v>3.5</v>
      </c>
      <c r="AN234" s="77">
        <v>107.7</v>
      </c>
      <c r="AO234" s="64">
        <v>4.1</v>
      </c>
      <c r="AP234" s="7" t="s">
        <v>264</v>
      </c>
      <c r="AQ234" s="64">
        <v>0.5</v>
      </c>
      <c r="AR234" s="9"/>
      <c r="AS234" s="7"/>
      <c r="AT234" s="98">
        <v>0.0448657</v>
      </c>
      <c r="AU234" s="7"/>
      <c r="AV234" s="7"/>
      <c r="AW234" s="7"/>
      <c r="AX234" s="7"/>
      <c r="AY234" s="7"/>
      <c r="AZ234" s="68" t="s">
        <v>596</v>
      </c>
      <c r="BA234" s="68" t="s">
        <v>597</v>
      </c>
      <c r="BB234" s="68">
        <v>-25.0</v>
      </c>
      <c r="BC234" s="68">
        <v>2.0</v>
      </c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68">
        <v>-4.1</v>
      </c>
      <c r="CU234" s="68">
        <v>0.2</v>
      </c>
      <c r="CV234" s="11"/>
      <c r="CW234" s="11"/>
      <c r="CX234" s="68">
        <v>-0.9</v>
      </c>
      <c r="CY234" s="68">
        <v>0.2</v>
      </c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68">
        <v>0.47</v>
      </c>
      <c r="DR234" s="11"/>
      <c r="DS234" s="11"/>
      <c r="DT234" s="11"/>
      <c r="DU234" s="11"/>
      <c r="DV234" s="7"/>
      <c r="DW234" s="10"/>
      <c r="DX234" s="92">
        <f>10^-9.1</f>
        <v>0.0000000007943282347</v>
      </c>
      <c r="DY234" s="92">
        <f t="shared" ref="DY234:DY237" si="11">(0.1*DX234)/0.434</f>
        <v>0.0000000001830249389</v>
      </c>
      <c r="DZ234" s="64" t="s">
        <v>269</v>
      </c>
      <c r="EA234" s="64" t="s">
        <v>651</v>
      </c>
      <c r="EB234" s="7"/>
    </row>
    <row r="235">
      <c r="A235" s="107" t="s">
        <v>647</v>
      </c>
      <c r="B235" s="56" t="s">
        <v>648</v>
      </c>
      <c r="C235" s="4"/>
      <c r="D235" s="4"/>
      <c r="E235" s="4"/>
      <c r="F235" s="57" t="s">
        <v>187</v>
      </c>
      <c r="G235" s="60">
        <v>234.631961249999</v>
      </c>
      <c r="H235" s="60">
        <v>-10.6474205555555</v>
      </c>
      <c r="I235" s="60" t="s">
        <v>608</v>
      </c>
      <c r="J235" s="60" t="s">
        <v>169</v>
      </c>
      <c r="K235" s="60">
        <v>1.0</v>
      </c>
      <c r="L235" s="5"/>
      <c r="M235" s="60">
        <v>2.0</v>
      </c>
      <c r="N235" s="60">
        <v>107.70175230751</v>
      </c>
      <c r="O235" s="60">
        <v>-16.728</v>
      </c>
      <c r="P235" s="60">
        <v>0.732</v>
      </c>
      <c r="Q235" s="60">
        <v>-22.267</v>
      </c>
      <c r="R235" s="60">
        <v>0.506</v>
      </c>
      <c r="S235" s="60"/>
      <c r="T235" s="60"/>
      <c r="U235" s="5"/>
      <c r="V235" s="5"/>
      <c r="W235" s="5"/>
      <c r="X235" s="5"/>
      <c r="Y235" s="121"/>
      <c r="Z235" s="60"/>
      <c r="AA235" s="60"/>
      <c r="AB235" s="60">
        <v>12.029</v>
      </c>
      <c r="AC235" s="60">
        <v>0.026</v>
      </c>
      <c r="AD235" s="60">
        <v>11.447</v>
      </c>
      <c r="AE235" s="60">
        <v>0.03</v>
      </c>
      <c r="AF235" s="60">
        <v>11.096</v>
      </c>
      <c r="AG235" s="60">
        <v>0.023</v>
      </c>
      <c r="AH235" s="6"/>
      <c r="AI235" s="5"/>
      <c r="AJ235" s="122" t="s">
        <v>649</v>
      </c>
      <c r="AK235" s="64" t="s">
        <v>650</v>
      </c>
      <c r="AL235" s="123">
        <v>42826.0</v>
      </c>
      <c r="AM235" s="64">
        <v>3.5</v>
      </c>
      <c r="AN235" s="77">
        <v>107.7</v>
      </c>
      <c r="AO235" s="64">
        <v>4.1</v>
      </c>
      <c r="AP235" s="7" t="s">
        <v>264</v>
      </c>
      <c r="AQ235" s="64">
        <v>0.5</v>
      </c>
      <c r="AR235" s="9"/>
      <c r="AS235" s="7"/>
      <c r="AT235" s="98">
        <v>0.0448657</v>
      </c>
      <c r="AU235" s="7"/>
      <c r="AV235" s="7"/>
      <c r="AW235" s="7"/>
      <c r="AX235" s="7"/>
      <c r="AY235" s="7"/>
      <c r="AZ235" s="68" t="s">
        <v>596</v>
      </c>
      <c r="BA235" s="68" t="s">
        <v>597</v>
      </c>
      <c r="BB235" s="68">
        <v>-60.0</v>
      </c>
      <c r="BC235" s="68">
        <v>2.0</v>
      </c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68">
        <v>-8.9</v>
      </c>
      <c r="CU235" s="68">
        <v>0.6</v>
      </c>
      <c r="CV235" s="11"/>
      <c r="CW235" s="11"/>
      <c r="CX235" s="68">
        <v>-2.4</v>
      </c>
      <c r="CY235" s="68">
        <v>0.1</v>
      </c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68">
        <v>0.24</v>
      </c>
      <c r="DR235" s="11"/>
      <c r="DS235" s="11"/>
      <c r="DT235" s="11"/>
      <c r="DU235" s="11"/>
      <c r="DV235" s="7"/>
      <c r="DW235" s="10"/>
      <c r="DX235" s="92">
        <f t="shared" ref="DX235:DX236" si="12">10^-8.1</f>
        <v>0.000000007943282347</v>
      </c>
      <c r="DY235" s="92">
        <f t="shared" si="11"/>
        <v>0.000000001830249389</v>
      </c>
      <c r="DZ235" s="64" t="s">
        <v>269</v>
      </c>
      <c r="EA235" s="64" t="s">
        <v>651</v>
      </c>
      <c r="EB235" s="7"/>
    </row>
    <row r="236">
      <c r="A236" s="107" t="s">
        <v>647</v>
      </c>
      <c r="B236" s="56" t="s">
        <v>648</v>
      </c>
      <c r="C236" s="4"/>
      <c r="D236" s="4"/>
      <c r="E236" s="4"/>
      <c r="F236" s="57" t="s">
        <v>187</v>
      </c>
      <c r="G236" s="60">
        <v>234.631961249999</v>
      </c>
      <c r="H236" s="60">
        <v>-10.6474205555555</v>
      </c>
      <c r="I236" s="60" t="s">
        <v>608</v>
      </c>
      <c r="J236" s="60" t="s">
        <v>169</v>
      </c>
      <c r="K236" s="60">
        <v>1.0</v>
      </c>
      <c r="L236" s="5"/>
      <c r="M236" s="60">
        <v>2.0</v>
      </c>
      <c r="N236" s="60">
        <v>107.70175230751</v>
      </c>
      <c r="O236" s="60">
        <v>-16.728</v>
      </c>
      <c r="P236" s="60">
        <v>0.732</v>
      </c>
      <c r="Q236" s="60">
        <v>-22.267</v>
      </c>
      <c r="R236" s="60">
        <v>0.506</v>
      </c>
      <c r="S236" s="60"/>
      <c r="T236" s="60"/>
      <c r="U236" s="5"/>
      <c r="V236" s="5"/>
      <c r="W236" s="5"/>
      <c r="X236" s="5"/>
      <c r="Y236" s="121"/>
      <c r="Z236" s="60"/>
      <c r="AA236" s="60"/>
      <c r="AB236" s="60">
        <v>12.029</v>
      </c>
      <c r="AC236" s="60">
        <v>0.026</v>
      </c>
      <c r="AD236" s="60">
        <v>11.447</v>
      </c>
      <c r="AE236" s="60">
        <v>0.03</v>
      </c>
      <c r="AF236" s="60">
        <v>11.096</v>
      </c>
      <c r="AG236" s="60">
        <v>0.023</v>
      </c>
      <c r="AH236" s="6"/>
      <c r="AI236" s="5"/>
      <c r="AJ236" s="122" t="s">
        <v>649</v>
      </c>
      <c r="AK236" s="64" t="s">
        <v>650</v>
      </c>
      <c r="AL236" s="123">
        <v>42856.0</v>
      </c>
      <c r="AM236" s="64">
        <v>3.5</v>
      </c>
      <c r="AN236" s="77">
        <v>107.7</v>
      </c>
      <c r="AO236" s="64">
        <v>4.1</v>
      </c>
      <c r="AP236" s="7" t="s">
        <v>264</v>
      </c>
      <c r="AQ236" s="64">
        <v>0.5</v>
      </c>
      <c r="AR236" s="9"/>
      <c r="AS236" s="7"/>
      <c r="AT236" s="98">
        <v>0.0448657</v>
      </c>
      <c r="AU236" s="7"/>
      <c r="AV236" s="7"/>
      <c r="AW236" s="7"/>
      <c r="AX236" s="7"/>
      <c r="AY236" s="7"/>
      <c r="AZ236" s="68" t="s">
        <v>596</v>
      </c>
      <c r="BA236" s="68" t="s">
        <v>597</v>
      </c>
      <c r="BB236" s="68">
        <v>-49.0</v>
      </c>
      <c r="BC236" s="68">
        <v>1.0</v>
      </c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68">
        <v>-7.7</v>
      </c>
      <c r="CU236" s="68">
        <v>0.2</v>
      </c>
      <c r="CV236" s="11"/>
      <c r="CW236" s="11"/>
      <c r="CX236" s="68">
        <v>-2.9</v>
      </c>
      <c r="CY236" s="68">
        <v>0.2</v>
      </c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68">
        <v>0.22</v>
      </c>
      <c r="DR236" s="11"/>
      <c r="DS236" s="11"/>
      <c r="DT236" s="11"/>
      <c r="DU236" s="11"/>
      <c r="DV236" s="7"/>
      <c r="DW236" s="10"/>
      <c r="DX236" s="92">
        <f t="shared" si="12"/>
        <v>0.000000007943282347</v>
      </c>
      <c r="DY236" s="92">
        <f t="shared" si="11"/>
        <v>0.000000001830249389</v>
      </c>
      <c r="DZ236" s="64" t="s">
        <v>269</v>
      </c>
      <c r="EA236" s="64" t="s">
        <v>651</v>
      </c>
      <c r="EB236" s="7"/>
    </row>
    <row r="237">
      <c r="A237" s="107" t="s">
        <v>647</v>
      </c>
      <c r="B237" s="56" t="s">
        <v>648</v>
      </c>
      <c r="C237" s="4"/>
      <c r="D237" s="4"/>
      <c r="E237" s="4"/>
      <c r="F237" s="57" t="s">
        <v>187</v>
      </c>
      <c r="G237" s="60">
        <v>234.631961249999</v>
      </c>
      <c r="H237" s="60">
        <v>-10.6474205555555</v>
      </c>
      <c r="I237" s="60" t="s">
        <v>608</v>
      </c>
      <c r="J237" s="60" t="s">
        <v>169</v>
      </c>
      <c r="K237" s="60">
        <v>1.0</v>
      </c>
      <c r="L237" s="5"/>
      <c r="M237" s="60">
        <v>2.0</v>
      </c>
      <c r="N237" s="60">
        <v>107.70175230751</v>
      </c>
      <c r="O237" s="60">
        <v>-16.728</v>
      </c>
      <c r="P237" s="60">
        <v>0.732</v>
      </c>
      <c r="Q237" s="60">
        <v>-22.267</v>
      </c>
      <c r="R237" s="60">
        <v>0.506</v>
      </c>
      <c r="S237" s="60"/>
      <c r="T237" s="60"/>
      <c r="U237" s="5"/>
      <c r="V237" s="5"/>
      <c r="W237" s="5"/>
      <c r="X237" s="5"/>
      <c r="Y237" s="121"/>
      <c r="Z237" s="60"/>
      <c r="AA237" s="60"/>
      <c r="AB237" s="60">
        <v>12.029</v>
      </c>
      <c r="AC237" s="60">
        <v>0.026</v>
      </c>
      <c r="AD237" s="60">
        <v>11.447</v>
      </c>
      <c r="AE237" s="60">
        <v>0.03</v>
      </c>
      <c r="AF237" s="60">
        <v>11.096</v>
      </c>
      <c r="AG237" s="60">
        <v>0.023</v>
      </c>
      <c r="AH237" s="6"/>
      <c r="AI237" s="5"/>
      <c r="AJ237" s="122" t="s">
        <v>649</v>
      </c>
      <c r="AK237" s="64" t="s">
        <v>650</v>
      </c>
      <c r="AL237" s="123">
        <v>42856.0</v>
      </c>
      <c r="AM237" s="64">
        <v>3.5</v>
      </c>
      <c r="AN237" s="77">
        <v>107.7</v>
      </c>
      <c r="AO237" s="64">
        <v>4.1</v>
      </c>
      <c r="AP237" s="7" t="s">
        <v>264</v>
      </c>
      <c r="AQ237" s="64">
        <v>0.5</v>
      </c>
      <c r="AR237" s="9"/>
      <c r="AS237" s="7"/>
      <c r="AT237" s="98">
        <v>0.0448657</v>
      </c>
      <c r="AU237" s="7"/>
      <c r="AV237" s="7"/>
      <c r="AW237" s="7"/>
      <c r="AX237" s="7"/>
      <c r="AY237" s="7"/>
      <c r="AZ237" s="68" t="s">
        <v>596</v>
      </c>
      <c r="BA237" s="68" t="s">
        <v>597</v>
      </c>
      <c r="BB237" s="68">
        <v>-50.0</v>
      </c>
      <c r="BC237" s="68">
        <v>3.0</v>
      </c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68">
        <v>-5.8</v>
      </c>
      <c r="CU237" s="68">
        <v>0.4</v>
      </c>
      <c r="CV237" s="11"/>
      <c r="CW237" s="11"/>
      <c r="CX237" s="68">
        <v>-1.6</v>
      </c>
      <c r="CY237" s="68">
        <v>0.1</v>
      </c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68">
        <v>0.38</v>
      </c>
      <c r="DR237" s="11"/>
      <c r="DS237" s="11"/>
      <c r="DT237" s="11"/>
      <c r="DU237" s="11"/>
      <c r="DV237" s="7"/>
      <c r="DW237" s="10"/>
      <c r="DX237" s="92">
        <f>10^-7.9</f>
        <v>0.00000001258925412</v>
      </c>
      <c r="DY237" s="92">
        <f t="shared" si="11"/>
        <v>0.000000002900749797</v>
      </c>
      <c r="DZ237" s="64" t="s">
        <v>269</v>
      </c>
      <c r="EA237" s="64" t="s">
        <v>651</v>
      </c>
      <c r="EB237" s="7"/>
    </row>
    <row r="238">
      <c r="A238" s="55" t="s">
        <v>652</v>
      </c>
      <c r="B238" s="56" t="s">
        <v>653</v>
      </c>
      <c r="C238" s="4"/>
      <c r="D238" s="4"/>
      <c r="E238" s="4" t="s">
        <v>137</v>
      </c>
      <c r="F238" s="57" t="s">
        <v>187</v>
      </c>
      <c r="G238" s="58">
        <v>64.7125</v>
      </c>
      <c r="H238" s="58">
        <v>28.2425</v>
      </c>
      <c r="I238" s="6" t="s">
        <v>199</v>
      </c>
      <c r="J238" s="6" t="s">
        <v>159</v>
      </c>
      <c r="K238" s="61">
        <v>1.5</v>
      </c>
      <c r="L238" s="5"/>
      <c r="M238" s="59">
        <v>2.0</v>
      </c>
      <c r="N238" s="61">
        <v>125.6565555025</v>
      </c>
      <c r="O238" s="61">
        <v>8.614</v>
      </c>
      <c r="P238" s="61">
        <v>0.626</v>
      </c>
      <c r="Q238" s="61">
        <v>-24.653</v>
      </c>
      <c r="R238" s="61">
        <v>0.369</v>
      </c>
      <c r="S238" s="60"/>
      <c r="T238" s="60"/>
      <c r="U238" s="58">
        <v>0.46</v>
      </c>
      <c r="V238" s="58">
        <v>0.85</v>
      </c>
      <c r="W238" s="5"/>
      <c r="X238" s="5"/>
      <c r="Y238" s="83" t="s">
        <v>200</v>
      </c>
      <c r="Z238" s="60"/>
      <c r="AA238" s="60"/>
      <c r="AB238" s="60">
        <v>13.925</v>
      </c>
      <c r="AC238" s="60">
        <v>0.025</v>
      </c>
      <c r="AD238" s="60">
        <v>13.241</v>
      </c>
      <c r="AE238" s="60">
        <v>0.029</v>
      </c>
      <c r="AF238" s="60">
        <v>12.753</v>
      </c>
      <c r="AG238" s="60">
        <v>0.021</v>
      </c>
      <c r="AH238" s="6"/>
      <c r="AI238" s="96"/>
      <c r="AJ238" s="63" t="s">
        <v>598</v>
      </c>
      <c r="AK238" s="64" t="s">
        <v>226</v>
      </c>
      <c r="AL238" s="97">
        <v>2003.0</v>
      </c>
      <c r="AM238" s="7"/>
      <c r="AN238" s="8"/>
      <c r="AO238" s="13"/>
      <c r="AP238" s="13" t="s">
        <v>232</v>
      </c>
      <c r="AQ238" s="7"/>
      <c r="AR238" s="78">
        <v>2795.0</v>
      </c>
      <c r="AS238" s="7"/>
      <c r="AT238" s="79">
        <v>0.045</v>
      </c>
      <c r="AU238" s="7"/>
      <c r="AV238" s="64">
        <v>0.0057</v>
      </c>
      <c r="AW238" s="7"/>
      <c r="AX238" s="73">
        <v>0.32</v>
      </c>
      <c r="AY238" s="7"/>
      <c r="AZ238" s="11" t="s">
        <v>596</v>
      </c>
      <c r="BA238" s="11" t="s">
        <v>597</v>
      </c>
      <c r="BB238" s="90">
        <v>-3.9</v>
      </c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69"/>
      <c r="DN238" s="69"/>
      <c r="DO238" s="69"/>
      <c r="DP238" s="69"/>
      <c r="DQ238" s="11"/>
      <c r="DR238" s="69"/>
      <c r="DS238" s="69"/>
      <c r="DT238" s="69"/>
      <c r="DU238" s="69"/>
      <c r="DV238" s="13"/>
      <c r="DW238" s="10"/>
      <c r="DX238" s="81">
        <v>1.0E-12</v>
      </c>
      <c r="DY238" s="7"/>
      <c r="DZ238" s="64" t="s">
        <v>248</v>
      </c>
      <c r="EA238" s="72" t="s">
        <v>354</v>
      </c>
      <c r="EB238" s="85" t="s">
        <v>599</v>
      </c>
    </row>
    <row r="239">
      <c r="A239" s="55" t="s">
        <v>266</v>
      </c>
      <c r="B239" s="56" t="s">
        <v>267</v>
      </c>
      <c r="C239" s="4"/>
      <c r="D239" s="4"/>
      <c r="E239" s="4"/>
      <c r="F239" s="57" t="s">
        <v>168</v>
      </c>
      <c r="G239" s="61">
        <v>167.164589999999</v>
      </c>
      <c r="H239" s="61">
        <v>-77.5713186111111</v>
      </c>
      <c r="I239" s="6" t="s">
        <v>268</v>
      </c>
      <c r="J239" s="6" t="s">
        <v>169</v>
      </c>
      <c r="K239" s="58">
        <v>2.0</v>
      </c>
      <c r="L239" s="5"/>
      <c r="M239" s="59">
        <v>2.0</v>
      </c>
      <c r="N239" s="61">
        <v>179.32394871335</v>
      </c>
      <c r="O239" s="61">
        <v>-23.233</v>
      </c>
      <c r="P239" s="61">
        <v>0.232</v>
      </c>
      <c r="Q239" s="61">
        <v>1.443</v>
      </c>
      <c r="R239" s="61">
        <v>0.237</v>
      </c>
      <c r="S239" s="60">
        <v>13.18</v>
      </c>
      <c r="T239" s="60">
        <v>0.84</v>
      </c>
      <c r="U239" s="61">
        <v>0.26</v>
      </c>
      <c r="V239" s="5"/>
      <c r="W239" s="5"/>
      <c r="X239" s="5"/>
      <c r="Y239" s="93" t="s">
        <v>269</v>
      </c>
      <c r="Z239" s="60"/>
      <c r="AA239" s="60"/>
      <c r="AB239" s="60">
        <v>12.263</v>
      </c>
      <c r="AC239" s="60">
        <v>0.027</v>
      </c>
      <c r="AD239" s="60">
        <v>11.479</v>
      </c>
      <c r="AE239" s="60">
        <v>0.024</v>
      </c>
      <c r="AF239" s="60">
        <v>11.038</v>
      </c>
      <c r="AG239" s="60">
        <v>0.027</v>
      </c>
      <c r="AH239" s="6"/>
      <c r="AI239" s="6"/>
      <c r="AJ239" s="63" t="s">
        <v>269</v>
      </c>
      <c r="AK239" s="64" t="s">
        <v>637</v>
      </c>
      <c r="AL239" s="97">
        <v>2003.0</v>
      </c>
      <c r="AM239" s="13"/>
      <c r="AN239" s="102">
        <v>160.0</v>
      </c>
      <c r="AO239" s="13"/>
      <c r="AP239" s="64" t="s">
        <v>345</v>
      </c>
      <c r="AQ239" s="97">
        <v>0.5</v>
      </c>
      <c r="AR239" s="66">
        <v>2840.0</v>
      </c>
      <c r="AS239" s="73">
        <v>150.0</v>
      </c>
      <c r="AT239" s="67">
        <v>0.04770992366</v>
      </c>
      <c r="AU239" s="7"/>
      <c r="AV239" s="70">
        <v>0.02691534804</v>
      </c>
      <c r="AW239" s="64">
        <v>1.584893192</v>
      </c>
      <c r="AX239" s="97">
        <v>0.68</v>
      </c>
      <c r="AY239" s="7"/>
      <c r="AZ239" s="11" t="s">
        <v>596</v>
      </c>
      <c r="BA239" s="68" t="s">
        <v>597</v>
      </c>
      <c r="BB239" s="68">
        <v>-48.0</v>
      </c>
      <c r="BC239" s="11"/>
      <c r="BD239" s="11"/>
      <c r="BE239" s="11"/>
      <c r="BF239" s="11"/>
      <c r="BG239" s="11"/>
      <c r="BH239" s="11"/>
      <c r="BI239" s="12"/>
      <c r="BJ239" s="11"/>
      <c r="BK239" s="11"/>
      <c r="BL239" s="12"/>
      <c r="BM239" s="12"/>
      <c r="BN239" s="12"/>
      <c r="BO239" s="12"/>
      <c r="BP239" s="12"/>
      <c r="BQ239" s="12"/>
      <c r="BR239" s="12"/>
      <c r="BS239" s="12"/>
      <c r="BT239" s="12"/>
      <c r="BU239" s="69"/>
      <c r="BV239" s="69"/>
      <c r="BW239" s="69"/>
      <c r="BX239" s="69"/>
      <c r="BY239" s="69"/>
      <c r="BZ239" s="90">
        <v>-0.3</v>
      </c>
      <c r="CA239" s="11"/>
      <c r="CB239" s="69"/>
      <c r="CC239" s="11"/>
      <c r="CD239" s="11"/>
      <c r="CE239" s="11"/>
      <c r="CF239" s="11"/>
      <c r="CG239" s="11"/>
      <c r="CH239" s="12"/>
      <c r="CI239" s="11"/>
      <c r="CJ239" s="11"/>
      <c r="CK239" s="11"/>
      <c r="CL239" s="90">
        <v>-1.0</v>
      </c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92"/>
      <c r="DW239" s="10"/>
      <c r="DX239" s="71">
        <v>3.16E-11</v>
      </c>
      <c r="DY239" s="7"/>
      <c r="DZ239" s="64" t="s">
        <v>248</v>
      </c>
      <c r="EA239" s="72" t="s">
        <v>166</v>
      </c>
      <c r="EB239" s="13"/>
    </row>
    <row r="240">
      <c r="A240" s="55" t="s">
        <v>336</v>
      </c>
      <c r="B240" s="56" t="s">
        <v>336</v>
      </c>
      <c r="C240" s="4"/>
      <c r="D240" s="3"/>
      <c r="E240" s="3"/>
      <c r="F240" s="57" t="s">
        <v>187</v>
      </c>
      <c r="G240" s="58">
        <v>69.7665</v>
      </c>
      <c r="H240" s="58">
        <v>25.740671</v>
      </c>
      <c r="I240" s="6" t="s">
        <v>199</v>
      </c>
      <c r="J240" s="6" t="s">
        <v>169</v>
      </c>
      <c r="K240" s="61">
        <v>1.5</v>
      </c>
      <c r="L240" s="5"/>
      <c r="M240" s="59">
        <v>2.0</v>
      </c>
      <c r="N240" s="61">
        <v>143.988480921526</v>
      </c>
      <c r="O240" s="61">
        <v>7.037</v>
      </c>
      <c r="P240" s="61">
        <v>0.362</v>
      </c>
      <c r="Q240" s="61">
        <v>-20.606</v>
      </c>
      <c r="R240" s="61">
        <v>0.249</v>
      </c>
      <c r="S240" s="60">
        <v>16.5</v>
      </c>
      <c r="T240" s="60">
        <v>0.219</v>
      </c>
      <c r="U240" s="58">
        <v>0.8</v>
      </c>
      <c r="V240" s="5"/>
      <c r="W240" s="5"/>
      <c r="X240" s="5"/>
      <c r="Y240" s="83" t="s">
        <v>225</v>
      </c>
      <c r="Z240" s="60">
        <v>18.4</v>
      </c>
      <c r="AA240" s="60"/>
      <c r="AB240" s="60">
        <v>12.646</v>
      </c>
      <c r="AC240" s="60">
        <v>0.022</v>
      </c>
      <c r="AD240" s="60">
        <v>11.841</v>
      </c>
      <c r="AE240" s="60">
        <v>0.021</v>
      </c>
      <c r="AF240" s="60">
        <v>11.368</v>
      </c>
      <c r="AG240" s="60">
        <v>0.02</v>
      </c>
      <c r="AH240" s="6"/>
      <c r="AI240" s="6"/>
      <c r="AJ240" s="63" t="s">
        <v>598</v>
      </c>
      <c r="AK240" s="64" t="s">
        <v>226</v>
      </c>
      <c r="AL240" s="97">
        <v>2003.0</v>
      </c>
      <c r="AM240" s="7"/>
      <c r="AN240" s="8"/>
      <c r="AO240" s="13"/>
      <c r="AP240" s="13" t="s">
        <v>237</v>
      </c>
      <c r="AQ240" s="73"/>
      <c r="AR240" s="78">
        <v>2838.0</v>
      </c>
      <c r="AS240" s="7"/>
      <c r="AT240" s="79">
        <v>0.05</v>
      </c>
      <c r="AU240" s="7"/>
      <c r="AV240" s="64">
        <v>0.019</v>
      </c>
      <c r="AW240" s="7"/>
      <c r="AX240" s="73">
        <v>0.57</v>
      </c>
      <c r="AY240" s="7"/>
      <c r="AZ240" s="11" t="s">
        <v>596</v>
      </c>
      <c r="BA240" s="11" t="s">
        <v>597</v>
      </c>
      <c r="BB240" s="68">
        <v>-102.0</v>
      </c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69"/>
      <c r="DN240" s="69"/>
      <c r="DO240" s="69"/>
      <c r="DP240" s="69"/>
      <c r="DQ240" s="11"/>
      <c r="DR240" s="69"/>
      <c r="DS240" s="69"/>
      <c r="DT240" s="69"/>
      <c r="DU240" s="69"/>
      <c r="DV240" s="13"/>
      <c r="DW240" s="10"/>
      <c r="DX240" s="81">
        <v>5.01E-12</v>
      </c>
      <c r="DY240" s="7"/>
      <c r="DZ240" s="64" t="s">
        <v>248</v>
      </c>
      <c r="EA240" s="72" t="s">
        <v>354</v>
      </c>
      <c r="EB240" s="82" t="s">
        <v>599</v>
      </c>
    </row>
    <row r="241">
      <c r="A241" s="55" t="s">
        <v>654</v>
      </c>
      <c r="B241" s="56" t="s">
        <v>654</v>
      </c>
      <c r="C241" s="4"/>
      <c r="D241" s="4"/>
      <c r="E241" s="4" t="s">
        <v>137</v>
      </c>
      <c r="F241" s="57" t="s">
        <v>187</v>
      </c>
      <c r="G241" s="58">
        <v>165.330275</v>
      </c>
      <c r="H241" s="58">
        <v>-77.543976</v>
      </c>
      <c r="I241" s="6" t="s">
        <v>268</v>
      </c>
      <c r="J241" s="6" t="s">
        <v>159</v>
      </c>
      <c r="K241" s="58">
        <v>2.0</v>
      </c>
      <c r="L241" s="5"/>
      <c r="M241" s="59"/>
      <c r="N241" s="61"/>
      <c r="O241" s="61"/>
      <c r="P241" s="61"/>
      <c r="Q241" s="61"/>
      <c r="R241" s="61"/>
      <c r="S241" s="60"/>
      <c r="T241" s="60"/>
      <c r="U241" s="59">
        <v>1.59</v>
      </c>
      <c r="V241" s="5"/>
      <c r="W241" s="60">
        <v>0.45</v>
      </c>
      <c r="X241" s="5"/>
      <c r="Y241" s="83" t="s">
        <v>628</v>
      </c>
      <c r="Z241" s="60">
        <v>19.4</v>
      </c>
      <c r="AA241" s="60"/>
      <c r="AB241" s="60">
        <v>13.096</v>
      </c>
      <c r="AC241" s="60">
        <v>0.033</v>
      </c>
      <c r="AD241" s="60">
        <v>12.217</v>
      </c>
      <c r="AE241" s="60">
        <v>0.032</v>
      </c>
      <c r="AF241" s="60">
        <v>11.632</v>
      </c>
      <c r="AG241" s="60">
        <v>0.026</v>
      </c>
      <c r="AH241" s="6"/>
      <c r="AI241" s="96"/>
      <c r="AJ241" s="63" t="s">
        <v>598</v>
      </c>
      <c r="AK241" s="64" t="s">
        <v>226</v>
      </c>
      <c r="AL241" s="97">
        <v>2003.0</v>
      </c>
      <c r="AM241" s="7"/>
      <c r="AN241" s="8"/>
      <c r="AO241" s="13"/>
      <c r="AP241" s="13" t="s">
        <v>237</v>
      </c>
      <c r="AQ241" s="7"/>
      <c r="AR241" s="78">
        <v>2838.0</v>
      </c>
      <c r="AS241" s="7"/>
      <c r="AT241" s="79">
        <v>0.05</v>
      </c>
      <c r="AU241" s="7"/>
      <c r="AV241" s="64">
        <v>0.02</v>
      </c>
      <c r="AW241" s="7"/>
      <c r="AX241" s="73">
        <v>0.59</v>
      </c>
      <c r="AY241" s="7"/>
      <c r="AZ241" s="11" t="s">
        <v>596</v>
      </c>
      <c r="BA241" s="11" t="s">
        <v>597</v>
      </c>
      <c r="BB241" s="68">
        <v>-10.1</v>
      </c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69"/>
      <c r="DN241" s="69"/>
      <c r="DO241" s="69"/>
      <c r="DP241" s="69"/>
      <c r="DQ241" s="11"/>
      <c r="DR241" s="69"/>
      <c r="DS241" s="69"/>
      <c r="DT241" s="69"/>
      <c r="DU241" s="69"/>
      <c r="DV241" s="7"/>
      <c r="DW241" s="10"/>
      <c r="DX241" s="81">
        <v>1.0E-12</v>
      </c>
      <c r="DY241" s="7"/>
      <c r="DZ241" s="64" t="s">
        <v>248</v>
      </c>
      <c r="EA241" s="72" t="s">
        <v>354</v>
      </c>
      <c r="EB241" s="82" t="s">
        <v>629</v>
      </c>
    </row>
    <row r="242">
      <c r="A242" s="55" t="s">
        <v>655</v>
      </c>
      <c r="B242" s="56" t="s">
        <v>656</v>
      </c>
      <c r="C242" s="4"/>
      <c r="D242" s="3"/>
      <c r="E242" s="3"/>
      <c r="F242" s="57" t="s">
        <v>187</v>
      </c>
      <c r="G242" s="61">
        <v>167.121911249999</v>
      </c>
      <c r="H242" s="61">
        <v>-77.6554952777777</v>
      </c>
      <c r="I242" s="6" t="s">
        <v>268</v>
      </c>
      <c r="J242" s="6" t="s">
        <v>169</v>
      </c>
      <c r="K242" s="58">
        <v>2.0</v>
      </c>
      <c r="L242" s="5"/>
      <c r="M242" s="59">
        <v>2.0</v>
      </c>
      <c r="N242" s="61">
        <v>189.605809522003</v>
      </c>
      <c r="O242" s="61">
        <v>-23.914</v>
      </c>
      <c r="P242" s="61">
        <v>0.556</v>
      </c>
      <c r="Q242" s="61">
        <v>1.752</v>
      </c>
      <c r="R242" s="61">
        <v>0.495</v>
      </c>
      <c r="S242" s="60"/>
      <c r="T242" s="60"/>
      <c r="U242" s="59">
        <v>0.0</v>
      </c>
      <c r="V242" s="5"/>
      <c r="W242" s="5"/>
      <c r="X242" s="5"/>
      <c r="Y242" s="62" t="s">
        <v>269</v>
      </c>
      <c r="Z242" s="60"/>
      <c r="AA242" s="60"/>
      <c r="AB242" s="60">
        <v>14.586</v>
      </c>
      <c r="AC242" s="60">
        <v>0.047</v>
      </c>
      <c r="AD242" s="60">
        <v>13.918</v>
      </c>
      <c r="AE242" s="60">
        <v>0.03</v>
      </c>
      <c r="AF242" s="60">
        <v>13.545</v>
      </c>
      <c r="AG242" s="60">
        <v>0.049</v>
      </c>
      <c r="AH242" s="6"/>
      <c r="AI242" s="96"/>
      <c r="AJ242" s="63" t="s">
        <v>598</v>
      </c>
      <c r="AK242" s="64" t="s">
        <v>226</v>
      </c>
      <c r="AL242" s="97">
        <v>2003.0</v>
      </c>
      <c r="AM242" s="7"/>
      <c r="AN242" s="8"/>
      <c r="AO242" s="13"/>
      <c r="AP242" s="13" t="s">
        <v>237</v>
      </c>
      <c r="AQ242" s="7"/>
      <c r="AR242" s="78">
        <v>2838.0</v>
      </c>
      <c r="AS242" s="7"/>
      <c r="AT242" s="79">
        <v>0.055</v>
      </c>
      <c r="AU242" s="7"/>
      <c r="AV242" s="64">
        <v>0.0045</v>
      </c>
      <c r="AW242" s="7"/>
      <c r="AX242" s="73">
        <v>0.28</v>
      </c>
      <c r="AY242" s="7"/>
      <c r="AZ242" s="11" t="s">
        <v>596</v>
      </c>
      <c r="BA242" s="11" t="s">
        <v>597</v>
      </c>
      <c r="BB242" s="90">
        <v>-14.3</v>
      </c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7"/>
      <c r="DW242" s="10"/>
      <c r="DX242" s="81">
        <v>1.0E-11</v>
      </c>
      <c r="DY242" s="7"/>
      <c r="DZ242" s="64" t="s">
        <v>248</v>
      </c>
      <c r="EA242" s="72" t="s">
        <v>354</v>
      </c>
      <c r="EB242" s="7"/>
    </row>
    <row r="243">
      <c r="A243" s="55" t="s">
        <v>657</v>
      </c>
      <c r="B243" s="99" t="s">
        <v>658</v>
      </c>
      <c r="C243" s="4"/>
      <c r="D243" s="3"/>
      <c r="E243" s="3" t="s">
        <v>137</v>
      </c>
      <c r="F243" s="57" t="s">
        <v>187</v>
      </c>
      <c r="G243" s="61">
        <v>166.967737916666</v>
      </c>
      <c r="H243" s="61">
        <v>-77.6158458333333</v>
      </c>
      <c r="I243" s="6" t="s">
        <v>268</v>
      </c>
      <c r="J243" s="6" t="s">
        <v>169</v>
      </c>
      <c r="K243" s="58">
        <v>2.0</v>
      </c>
      <c r="L243" s="5"/>
      <c r="M243" s="59">
        <v>2.0</v>
      </c>
      <c r="N243" s="61">
        <v>196.633632216454</v>
      </c>
      <c r="O243" s="61">
        <v>-23.142</v>
      </c>
      <c r="P243" s="61">
        <v>0.195</v>
      </c>
      <c r="Q243" s="61">
        <v>1.438</v>
      </c>
      <c r="R243" s="61">
        <v>0.187</v>
      </c>
      <c r="S243" s="60">
        <v>11.98</v>
      </c>
      <c r="T243" s="60">
        <v>1.29</v>
      </c>
      <c r="U243" s="61">
        <v>0.3</v>
      </c>
      <c r="V243" s="5"/>
      <c r="W243" s="5"/>
      <c r="X243" s="5"/>
      <c r="Y243" s="93" t="s">
        <v>269</v>
      </c>
      <c r="Z243" s="60"/>
      <c r="AA243" s="60"/>
      <c r="AB243" s="60">
        <v>12.292</v>
      </c>
      <c r="AC243" s="60">
        <v>0.024</v>
      </c>
      <c r="AD243" s="60">
        <v>11.52</v>
      </c>
      <c r="AE243" s="60">
        <v>0.023</v>
      </c>
      <c r="AF243" s="60">
        <v>11.097</v>
      </c>
      <c r="AG243" s="60">
        <v>0.019</v>
      </c>
      <c r="AH243" s="6"/>
      <c r="AI243" s="6"/>
      <c r="AJ243" s="63" t="s">
        <v>269</v>
      </c>
      <c r="AK243" s="64" t="s">
        <v>637</v>
      </c>
      <c r="AL243" s="97">
        <v>2003.0</v>
      </c>
      <c r="AM243" s="13"/>
      <c r="AN243" s="102">
        <v>160.0</v>
      </c>
      <c r="AO243" s="7"/>
      <c r="AP243" s="64" t="s">
        <v>345</v>
      </c>
      <c r="AQ243" s="73">
        <v>0.5</v>
      </c>
      <c r="AR243" s="66">
        <v>2840.0</v>
      </c>
      <c r="AS243" s="73">
        <v>150.0</v>
      </c>
      <c r="AT243" s="67">
        <v>0.0572519084</v>
      </c>
      <c r="AU243" s="7"/>
      <c r="AV243" s="70">
        <v>0.03467368505</v>
      </c>
      <c r="AW243" s="64">
        <v>1.584893192</v>
      </c>
      <c r="AX243" s="97">
        <v>0.77</v>
      </c>
      <c r="AY243" s="7"/>
      <c r="AZ243" s="11" t="s">
        <v>596</v>
      </c>
      <c r="BA243" s="68" t="s">
        <v>597</v>
      </c>
      <c r="BB243" s="90">
        <v>-10.0</v>
      </c>
      <c r="BC243" s="11"/>
      <c r="BD243" s="11"/>
      <c r="BE243" s="11"/>
      <c r="BF243" s="11"/>
      <c r="BG243" s="11"/>
      <c r="BH243" s="11"/>
      <c r="BI243" s="12"/>
      <c r="BJ243" s="11"/>
      <c r="BK243" s="11"/>
      <c r="BL243" s="12"/>
      <c r="BM243" s="12"/>
      <c r="BN243" s="12"/>
      <c r="BO243" s="12"/>
      <c r="BP243" s="12"/>
      <c r="BQ243" s="12"/>
      <c r="BR243" s="12"/>
      <c r="BS243" s="12"/>
      <c r="BT243" s="12"/>
      <c r="BU243" s="11"/>
      <c r="BV243" s="11"/>
      <c r="BW243" s="11"/>
      <c r="BX243" s="11"/>
      <c r="BY243" s="11"/>
      <c r="BZ243" s="68">
        <v>-0.9</v>
      </c>
      <c r="CA243" s="11"/>
      <c r="CB243" s="11"/>
      <c r="CC243" s="11"/>
      <c r="CD243" s="11"/>
      <c r="CE243" s="11"/>
      <c r="CF243" s="11"/>
      <c r="CG243" s="11"/>
      <c r="CH243" s="12"/>
      <c r="CI243" s="11"/>
      <c r="CJ243" s="11"/>
      <c r="CK243" s="11"/>
      <c r="CL243" s="68">
        <v>-1.2</v>
      </c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69"/>
      <c r="DN243" s="69"/>
      <c r="DO243" s="69"/>
      <c r="DP243" s="69"/>
      <c r="DQ243" s="11"/>
      <c r="DR243" s="69"/>
      <c r="DS243" s="69"/>
      <c r="DT243" s="69"/>
      <c r="DU243" s="69"/>
      <c r="DV243" s="7"/>
      <c r="DW243" s="10"/>
      <c r="DX243" s="71">
        <v>1.0E-12</v>
      </c>
      <c r="DY243" s="7"/>
      <c r="DZ243" s="64" t="s">
        <v>248</v>
      </c>
      <c r="EA243" s="72" t="s">
        <v>166</v>
      </c>
      <c r="EB243" s="7"/>
    </row>
    <row r="244">
      <c r="A244" s="55" t="s">
        <v>659</v>
      </c>
      <c r="B244" s="124" t="s">
        <v>659</v>
      </c>
      <c r="C244" s="125"/>
      <c r="D244" s="125"/>
      <c r="E244" s="125"/>
      <c r="F244" s="4" t="s">
        <v>187</v>
      </c>
      <c r="G244" s="61">
        <v>246.777468333333</v>
      </c>
      <c r="H244" s="61">
        <v>-24.6969119444444</v>
      </c>
      <c r="I244" s="6" t="s">
        <v>158</v>
      </c>
      <c r="J244" s="6" t="s">
        <v>169</v>
      </c>
      <c r="K244" s="58">
        <v>1.0</v>
      </c>
      <c r="L244" s="59"/>
      <c r="M244" s="59">
        <v>2.0</v>
      </c>
      <c r="N244" s="61">
        <v>142.122168215798</v>
      </c>
      <c r="O244" s="61">
        <v>-5.694</v>
      </c>
      <c r="P244" s="61">
        <v>0.291</v>
      </c>
      <c r="Q244" s="61">
        <v>-25.03</v>
      </c>
      <c r="R244" s="61">
        <v>0.197</v>
      </c>
      <c r="S244" s="60"/>
      <c r="T244" s="60"/>
      <c r="U244" s="61">
        <v>3.0</v>
      </c>
      <c r="V244" s="5"/>
      <c r="W244" s="5"/>
      <c r="X244" s="5"/>
      <c r="Y244" s="93" t="s">
        <v>269</v>
      </c>
      <c r="Z244" s="60">
        <v>17.57</v>
      </c>
      <c r="AA244" s="60"/>
      <c r="AB244" s="60">
        <v>12.433</v>
      </c>
      <c r="AC244" s="60">
        <v>0.024</v>
      </c>
      <c r="AD244" s="60">
        <v>11.397</v>
      </c>
      <c r="AE244" s="60">
        <v>0.024</v>
      </c>
      <c r="AF244" s="60">
        <v>10.766</v>
      </c>
      <c r="AG244" s="60">
        <v>0.021</v>
      </c>
      <c r="AH244" s="6"/>
      <c r="AI244" s="6"/>
      <c r="AJ244" s="63" t="s">
        <v>269</v>
      </c>
      <c r="AK244" s="64" t="s">
        <v>637</v>
      </c>
      <c r="AL244" s="97">
        <v>2003.0</v>
      </c>
      <c r="AM244" s="7"/>
      <c r="AN244" s="77">
        <v>150.0</v>
      </c>
      <c r="AO244" s="13"/>
      <c r="AP244" s="64" t="s">
        <v>353</v>
      </c>
      <c r="AQ244" s="97">
        <v>0.5</v>
      </c>
      <c r="AR244" s="66">
        <v>2700.0</v>
      </c>
      <c r="AS244" s="73">
        <v>100.0</v>
      </c>
      <c r="AT244" s="67">
        <v>0.0572519084</v>
      </c>
      <c r="AU244" s="126"/>
      <c r="AV244" s="114">
        <v>0.07943282347</v>
      </c>
      <c r="AW244" s="126"/>
      <c r="AX244" s="73">
        <v>1.29</v>
      </c>
      <c r="AY244" s="126"/>
      <c r="AZ244" s="11" t="s">
        <v>596</v>
      </c>
      <c r="BA244" s="68" t="s">
        <v>597</v>
      </c>
      <c r="BB244" s="90">
        <v>-40.0</v>
      </c>
      <c r="BC244" s="69"/>
      <c r="BD244" s="105"/>
      <c r="BE244" s="11"/>
      <c r="BF244" s="11"/>
      <c r="BG244" s="11"/>
      <c r="BH244" s="11" t="s">
        <v>660</v>
      </c>
      <c r="BI244" s="11"/>
      <c r="BJ244" s="11"/>
      <c r="BK244" s="11"/>
      <c r="BL244" s="11" t="s">
        <v>660</v>
      </c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127">
        <v>-2.0</v>
      </c>
      <c r="CA244" s="128"/>
      <c r="CB244" s="128"/>
      <c r="CC244" s="11"/>
      <c r="CD244" s="11" t="s">
        <v>660</v>
      </c>
      <c r="CE244" s="11"/>
      <c r="CF244" s="11" t="s">
        <v>660</v>
      </c>
      <c r="CG244" s="11"/>
      <c r="CH244" s="11"/>
      <c r="CI244" s="11"/>
      <c r="CJ244" s="11"/>
      <c r="CK244" s="11"/>
      <c r="CL244" s="68">
        <v>-1.0</v>
      </c>
      <c r="CM244" s="69"/>
      <c r="CN244" s="69"/>
      <c r="CO244" s="69"/>
      <c r="CP244" s="69"/>
      <c r="CQ244" s="69"/>
      <c r="CR244" s="69"/>
      <c r="CS244" s="69"/>
      <c r="CT244" s="11"/>
      <c r="CU244" s="11"/>
      <c r="CV244" s="11" t="s">
        <v>660</v>
      </c>
      <c r="CW244" s="69"/>
      <c r="CX244" s="69"/>
      <c r="CY244" s="69"/>
      <c r="CZ244" s="69" t="s">
        <v>660</v>
      </c>
      <c r="DA244" s="11"/>
      <c r="DB244" s="69"/>
      <c r="DC244" s="69"/>
      <c r="DD244" s="69"/>
      <c r="DE244" s="69"/>
      <c r="DF244" s="129"/>
      <c r="DG244" s="129"/>
      <c r="DH244" s="129" t="s">
        <v>660</v>
      </c>
      <c r="DI244" s="129"/>
      <c r="DJ244" s="11"/>
      <c r="DK244" s="11" t="s">
        <v>660</v>
      </c>
      <c r="DL244" s="11"/>
      <c r="DM244" s="69"/>
      <c r="DN244" s="69"/>
      <c r="DO244" s="69"/>
      <c r="DP244" s="69"/>
      <c r="DQ244" s="11"/>
      <c r="DR244" s="69"/>
      <c r="DS244" s="69"/>
      <c r="DT244" s="69"/>
      <c r="DU244" s="69"/>
      <c r="DV244" s="130" t="s">
        <v>660</v>
      </c>
      <c r="DW244" s="10"/>
      <c r="DX244" s="71">
        <v>1.0E-9</v>
      </c>
      <c r="DY244" s="130"/>
      <c r="DZ244" s="64" t="s">
        <v>248</v>
      </c>
      <c r="EA244" s="72" t="s">
        <v>166</v>
      </c>
      <c r="EB244" s="131" t="s">
        <v>660</v>
      </c>
    </row>
    <row r="245">
      <c r="A245" s="55" t="s">
        <v>273</v>
      </c>
      <c r="B245" s="56" t="s">
        <v>661</v>
      </c>
      <c r="C245" s="3"/>
      <c r="D245" s="3"/>
      <c r="E245" s="3"/>
      <c r="F245" s="57" t="s">
        <v>187</v>
      </c>
      <c r="G245" s="61">
        <v>246.589745416666</v>
      </c>
      <c r="H245" s="61">
        <v>-24.4336111111111</v>
      </c>
      <c r="I245" s="6" t="s">
        <v>158</v>
      </c>
      <c r="J245" s="6" t="s">
        <v>169</v>
      </c>
      <c r="K245" s="58">
        <v>1.0</v>
      </c>
      <c r="L245" s="6"/>
      <c r="M245" s="59">
        <v>2.0</v>
      </c>
      <c r="N245" s="61">
        <v>136.593361562628</v>
      </c>
      <c r="O245" s="61">
        <v>-9.05</v>
      </c>
      <c r="P245" s="61">
        <v>0.403</v>
      </c>
      <c r="Q245" s="61">
        <v>-25.287</v>
      </c>
      <c r="R245" s="61">
        <v>0.25</v>
      </c>
      <c r="S245" s="60"/>
      <c r="T245" s="60"/>
      <c r="U245" s="61">
        <v>3.0</v>
      </c>
      <c r="V245" s="6"/>
      <c r="W245" s="6"/>
      <c r="X245" s="6"/>
      <c r="Y245" s="93" t="s">
        <v>269</v>
      </c>
      <c r="Z245" s="60">
        <v>18.3</v>
      </c>
      <c r="AA245" s="60"/>
      <c r="AB245" s="60">
        <v>12.57</v>
      </c>
      <c r="AC245" s="60">
        <v>0.022</v>
      </c>
      <c r="AD245" s="60">
        <v>11.518</v>
      </c>
      <c r="AE245" s="60">
        <v>0.026</v>
      </c>
      <c r="AF245" s="60">
        <v>10.918</v>
      </c>
      <c r="AG245" s="60">
        <v>0.023</v>
      </c>
      <c r="AH245" s="132"/>
      <c r="AI245" s="6"/>
      <c r="AJ245" s="63" t="s">
        <v>269</v>
      </c>
      <c r="AK245" s="64" t="s">
        <v>637</v>
      </c>
      <c r="AL245" s="97">
        <v>2003.0</v>
      </c>
      <c r="AM245" s="13"/>
      <c r="AN245" s="77">
        <v>150.0</v>
      </c>
      <c r="AO245" s="7"/>
      <c r="AP245" s="64" t="s">
        <v>353</v>
      </c>
      <c r="AQ245" s="97">
        <v>0.5</v>
      </c>
      <c r="AR245" s="66">
        <v>2700.0</v>
      </c>
      <c r="AS245" s="73">
        <v>100.0</v>
      </c>
      <c r="AT245" s="67">
        <v>0.0572519084</v>
      </c>
      <c r="AU245" s="92"/>
      <c r="AV245" s="114">
        <v>0.07079457844</v>
      </c>
      <c r="AW245" s="7"/>
      <c r="AX245" s="73">
        <v>1.31</v>
      </c>
      <c r="AY245" s="7"/>
      <c r="AZ245" s="11" t="s">
        <v>596</v>
      </c>
      <c r="BA245" s="68" t="s">
        <v>597</v>
      </c>
      <c r="BB245" s="68">
        <v>-30.0</v>
      </c>
      <c r="BC245" s="69"/>
      <c r="BD245" s="12"/>
      <c r="BE245" s="12"/>
      <c r="BF245" s="11"/>
      <c r="BG245" s="12"/>
      <c r="BH245" s="12"/>
      <c r="BI245" s="11"/>
      <c r="BJ245" s="12"/>
      <c r="BK245" s="12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68">
        <v>-0.3</v>
      </c>
      <c r="CA245" s="11"/>
      <c r="CB245" s="11"/>
      <c r="CC245" s="11"/>
      <c r="CD245" s="11"/>
      <c r="CE245" s="11"/>
      <c r="CF245" s="11"/>
      <c r="CG245" s="11"/>
      <c r="CH245" s="11"/>
      <c r="CI245" s="69"/>
      <c r="CJ245" s="11"/>
      <c r="CK245" s="11"/>
      <c r="CL245" s="68">
        <v>-1.0</v>
      </c>
      <c r="CM245" s="12"/>
      <c r="CN245" s="69"/>
      <c r="CO245" s="69"/>
      <c r="CP245" s="69"/>
      <c r="CQ245" s="69"/>
      <c r="CR245" s="69"/>
      <c r="CS245" s="69"/>
      <c r="CT245" s="69"/>
      <c r="CU245" s="69"/>
      <c r="CV245" s="12"/>
      <c r="CW245" s="69"/>
      <c r="CX245" s="12"/>
      <c r="CY245" s="69"/>
      <c r="CZ245" s="69"/>
      <c r="DA245" s="12"/>
      <c r="DB245" s="69"/>
      <c r="DC245" s="69"/>
      <c r="DD245" s="69"/>
      <c r="DE245" s="69"/>
      <c r="DF245" s="12"/>
      <c r="DG245" s="12"/>
      <c r="DH245" s="12"/>
      <c r="DI245" s="12"/>
      <c r="DJ245" s="12"/>
      <c r="DK245" s="12"/>
      <c r="DL245" s="12"/>
      <c r="DM245" s="69"/>
      <c r="DN245" s="69"/>
      <c r="DO245" s="69"/>
      <c r="DP245" s="69"/>
      <c r="DQ245" s="12"/>
      <c r="DR245" s="69"/>
      <c r="DS245" s="69"/>
      <c r="DT245" s="69"/>
      <c r="DU245" s="69"/>
      <c r="DV245" s="13"/>
      <c r="DW245" s="10"/>
      <c r="DX245" s="71">
        <v>1.58E-11</v>
      </c>
      <c r="DY245" s="7"/>
      <c r="DZ245" s="64" t="s">
        <v>248</v>
      </c>
      <c r="EA245" s="72" t="s">
        <v>166</v>
      </c>
      <c r="EB245" s="7"/>
    </row>
    <row r="246">
      <c r="A246" s="55" t="s">
        <v>238</v>
      </c>
      <c r="B246" s="56" t="s">
        <v>662</v>
      </c>
      <c r="C246" s="4"/>
      <c r="D246" s="3"/>
      <c r="E246" s="3"/>
      <c r="F246" s="57" t="s">
        <v>187</v>
      </c>
      <c r="G246" s="58">
        <v>69.9458</v>
      </c>
      <c r="H246" s="58">
        <v>26.0281</v>
      </c>
      <c r="I246" s="6" t="s">
        <v>199</v>
      </c>
      <c r="J246" s="6" t="s">
        <v>169</v>
      </c>
      <c r="K246" s="61">
        <v>1.5</v>
      </c>
      <c r="L246" s="5"/>
      <c r="M246" s="59">
        <v>2.0</v>
      </c>
      <c r="N246" s="61">
        <v>147.132389724273</v>
      </c>
      <c r="O246" s="61">
        <v>6.628</v>
      </c>
      <c r="P246" s="61">
        <v>0.483</v>
      </c>
      <c r="Q246" s="61">
        <v>-21.865</v>
      </c>
      <c r="R246" s="61">
        <v>0.309</v>
      </c>
      <c r="S246" s="60">
        <v>16.687</v>
      </c>
      <c r="T246" s="60"/>
      <c r="U246" s="59">
        <v>6.37</v>
      </c>
      <c r="V246" s="59">
        <v>0.85</v>
      </c>
      <c r="W246" s="5"/>
      <c r="X246" s="5"/>
      <c r="Y246" s="83" t="s">
        <v>200</v>
      </c>
      <c r="Z246" s="60"/>
      <c r="AA246" s="60"/>
      <c r="AB246" s="60">
        <v>12.168</v>
      </c>
      <c r="AC246" s="60">
        <v>0.023</v>
      </c>
      <c r="AD246" s="60">
        <v>11.008</v>
      </c>
      <c r="AE246" s="60">
        <v>0.021</v>
      </c>
      <c r="AF246" s="60">
        <v>10.332</v>
      </c>
      <c r="AG246" s="60">
        <v>0.018</v>
      </c>
      <c r="AH246" s="6"/>
      <c r="AI246" s="96"/>
      <c r="AJ246" s="63" t="s">
        <v>598</v>
      </c>
      <c r="AK246" s="64" t="s">
        <v>226</v>
      </c>
      <c r="AL246" s="97">
        <v>2003.0</v>
      </c>
      <c r="AM246" s="7"/>
      <c r="AN246" s="8"/>
      <c r="AO246" s="13"/>
      <c r="AP246" s="13" t="s">
        <v>345</v>
      </c>
      <c r="AQ246" s="7"/>
      <c r="AR246" s="78">
        <v>2880.0</v>
      </c>
      <c r="AS246" s="7"/>
      <c r="AT246" s="79">
        <v>0.06</v>
      </c>
      <c r="AU246" s="7"/>
      <c r="AV246" s="64">
        <v>0.054</v>
      </c>
      <c r="AW246" s="7"/>
      <c r="AX246" s="73">
        <v>0.94</v>
      </c>
      <c r="AY246" s="7"/>
      <c r="AZ246" s="11" t="s">
        <v>596</v>
      </c>
      <c r="BA246" s="11" t="s">
        <v>597</v>
      </c>
      <c r="BB246" s="68">
        <v>-129.3</v>
      </c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7"/>
      <c r="DW246" s="10"/>
      <c r="DX246" s="81">
        <v>5.01E-12</v>
      </c>
      <c r="DY246" s="7"/>
      <c r="DZ246" s="64" t="s">
        <v>248</v>
      </c>
      <c r="EA246" s="72" t="s">
        <v>354</v>
      </c>
      <c r="EB246" s="82" t="s">
        <v>599</v>
      </c>
    </row>
    <row r="247">
      <c r="A247" s="55" t="s">
        <v>663</v>
      </c>
      <c r="B247" s="56" t="s">
        <v>663</v>
      </c>
      <c r="C247" s="4"/>
      <c r="D247" s="4"/>
      <c r="E247" s="4" t="s">
        <v>137</v>
      </c>
      <c r="F247" s="57" t="s">
        <v>187</v>
      </c>
      <c r="G247" s="58">
        <v>246.859264</v>
      </c>
      <c r="H247" s="58">
        <v>-24.323055</v>
      </c>
      <c r="I247" s="6" t="s">
        <v>158</v>
      </c>
      <c r="J247" s="6" t="s">
        <v>169</v>
      </c>
      <c r="K247" s="58">
        <v>1.0</v>
      </c>
      <c r="L247" s="5"/>
      <c r="M247" s="59"/>
      <c r="N247" s="60"/>
      <c r="O247" s="60"/>
      <c r="P247" s="60"/>
      <c r="Q247" s="60"/>
      <c r="R247" s="60"/>
      <c r="S247" s="60"/>
      <c r="T247" s="60"/>
      <c r="U247" s="59">
        <v>10.9</v>
      </c>
      <c r="V247" s="5"/>
      <c r="W247" s="60">
        <v>3.1</v>
      </c>
      <c r="X247" s="5"/>
      <c r="Y247" s="75" t="s">
        <v>664</v>
      </c>
      <c r="Z247" s="60"/>
      <c r="AA247" s="60"/>
      <c r="AB247" s="60">
        <v>16.398</v>
      </c>
      <c r="AC247" s="60">
        <v>0.104</v>
      </c>
      <c r="AD247" s="60">
        <v>14.244</v>
      </c>
      <c r="AE247" s="60">
        <v>0.048</v>
      </c>
      <c r="AF247" s="60">
        <v>12.926</v>
      </c>
      <c r="AG247" s="60">
        <v>0.029</v>
      </c>
      <c r="AH247" s="6"/>
      <c r="AI247" s="96"/>
      <c r="AJ247" s="63" t="s">
        <v>598</v>
      </c>
      <c r="AK247" s="64" t="s">
        <v>226</v>
      </c>
      <c r="AL247" s="97">
        <v>2003.0</v>
      </c>
      <c r="AM247" s="7"/>
      <c r="AN247" s="8"/>
      <c r="AO247" s="13"/>
      <c r="AP247" s="13" t="s">
        <v>217</v>
      </c>
      <c r="AQ247" s="7"/>
      <c r="AR247" s="78">
        <v>2935.0</v>
      </c>
      <c r="AS247" s="7"/>
      <c r="AT247" s="79">
        <v>0.065</v>
      </c>
      <c r="AU247" s="7"/>
      <c r="AV247" s="64">
        <v>0.0081</v>
      </c>
      <c r="AW247" s="7"/>
      <c r="AX247" s="73">
        <v>0.35</v>
      </c>
      <c r="AY247" s="7"/>
      <c r="AZ247" s="11" t="s">
        <v>596</v>
      </c>
      <c r="BA247" s="11" t="s">
        <v>597</v>
      </c>
      <c r="BB247" s="68">
        <v>-12.4</v>
      </c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69"/>
      <c r="DN247" s="69"/>
      <c r="DO247" s="69"/>
      <c r="DP247" s="69"/>
      <c r="DQ247" s="11"/>
      <c r="DR247" s="69"/>
      <c r="DS247" s="69"/>
      <c r="DT247" s="69"/>
      <c r="DU247" s="69"/>
      <c r="DV247" s="13"/>
      <c r="DW247" s="10"/>
      <c r="DX247" s="81">
        <v>1.0E-12</v>
      </c>
      <c r="DY247" s="7"/>
      <c r="DZ247" s="64" t="s">
        <v>248</v>
      </c>
      <c r="EA247" s="72" t="s">
        <v>354</v>
      </c>
      <c r="EB247" s="7"/>
    </row>
    <row r="248">
      <c r="A248" s="133" t="s">
        <v>281</v>
      </c>
      <c r="B248" s="134" t="s">
        <v>282</v>
      </c>
      <c r="C248" s="135"/>
      <c r="D248" s="136"/>
      <c r="E248" s="136"/>
      <c r="F248" s="137" t="s">
        <v>168</v>
      </c>
      <c r="G248" s="138">
        <v>166.926433333333</v>
      </c>
      <c r="H248" s="138">
        <v>-77.5664947222222</v>
      </c>
      <c r="I248" s="139" t="s">
        <v>268</v>
      </c>
      <c r="J248" s="139" t="s">
        <v>169</v>
      </c>
      <c r="K248" s="140">
        <v>2.0</v>
      </c>
      <c r="L248" s="141"/>
      <c r="M248" s="142"/>
      <c r="N248" s="143"/>
      <c r="O248" s="143"/>
      <c r="P248" s="143"/>
      <c r="Q248" s="143"/>
      <c r="R248" s="143"/>
      <c r="S248" s="143">
        <v>12.4</v>
      </c>
      <c r="T248" s="143">
        <v>1.68</v>
      </c>
      <c r="U248" s="138">
        <v>0.8</v>
      </c>
      <c r="V248" s="141"/>
      <c r="W248" s="141"/>
      <c r="X248" s="141"/>
      <c r="Y248" s="144" t="s">
        <v>269</v>
      </c>
      <c r="Z248" s="143"/>
      <c r="AA248" s="143"/>
      <c r="AB248" s="143">
        <v>12.21</v>
      </c>
      <c r="AC248" s="143">
        <v>0.024</v>
      </c>
      <c r="AD248" s="143">
        <v>11.243</v>
      </c>
      <c r="AE248" s="143">
        <v>0.026</v>
      </c>
      <c r="AF248" s="143">
        <v>10.675</v>
      </c>
      <c r="AG248" s="143">
        <v>0.021</v>
      </c>
      <c r="AH248" s="139"/>
      <c r="AI248" s="139"/>
      <c r="AJ248" s="145" t="s">
        <v>269</v>
      </c>
      <c r="AK248" s="146" t="s">
        <v>637</v>
      </c>
      <c r="AL248" s="147">
        <v>2003.0</v>
      </c>
      <c r="AM248" s="148"/>
      <c r="AN248" s="149">
        <v>160.0</v>
      </c>
      <c r="AO248" s="148"/>
      <c r="AP248" s="146" t="s">
        <v>217</v>
      </c>
      <c r="AQ248" s="147">
        <v>0.5</v>
      </c>
      <c r="AR248" s="150">
        <v>2910.0</v>
      </c>
      <c r="AS248" s="151">
        <v>150.0</v>
      </c>
      <c r="AT248" s="152">
        <v>0.06679389313</v>
      </c>
      <c r="AU248" s="153"/>
      <c r="AV248" s="146">
        <v>0.03388441561</v>
      </c>
      <c r="AW248" s="146">
        <v>1.584893192</v>
      </c>
      <c r="AX248" s="147">
        <v>0.73</v>
      </c>
      <c r="AY248" s="153"/>
      <c r="AZ248" s="154" t="s">
        <v>596</v>
      </c>
      <c r="BA248" s="155" t="s">
        <v>597</v>
      </c>
      <c r="BB248" s="156">
        <v>-33.0</v>
      </c>
      <c r="BC248" s="154"/>
      <c r="BD248" s="154"/>
      <c r="BE248" s="154"/>
      <c r="BF248" s="154"/>
      <c r="BG248" s="154"/>
      <c r="BH248" s="154"/>
      <c r="BI248" s="154"/>
      <c r="BJ248" s="154"/>
      <c r="BK248" s="154"/>
      <c r="BL248" s="154"/>
      <c r="BM248" s="154"/>
      <c r="BN248" s="154"/>
      <c r="BO248" s="154"/>
      <c r="BP248" s="154"/>
      <c r="BQ248" s="154"/>
      <c r="BR248" s="154"/>
      <c r="BS248" s="154"/>
      <c r="BT248" s="154"/>
      <c r="BU248" s="154"/>
      <c r="BV248" s="154"/>
      <c r="BW248" s="154"/>
      <c r="BX248" s="154"/>
      <c r="BY248" s="154"/>
      <c r="BZ248" s="155">
        <v>-0.3</v>
      </c>
      <c r="CA248" s="154"/>
      <c r="CB248" s="154"/>
      <c r="CC248" s="154"/>
      <c r="CD248" s="154"/>
      <c r="CE248" s="154"/>
      <c r="CF248" s="154"/>
      <c r="CG248" s="154"/>
      <c r="CH248" s="154"/>
      <c r="CI248" s="154"/>
      <c r="CJ248" s="154"/>
      <c r="CK248" s="154"/>
      <c r="CL248" s="155">
        <v>-1.5</v>
      </c>
      <c r="CM248" s="154"/>
      <c r="CN248" s="154"/>
      <c r="CO248" s="154"/>
      <c r="CP248" s="154"/>
      <c r="CQ248" s="154"/>
      <c r="CR248" s="154"/>
      <c r="CS248" s="154"/>
      <c r="CT248" s="154"/>
      <c r="CU248" s="154"/>
      <c r="CV248" s="154"/>
      <c r="CW248" s="154"/>
      <c r="CX248" s="154"/>
      <c r="CY248" s="154"/>
      <c r="CZ248" s="154"/>
      <c r="DA248" s="154"/>
      <c r="DB248" s="154"/>
      <c r="DC248" s="154"/>
      <c r="DD248" s="154"/>
      <c r="DE248" s="154"/>
      <c r="DF248" s="154"/>
      <c r="DG248" s="154"/>
      <c r="DH248" s="154"/>
      <c r="DI248" s="154"/>
      <c r="DJ248" s="154"/>
      <c r="DK248" s="154"/>
      <c r="DL248" s="154"/>
      <c r="DM248" s="157"/>
      <c r="DN248" s="157"/>
      <c r="DO248" s="157"/>
      <c r="DP248" s="157"/>
      <c r="DQ248" s="154"/>
      <c r="DR248" s="157"/>
      <c r="DS248" s="157"/>
      <c r="DT248" s="157"/>
      <c r="DU248" s="157"/>
      <c r="DV248" s="153"/>
      <c r="DW248" s="158"/>
      <c r="DX248" s="159">
        <v>1.0E-10</v>
      </c>
      <c r="DY248" s="160"/>
      <c r="DZ248" s="146" t="s">
        <v>248</v>
      </c>
      <c r="EA248" s="161" t="s">
        <v>166</v>
      </c>
      <c r="EB248" s="160"/>
    </row>
    <row r="249">
      <c r="A249" s="55" t="s">
        <v>665</v>
      </c>
      <c r="B249" s="56" t="s">
        <v>665</v>
      </c>
      <c r="C249" s="4"/>
      <c r="D249" s="3"/>
      <c r="E249" s="3" t="s">
        <v>137</v>
      </c>
      <c r="F249" s="57" t="s">
        <v>187</v>
      </c>
      <c r="G249" s="58">
        <v>166.763507</v>
      </c>
      <c r="H249" s="58">
        <v>-76.182381</v>
      </c>
      <c r="I249" s="6" t="s">
        <v>268</v>
      </c>
      <c r="J249" s="6" t="s">
        <v>159</v>
      </c>
      <c r="K249" s="58">
        <v>2.0</v>
      </c>
      <c r="L249" s="5"/>
      <c r="M249" s="59">
        <v>2.0</v>
      </c>
      <c r="N249" s="61">
        <v>201.853010637653</v>
      </c>
      <c r="O249" s="61">
        <v>-21.874</v>
      </c>
      <c r="P249" s="61">
        <v>0.369</v>
      </c>
      <c r="Q249" s="61">
        <v>0.157</v>
      </c>
      <c r="R249" s="61">
        <v>0.272</v>
      </c>
      <c r="S249" s="60"/>
      <c r="T249" s="60"/>
      <c r="U249" s="59">
        <v>0.39</v>
      </c>
      <c r="V249" s="5"/>
      <c r="W249" s="60">
        <v>0.11</v>
      </c>
      <c r="X249" s="5"/>
      <c r="Y249" s="83" t="s">
        <v>628</v>
      </c>
      <c r="Z249" s="60"/>
      <c r="AA249" s="60"/>
      <c r="AB249" s="60">
        <v>13.846</v>
      </c>
      <c r="AC249" s="60">
        <v>0.034</v>
      </c>
      <c r="AD249" s="60">
        <v>13.123</v>
      </c>
      <c r="AE249" s="60">
        <v>0.027</v>
      </c>
      <c r="AF249" s="60">
        <v>12.752</v>
      </c>
      <c r="AG249" s="60">
        <v>0.029</v>
      </c>
      <c r="AH249" s="6"/>
      <c r="AI249" s="96"/>
      <c r="AJ249" s="63" t="s">
        <v>598</v>
      </c>
      <c r="AK249" s="64" t="s">
        <v>226</v>
      </c>
      <c r="AL249" s="97">
        <v>2003.0</v>
      </c>
      <c r="AM249" s="7"/>
      <c r="AN249" s="8"/>
      <c r="AO249" s="13"/>
      <c r="AP249" s="13" t="s">
        <v>353</v>
      </c>
      <c r="AQ249" s="7"/>
      <c r="AR249" s="78">
        <v>2990.0</v>
      </c>
      <c r="AS249" s="7"/>
      <c r="AT249" s="79">
        <v>0.07</v>
      </c>
      <c r="AU249" s="7"/>
      <c r="AV249" s="64">
        <v>0.013</v>
      </c>
      <c r="AW249" s="7"/>
      <c r="AX249" s="73">
        <v>0.43</v>
      </c>
      <c r="AY249" s="7"/>
      <c r="AZ249" s="11" t="s">
        <v>596</v>
      </c>
      <c r="BA249" s="11" t="s">
        <v>597</v>
      </c>
      <c r="BB249" s="68">
        <v>-9.3</v>
      </c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69"/>
      <c r="DN249" s="69"/>
      <c r="DO249" s="69"/>
      <c r="DP249" s="69"/>
      <c r="DQ249" s="11"/>
      <c r="DR249" s="69"/>
      <c r="DS249" s="69"/>
      <c r="DT249" s="69"/>
      <c r="DU249" s="69"/>
      <c r="DV249" s="13"/>
      <c r="DW249" s="10"/>
      <c r="DX249" s="81">
        <v>1.0E-12</v>
      </c>
      <c r="DY249" s="7"/>
      <c r="DZ249" s="64" t="s">
        <v>248</v>
      </c>
      <c r="EA249" s="72" t="s">
        <v>354</v>
      </c>
      <c r="EB249" s="82" t="s">
        <v>629</v>
      </c>
    </row>
    <row r="250">
      <c r="A250" s="55" t="s">
        <v>666</v>
      </c>
      <c r="B250" s="56" t="s">
        <v>666</v>
      </c>
      <c r="C250" s="4"/>
      <c r="D250" s="3"/>
      <c r="E250" s="3"/>
      <c r="F250" s="57" t="s">
        <v>187</v>
      </c>
      <c r="G250" s="58">
        <v>166.6364953</v>
      </c>
      <c r="H250" s="58">
        <v>-76.42251777</v>
      </c>
      <c r="I250" s="6" t="s">
        <v>268</v>
      </c>
      <c r="J250" s="6" t="s">
        <v>169</v>
      </c>
      <c r="K250" s="58">
        <v>2.0</v>
      </c>
      <c r="L250" s="5"/>
      <c r="M250" s="59">
        <v>2.0</v>
      </c>
      <c r="N250" s="61">
        <v>187.136253906469</v>
      </c>
      <c r="O250" s="61">
        <v>-21.046</v>
      </c>
      <c r="P250" s="61">
        <v>0.412</v>
      </c>
      <c r="Q250" s="61">
        <v>-0.146</v>
      </c>
      <c r="R250" s="61">
        <v>0.343</v>
      </c>
      <c r="S250" s="60"/>
      <c r="T250" s="60"/>
      <c r="U250" s="58">
        <v>1.6</v>
      </c>
      <c r="V250" s="5"/>
      <c r="W250" s="60">
        <v>0.45</v>
      </c>
      <c r="X250" s="5"/>
      <c r="Y250" s="83" t="s">
        <v>628</v>
      </c>
      <c r="Z250" s="60"/>
      <c r="AA250" s="60"/>
      <c r="AB250" s="60">
        <v>14.22</v>
      </c>
      <c r="AC250" s="60">
        <v>0.024</v>
      </c>
      <c r="AD250" s="60">
        <v>13.531</v>
      </c>
      <c r="AE250" s="60">
        <v>0.027</v>
      </c>
      <c r="AF250" s="60">
        <v>13.067</v>
      </c>
      <c r="AG250" s="60">
        <v>0.027</v>
      </c>
      <c r="AH250" s="6"/>
      <c r="AI250" s="96"/>
      <c r="AJ250" s="63" t="s">
        <v>598</v>
      </c>
      <c r="AK250" s="64" t="s">
        <v>226</v>
      </c>
      <c r="AL250" s="97">
        <v>2003.0</v>
      </c>
      <c r="AM250" s="7"/>
      <c r="AN250" s="8"/>
      <c r="AO250" s="13"/>
      <c r="AP250" s="13" t="s">
        <v>353</v>
      </c>
      <c r="AQ250" s="7"/>
      <c r="AR250" s="78">
        <v>2990.0</v>
      </c>
      <c r="AS250" s="7"/>
      <c r="AT250" s="79">
        <v>0.07</v>
      </c>
      <c r="AU250" s="7"/>
      <c r="AV250" s="64">
        <v>0.028</v>
      </c>
      <c r="AW250" s="7"/>
      <c r="AX250" s="73">
        <v>0.39</v>
      </c>
      <c r="AY250" s="7"/>
      <c r="AZ250" s="11" t="s">
        <v>596</v>
      </c>
      <c r="BA250" s="11" t="s">
        <v>597</v>
      </c>
      <c r="BB250" s="68">
        <v>-72.0</v>
      </c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69"/>
      <c r="DN250" s="69"/>
      <c r="DO250" s="69"/>
      <c r="DP250" s="69"/>
      <c r="DQ250" s="11"/>
      <c r="DR250" s="69"/>
      <c r="DS250" s="69"/>
      <c r="DT250" s="69"/>
      <c r="DU250" s="69"/>
      <c r="DV250" s="7"/>
      <c r="DW250" s="10"/>
      <c r="DX250" s="81">
        <v>1.0E-10</v>
      </c>
      <c r="DY250" s="7"/>
      <c r="DZ250" s="64" t="s">
        <v>248</v>
      </c>
      <c r="EA250" s="72" t="s">
        <v>354</v>
      </c>
      <c r="EB250" s="85" t="s">
        <v>629</v>
      </c>
    </row>
    <row r="251">
      <c r="A251" s="55" t="s">
        <v>667</v>
      </c>
      <c r="B251" s="56" t="s">
        <v>668</v>
      </c>
      <c r="C251" s="4"/>
      <c r="D251" s="3"/>
      <c r="E251" s="3" t="s">
        <v>137</v>
      </c>
      <c r="F251" s="57" t="s">
        <v>187</v>
      </c>
      <c r="G251" s="61">
        <v>167.100237916666</v>
      </c>
      <c r="H251" s="61">
        <v>-77.6583455555555</v>
      </c>
      <c r="I251" s="6" t="s">
        <v>268</v>
      </c>
      <c r="J251" s="6" t="s">
        <v>169</v>
      </c>
      <c r="K251" s="58">
        <v>2.0</v>
      </c>
      <c r="L251" s="5"/>
      <c r="M251" s="59">
        <v>2.0</v>
      </c>
      <c r="N251" s="61">
        <v>194.768517616812</v>
      </c>
      <c r="O251" s="61">
        <v>-22.89</v>
      </c>
      <c r="P251" s="61">
        <v>0.463</v>
      </c>
      <c r="Q251" s="61">
        <v>-0.253</v>
      </c>
      <c r="R251" s="61">
        <v>0.412</v>
      </c>
      <c r="S251" s="60"/>
      <c r="T251" s="60"/>
      <c r="U251" s="59">
        <v>0.1</v>
      </c>
      <c r="V251" s="5"/>
      <c r="W251" s="5"/>
      <c r="X251" s="5"/>
      <c r="Y251" s="62" t="s">
        <v>269</v>
      </c>
      <c r="Z251" s="60"/>
      <c r="AA251" s="60"/>
      <c r="AB251" s="60">
        <v>14.31</v>
      </c>
      <c r="AC251" s="60">
        <v>0.03</v>
      </c>
      <c r="AD251" s="60">
        <v>13.577</v>
      </c>
      <c r="AE251" s="60">
        <v>0.035</v>
      </c>
      <c r="AF251" s="60">
        <v>13.242</v>
      </c>
      <c r="AG251" s="60">
        <v>0.036</v>
      </c>
      <c r="AH251" s="6"/>
      <c r="AI251" s="96"/>
      <c r="AJ251" s="63" t="s">
        <v>598</v>
      </c>
      <c r="AK251" s="64" t="s">
        <v>226</v>
      </c>
      <c r="AL251" s="97">
        <v>2003.0</v>
      </c>
      <c r="AM251" s="7"/>
      <c r="AN251" s="8"/>
      <c r="AO251" s="13"/>
      <c r="AP251" s="13" t="s">
        <v>642</v>
      </c>
      <c r="AQ251" s="7"/>
      <c r="AR251" s="78">
        <v>2962.0</v>
      </c>
      <c r="AS251" s="7"/>
      <c r="AT251" s="79">
        <v>0.07</v>
      </c>
      <c r="AU251" s="7"/>
      <c r="AV251" s="64">
        <v>0.0089</v>
      </c>
      <c r="AW251" s="7"/>
      <c r="AX251" s="73">
        <v>0.36</v>
      </c>
      <c r="AY251" s="7"/>
      <c r="AZ251" s="11" t="s">
        <v>596</v>
      </c>
      <c r="BA251" s="11" t="s">
        <v>597</v>
      </c>
      <c r="BB251" s="90">
        <v>-7.1</v>
      </c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69"/>
      <c r="DN251" s="69"/>
      <c r="DO251" s="69"/>
      <c r="DP251" s="69"/>
      <c r="DQ251" s="11"/>
      <c r="DR251" s="69"/>
      <c r="DS251" s="69"/>
      <c r="DT251" s="69"/>
      <c r="DU251" s="69"/>
      <c r="DV251" s="13"/>
      <c r="DW251" s="10"/>
      <c r="DX251" s="81">
        <v>1.0E-12</v>
      </c>
      <c r="DY251" s="7"/>
      <c r="DZ251" s="64" t="s">
        <v>248</v>
      </c>
      <c r="EA251" s="72" t="s">
        <v>354</v>
      </c>
      <c r="EB251" s="7"/>
    </row>
    <row r="252">
      <c r="A252" s="55" t="s">
        <v>669</v>
      </c>
      <c r="B252" s="56" t="s">
        <v>669</v>
      </c>
      <c r="C252" s="4"/>
      <c r="D252" s="4"/>
      <c r="E252" s="4"/>
      <c r="F252" s="57" t="s">
        <v>187</v>
      </c>
      <c r="G252" s="58">
        <v>69.56192</v>
      </c>
      <c r="H252" s="58">
        <v>26.194427</v>
      </c>
      <c r="I252" s="6" t="s">
        <v>199</v>
      </c>
      <c r="J252" s="6" t="s">
        <v>169</v>
      </c>
      <c r="K252" s="61">
        <v>1.5</v>
      </c>
      <c r="L252" s="5"/>
      <c r="M252" s="59">
        <v>2.0</v>
      </c>
      <c r="N252" s="61">
        <v>145.410129269604</v>
      </c>
      <c r="O252" s="61">
        <v>4.014</v>
      </c>
      <c r="P252" s="61">
        <v>1.365</v>
      </c>
      <c r="Q252" s="61">
        <v>-23.168</v>
      </c>
      <c r="R252" s="61">
        <v>1.007</v>
      </c>
      <c r="S252" s="60">
        <v>21.238</v>
      </c>
      <c r="T252" s="60">
        <v>10.137</v>
      </c>
      <c r="U252" s="58">
        <v>10.6</v>
      </c>
      <c r="V252" s="59">
        <v>4.0</v>
      </c>
      <c r="W252" s="5"/>
      <c r="X252" s="5"/>
      <c r="Y252" s="83" t="s">
        <v>200</v>
      </c>
      <c r="Z252" s="60">
        <v>20.33</v>
      </c>
      <c r="AA252" s="60"/>
      <c r="AB252" s="60">
        <v>15.18</v>
      </c>
      <c r="AC252" s="60">
        <v>0.05</v>
      </c>
      <c r="AD252" s="60">
        <v>14.13</v>
      </c>
      <c r="AE252" s="60">
        <v>0.05</v>
      </c>
      <c r="AF252" s="60">
        <v>12.98</v>
      </c>
      <c r="AG252" s="60">
        <v>0.03</v>
      </c>
      <c r="AH252" s="6"/>
      <c r="AI252" s="6"/>
      <c r="AJ252" s="63" t="s">
        <v>598</v>
      </c>
      <c r="AK252" s="64" t="s">
        <v>226</v>
      </c>
      <c r="AL252" s="97">
        <v>2003.0</v>
      </c>
      <c r="AM252" s="7"/>
      <c r="AN252" s="8"/>
      <c r="AO252" s="13"/>
      <c r="AP252" s="13" t="s">
        <v>237</v>
      </c>
      <c r="AQ252" s="73"/>
      <c r="AR252" s="78">
        <v>2838.0</v>
      </c>
      <c r="AS252" s="7"/>
      <c r="AT252" s="79">
        <v>0.07</v>
      </c>
      <c r="AU252" s="7"/>
      <c r="AV252" s="64">
        <v>0.0018</v>
      </c>
      <c r="AW252" s="7"/>
      <c r="AX252" s="73">
        <v>0.18</v>
      </c>
      <c r="AY252" s="7"/>
      <c r="AZ252" s="11" t="s">
        <v>596</v>
      </c>
      <c r="BA252" s="11" t="s">
        <v>597</v>
      </c>
      <c r="BB252" s="68">
        <v>-47.0</v>
      </c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69"/>
      <c r="DN252" s="69"/>
      <c r="DO252" s="69"/>
      <c r="DP252" s="69"/>
      <c r="DQ252" s="11"/>
      <c r="DR252" s="69"/>
      <c r="DS252" s="69"/>
      <c r="DT252" s="69"/>
      <c r="DU252" s="69"/>
      <c r="DV252" s="7"/>
      <c r="DW252" s="10"/>
      <c r="DX252" s="81">
        <v>1.58E-11</v>
      </c>
      <c r="DY252" s="7"/>
      <c r="DZ252" s="64" t="s">
        <v>248</v>
      </c>
      <c r="EA252" s="72" t="s">
        <v>354</v>
      </c>
      <c r="EB252" s="82" t="s">
        <v>599</v>
      </c>
    </row>
    <row r="253">
      <c r="A253" s="55" t="s">
        <v>670</v>
      </c>
      <c r="B253" s="56" t="s">
        <v>671</v>
      </c>
      <c r="C253" s="4"/>
      <c r="D253" s="3"/>
      <c r="E253" s="3" t="s">
        <v>137</v>
      </c>
      <c r="F253" s="57" t="s">
        <v>187</v>
      </c>
      <c r="G253" s="58">
        <v>166.6583</v>
      </c>
      <c r="H253" s="58">
        <v>-77.7192</v>
      </c>
      <c r="I253" s="6" t="s">
        <v>268</v>
      </c>
      <c r="J253" s="6" t="s">
        <v>169</v>
      </c>
      <c r="K253" s="58">
        <v>2.0</v>
      </c>
      <c r="L253" s="5"/>
      <c r="M253" s="59">
        <v>2.0</v>
      </c>
      <c r="N253" s="61">
        <v>188.544062747464</v>
      </c>
      <c r="O253" s="61">
        <v>-23.208</v>
      </c>
      <c r="P253" s="61">
        <v>0.23</v>
      </c>
      <c r="Q253" s="61">
        <v>0.991</v>
      </c>
      <c r="R253" s="61">
        <v>0.227</v>
      </c>
      <c r="S253" s="60">
        <v>13.8</v>
      </c>
      <c r="T253" s="60">
        <v>0.2</v>
      </c>
      <c r="U253" s="59">
        <v>0.6</v>
      </c>
      <c r="V253" s="5"/>
      <c r="W253" s="60">
        <v>0.18</v>
      </c>
      <c r="X253" s="5"/>
      <c r="Y253" s="62" t="s">
        <v>672</v>
      </c>
      <c r="Z253" s="60"/>
      <c r="AA253" s="60"/>
      <c r="AB253" s="60">
        <v>12.969</v>
      </c>
      <c r="AC253" s="60">
        <v>0.027</v>
      </c>
      <c r="AD253" s="60">
        <v>12.257</v>
      </c>
      <c r="AE253" s="60">
        <v>0.024</v>
      </c>
      <c r="AF253" s="60">
        <v>11.811</v>
      </c>
      <c r="AG253" s="60">
        <v>0.019</v>
      </c>
      <c r="AH253" s="6"/>
      <c r="AI253" s="96"/>
      <c r="AJ253" s="63" t="s">
        <v>598</v>
      </c>
      <c r="AK253" s="64" t="s">
        <v>226</v>
      </c>
      <c r="AL253" s="97">
        <v>2003.0</v>
      </c>
      <c r="AM253" s="7"/>
      <c r="AN253" s="8"/>
      <c r="AO253" s="13"/>
      <c r="AP253" s="13" t="s">
        <v>217</v>
      </c>
      <c r="AQ253" s="7"/>
      <c r="AR253" s="78">
        <v>2935.0</v>
      </c>
      <c r="AS253" s="7"/>
      <c r="AT253" s="79">
        <v>0.075</v>
      </c>
      <c r="AU253" s="7"/>
      <c r="AV253" s="64">
        <v>0.028</v>
      </c>
      <c r="AW253" s="7"/>
      <c r="AX253" s="73">
        <v>0.65</v>
      </c>
      <c r="AY253" s="7"/>
      <c r="AZ253" s="11" t="s">
        <v>596</v>
      </c>
      <c r="BA253" s="11" t="s">
        <v>597</v>
      </c>
      <c r="BB253" s="90">
        <v>-14.6</v>
      </c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7"/>
      <c r="DW253" s="10"/>
      <c r="DX253" s="81">
        <v>1.0E-12</v>
      </c>
      <c r="DY253" s="7"/>
      <c r="DZ253" s="64" t="s">
        <v>248</v>
      </c>
      <c r="EA253" s="72" t="s">
        <v>354</v>
      </c>
      <c r="EB253" s="82" t="s">
        <v>638</v>
      </c>
    </row>
    <row r="254">
      <c r="A254" s="55" t="s">
        <v>346</v>
      </c>
      <c r="B254" s="99" t="s">
        <v>347</v>
      </c>
      <c r="C254" s="4"/>
      <c r="D254" s="3"/>
      <c r="E254" s="3"/>
      <c r="F254" s="57" t="s">
        <v>187</v>
      </c>
      <c r="G254" s="58">
        <v>63.54950971</v>
      </c>
      <c r="H254" s="58">
        <v>28.19816947</v>
      </c>
      <c r="I254" s="6" t="s">
        <v>199</v>
      </c>
      <c r="J254" s="6"/>
      <c r="K254" s="58">
        <v>3.16227766</v>
      </c>
      <c r="L254" s="5"/>
      <c r="M254" s="59">
        <v>2.0</v>
      </c>
      <c r="N254" s="61">
        <v>131.087369731926</v>
      </c>
      <c r="O254" s="61">
        <v>9.077</v>
      </c>
      <c r="P254" s="61">
        <v>0.421</v>
      </c>
      <c r="Q254" s="61">
        <v>-23.889</v>
      </c>
      <c r="R254" s="61">
        <v>0.211</v>
      </c>
      <c r="S254" s="60"/>
      <c r="T254" s="60"/>
      <c r="U254" s="58">
        <v>1.0</v>
      </c>
      <c r="V254" s="59">
        <v>0.5</v>
      </c>
      <c r="W254" s="5"/>
      <c r="X254" s="5"/>
      <c r="Y254" s="83" t="s">
        <v>225</v>
      </c>
      <c r="Z254" s="60"/>
      <c r="AA254" s="60"/>
      <c r="AB254" s="60">
        <v>13.161</v>
      </c>
      <c r="AC254" s="60">
        <v>0.024</v>
      </c>
      <c r="AD254" s="60">
        <v>12.329</v>
      </c>
      <c r="AE254" s="60">
        <v>0.022</v>
      </c>
      <c r="AF254" s="60">
        <v>11.639</v>
      </c>
      <c r="AG254" s="60">
        <v>0.021</v>
      </c>
      <c r="AH254" s="6"/>
      <c r="AI254" s="6"/>
      <c r="AJ254" s="63" t="s">
        <v>598</v>
      </c>
      <c r="AK254" s="64" t="s">
        <v>226</v>
      </c>
      <c r="AL254" s="97">
        <v>2003.0</v>
      </c>
      <c r="AM254" s="7"/>
      <c r="AN254" s="8"/>
      <c r="AO254" s="13"/>
      <c r="AP254" s="13" t="s">
        <v>642</v>
      </c>
      <c r="AQ254" s="64"/>
      <c r="AR254" s="78">
        <v>2962.0</v>
      </c>
      <c r="AS254" s="7"/>
      <c r="AT254" s="79">
        <v>0.075</v>
      </c>
      <c r="AU254" s="7"/>
      <c r="AV254" s="64">
        <v>0.019</v>
      </c>
      <c r="AW254" s="7"/>
      <c r="AX254" s="73">
        <v>0.53</v>
      </c>
      <c r="AY254" s="7"/>
      <c r="AZ254" s="11" t="s">
        <v>596</v>
      </c>
      <c r="BA254" s="11" t="s">
        <v>597</v>
      </c>
      <c r="BB254" s="90">
        <v>-250.0</v>
      </c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69"/>
      <c r="DN254" s="69"/>
      <c r="DO254" s="69"/>
      <c r="DP254" s="69"/>
      <c r="DQ254" s="11"/>
      <c r="DR254" s="69"/>
      <c r="DS254" s="69"/>
      <c r="DT254" s="69"/>
      <c r="DU254" s="69"/>
      <c r="DV254" s="7"/>
      <c r="DW254" s="10"/>
      <c r="DX254" s="81">
        <v>1.0E-10</v>
      </c>
      <c r="DY254" s="7"/>
      <c r="DZ254" s="64" t="s">
        <v>248</v>
      </c>
      <c r="EA254" s="72" t="s">
        <v>354</v>
      </c>
      <c r="EB254" s="85" t="s">
        <v>599</v>
      </c>
    </row>
    <row r="255">
      <c r="A255" s="55" t="s">
        <v>673</v>
      </c>
      <c r="B255" s="56" t="s">
        <v>673</v>
      </c>
      <c r="C255" s="4"/>
      <c r="D255" s="3"/>
      <c r="E255" s="3" t="s">
        <v>137</v>
      </c>
      <c r="F255" s="57" t="s">
        <v>187</v>
      </c>
      <c r="G255" s="58">
        <v>73.950053</v>
      </c>
      <c r="H255" s="58">
        <v>30.468056</v>
      </c>
      <c r="I255" s="6" t="s">
        <v>199</v>
      </c>
      <c r="J255" s="6" t="s">
        <v>169</v>
      </c>
      <c r="K255" s="61">
        <v>1.5</v>
      </c>
      <c r="L255" s="5"/>
      <c r="M255" s="59">
        <v>2.0</v>
      </c>
      <c r="N255" s="61">
        <v>164.828825264962</v>
      </c>
      <c r="O255" s="61">
        <v>4.602</v>
      </c>
      <c r="P255" s="61">
        <v>0.254</v>
      </c>
      <c r="Q255" s="61">
        <v>-23.697</v>
      </c>
      <c r="R255" s="61">
        <v>0.149</v>
      </c>
      <c r="S255" s="60"/>
      <c r="T255" s="60"/>
      <c r="U255" s="58">
        <v>1.0</v>
      </c>
      <c r="V255" s="5"/>
      <c r="W255" s="5"/>
      <c r="X255" s="5"/>
      <c r="Y255" s="83" t="s">
        <v>225</v>
      </c>
      <c r="Z255" s="60"/>
      <c r="AA255" s="60"/>
      <c r="AB255" s="60">
        <v>13.18</v>
      </c>
      <c r="AC255" s="60">
        <v>0.026</v>
      </c>
      <c r="AD255" s="60">
        <v>12.588</v>
      </c>
      <c r="AE255" s="60">
        <v>0.028</v>
      </c>
      <c r="AF255" s="60">
        <v>12.155</v>
      </c>
      <c r="AG255" s="60">
        <v>0.022</v>
      </c>
      <c r="AH255" s="6"/>
      <c r="AI255" s="96"/>
      <c r="AJ255" s="63" t="s">
        <v>598</v>
      </c>
      <c r="AK255" s="64" t="s">
        <v>226</v>
      </c>
      <c r="AL255" s="97">
        <v>2003.0</v>
      </c>
      <c r="AM255" s="7"/>
      <c r="AN255" s="8"/>
      <c r="AO255" s="13"/>
      <c r="AP255" s="13" t="s">
        <v>674</v>
      </c>
      <c r="AQ255" s="73"/>
      <c r="AR255" s="78">
        <v>3014.0</v>
      </c>
      <c r="AS255" s="7"/>
      <c r="AT255" s="79">
        <v>0.075</v>
      </c>
      <c r="AU255" s="7"/>
      <c r="AV255" s="64">
        <v>0.014</v>
      </c>
      <c r="AW255" s="7"/>
      <c r="AX255" s="73">
        <v>0.44</v>
      </c>
      <c r="AY255" s="7"/>
      <c r="AZ255" s="11" t="s">
        <v>596</v>
      </c>
      <c r="BA255" s="11" t="s">
        <v>597</v>
      </c>
      <c r="BB255" s="68">
        <v>-14.0</v>
      </c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69"/>
      <c r="DN255" s="69"/>
      <c r="DO255" s="69"/>
      <c r="DP255" s="69"/>
      <c r="DQ255" s="11"/>
      <c r="DR255" s="69"/>
      <c r="DS255" s="69"/>
      <c r="DT255" s="69"/>
      <c r="DU255" s="69"/>
      <c r="DV255" s="13"/>
      <c r="DW255" s="10"/>
      <c r="DX255" s="81">
        <v>1.0E-12</v>
      </c>
      <c r="DY255" s="7"/>
      <c r="DZ255" s="64" t="s">
        <v>248</v>
      </c>
      <c r="EA255" s="72" t="s">
        <v>354</v>
      </c>
      <c r="EB255" s="13"/>
    </row>
    <row r="256">
      <c r="A256" s="55" t="s">
        <v>675</v>
      </c>
      <c r="B256" s="56" t="s">
        <v>675</v>
      </c>
      <c r="C256" s="4"/>
      <c r="D256" s="3"/>
      <c r="E256" s="3" t="s">
        <v>137</v>
      </c>
      <c r="F256" s="57" t="s">
        <v>168</v>
      </c>
      <c r="G256" s="58">
        <v>167.009773</v>
      </c>
      <c r="H256" s="58">
        <v>-76.676208</v>
      </c>
      <c r="I256" s="6" t="s">
        <v>676</v>
      </c>
      <c r="J256" s="6" t="s">
        <v>159</v>
      </c>
      <c r="K256" s="58">
        <v>2.0</v>
      </c>
      <c r="L256" s="5"/>
      <c r="M256" s="59">
        <v>2.0</v>
      </c>
      <c r="N256" s="61">
        <v>193.285269729593</v>
      </c>
      <c r="O256" s="61">
        <v>-22.213</v>
      </c>
      <c r="P256" s="61">
        <v>0.201</v>
      </c>
      <c r="Q256" s="61">
        <v>0.892</v>
      </c>
      <c r="R256" s="61">
        <v>0.2</v>
      </c>
      <c r="S256" s="60"/>
      <c r="T256" s="60"/>
      <c r="U256" s="5"/>
      <c r="V256" s="5"/>
      <c r="W256" s="60">
        <v>0.11</v>
      </c>
      <c r="X256" s="5"/>
      <c r="Y256" s="75" t="s">
        <v>677</v>
      </c>
      <c r="Z256" s="60">
        <v>18.21</v>
      </c>
      <c r="AA256" s="60"/>
      <c r="AB256" s="60">
        <v>12.945</v>
      </c>
      <c r="AC256" s="60">
        <v>0.026</v>
      </c>
      <c r="AD256" s="60">
        <v>12.314</v>
      </c>
      <c r="AE256" s="60">
        <v>0.023</v>
      </c>
      <c r="AF256" s="60">
        <v>11.945</v>
      </c>
      <c r="AG256" s="60">
        <v>0.024</v>
      </c>
      <c r="AH256" s="6"/>
      <c r="AI256" s="96"/>
      <c r="AJ256" s="63" t="s">
        <v>598</v>
      </c>
      <c r="AK256" s="64" t="s">
        <v>226</v>
      </c>
      <c r="AL256" s="97">
        <v>2003.0</v>
      </c>
      <c r="AM256" s="7"/>
      <c r="AN256" s="8"/>
      <c r="AO256" s="13"/>
      <c r="AP256" s="13" t="s">
        <v>353</v>
      </c>
      <c r="AQ256" s="7"/>
      <c r="AR256" s="78">
        <v>2990.0</v>
      </c>
      <c r="AS256" s="7"/>
      <c r="AT256" s="79">
        <v>0.08</v>
      </c>
      <c r="AU256" s="7"/>
      <c r="AV256" s="64">
        <v>0.024</v>
      </c>
      <c r="AW256" s="7"/>
      <c r="AX256" s="73">
        <v>0.58</v>
      </c>
      <c r="AY256" s="7"/>
      <c r="AZ256" s="11" t="s">
        <v>596</v>
      </c>
      <c r="BA256" s="11" t="s">
        <v>597</v>
      </c>
      <c r="BB256" s="68">
        <v>-5.0</v>
      </c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69"/>
      <c r="DN256" s="69"/>
      <c r="DO256" s="69"/>
      <c r="DP256" s="69"/>
      <c r="DQ256" s="11"/>
      <c r="DR256" s="69"/>
      <c r="DS256" s="69"/>
      <c r="DT256" s="69"/>
      <c r="DU256" s="69"/>
      <c r="DV256" s="13"/>
      <c r="DW256" s="10"/>
      <c r="DX256" s="81">
        <v>1.0E-12</v>
      </c>
      <c r="DY256" s="7"/>
      <c r="DZ256" s="64" t="s">
        <v>248</v>
      </c>
      <c r="EA256" s="72" t="s">
        <v>354</v>
      </c>
      <c r="EB256" s="82" t="s">
        <v>629</v>
      </c>
    </row>
    <row r="257">
      <c r="A257" s="107" t="s">
        <v>678</v>
      </c>
      <c r="B257" s="99" t="s">
        <v>679</v>
      </c>
      <c r="C257" s="4"/>
      <c r="D257" s="4"/>
      <c r="E257" s="4"/>
      <c r="F257" s="57" t="s">
        <v>168</v>
      </c>
      <c r="G257" s="61">
        <v>64.5712879166666</v>
      </c>
      <c r="H257" s="61">
        <v>28.4783113888888</v>
      </c>
      <c r="I257" s="6" t="s">
        <v>199</v>
      </c>
      <c r="J257" s="6" t="s">
        <v>169</v>
      </c>
      <c r="K257" s="61">
        <v>3.235936569</v>
      </c>
      <c r="L257" s="5"/>
      <c r="M257" s="59">
        <v>2.0</v>
      </c>
      <c r="N257" s="61">
        <v>124.371921794935</v>
      </c>
      <c r="O257" s="61">
        <v>5.789</v>
      </c>
      <c r="P257" s="61">
        <v>0.737</v>
      </c>
      <c r="Q257" s="61">
        <v>-25.031</v>
      </c>
      <c r="R257" s="61">
        <v>0.366</v>
      </c>
      <c r="S257" s="60">
        <v>16.23</v>
      </c>
      <c r="T257" s="60">
        <v>0.182</v>
      </c>
      <c r="U257" s="61">
        <v>3.83</v>
      </c>
      <c r="V257" s="5"/>
      <c r="W257" s="5"/>
      <c r="X257" s="5"/>
      <c r="Y257" s="62" t="s">
        <v>248</v>
      </c>
      <c r="Z257" s="60"/>
      <c r="AA257" s="60"/>
      <c r="AB257" s="60">
        <v>12.954</v>
      </c>
      <c r="AC257" s="60">
        <v>0.022</v>
      </c>
      <c r="AD257" s="60">
        <v>11.659</v>
      </c>
      <c r="AE257" s="60">
        <v>0.022</v>
      </c>
      <c r="AF257" s="60">
        <v>10.958</v>
      </c>
      <c r="AG257" s="60">
        <v>0.017</v>
      </c>
      <c r="AH257" s="6"/>
      <c r="AI257" s="6"/>
      <c r="AJ257" s="63" t="s">
        <v>248</v>
      </c>
      <c r="AK257" s="64" t="s">
        <v>641</v>
      </c>
      <c r="AL257" s="64">
        <v>2001.0</v>
      </c>
      <c r="AM257" s="7"/>
      <c r="AN257" s="8"/>
      <c r="AO257" s="13"/>
      <c r="AP257" s="64" t="s">
        <v>270</v>
      </c>
      <c r="AQ257" s="7"/>
      <c r="AR257" s="9"/>
      <c r="AS257" s="7"/>
      <c r="AT257" s="67">
        <v>0.08</v>
      </c>
      <c r="AU257" s="7"/>
      <c r="AV257" s="13"/>
      <c r="AW257" s="7"/>
      <c r="AX257" s="73"/>
      <c r="AY257" s="7"/>
      <c r="AZ257" s="11" t="s">
        <v>596</v>
      </c>
      <c r="BA257" s="11" t="s">
        <v>597</v>
      </c>
      <c r="BB257" s="68">
        <v>-29.0</v>
      </c>
      <c r="BC257" s="11"/>
      <c r="BD257" s="11"/>
      <c r="BE257" s="11"/>
      <c r="BF257" s="68">
        <v>-20.0</v>
      </c>
      <c r="BG257" s="11"/>
      <c r="BH257" s="11"/>
      <c r="BI257" s="11"/>
      <c r="BJ257" s="68">
        <v>-9.0</v>
      </c>
      <c r="BK257" s="11"/>
      <c r="BL257" s="11"/>
      <c r="BM257" s="11"/>
      <c r="BN257" s="68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68">
        <v>-12.8</v>
      </c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2"/>
      <c r="DK257" s="12"/>
      <c r="DL257" s="12"/>
      <c r="DM257" s="80" t="s">
        <v>680</v>
      </c>
      <c r="DN257" s="69"/>
      <c r="DO257" s="69"/>
      <c r="DP257" s="69"/>
      <c r="DQ257" s="68">
        <v>0.5</v>
      </c>
      <c r="DR257" s="69"/>
      <c r="DS257" s="69"/>
      <c r="DT257" s="69"/>
      <c r="DU257" s="69"/>
      <c r="DV257" s="97"/>
      <c r="DW257" s="10"/>
      <c r="DX257" s="71">
        <v>5.01E-12</v>
      </c>
      <c r="DY257" s="7"/>
      <c r="DZ257" s="64" t="s">
        <v>643</v>
      </c>
      <c r="EA257" s="72" t="s">
        <v>166</v>
      </c>
      <c r="EB257" s="82"/>
    </row>
    <row r="258">
      <c r="A258" s="107" t="s">
        <v>678</v>
      </c>
      <c r="B258" s="99" t="s">
        <v>679</v>
      </c>
      <c r="C258" s="4"/>
      <c r="D258" s="4"/>
      <c r="E258" s="4"/>
      <c r="F258" s="57" t="s">
        <v>168</v>
      </c>
      <c r="G258" s="61">
        <v>64.5712879166666</v>
      </c>
      <c r="H258" s="61">
        <v>28.4783113888888</v>
      </c>
      <c r="I258" s="6" t="s">
        <v>199</v>
      </c>
      <c r="J258" s="6" t="s">
        <v>169</v>
      </c>
      <c r="K258" s="61">
        <v>3.235936569</v>
      </c>
      <c r="L258" s="5"/>
      <c r="M258" s="59">
        <v>2.0</v>
      </c>
      <c r="N258" s="61">
        <v>124.371921794935</v>
      </c>
      <c r="O258" s="61">
        <v>5.789</v>
      </c>
      <c r="P258" s="61">
        <v>0.737</v>
      </c>
      <c r="Q258" s="61">
        <v>-25.031</v>
      </c>
      <c r="R258" s="61">
        <v>0.366</v>
      </c>
      <c r="S258" s="60">
        <v>16.23</v>
      </c>
      <c r="T258" s="60">
        <v>0.182</v>
      </c>
      <c r="U258" s="61">
        <v>3.83</v>
      </c>
      <c r="V258" s="5"/>
      <c r="W258" s="5"/>
      <c r="X258" s="5"/>
      <c r="Y258" s="62" t="s">
        <v>248</v>
      </c>
      <c r="Z258" s="60"/>
      <c r="AA258" s="60"/>
      <c r="AB258" s="60">
        <v>12.954</v>
      </c>
      <c r="AC258" s="60">
        <v>0.022</v>
      </c>
      <c r="AD258" s="60">
        <v>11.659</v>
      </c>
      <c r="AE258" s="60">
        <v>0.022</v>
      </c>
      <c r="AF258" s="60">
        <v>10.958</v>
      </c>
      <c r="AG258" s="60">
        <v>0.017</v>
      </c>
      <c r="AH258" s="6"/>
      <c r="AI258" s="6"/>
      <c r="AJ258" s="63" t="s">
        <v>248</v>
      </c>
      <c r="AK258" s="64" t="s">
        <v>202</v>
      </c>
      <c r="AL258" s="64">
        <v>2000.0</v>
      </c>
      <c r="AM258" s="7"/>
      <c r="AN258" s="8"/>
      <c r="AO258" s="13"/>
      <c r="AP258" s="64" t="s">
        <v>270</v>
      </c>
      <c r="AQ258" s="7"/>
      <c r="AR258" s="9"/>
      <c r="AS258" s="7"/>
      <c r="AT258" s="67">
        <v>0.08</v>
      </c>
      <c r="AU258" s="7"/>
      <c r="AV258" s="13"/>
      <c r="AW258" s="7"/>
      <c r="AX258" s="73"/>
      <c r="AY258" s="7"/>
      <c r="AZ258" s="11" t="s">
        <v>596</v>
      </c>
      <c r="BA258" s="11" t="s">
        <v>597</v>
      </c>
      <c r="BB258" s="68">
        <v>-27.0</v>
      </c>
      <c r="BC258" s="11"/>
      <c r="BD258" s="11"/>
      <c r="BE258" s="11"/>
      <c r="BF258" s="68"/>
      <c r="BG258" s="11"/>
      <c r="BH258" s="11"/>
      <c r="BI258" s="11"/>
      <c r="BJ258" s="68"/>
      <c r="BK258" s="11"/>
      <c r="BL258" s="11"/>
      <c r="BM258" s="11"/>
      <c r="BN258" s="68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68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2"/>
      <c r="DK258" s="12"/>
      <c r="DL258" s="12"/>
      <c r="DM258" s="80" t="s">
        <v>680</v>
      </c>
      <c r="DN258" s="69"/>
      <c r="DO258" s="69"/>
      <c r="DP258" s="69"/>
      <c r="DQ258" s="68">
        <v>0.65</v>
      </c>
      <c r="DR258" s="69"/>
      <c r="DS258" s="69"/>
      <c r="DT258" s="69"/>
      <c r="DU258" s="69"/>
      <c r="DV258" s="97"/>
      <c r="DW258" s="10"/>
      <c r="DX258" s="81">
        <f>10^(-11.3)</f>
        <v>0</v>
      </c>
      <c r="DY258" s="7"/>
      <c r="DZ258" s="64" t="s">
        <v>643</v>
      </c>
      <c r="EA258" s="72" t="s">
        <v>166</v>
      </c>
      <c r="EB258" s="82"/>
    </row>
    <row r="259">
      <c r="A259" s="55" t="s">
        <v>251</v>
      </c>
      <c r="B259" s="56" t="s">
        <v>252</v>
      </c>
      <c r="C259" s="4"/>
      <c r="D259" s="4"/>
      <c r="E259" s="4"/>
      <c r="F259" s="57" t="s">
        <v>168</v>
      </c>
      <c r="G259" s="58">
        <v>66.6208</v>
      </c>
      <c r="H259" s="58">
        <v>26.4039</v>
      </c>
      <c r="I259" s="6" t="s">
        <v>199</v>
      </c>
      <c r="J259" s="6" t="s">
        <v>169</v>
      </c>
      <c r="K259" s="61">
        <v>1.5</v>
      </c>
      <c r="L259" s="5"/>
      <c r="M259" s="59">
        <v>2.0</v>
      </c>
      <c r="N259" s="61">
        <v>155.879785509415</v>
      </c>
      <c r="O259" s="61">
        <v>10.898</v>
      </c>
      <c r="P259" s="61">
        <v>0.364</v>
      </c>
      <c r="Q259" s="61">
        <v>-17.854</v>
      </c>
      <c r="R259" s="61">
        <v>0.289</v>
      </c>
      <c r="S259" s="60">
        <v>17.55</v>
      </c>
      <c r="T259" s="60">
        <v>0.263</v>
      </c>
      <c r="U259" s="60">
        <v>0.82</v>
      </c>
      <c r="V259" s="60">
        <v>0.85</v>
      </c>
      <c r="W259" s="5"/>
      <c r="X259" s="5"/>
      <c r="Y259" s="83" t="s">
        <v>200</v>
      </c>
      <c r="Z259" s="60"/>
      <c r="AA259" s="60"/>
      <c r="AB259" s="60">
        <v>13.323</v>
      </c>
      <c r="AC259" s="60">
        <v>0.022</v>
      </c>
      <c r="AD259" s="60">
        <v>12.501</v>
      </c>
      <c r="AE259" s="60">
        <v>0.022</v>
      </c>
      <c r="AF259" s="60">
        <v>12.079</v>
      </c>
      <c r="AG259" s="60">
        <v>0.021</v>
      </c>
      <c r="AH259" s="6"/>
      <c r="AI259" s="96"/>
      <c r="AJ259" s="63" t="s">
        <v>598</v>
      </c>
      <c r="AK259" s="64" t="s">
        <v>226</v>
      </c>
      <c r="AL259" s="97">
        <v>2003.0</v>
      </c>
      <c r="AM259" s="7"/>
      <c r="AN259" s="8"/>
      <c r="AO259" s="13"/>
      <c r="AP259" s="13" t="s">
        <v>353</v>
      </c>
      <c r="AQ259" s="7"/>
      <c r="AR259" s="78">
        <v>2990.0</v>
      </c>
      <c r="AS259" s="7"/>
      <c r="AT259" s="79">
        <v>0.08</v>
      </c>
      <c r="AU259" s="7"/>
      <c r="AV259" s="64">
        <v>0.02</v>
      </c>
      <c r="AW259" s="7"/>
      <c r="AX259" s="73">
        <v>0.53</v>
      </c>
      <c r="AY259" s="7"/>
      <c r="AZ259" s="11" t="s">
        <v>596</v>
      </c>
      <c r="BA259" s="11" t="s">
        <v>597</v>
      </c>
      <c r="BB259" s="68">
        <v>-144.6</v>
      </c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69"/>
      <c r="DN259" s="69"/>
      <c r="DO259" s="69"/>
      <c r="DP259" s="69"/>
      <c r="DQ259" s="11"/>
      <c r="DR259" s="69"/>
      <c r="DS259" s="69"/>
      <c r="DT259" s="69"/>
      <c r="DU259" s="69"/>
      <c r="DV259" s="13"/>
      <c r="DW259" s="10"/>
      <c r="DX259" s="81">
        <v>1.0E-10</v>
      </c>
      <c r="DY259" s="7"/>
      <c r="DZ259" s="64" t="s">
        <v>248</v>
      </c>
      <c r="EA259" s="72" t="s">
        <v>354</v>
      </c>
      <c r="EB259" s="85" t="s">
        <v>599</v>
      </c>
    </row>
    <row r="260">
      <c r="A260" s="55" t="s">
        <v>681</v>
      </c>
      <c r="B260" s="56" t="s">
        <v>681</v>
      </c>
      <c r="C260" s="4"/>
      <c r="D260" s="4"/>
      <c r="E260" s="4" t="s">
        <v>137</v>
      </c>
      <c r="F260" s="57" t="s">
        <v>168</v>
      </c>
      <c r="G260" s="58">
        <v>169.408026</v>
      </c>
      <c r="H260" s="58">
        <v>-76.772049</v>
      </c>
      <c r="I260" s="6" t="s">
        <v>676</v>
      </c>
      <c r="J260" s="6" t="s">
        <v>159</v>
      </c>
      <c r="K260" s="58">
        <v>2.0</v>
      </c>
      <c r="L260" s="5"/>
      <c r="M260" s="59">
        <v>2.0</v>
      </c>
      <c r="N260" s="61">
        <v>160.348919248284</v>
      </c>
      <c r="O260" s="61">
        <v>-22.988</v>
      </c>
      <c r="P260" s="61">
        <v>0.35</v>
      </c>
      <c r="Q260" s="61">
        <v>1.387</v>
      </c>
      <c r="R260" s="61">
        <v>0.275</v>
      </c>
      <c r="S260" s="60"/>
      <c r="T260" s="60"/>
      <c r="U260" s="60">
        <v>0.0</v>
      </c>
      <c r="V260" s="5"/>
      <c r="W260" s="60">
        <v>0.0</v>
      </c>
      <c r="X260" s="5"/>
      <c r="Y260" s="83" t="s">
        <v>628</v>
      </c>
      <c r="Z260" s="60"/>
      <c r="AA260" s="60"/>
      <c r="AB260" s="60">
        <v>13.51</v>
      </c>
      <c r="AC260" s="60">
        <v>0.026</v>
      </c>
      <c r="AD260" s="60">
        <v>12.95</v>
      </c>
      <c r="AE260" s="60">
        <v>0.023</v>
      </c>
      <c r="AF260" s="60">
        <v>12.622</v>
      </c>
      <c r="AG260" s="60">
        <v>0.03</v>
      </c>
      <c r="AH260" s="6"/>
      <c r="AI260" s="96"/>
      <c r="AJ260" s="63" t="s">
        <v>598</v>
      </c>
      <c r="AK260" s="64" t="s">
        <v>226</v>
      </c>
      <c r="AL260" s="97">
        <v>2003.0</v>
      </c>
      <c r="AM260" s="7"/>
      <c r="AN260" s="8"/>
      <c r="AO260" s="13"/>
      <c r="AP260" s="13" t="s">
        <v>270</v>
      </c>
      <c r="AQ260" s="7"/>
      <c r="AR260" s="78">
        <v>3024.0</v>
      </c>
      <c r="AS260" s="7"/>
      <c r="AT260" s="79">
        <v>0.08</v>
      </c>
      <c r="AU260" s="7"/>
      <c r="AV260" s="64">
        <v>0.013</v>
      </c>
      <c r="AW260" s="7"/>
      <c r="AX260" s="73">
        <v>0.42</v>
      </c>
      <c r="AY260" s="7"/>
      <c r="AZ260" s="11" t="s">
        <v>596</v>
      </c>
      <c r="BA260" s="11" t="s">
        <v>597</v>
      </c>
      <c r="BB260" s="68">
        <v>-11.8</v>
      </c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69"/>
      <c r="DN260" s="69"/>
      <c r="DO260" s="69"/>
      <c r="DP260" s="69"/>
      <c r="DQ260" s="11"/>
      <c r="DR260" s="69"/>
      <c r="DS260" s="69"/>
      <c r="DT260" s="69"/>
      <c r="DU260" s="69"/>
      <c r="DV260" s="13"/>
      <c r="DW260" s="10"/>
      <c r="DX260" s="81">
        <v>1.0E-12</v>
      </c>
      <c r="DY260" s="7"/>
      <c r="DZ260" s="64" t="s">
        <v>248</v>
      </c>
      <c r="EA260" s="72" t="s">
        <v>354</v>
      </c>
      <c r="EB260" s="82" t="s">
        <v>629</v>
      </c>
    </row>
    <row r="261">
      <c r="A261" s="87" t="s">
        <v>682</v>
      </c>
      <c r="B261" s="99" t="s">
        <v>683</v>
      </c>
      <c r="C261" s="4"/>
      <c r="D261" s="3"/>
      <c r="E261" s="3"/>
      <c r="F261" s="57" t="s">
        <v>168</v>
      </c>
      <c r="G261" s="58">
        <v>167.4667</v>
      </c>
      <c r="H261" s="58">
        <v>-76.6536</v>
      </c>
      <c r="I261" s="6" t="s">
        <v>676</v>
      </c>
      <c r="J261" s="6" t="s">
        <v>169</v>
      </c>
      <c r="K261" s="58">
        <v>2.0</v>
      </c>
      <c r="L261" s="5"/>
      <c r="M261" s="59">
        <v>2.0</v>
      </c>
      <c r="N261" s="61">
        <v>240.142164161183</v>
      </c>
      <c r="O261" s="61">
        <v>-21.546</v>
      </c>
      <c r="P261" s="61">
        <v>0.442</v>
      </c>
      <c r="Q261" s="61">
        <v>-0.434</v>
      </c>
      <c r="R261" s="61">
        <v>0.37</v>
      </c>
      <c r="S261" s="60"/>
      <c r="T261" s="60"/>
      <c r="U261" s="60">
        <v>2.6</v>
      </c>
      <c r="V261" s="6"/>
      <c r="W261" s="5"/>
      <c r="X261" s="5"/>
      <c r="Y261" s="83" t="s">
        <v>684</v>
      </c>
      <c r="Z261" s="60"/>
      <c r="AA261" s="60"/>
      <c r="AB261" s="60">
        <v>13.532</v>
      </c>
      <c r="AC261" s="60">
        <v>0.026</v>
      </c>
      <c r="AD261" s="60">
        <v>12.538</v>
      </c>
      <c r="AE261" s="60">
        <v>0.024</v>
      </c>
      <c r="AF261" s="60">
        <v>11.823</v>
      </c>
      <c r="AG261" s="60">
        <v>0.027</v>
      </c>
      <c r="AH261" s="6"/>
      <c r="AI261" s="6"/>
      <c r="AJ261" s="63" t="s">
        <v>598</v>
      </c>
      <c r="AK261" s="64" t="s">
        <v>226</v>
      </c>
      <c r="AL261" s="97">
        <v>2003.0</v>
      </c>
      <c r="AM261" s="7"/>
      <c r="AN261" s="8"/>
      <c r="AO261" s="13"/>
      <c r="AP261" s="13" t="s">
        <v>642</v>
      </c>
      <c r="AQ261" s="7"/>
      <c r="AR261" s="78">
        <v>2962.0</v>
      </c>
      <c r="AS261" s="7"/>
      <c r="AT261" s="79">
        <v>0.08</v>
      </c>
      <c r="AU261" s="7"/>
      <c r="AV261" s="64">
        <v>0.028</v>
      </c>
      <c r="AW261" s="7"/>
      <c r="AX261" s="73">
        <v>0.64</v>
      </c>
      <c r="AY261" s="7"/>
      <c r="AZ261" s="11" t="s">
        <v>596</v>
      </c>
      <c r="BA261" s="11" t="s">
        <v>597</v>
      </c>
      <c r="BB261" s="68">
        <v>-66.1</v>
      </c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69"/>
      <c r="DN261" s="69"/>
      <c r="DO261" s="69"/>
      <c r="DP261" s="69"/>
      <c r="DQ261" s="11"/>
      <c r="DR261" s="69"/>
      <c r="DS261" s="69"/>
      <c r="DT261" s="69"/>
      <c r="DU261" s="69"/>
      <c r="DV261" s="13"/>
      <c r="DW261" s="10"/>
      <c r="DX261" s="81">
        <v>1.0E-10</v>
      </c>
      <c r="DY261" s="7"/>
      <c r="DZ261" s="64" t="s">
        <v>248</v>
      </c>
      <c r="EA261" s="72" t="s">
        <v>354</v>
      </c>
      <c r="EB261" s="82" t="s">
        <v>629</v>
      </c>
    </row>
    <row r="262">
      <c r="A262" s="55" t="s">
        <v>685</v>
      </c>
      <c r="B262" s="99" t="s">
        <v>686</v>
      </c>
      <c r="C262" s="4"/>
      <c r="D262" s="4"/>
      <c r="E262" s="4"/>
      <c r="F262" s="57" t="s">
        <v>168</v>
      </c>
      <c r="G262" s="58">
        <v>167.6708</v>
      </c>
      <c r="H262" s="58">
        <v>-77.3467</v>
      </c>
      <c r="I262" s="6" t="s">
        <v>676</v>
      </c>
      <c r="J262" s="6" t="s">
        <v>169</v>
      </c>
      <c r="K262" s="58">
        <v>2.0</v>
      </c>
      <c r="L262" s="5"/>
      <c r="M262" s="59">
        <v>2.0</v>
      </c>
      <c r="N262" s="61">
        <v>204.22333864314</v>
      </c>
      <c r="O262" s="61">
        <v>-21.623</v>
      </c>
      <c r="P262" s="61">
        <v>0.614</v>
      </c>
      <c r="Q262" s="61">
        <v>0.485</v>
      </c>
      <c r="R262" s="61">
        <v>0.465</v>
      </c>
      <c r="S262" s="60"/>
      <c r="T262" s="60"/>
      <c r="U262" s="60">
        <v>3.4</v>
      </c>
      <c r="V262" s="6"/>
      <c r="W262" s="5"/>
      <c r="X262" s="5"/>
      <c r="Y262" s="83" t="s">
        <v>687</v>
      </c>
      <c r="Z262" s="60">
        <v>20.06</v>
      </c>
      <c r="AA262" s="60">
        <v>0.05</v>
      </c>
      <c r="AB262" s="60">
        <v>13.86</v>
      </c>
      <c r="AC262" s="60">
        <v>0.03</v>
      </c>
      <c r="AD262" s="60">
        <v>12.891</v>
      </c>
      <c r="AE262" s="60">
        <v>0.027</v>
      </c>
      <c r="AF262" s="60">
        <v>12.266</v>
      </c>
      <c r="AG262" s="60">
        <v>0.023</v>
      </c>
      <c r="AH262" s="6"/>
      <c r="AI262" s="96"/>
      <c r="AJ262" s="63" t="s">
        <v>598</v>
      </c>
      <c r="AK262" s="64" t="s">
        <v>226</v>
      </c>
      <c r="AL262" s="97">
        <v>2003.0</v>
      </c>
      <c r="AM262" s="7"/>
      <c r="AN262" s="8"/>
      <c r="AO262" s="13"/>
      <c r="AP262" s="13" t="s">
        <v>353</v>
      </c>
      <c r="AQ262" s="7"/>
      <c r="AR262" s="78">
        <v>2990.0</v>
      </c>
      <c r="AS262" s="7"/>
      <c r="AT262" s="79">
        <v>0.08</v>
      </c>
      <c r="AU262" s="7"/>
      <c r="AV262" s="64">
        <v>0.027</v>
      </c>
      <c r="AW262" s="7"/>
      <c r="AX262" s="73">
        <v>0.62</v>
      </c>
      <c r="AY262" s="7"/>
      <c r="AZ262" s="11" t="s">
        <v>596</v>
      </c>
      <c r="BA262" s="11" t="s">
        <v>597</v>
      </c>
      <c r="BB262" s="68">
        <v>-173.1</v>
      </c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69"/>
      <c r="DN262" s="69"/>
      <c r="DO262" s="69"/>
      <c r="DP262" s="69"/>
      <c r="DQ262" s="11"/>
      <c r="DR262" s="69"/>
      <c r="DS262" s="69"/>
      <c r="DT262" s="69"/>
      <c r="DU262" s="69"/>
      <c r="DV262" s="13"/>
      <c r="DW262" s="10"/>
      <c r="DX262" s="81">
        <v>1.0E-10</v>
      </c>
      <c r="DY262" s="7"/>
      <c r="DZ262" s="64" t="s">
        <v>248</v>
      </c>
      <c r="EA262" s="72" t="s">
        <v>354</v>
      </c>
      <c r="EB262" s="85" t="s">
        <v>629</v>
      </c>
    </row>
    <row r="263">
      <c r="A263" s="55" t="s">
        <v>260</v>
      </c>
      <c r="B263" s="56" t="s">
        <v>260</v>
      </c>
      <c r="C263" s="4"/>
      <c r="D263" s="4"/>
      <c r="E263" s="4"/>
      <c r="F263" s="57" t="s">
        <v>168</v>
      </c>
      <c r="G263" s="61">
        <v>68.0669395833333</v>
      </c>
      <c r="H263" s="61">
        <v>18.2128841666666</v>
      </c>
      <c r="I263" s="6" t="s">
        <v>199</v>
      </c>
      <c r="J263" s="6" t="s">
        <v>169</v>
      </c>
      <c r="K263" s="61">
        <v>0.4265795188</v>
      </c>
      <c r="L263" s="5"/>
      <c r="M263" s="59">
        <v>2.0</v>
      </c>
      <c r="N263" s="61">
        <v>144.62152546785</v>
      </c>
      <c r="O263" s="61">
        <v>13.081</v>
      </c>
      <c r="P263" s="61">
        <v>0.202</v>
      </c>
      <c r="Q263" s="61">
        <v>-17.566</v>
      </c>
      <c r="R263" s="61">
        <v>0.114</v>
      </c>
      <c r="S263" s="60"/>
      <c r="T263" s="60"/>
      <c r="U263" s="61">
        <v>0.11</v>
      </c>
      <c r="V263" s="5"/>
      <c r="W263" s="5"/>
      <c r="X263" s="5"/>
      <c r="Y263" s="62" t="s">
        <v>248</v>
      </c>
      <c r="Z263" s="60"/>
      <c r="AA263" s="60"/>
      <c r="AB263" s="60">
        <v>11.07</v>
      </c>
      <c r="AC263" s="60">
        <v>0.026</v>
      </c>
      <c r="AD263" s="60">
        <v>10.39</v>
      </c>
      <c r="AE263" s="60">
        <v>0.03</v>
      </c>
      <c r="AF263" s="60">
        <v>10.063</v>
      </c>
      <c r="AG263" s="60">
        <v>0.022</v>
      </c>
      <c r="AH263" s="6"/>
      <c r="AI263" s="6"/>
      <c r="AJ263" s="63" t="s">
        <v>248</v>
      </c>
      <c r="AK263" s="64" t="s">
        <v>641</v>
      </c>
      <c r="AL263" s="64">
        <v>2001.0</v>
      </c>
      <c r="AM263" s="7"/>
      <c r="AN263" s="8"/>
      <c r="AO263" s="13"/>
      <c r="AP263" s="64" t="s">
        <v>353</v>
      </c>
      <c r="AQ263" s="7"/>
      <c r="AR263" s="9"/>
      <c r="AS263" s="7"/>
      <c r="AT263" s="67">
        <v>0.09</v>
      </c>
      <c r="AU263" s="7"/>
      <c r="AV263" s="13"/>
      <c r="AW263" s="7"/>
      <c r="AX263" s="73">
        <v>0.5</v>
      </c>
      <c r="AY263" s="7"/>
      <c r="AZ263" s="11" t="s">
        <v>596</v>
      </c>
      <c r="BA263" s="11" t="s">
        <v>597</v>
      </c>
      <c r="BB263" s="68">
        <v>-60.0</v>
      </c>
      <c r="BC263" s="11"/>
      <c r="BD263" s="11"/>
      <c r="BE263" s="11"/>
      <c r="BF263" s="68">
        <v>-44.0</v>
      </c>
      <c r="BG263" s="11"/>
      <c r="BH263" s="11"/>
      <c r="BI263" s="11"/>
      <c r="BJ263" s="68">
        <v>-29.0</v>
      </c>
      <c r="BK263" s="11"/>
      <c r="BL263" s="11"/>
      <c r="BM263" s="11"/>
      <c r="BN263" s="68">
        <v>-19.0</v>
      </c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68">
        <v>-3.3</v>
      </c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2"/>
      <c r="DK263" s="12"/>
      <c r="DL263" s="12"/>
      <c r="DM263" s="80">
        <v>-0.1</v>
      </c>
      <c r="DN263" s="69"/>
      <c r="DO263" s="69"/>
      <c r="DP263" s="69"/>
      <c r="DQ263" s="68">
        <v>0.5</v>
      </c>
      <c r="DR263" s="69"/>
      <c r="DS263" s="69"/>
      <c r="DT263" s="69"/>
      <c r="DU263" s="69"/>
      <c r="DV263" s="97"/>
      <c r="DW263" s="10"/>
      <c r="DX263" s="71">
        <v>1.58E-11</v>
      </c>
      <c r="DY263" s="7"/>
      <c r="DZ263" s="64" t="s">
        <v>643</v>
      </c>
      <c r="EA263" s="72" t="s">
        <v>166</v>
      </c>
      <c r="EB263" s="85" t="s">
        <v>599</v>
      </c>
    </row>
    <row r="264">
      <c r="A264" s="55" t="s">
        <v>261</v>
      </c>
      <c r="B264" s="56" t="s">
        <v>262</v>
      </c>
      <c r="C264" s="4"/>
      <c r="D264" s="4"/>
      <c r="E264" s="4"/>
      <c r="F264" s="57" t="s">
        <v>168</v>
      </c>
      <c r="G264" s="61">
        <v>56.1241766666666</v>
      </c>
      <c r="H264" s="61">
        <v>32.0151666666666</v>
      </c>
      <c r="I264" s="6" t="s">
        <v>235</v>
      </c>
      <c r="J264" s="6" t="s">
        <v>169</v>
      </c>
      <c r="K264" s="61">
        <v>2.0</v>
      </c>
      <c r="L264" s="5"/>
      <c r="M264" s="59">
        <v>2.0</v>
      </c>
      <c r="N264" s="61">
        <v>490.436488474742</v>
      </c>
      <c r="O264" s="61">
        <v>3.016</v>
      </c>
      <c r="P264" s="61">
        <v>0.94</v>
      </c>
      <c r="Q264" s="61">
        <v>-7.614</v>
      </c>
      <c r="R264" s="61">
        <v>0.501</v>
      </c>
      <c r="S264" s="60">
        <v>15.43</v>
      </c>
      <c r="T264" s="60">
        <v>0.189</v>
      </c>
      <c r="U264" s="61">
        <v>1.21</v>
      </c>
      <c r="V264" s="5"/>
      <c r="W264" s="5"/>
      <c r="X264" s="5"/>
      <c r="Y264" s="62" t="s">
        <v>248</v>
      </c>
      <c r="Z264" s="60"/>
      <c r="AA264" s="60"/>
      <c r="AB264" s="60">
        <v>13.668</v>
      </c>
      <c r="AC264" s="60">
        <v>0.022</v>
      </c>
      <c r="AD264" s="60">
        <v>12.867</v>
      </c>
      <c r="AE264" s="60">
        <v>0.021</v>
      </c>
      <c r="AF264" s="60">
        <v>12.327</v>
      </c>
      <c r="AG264" s="60">
        <v>0.023</v>
      </c>
      <c r="AH264" s="6"/>
      <c r="AI264" s="6"/>
      <c r="AJ264" s="63" t="s">
        <v>248</v>
      </c>
      <c r="AK264" s="64" t="s">
        <v>641</v>
      </c>
      <c r="AL264" s="64">
        <v>2001.0</v>
      </c>
      <c r="AM264" s="7"/>
      <c r="AN264" s="8"/>
      <c r="AO264" s="13"/>
      <c r="AP264" s="64" t="s">
        <v>353</v>
      </c>
      <c r="AQ264" s="7"/>
      <c r="AR264" s="9"/>
      <c r="AS264" s="7"/>
      <c r="AT264" s="67">
        <v>0.09</v>
      </c>
      <c r="AU264" s="7"/>
      <c r="AV264" s="13"/>
      <c r="AW264" s="7"/>
      <c r="AX264" s="7"/>
      <c r="AY264" s="7"/>
      <c r="AZ264" s="11" t="s">
        <v>596</v>
      </c>
      <c r="BA264" s="11" t="s">
        <v>597</v>
      </c>
      <c r="BB264" s="90">
        <v>-105.0</v>
      </c>
      <c r="BC264" s="11"/>
      <c r="BD264" s="11"/>
      <c r="BE264" s="11"/>
      <c r="BF264" s="90">
        <v>-74.0</v>
      </c>
      <c r="BG264" s="11"/>
      <c r="BH264" s="11"/>
      <c r="BI264" s="11"/>
      <c r="BJ264" s="68"/>
      <c r="BK264" s="11"/>
      <c r="BL264" s="11"/>
      <c r="BM264" s="11"/>
      <c r="BN264" s="68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68">
        <v>-1.5</v>
      </c>
      <c r="CU264" s="11"/>
      <c r="CV264" s="112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2"/>
      <c r="DK264" s="12"/>
      <c r="DL264" s="12"/>
      <c r="DM264" s="80">
        <v>-0.9</v>
      </c>
      <c r="DN264" s="69"/>
      <c r="DO264" s="69"/>
      <c r="DP264" s="69"/>
      <c r="DQ264" s="90">
        <v>0.8</v>
      </c>
      <c r="DR264" s="69"/>
      <c r="DS264" s="69"/>
      <c r="DT264" s="69"/>
      <c r="DU264" s="69"/>
      <c r="DV264" s="81"/>
      <c r="DW264" s="10"/>
      <c r="DX264" s="71">
        <v>1.0E-10</v>
      </c>
      <c r="DY264" s="7"/>
      <c r="DZ264" s="64" t="s">
        <v>643</v>
      </c>
      <c r="EA264" s="72" t="s">
        <v>166</v>
      </c>
      <c r="EB264" s="82" t="s">
        <v>644</v>
      </c>
    </row>
    <row r="265">
      <c r="A265" s="87" t="s">
        <v>688</v>
      </c>
      <c r="B265" s="88" t="s">
        <v>689</v>
      </c>
      <c r="C265" s="4"/>
      <c r="D265" s="3"/>
      <c r="E265" s="3" t="s">
        <v>137</v>
      </c>
      <c r="F265" s="57" t="s">
        <v>168</v>
      </c>
      <c r="G265" s="61">
        <v>167.100491666666</v>
      </c>
      <c r="H265" s="61">
        <v>-77.6965113888889</v>
      </c>
      <c r="I265" s="6" t="s">
        <v>268</v>
      </c>
      <c r="J265" s="6" t="s">
        <v>169</v>
      </c>
      <c r="K265" s="58">
        <v>2.0</v>
      </c>
      <c r="L265" s="5"/>
      <c r="M265" s="59">
        <v>2.0</v>
      </c>
      <c r="N265" s="61">
        <v>196.792285742398</v>
      </c>
      <c r="O265" s="61">
        <v>-22.959</v>
      </c>
      <c r="P265" s="61">
        <v>0.204</v>
      </c>
      <c r="Q265" s="61">
        <v>0.571</v>
      </c>
      <c r="R265" s="61">
        <v>0.201</v>
      </c>
      <c r="S265" s="60">
        <v>13.17</v>
      </c>
      <c r="T265" s="60">
        <v>0.8</v>
      </c>
      <c r="U265" s="61">
        <v>1.0</v>
      </c>
      <c r="V265" s="5"/>
      <c r="W265" s="5"/>
      <c r="X265" s="5"/>
      <c r="Y265" s="93" t="s">
        <v>269</v>
      </c>
      <c r="Z265" s="60"/>
      <c r="AA265" s="60"/>
      <c r="AB265" s="60">
        <v>12.054</v>
      </c>
      <c r="AC265" s="60">
        <v>0.026</v>
      </c>
      <c r="AD265" s="60">
        <v>11.203</v>
      </c>
      <c r="AE265" s="60">
        <v>0.023</v>
      </c>
      <c r="AF265" s="60">
        <v>10.711</v>
      </c>
      <c r="AG265" s="60">
        <v>0.019</v>
      </c>
      <c r="AH265" s="6"/>
      <c r="AI265" s="6"/>
      <c r="AJ265" s="63" t="s">
        <v>269</v>
      </c>
      <c r="AK265" s="64" t="s">
        <v>637</v>
      </c>
      <c r="AL265" s="97">
        <v>2003.0</v>
      </c>
      <c r="AM265" s="13"/>
      <c r="AN265" s="102">
        <v>160.0</v>
      </c>
      <c r="AO265" s="13"/>
      <c r="AP265" s="64" t="s">
        <v>353</v>
      </c>
      <c r="AQ265" s="97">
        <v>0.5</v>
      </c>
      <c r="AR265" s="66">
        <v>2980.0</v>
      </c>
      <c r="AS265" s="73">
        <v>150.0</v>
      </c>
      <c r="AT265" s="67">
        <v>0.09541984733</v>
      </c>
      <c r="AU265" s="7"/>
      <c r="AV265" s="70">
        <v>0.04897788194</v>
      </c>
      <c r="AW265" s="64">
        <v>1.584893192</v>
      </c>
      <c r="AX265" s="97">
        <v>0.83</v>
      </c>
      <c r="AY265" s="7"/>
      <c r="AZ265" s="11" t="s">
        <v>596</v>
      </c>
      <c r="BA265" s="68" t="s">
        <v>597</v>
      </c>
      <c r="BB265" s="90">
        <v>-6.5</v>
      </c>
      <c r="BC265" s="11"/>
      <c r="BD265" s="11"/>
      <c r="BE265" s="11"/>
      <c r="BF265" s="11"/>
      <c r="BG265" s="11"/>
      <c r="BH265" s="11"/>
      <c r="BI265" s="12"/>
      <c r="BJ265" s="11"/>
      <c r="BK265" s="11"/>
      <c r="BL265" s="12"/>
      <c r="BM265" s="12"/>
      <c r="BN265" s="12"/>
      <c r="BO265" s="12"/>
      <c r="BP265" s="12"/>
      <c r="BQ265" s="12"/>
      <c r="BR265" s="12"/>
      <c r="BS265" s="12"/>
      <c r="BT265" s="12"/>
      <c r="BU265" s="11"/>
      <c r="BV265" s="11"/>
      <c r="BW265" s="11"/>
      <c r="BX265" s="11"/>
      <c r="BY265" s="11"/>
      <c r="BZ265" s="68">
        <v>-0.9</v>
      </c>
      <c r="CA265" s="11"/>
      <c r="CB265" s="11"/>
      <c r="CC265" s="11"/>
      <c r="CD265" s="11"/>
      <c r="CE265" s="11"/>
      <c r="CF265" s="11"/>
      <c r="CG265" s="11"/>
      <c r="CH265" s="12"/>
      <c r="CI265" s="11"/>
      <c r="CJ265" s="11"/>
      <c r="CK265" s="11"/>
      <c r="CL265" s="68">
        <v>-1.7</v>
      </c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69"/>
      <c r="DN265" s="69"/>
      <c r="DO265" s="69"/>
      <c r="DP265" s="69"/>
      <c r="DQ265" s="11"/>
      <c r="DR265" s="69"/>
      <c r="DS265" s="69"/>
      <c r="DT265" s="69"/>
      <c r="DU265" s="69"/>
      <c r="DV265" s="7"/>
      <c r="DW265" s="10"/>
      <c r="DX265" s="71">
        <v>1.0E-12</v>
      </c>
      <c r="DY265" s="7"/>
      <c r="DZ265" s="64" t="s">
        <v>248</v>
      </c>
      <c r="EA265" s="72" t="s">
        <v>166</v>
      </c>
      <c r="EB265" s="92"/>
    </row>
    <row r="266">
      <c r="A266" s="55" t="s">
        <v>690</v>
      </c>
      <c r="B266" s="56" t="s">
        <v>691</v>
      </c>
      <c r="C266" s="4"/>
      <c r="D266" s="3"/>
      <c r="E266" s="3" t="s">
        <v>137</v>
      </c>
      <c r="F266" s="57" t="s">
        <v>168</v>
      </c>
      <c r="G266" s="58">
        <v>68.2833</v>
      </c>
      <c r="H266" s="58">
        <v>26.2686</v>
      </c>
      <c r="I266" s="6" t="s">
        <v>199</v>
      </c>
      <c r="J266" s="6" t="s">
        <v>169</v>
      </c>
      <c r="K266" s="61">
        <v>1.5</v>
      </c>
      <c r="L266" s="5"/>
      <c r="M266" s="59">
        <v>2.0</v>
      </c>
      <c r="N266" s="61">
        <v>152.251031500738</v>
      </c>
      <c r="O266" s="61">
        <v>7.168</v>
      </c>
      <c r="P266" s="61">
        <v>0.504</v>
      </c>
      <c r="Q266" s="61">
        <v>-17.312</v>
      </c>
      <c r="R266" s="61">
        <v>0.316</v>
      </c>
      <c r="S266" s="60">
        <v>17.07</v>
      </c>
      <c r="T266" s="60">
        <v>0.374</v>
      </c>
      <c r="U266" s="60">
        <v>3.41</v>
      </c>
      <c r="V266" s="60">
        <v>0.85</v>
      </c>
      <c r="W266" s="5"/>
      <c r="X266" s="5"/>
      <c r="Y266" s="83" t="s">
        <v>200</v>
      </c>
      <c r="Z266" s="60"/>
      <c r="AA266" s="60"/>
      <c r="AB266" s="60">
        <v>11.907</v>
      </c>
      <c r="AC266" s="60">
        <v>0.022</v>
      </c>
      <c r="AD266" s="60">
        <v>10.805</v>
      </c>
      <c r="AE266" s="60">
        <v>0.022</v>
      </c>
      <c r="AF266" s="60">
        <v>10.269</v>
      </c>
      <c r="AG266" s="60">
        <v>0.02</v>
      </c>
      <c r="AH266" s="6"/>
      <c r="AI266" s="96"/>
      <c r="AJ266" s="63" t="s">
        <v>598</v>
      </c>
      <c r="AK266" s="64" t="s">
        <v>226</v>
      </c>
      <c r="AL266" s="97">
        <v>2003.0</v>
      </c>
      <c r="AM266" s="7"/>
      <c r="AN266" s="8"/>
      <c r="AO266" s="13"/>
      <c r="AP266" s="13" t="s">
        <v>353</v>
      </c>
      <c r="AQ266" s="7"/>
      <c r="AR266" s="78">
        <v>2990.0</v>
      </c>
      <c r="AS266" s="7"/>
      <c r="AT266" s="79">
        <v>0.1</v>
      </c>
      <c r="AU266" s="7"/>
      <c r="AV266" s="64">
        <v>0.11</v>
      </c>
      <c r="AW266" s="7"/>
      <c r="AX266" s="73">
        <v>1.2</v>
      </c>
      <c r="AY266" s="7"/>
      <c r="AZ266" s="11" t="s">
        <v>596</v>
      </c>
      <c r="BA266" s="11" t="s">
        <v>597</v>
      </c>
      <c r="BB266" s="68">
        <v>-14.0</v>
      </c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69"/>
      <c r="DN266" s="69"/>
      <c r="DO266" s="69"/>
      <c r="DP266" s="69"/>
      <c r="DQ266" s="11"/>
      <c r="DR266" s="69"/>
      <c r="DS266" s="69"/>
      <c r="DT266" s="69"/>
      <c r="DU266" s="69"/>
      <c r="DV266" s="13"/>
      <c r="DW266" s="10"/>
      <c r="DX266" s="81">
        <v>1.0E-12</v>
      </c>
      <c r="DY266" s="7"/>
      <c r="DZ266" s="64" t="s">
        <v>248</v>
      </c>
      <c r="EA266" s="72" t="s">
        <v>354</v>
      </c>
      <c r="EB266" s="85" t="s">
        <v>599</v>
      </c>
    </row>
    <row r="267">
      <c r="A267" s="55" t="s">
        <v>692</v>
      </c>
      <c r="B267" s="56" t="s">
        <v>692</v>
      </c>
      <c r="C267" s="4"/>
      <c r="D267" s="3"/>
      <c r="E267" s="3"/>
      <c r="F267" s="57" t="s">
        <v>168</v>
      </c>
      <c r="G267" s="58">
        <v>164.068252</v>
      </c>
      <c r="H267" s="58">
        <v>-76.514725</v>
      </c>
      <c r="I267" s="6" t="s">
        <v>676</v>
      </c>
      <c r="J267" s="6" t="s">
        <v>189</v>
      </c>
      <c r="K267" s="58">
        <v>2.0</v>
      </c>
      <c r="L267" s="5"/>
      <c r="M267" s="59">
        <v>2.0</v>
      </c>
      <c r="N267" s="61">
        <v>196.482955103644</v>
      </c>
      <c r="O267" s="61">
        <v>-22.712</v>
      </c>
      <c r="P267" s="61">
        <v>0.18</v>
      </c>
      <c r="Q267" s="61">
        <v>1.275</v>
      </c>
      <c r="R267" s="61">
        <v>0.16</v>
      </c>
      <c r="S267" s="60">
        <v>12.56</v>
      </c>
      <c r="T267" s="60">
        <v>2.01</v>
      </c>
      <c r="U267" s="60">
        <v>0.0</v>
      </c>
      <c r="V267" s="5"/>
      <c r="W267" s="60">
        <v>0.0</v>
      </c>
      <c r="X267" s="5"/>
      <c r="Y267" s="75" t="s">
        <v>677</v>
      </c>
      <c r="Z267" s="60"/>
      <c r="AA267" s="60"/>
      <c r="AB267" s="60">
        <v>12.542</v>
      </c>
      <c r="AC267" s="60">
        <v>0.024</v>
      </c>
      <c r="AD267" s="60">
        <v>11.943</v>
      </c>
      <c r="AE267" s="60">
        <v>0.026</v>
      </c>
      <c r="AF267" s="60">
        <v>11.516</v>
      </c>
      <c r="AG267" s="60">
        <v>0.023</v>
      </c>
      <c r="AH267" s="6"/>
      <c r="AI267" s="96"/>
      <c r="AJ267" s="63" t="s">
        <v>598</v>
      </c>
      <c r="AK267" s="64" t="s">
        <v>226</v>
      </c>
      <c r="AL267" s="97">
        <v>2003.0</v>
      </c>
      <c r="AM267" s="7"/>
      <c r="AN267" s="8"/>
      <c r="AO267" s="13"/>
      <c r="AP267" s="13" t="s">
        <v>674</v>
      </c>
      <c r="AQ267" s="7"/>
      <c r="AR267" s="78">
        <v>3014.0</v>
      </c>
      <c r="AS267" s="7"/>
      <c r="AT267" s="79">
        <v>0.1</v>
      </c>
      <c r="AU267" s="7"/>
      <c r="AV267" s="64">
        <v>0.031</v>
      </c>
      <c r="AW267" s="7"/>
      <c r="AX267" s="73">
        <v>0.64</v>
      </c>
      <c r="AY267" s="7"/>
      <c r="AZ267" s="11" t="s">
        <v>596</v>
      </c>
      <c r="BA267" s="11" t="s">
        <v>597</v>
      </c>
      <c r="BB267" s="68">
        <v>-41.4</v>
      </c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69"/>
      <c r="DN267" s="69"/>
      <c r="DO267" s="69"/>
      <c r="DP267" s="69"/>
      <c r="DQ267" s="11"/>
      <c r="DR267" s="69"/>
      <c r="DS267" s="69"/>
      <c r="DT267" s="69"/>
      <c r="DU267" s="69"/>
      <c r="DV267" s="13"/>
      <c r="DW267" s="10"/>
      <c r="DX267" s="81">
        <v>1.58E-11</v>
      </c>
      <c r="DY267" s="7"/>
      <c r="DZ267" s="64" t="s">
        <v>248</v>
      </c>
      <c r="EA267" s="72" t="s">
        <v>354</v>
      </c>
      <c r="EB267" s="13"/>
    </row>
    <row r="268">
      <c r="A268" s="55" t="s">
        <v>693</v>
      </c>
      <c r="B268" s="56" t="s">
        <v>694</v>
      </c>
      <c r="C268" s="4"/>
      <c r="D268" s="4"/>
      <c r="E268" s="4"/>
      <c r="F268" s="57" t="s">
        <v>168</v>
      </c>
      <c r="G268" s="61">
        <v>56.0421841666666</v>
      </c>
      <c r="H268" s="61">
        <v>32.0678994444444</v>
      </c>
      <c r="I268" s="6" t="s">
        <v>235</v>
      </c>
      <c r="J268" s="6" t="s">
        <v>169</v>
      </c>
      <c r="K268" s="61">
        <v>0.2511886432</v>
      </c>
      <c r="L268" s="5"/>
      <c r="M268" s="59"/>
      <c r="N268" s="60"/>
      <c r="O268" s="60"/>
      <c r="P268" s="60"/>
      <c r="Q268" s="60"/>
      <c r="R268" s="60"/>
      <c r="S268" s="60">
        <v>16.81</v>
      </c>
      <c r="T268" s="60">
        <v>0.345</v>
      </c>
      <c r="U268" s="61">
        <v>1.42</v>
      </c>
      <c r="V268" s="5"/>
      <c r="W268" s="5"/>
      <c r="X268" s="5"/>
      <c r="Y268" s="62" t="s">
        <v>248</v>
      </c>
      <c r="Z268" s="60">
        <v>18.25</v>
      </c>
      <c r="AA268" s="60"/>
      <c r="AB268" s="60">
        <v>13.223</v>
      </c>
      <c r="AC268" s="60">
        <v>0.024</v>
      </c>
      <c r="AD268" s="60">
        <v>12.412</v>
      </c>
      <c r="AE268" s="60">
        <v>0.021</v>
      </c>
      <c r="AF268" s="60">
        <v>11.93</v>
      </c>
      <c r="AG268" s="60">
        <v>0.022</v>
      </c>
      <c r="AH268" s="6"/>
      <c r="AI268" s="6"/>
      <c r="AJ268" s="63" t="s">
        <v>248</v>
      </c>
      <c r="AK268" s="64" t="s">
        <v>641</v>
      </c>
      <c r="AL268" s="64">
        <v>2001.0</v>
      </c>
      <c r="AM268" s="7"/>
      <c r="AN268" s="8"/>
      <c r="AO268" s="13"/>
      <c r="AP268" s="64" t="s">
        <v>270</v>
      </c>
      <c r="AQ268" s="7"/>
      <c r="AR268" s="9"/>
      <c r="AS268" s="7"/>
      <c r="AT268" s="67">
        <v>0.1</v>
      </c>
      <c r="AU268" s="7"/>
      <c r="AV268" s="13"/>
      <c r="AW268" s="7"/>
      <c r="AX268" s="7"/>
      <c r="AY268" s="7"/>
      <c r="AZ268" s="11" t="s">
        <v>596</v>
      </c>
      <c r="BA268" s="11" t="s">
        <v>597</v>
      </c>
      <c r="BB268" s="90">
        <v>-86.0</v>
      </c>
      <c r="BC268" s="11"/>
      <c r="BD268" s="11"/>
      <c r="BE268" s="11"/>
      <c r="BF268" s="90">
        <v>-50.0</v>
      </c>
      <c r="BG268" s="11"/>
      <c r="BH268" s="11"/>
      <c r="BI268" s="11"/>
      <c r="BJ268" s="90">
        <v>-10.0</v>
      </c>
      <c r="BK268" s="11"/>
      <c r="BL268" s="11"/>
      <c r="BM268" s="11"/>
      <c r="BN268" s="68">
        <v>-35.0</v>
      </c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68">
        <v>-7.5</v>
      </c>
      <c r="CU268" s="11"/>
      <c r="CV268" s="112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2"/>
      <c r="DK268" s="12"/>
      <c r="DL268" s="12"/>
      <c r="DM268" s="80">
        <v>-0.7</v>
      </c>
      <c r="DN268" s="69"/>
      <c r="DO268" s="69"/>
      <c r="DP268" s="69"/>
      <c r="DQ268" s="90">
        <v>0.5</v>
      </c>
      <c r="DR268" s="69"/>
      <c r="DS268" s="69"/>
      <c r="DT268" s="69"/>
      <c r="DU268" s="69"/>
      <c r="DV268" s="81"/>
      <c r="DW268" s="10"/>
      <c r="DX268" s="71">
        <v>1.0E-10</v>
      </c>
      <c r="DY268" s="7"/>
      <c r="DZ268" s="64" t="s">
        <v>643</v>
      </c>
      <c r="EA268" s="72" t="s">
        <v>166</v>
      </c>
      <c r="EB268" s="7"/>
    </row>
    <row r="269">
      <c r="A269" s="55" t="s">
        <v>695</v>
      </c>
      <c r="B269" s="56" t="s">
        <v>695</v>
      </c>
      <c r="C269" s="4"/>
      <c r="D269" s="4"/>
      <c r="E269" s="4" t="s">
        <v>137</v>
      </c>
      <c r="F269" s="57" t="s">
        <v>168</v>
      </c>
      <c r="G269" s="58">
        <v>164.524916</v>
      </c>
      <c r="H269" s="58">
        <v>-77.19725</v>
      </c>
      <c r="I269" s="6" t="s">
        <v>676</v>
      </c>
      <c r="J269" s="6" t="s">
        <v>169</v>
      </c>
      <c r="K269" s="58">
        <v>2.0</v>
      </c>
      <c r="L269" s="5"/>
      <c r="M269" s="59">
        <v>2.0</v>
      </c>
      <c r="N269" s="61">
        <v>186.570644974719</v>
      </c>
      <c r="O269" s="61">
        <v>-23.199</v>
      </c>
      <c r="P269" s="61">
        <v>0.231</v>
      </c>
      <c r="Q269" s="61">
        <v>2.441</v>
      </c>
      <c r="R269" s="61">
        <v>0.204</v>
      </c>
      <c r="S269" s="60"/>
      <c r="T269" s="60"/>
      <c r="U269" s="6"/>
      <c r="V269" s="5"/>
      <c r="W269" s="60">
        <v>0.45</v>
      </c>
      <c r="X269" s="5"/>
      <c r="Y269" s="75" t="s">
        <v>677</v>
      </c>
      <c r="Z269" s="60"/>
      <c r="AA269" s="60"/>
      <c r="AB269" s="60">
        <v>13.405</v>
      </c>
      <c r="AC269" s="60">
        <v>0.028</v>
      </c>
      <c r="AD269" s="60">
        <v>12.694</v>
      </c>
      <c r="AE269" s="60">
        <v>0.028</v>
      </c>
      <c r="AF269" s="60">
        <v>12.272</v>
      </c>
      <c r="AG269" s="60">
        <v>0.027</v>
      </c>
      <c r="AH269" s="6"/>
      <c r="AI269" s="96"/>
      <c r="AJ269" s="63" t="s">
        <v>598</v>
      </c>
      <c r="AK269" s="64" t="s">
        <v>226</v>
      </c>
      <c r="AL269" s="97">
        <v>2003.0</v>
      </c>
      <c r="AM269" s="7"/>
      <c r="AN269" s="8"/>
      <c r="AO269" s="13"/>
      <c r="AP269" s="13" t="s">
        <v>283</v>
      </c>
      <c r="AQ269" s="7"/>
      <c r="AR269" s="78">
        <v>3091.0</v>
      </c>
      <c r="AS269" s="7"/>
      <c r="AT269" s="79">
        <v>0.1</v>
      </c>
      <c r="AU269" s="7"/>
      <c r="AV269" s="64">
        <v>0.018</v>
      </c>
      <c r="AW269" s="7"/>
      <c r="AX269" s="73">
        <v>0.47</v>
      </c>
      <c r="AY269" s="7"/>
      <c r="AZ269" s="11" t="s">
        <v>596</v>
      </c>
      <c r="BA269" s="11" t="s">
        <v>597</v>
      </c>
      <c r="BB269" s="68">
        <v>-5.0</v>
      </c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69"/>
      <c r="DN269" s="69"/>
      <c r="DO269" s="69"/>
      <c r="DP269" s="69"/>
      <c r="DQ269" s="11"/>
      <c r="DR269" s="69"/>
      <c r="DS269" s="69"/>
      <c r="DT269" s="69"/>
      <c r="DU269" s="69"/>
      <c r="DV269" s="13"/>
      <c r="DW269" s="10"/>
      <c r="DX269" s="81">
        <v>1.0E-12</v>
      </c>
      <c r="DY269" s="7"/>
      <c r="DZ269" s="64" t="s">
        <v>248</v>
      </c>
      <c r="EA269" s="72" t="s">
        <v>354</v>
      </c>
      <c r="EB269" s="85" t="s">
        <v>629</v>
      </c>
    </row>
    <row r="270">
      <c r="A270" s="55" t="s">
        <v>696</v>
      </c>
      <c r="B270" s="56" t="s">
        <v>696</v>
      </c>
      <c r="C270" s="4"/>
      <c r="D270" s="4"/>
      <c r="E270" s="4"/>
      <c r="F270" s="57" t="s">
        <v>168</v>
      </c>
      <c r="G270" s="61">
        <v>56.1348520833333</v>
      </c>
      <c r="H270" s="61">
        <v>32.0576325</v>
      </c>
      <c r="I270" s="6" t="s">
        <v>235</v>
      </c>
      <c r="J270" s="6" t="s">
        <v>169</v>
      </c>
      <c r="K270" s="61">
        <v>2.630267992</v>
      </c>
      <c r="L270" s="5"/>
      <c r="M270" s="59">
        <v>2.0</v>
      </c>
      <c r="N270" s="61">
        <v>248.651067956336</v>
      </c>
      <c r="O270" s="61">
        <v>5.405</v>
      </c>
      <c r="P270" s="61">
        <v>1.305</v>
      </c>
      <c r="Q270" s="61">
        <v>-7.426</v>
      </c>
      <c r="R270" s="61">
        <v>0.671</v>
      </c>
      <c r="S270" s="60"/>
      <c r="T270" s="60"/>
      <c r="U270" s="61">
        <v>3.12</v>
      </c>
      <c r="V270" s="5"/>
      <c r="W270" s="5"/>
      <c r="X270" s="5"/>
      <c r="Y270" s="62" t="s">
        <v>248</v>
      </c>
      <c r="Z270" s="60">
        <v>20.68</v>
      </c>
      <c r="AA270" s="60"/>
      <c r="AB270" s="60">
        <v>14.884</v>
      </c>
      <c r="AC270" s="60">
        <v>0.036</v>
      </c>
      <c r="AD270" s="60">
        <v>14.04</v>
      </c>
      <c r="AE270" s="60">
        <v>0.03</v>
      </c>
      <c r="AF270" s="60">
        <v>13.48</v>
      </c>
      <c r="AG270" s="60">
        <v>0.03</v>
      </c>
      <c r="AH270" s="6"/>
      <c r="AI270" s="6"/>
      <c r="AJ270" s="63" t="s">
        <v>248</v>
      </c>
      <c r="AK270" s="64" t="s">
        <v>641</v>
      </c>
      <c r="AL270" s="64">
        <v>2001.0</v>
      </c>
      <c r="AM270" s="7"/>
      <c r="AN270" s="8"/>
      <c r="AO270" s="13"/>
      <c r="AP270" s="64" t="s">
        <v>264</v>
      </c>
      <c r="AQ270" s="7"/>
      <c r="AR270" s="9"/>
      <c r="AS270" s="7"/>
      <c r="AT270" s="67">
        <v>0.1</v>
      </c>
      <c r="AU270" s="7"/>
      <c r="AV270" s="13"/>
      <c r="AW270" s="7"/>
      <c r="AX270" s="73">
        <v>1.0</v>
      </c>
      <c r="AY270" s="7"/>
      <c r="AZ270" s="11" t="s">
        <v>596</v>
      </c>
      <c r="BA270" s="11" t="s">
        <v>597</v>
      </c>
      <c r="BB270" s="68">
        <v>-121.0</v>
      </c>
      <c r="BC270" s="11"/>
      <c r="BD270" s="11"/>
      <c r="BE270" s="11"/>
      <c r="BF270" s="68">
        <v>-42.0</v>
      </c>
      <c r="BG270" s="11"/>
      <c r="BH270" s="11"/>
      <c r="BI270" s="11"/>
      <c r="BJ270" s="68">
        <v>-20.0</v>
      </c>
      <c r="BK270" s="11"/>
      <c r="BL270" s="11"/>
      <c r="BM270" s="11"/>
      <c r="BN270" s="68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68">
        <v>-6.4</v>
      </c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2"/>
      <c r="DK270" s="12"/>
      <c r="DL270" s="12"/>
      <c r="DM270" s="80" t="s">
        <v>680</v>
      </c>
      <c r="DN270" s="69"/>
      <c r="DO270" s="69"/>
      <c r="DP270" s="69"/>
      <c r="DQ270" s="68"/>
      <c r="DR270" s="69"/>
      <c r="DS270" s="69"/>
      <c r="DT270" s="69"/>
      <c r="DU270" s="69"/>
      <c r="DV270" s="97"/>
      <c r="DW270" s="10"/>
      <c r="DX270" s="71">
        <v>1.0E-10</v>
      </c>
      <c r="DY270" s="7"/>
      <c r="DZ270" s="64" t="s">
        <v>643</v>
      </c>
      <c r="EA270" s="72" t="s">
        <v>166</v>
      </c>
      <c r="EB270" s="82" t="s">
        <v>644</v>
      </c>
    </row>
    <row r="271">
      <c r="A271" s="55" t="s">
        <v>697</v>
      </c>
      <c r="B271" s="56" t="s">
        <v>697</v>
      </c>
      <c r="C271" s="4"/>
      <c r="D271" s="3"/>
      <c r="E271" s="3" t="s">
        <v>137</v>
      </c>
      <c r="F271" s="57" t="s">
        <v>168</v>
      </c>
      <c r="G271" s="58">
        <v>166.851832</v>
      </c>
      <c r="H271" s="58">
        <v>-77.730263</v>
      </c>
      <c r="I271" s="6" t="s">
        <v>676</v>
      </c>
      <c r="J271" s="6" t="s">
        <v>159</v>
      </c>
      <c r="K271" s="58">
        <v>2.0</v>
      </c>
      <c r="L271" s="5"/>
      <c r="M271" s="59">
        <v>2.0</v>
      </c>
      <c r="N271" s="61">
        <v>193.307687846745</v>
      </c>
      <c r="O271" s="61">
        <v>-23.11</v>
      </c>
      <c r="P271" s="61">
        <v>0.379</v>
      </c>
      <c r="Q271" s="61">
        <v>-0.289</v>
      </c>
      <c r="R271" s="61">
        <v>0.379</v>
      </c>
      <c r="S271" s="60"/>
      <c r="T271" s="60"/>
      <c r="U271" s="5"/>
      <c r="V271" s="5"/>
      <c r="W271" s="60">
        <v>1.08</v>
      </c>
      <c r="X271" s="5"/>
      <c r="Y271" s="75" t="s">
        <v>677</v>
      </c>
      <c r="Z271" s="60">
        <v>19.55</v>
      </c>
      <c r="AA271" s="60"/>
      <c r="AB271" s="60">
        <v>13.453</v>
      </c>
      <c r="AC271" s="60">
        <v>0.032</v>
      </c>
      <c r="AD271" s="60">
        <v>12.416</v>
      </c>
      <c r="AE271" s="60">
        <v>0.024</v>
      </c>
      <c r="AF271" s="60">
        <v>11.835</v>
      </c>
      <c r="AG271" s="60">
        <v>0.021</v>
      </c>
      <c r="AH271" s="6"/>
      <c r="AI271" s="96"/>
      <c r="AJ271" s="63" t="s">
        <v>598</v>
      </c>
      <c r="AK271" s="64" t="s">
        <v>226</v>
      </c>
      <c r="AL271" s="97">
        <v>2003.0</v>
      </c>
      <c r="AM271" s="7"/>
      <c r="AN271" s="8"/>
      <c r="AO271" s="13"/>
      <c r="AP271" s="13" t="s">
        <v>270</v>
      </c>
      <c r="AQ271" s="7"/>
      <c r="AR271" s="78">
        <v>3024.0</v>
      </c>
      <c r="AS271" s="7"/>
      <c r="AT271" s="79">
        <v>0.11</v>
      </c>
      <c r="AU271" s="7"/>
      <c r="AV271" s="64">
        <v>0.042</v>
      </c>
      <c r="AW271" s="7"/>
      <c r="AX271" s="73">
        <v>0.75</v>
      </c>
      <c r="AY271" s="7"/>
      <c r="AZ271" s="11" t="s">
        <v>596</v>
      </c>
      <c r="BA271" s="11" t="s">
        <v>597</v>
      </c>
      <c r="BB271" s="68">
        <v>-8.8</v>
      </c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69"/>
      <c r="DN271" s="69"/>
      <c r="DO271" s="69"/>
      <c r="DP271" s="69"/>
      <c r="DQ271" s="11"/>
      <c r="DR271" s="69"/>
      <c r="DS271" s="69"/>
      <c r="DT271" s="69"/>
      <c r="DU271" s="69"/>
      <c r="DV271" s="13"/>
      <c r="DW271" s="10"/>
      <c r="DX271" s="81">
        <v>1.0E-12</v>
      </c>
      <c r="DY271" s="7"/>
      <c r="DZ271" s="64" t="s">
        <v>248</v>
      </c>
      <c r="EA271" s="72" t="s">
        <v>354</v>
      </c>
      <c r="EB271" s="82" t="s">
        <v>629</v>
      </c>
    </row>
    <row r="272">
      <c r="A272" s="55" t="s">
        <v>372</v>
      </c>
      <c r="B272" s="99" t="s">
        <v>373</v>
      </c>
      <c r="C272" s="4"/>
      <c r="D272" s="4"/>
      <c r="E272" s="4"/>
      <c r="F272" s="57" t="s">
        <v>168</v>
      </c>
      <c r="G272" s="61">
        <v>70.8342733333333</v>
      </c>
      <c r="H272" s="61">
        <v>29.6683480555555</v>
      </c>
      <c r="I272" s="6" t="s">
        <v>199</v>
      </c>
      <c r="J272" s="6" t="s">
        <v>169</v>
      </c>
      <c r="K272" s="61">
        <v>0.1258925412</v>
      </c>
      <c r="L272" s="5"/>
      <c r="M272" s="59">
        <v>2.0</v>
      </c>
      <c r="N272" s="61">
        <v>171.16839546746</v>
      </c>
      <c r="O272" s="61">
        <v>2.607</v>
      </c>
      <c r="P272" s="61">
        <v>0.246</v>
      </c>
      <c r="Q272" s="61">
        <v>-22.062</v>
      </c>
      <c r="R272" s="61">
        <v>0.118</v>
      </c>
      <c r="S272" s="60"/>
      <c r="T272" s="60"/>
      <c r="U272" s="61">
        <v>0.34</v>
      </c>
      <c r="V272" s="5"/>
      <c r="W272" s="5"/>
      <c r="X272" s="5"/>
      <c r="Y272" s="62" t="s">
        <v>248</v>
      </c>
      <c r="Z272" s="60"/>
      <c r="AA272" s="60"/>
      <c r="AB272" s="60">
        <v>10.402</v>
      </c>
      <c r="AC272" s="60">
        <v>0.022</v>
      </c>
      <c r="AD272" s="60">
        <v>9.73</v>
      </c>
      <c r="AE272" s="60">
        <v>0.021</v>
      </c>
      <c r="AF272" s="60">
        <v>9.408</v>
      </c>
      <c r="AG272" s="60">
        <v>0.018</v>
      </c>
      <c r="AH272" s="6"/>
      <c r="AI272" s="6"/>
      <c r="AJ272" s="63" t="s">
        <v>248</v>
      </c>
      <c r="AK272" s="64" t="s">
        <v>202</v>
      </c>
      <c r="AL272" s="64">
        <v>2000.0</v>
      </c>
      <c r="AM272" s="7"/>
      <c r="AN272" s="8"/>
      <c r="AO272" s="13"/>
      <c r="AP272" s="64" t="s">
        <v>371</v>
      </c>
      <c r="AQ272" s="7"/>
      <c r="AR272" s="9"/>
      <c r="AS272" s="7"/>
      <c r="AT272" s="67">
        <v>0.12</v>
      </c>
      <c r="AU272" s="7"/>
      <c r="AV272" s="13"/>
      <c r="AW272" s="7"/>
      <c r="AX272" s="73"/>
      <c r="AY272" s="7"/>
      <c r="AZ272" s="11" t="s">
        <v>596</v>
      </c>
      <c r="BA272" s="11" t="s">
        <v>597</v>
      </c>
      <c r="BB272" s="162">
        <v>-34.0</v>
      </c>
      <c r="BC272" s="11"/>
      <c r="BD272" s="11"/>
      <c r="BE272" s="11"/>
      <c r="BF272" s="162"/>
      <c r="BG272" s="11"/>
      <c r="BH272" s="11"/>
      <c r="BI272" s="11"/>
      <c r="BJ272" s="162"/>
      <c r="BK272" s="11"/>
      <c r="BL272" s="11"/>
      <c r="BM272" s="11"/>
      <c r="BN272" s="162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62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2"/>
      <c r="DK272" s="12"/>
      <c r="DL272" s="12"/>
      <c r="DM272" s="80" t="s">
        <v>680</v>
      </c>
      <c r="DN272" s="69"/>
      <c r="DO272" s="69"/>
      <c r="DP272" s="69"/>
      <c r="DQ272" s="162">
        <v>0.51</v>
      </c>
      <c r="DR272" s="69"/>
      <c r="DS272" s="69"/>
      <c r="DT272" s="69"/>
      <c r="DU272" s="69"/>
      <c r="DV272" s="97"/>
      <c r="DW272" s="10"/>
      <c r="DX272" s="81">
        <f>10^(-10.3)</f>
        <v>0</v>
      </c>
      <c r="DY272" s="7"/>
      <c r="DZ272" s="64" t="s">
        <v>643</v>
      </c>
      <c r="EA272" s="72" t="s">
        <v>166</v>
      </c>
      <c r="EB272" s="82"/>
    </row>
    <row r="273">
      <c r="A273" s="55" t="s">
        <v>698</v>
      </c>
      <c r="B273" s="56" t="s">
        <v>698</v>
      </c>
      <c r="C273" s="4"/>
      <c r="D273" s="3"/>
      <c r="E273" s="3" t="s">
        <v>137</v>
      </c>
      <c r="F273" s="57" t="s">
        <v>168</v>
      </c>
      <c r="G273" s="58">
        <v>166.999709</v>
      </c>
      <c r="H273" s="58">
        <v>-77.258827</v>
      </c>
      <c r="I273" s="6" t="s">
        <v>676</v>
      </c>
      <c r="J273" s="6" t="s">
        <v>159</v>
      </c>
      <c r="K273" s="58">
        <v>2.0</v>
      </c>
      <c r="L273" s="5"/>
      <c r="M273" s="59">
        <v>2.0</v>
      </c>
      <c r="N273" s="61">
        <v>194.23132951345</v>
      </c>
      <c r="O273" s="61">
        <v>-21.936</v>
      </c>
      <c r="P273" s="61">
        <v>0.277</v>
      </c>
      <c r="Q273" s="61">
        <v>0.121</v>
      </c>
      <c r="R273" s="61">
        <v>0.237</v>
      </c>
      <c r="S273" s="60">
        <v>11.66</v>
      </c>
      <c r="T273" s="60">
        <v>3.07</v>
      </c>
      <c r="U273" s="5"/>
      <c r="V273" s="5"/>
      <c r="W273" s="60">
        <v>0.68</v>
      </c>
      <c r="X273" s="5"/>
      <c r="Y273" s="75" t="s">
        <v>677</v>
      </c>
      <c r="Z273" s="60">
        <v>17.87</v>
      </c>
      <c r="AA273" s="60"/>
      <c r="AB273" s="60">
        <v>12.522</v>
      </c>
      <c r="AC273" s="60">
        <v>0.024</v>
      </c>
      <c r="AD273" s="60">
        <v>11.646</v>
      </c>
      <c r="AE273" s="60">
        <v>0.022</v>
      </c>
      <c r="AF273" s="60">
        <v>11.167</v>
      </c>
      <c r="AG273" s="60">
        <v>0.021</v>
      </c>
      <c r="AH273" s="6"/>
      <c r="AI273" s="96"/>
      <c r="AJ273" s="63" t="s">
        <v>598</v>
      </c>
      <c r="AK273" s="64" t="s">
        <v>226</v>
      </c>
      <c r="AL273" s="97">
        <v>2003.0</v>
      </c>
      <c r="AM273" s="7"/>
      <c r="AN273" s="8"/>
      <c r="AO273" s="13"/>
      <c r="AP273" s="13" t="s">
        <v>270</v>
      </c>
      <c r="AQ273" s="7"/>
      <c r="AR273" s="78">
        <v>3024.0</v>
      </c>
      <c r="AS273" s="7"/>
      <c r="AT273" s="79">
        <v>0.12</v>
      </c>
      <c r="AU273" s="7"/>
      <c r="AV273" s="64">
        <v>0.067</v>
      </c>
      <c r="AW273" s="7"/>
      <c r="AX273" s="73">
        <v>0.95</v>
      </c>
      <c r="AY273" s="7"/>
      <c r="AZ273" s="11" t="s">
        <v>596</v>
      </c>
      <c r="BA273" s="11" t="s">
        <v>597</v>
      </c>
      <c r="BB273" s="68">
        <v>-8.4</v>
      </c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69"/>
      <c r="DN273" s="69"/>
      <c r="DO273" s="69"/>
      <c r="DP273" s="69"/>
      <c r="DQ273" s="11"/>
      <c r="DR273" s="69"/>
      <c r="DS273" s="69"/>
      <c r="DT273" s="69"/>
      <c r="DU273" s="69"/>
      <c r="DV273" s="13"/>
      <c r="DW273" s="10"/>
      <c r="DX273" s="81">
        <v>1.0E-12</v>
      </c>
      <c r="DY273" s="7"/>
      <c r="DZ273" s="64" t="s">
        <v>248</v>
      </c>
      <c r="EA273" s="72" t="s">
        <v>354</v>
      </c>
      <c r="EB273" s="82" t="s">
        <v>629</v>
      </c>
    </row>
    <row r="274">
      <c r="A274" s="55" t="s">
        <v>285</v>
      </c>
      <c r="B274" s="56" t="s">
        <v>285</v>
      </c>
      <c r="C274" s="4"/>
      <c r="D274" s="4"/>
      <c r="E274" s="4"/>
      <c r="F274" s="57" t="s">
        <v>168</v>
      </c>
      <c r="G274" s="61">
        <v>56.1477041666666</v>
      </c>
      <c r="H274" s="61">
        <v>32.1489997222222</v>
      </c>
      <c r="I274" s="6" t="s">
        <v>235</v>
      </c>
      <c r="J274" s="6" t="s">
        <v>169</v>
      </c>
      <c r="K274" s="61">
        <v>0.4365158322</v>
      </c>
      <c r="L274" s="5"/>
      <c r="M274" s="59">
        <v>2.0</v>
      </c>
      <c r="N274" s="61">
        <v>321.32643552585</v>
      </c>
      <c r="O274" s="61">
        <v>6.913</v>
      </c>
      <c r="P274" s="61">
        <v>0.905</v>
      </c>
      <c r="Q274" s="61">
        <v>-8.647</v>
      </c>
      <c r="R274" s="61">
        <v>0.539</v>
      </c>
      <c r="S274" s="60">
        <v>14.39</v>
      </c>
      <c r="T274" s="60">
        <v>0.611</v>
      </c>
      <c r="U274" s="61">
        <v>2.41</v>
      </c>
      <c r="V274" s="5"/>
      <c r="W274" s="5"/>
      <c r="X274" s="5"/>
      <c r="Y274" s="62" t="s">
        <v>248</v>
      </c>
      <c r="Z274" s="60">
        <v>17.71</v>
      </c>
      <c r="AA274" s="60"/>
      <c r="AB274" s="60">
        <v>13.25</v>
      </c>
      <c r="AC274" s="60">
        <v>0.024</v>
      </c>
      <c r="AD274" s="60">
        <v>12.309</v>
      </c>
      <c r="AE274" s="60">
        <v>0.024</v>
      </c>
      <c r="AF274" s="60">
        <v>11.826</v>
      </c>
      <c r="AG274" s="60">
        <v>0.024</v>
      </c>
      <c r="AH274" s="6"/>
      <c r="AI274" s="6"/>
      <c r="AJ274" s="63" t="s">
        <v>248</v>
      </c>
      <c r="AK274" s="64" t="s">
        <v>641</v>
      </c>
      <c r="AL274" s="64">
        <v>2001.0</v>
      </c>
      <c r="AM274" s="7"/>
      <c r="AN274" s="8"/>
      <c r="AO274" s="13"/>
      <c r="AP274" s="64" t="s">
        <v>283</v>
      </c>
      <c r="AQ274" s="7"/>
      <c r="AR274" s="9"/>
      <c r="AS274" s="7"/>
      <c r="AT274" s="67">
        <v>0.12</v>
      </c>
      <c r="AU274" s="7"/>
      <c r="AV274" s="7"/>
      <c r="AW274" s="7"/>
      <c r="AX274" s="73">
        <v>1.0</v>
      </c>
      <c r="AY274" s="7"/>
      <c r="AZ274" s="11" t="s">
        <v>596</v>
      </c>
      <c r="BA274" s="12" t="s">
        <v>597</v>
      </c>
      <c r="BB274" s="68">
        <v>-54.0</v>
      </c>
      <c r="BC274" s="11"/>
      <c r="BD274" s="11"/>
      <c r="BE274" s="11"/>
      <c r="BF274" s="68">
        <v>-28.0</v>
      </c>
      <c r="BG274" s="11"/>
      <c r="BH274" s="11"/>
      <c r="BI274" s="11"/>
      <c r="BJ274" s="68">
        <v>-24.0</v>
      </c>
      <c r="BK274" s="11"/>
      <c r="BL274" s="11"/>
      <c r="BM274" s="11"/>
      <c r="BN274" s="68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2"/>
      <c r="CM274" s="12"/>
      <c r="CN274" s="11"/>
      <c r="CO274" s="11"/>
      <c r="CP274" s="11"/>
      <c r="CQ274" s="11"/>
      <c r="CR274" s="11"/>
      <c r="CS274" s="11"/>
      <c r="CT274" s="68">
        <v>-2.4</v>
      </c>
      <c r="CU274" s="11"/>
      <c r="CV274" s="12"/>
      <c r="CW274" s="11"/>
      <c r="CX274" s="12"/>
      <c r="CY274" s="11"/>
      <c r="CZ274" s="11"/>
      <c r="DA274" s="12"/>
      <c r="DB274" s="11"/>
      <c r="DC274" s="11"/>
      <c r="DD274" s="11"/>
      <c r="DE274" s="11"/>
      <c r="DF274" s="11"/>
      <c r="DG274" s="11"/>
      <c r="DH274" s="11"/>
      <c r="DI274" s="11"/>
      <c r="DJ274" s="69"/>
      <c r="DK274" s="69"/>
      <c r="DL274" s="69"/>
      <c r="DM274" s="80" t="s">
        <v>699</v>
      </c>
      <c r="DN274" s="69"/>
      <c r="DO274" s="69"/>
      <c r="DP274" s="69"/>
      <c r="DQ274" s="68">
        <v>0.5</v>
      </c>
      <c r="DR274" s="69"/>
      <c r="DS274" s="69"/>
      <c r="DT274" s="69"/>
      <c r="DU274" s="69"/>
      <c r="DV274" s="97"/>
      <c r="DW274" s="10"/>
      <c r="DX274" s="71">
        <v>1.0E-10</v>
      </c>
      <c r="DY274" s="7"/>
      <c r="DZ274" s="64" t="s">
        <v>643</v>
      </c>
      <c r="EA274" s="72" t="s">
        <v>166</v>
      </c>
      <c r="EB274" s="82" t="s">
        <v>644</v>
      </c>
    </row>
    <row r="275">
      <c r="A275" s="55" t="s">
        <v>392</v>
      </c>
      <c r="B275" s="56" t="s">
        <v>392</v>
      </c>
      <c r="C275" s="4"/>
      <c r="D275" s="4"/>
      <c r="E275" s="4"/>
      <c r="F275" s="57" t="s">
        <v>168</v>
      </c>
      <c r="G275" s="61">
        <v>68.0921274999999</v>
      </c>
      <c r="H275" s="61">
        <v>18.4618466666666</v>
      </c>
      <c r="I275" s="6" t="s">
        <v>199</v>
      </c>
      <c r="J275" s="6" t="s">
        <v>169</v>
      </c>
      <c r="K275" s="61">
        <v>2.041737945</v>
      </c>
      <c r="L275" s="5"/>
      <c r="M275" s="59">
        <v>2.0</v>
      </c>
      <c r="N275" s="61">
        <v>141.918453656528</v>
      </c>
      <c r="O275" s="61">
        <v>11.796</v>
      </c>
      <c r="P275" s="61">
        <v>0.222</v>
      </c>
      <c r="Q275" s="61">
        <v>-18.596</v>
      </c>
      <c r="R275" s="61">
        <v>0.113</v>
      </c>
      <c r="S275" s="60"/>
      <c r="T275" s="60"/>
      <c r="U275" s="61">
        <v>0.86</v>
      </c>
      <c r="V275" s="5"/>
      <c r="W275" s="5"/>
      <c r="X275" s="5"/>
      <c r="Y275" s="62" t="s">
        <v>248</v>
      </c>
      <c r="Z275" s="60"/>
      <c r="AA275" s="60"/>
      <c r="AB275" s="60">
        <v>11.711</v>
      </c>
      <c r="AC275" s="60">
        <v>0.029</v>
      </c>
      <c r="AD275" s="60">
        <v>11.02</v>
      </c>
      <c r="AE275" s="60">
        <v>0.04</v>
      </c>
      <c r="AF275" s="60">
        <v>10.649</v>
      </c>
      <c r="AG275" s="60">
        <v>0.024</v>
      </c>
      <c r="AH275" s="6"/>
      <c r="AI275" s="6"/>
      <c r="AJ275" s="63" t="s">
        <v>248</v>
      </c>
      <c r="AK275" s="64" t="s">
        <v>641</v>
      </c>
      <c r="AL275" s="64">
        <v>2001.0</v>
      </c>
      <c r="AM275" s="7"/>
      <c r="AN275" s="8"/>
      <c r="AO275" s="13"/>
      <c r="AP275" s="64" t="s">
        <v>398</v>
      </c>
      <c r="AQ275" s="7"/>
      <c r="AR275" s="9"/>
      <c r="AS275" s="7"/>
      <c r="AT275" s="67">
        <v>0.13</v>
      </c>
      <c r="AU275" s="7"/>
      <c r="AV275" s="13"/>
      <c r="AW275" s="7"/>
      <c r="AX275" s="73">
        <v>1.0</v>
      </c>
      <c r="AY275" s="7"/>
      <c r="AZ275" s="11" t="s">
        <v>596</v>
      </c>
      <c r="BA275" s="11" t="s">
        <v>597</v>
      </c>
      <c r="BB275" s="68">
        <v>-25.0</v>
      </c>
      <c r="BC275" s="11"/>
      <c r="BD275" s="11"/>
      <c r="BE275" s="11"/>
      <c r="BF275" s="68">
        <v>-13.0</v>
      </c>
      <c r="BG275" s="11"/>
      <c r="BH275" s="11"/>
      <c r="BI275" s="11"/>
      <c r="BJ275" s="68">
        <v>-11.0</v>
      </c>
      <c r="BK275" s="11"/>
      <c r="BL275" s="11"/>
      <c r="BM275" s="11"/>
      <c r="BN275" s="68">
        <v>-8.6</v>
      </c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68">
        <v>-1.7</v>
      </c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2"/>
      <c r="DK275" s="12"/>
      <c r="DL275" s="12"/>
      <c r="DM275" s="80" t="s">
        <v>680</v>
      </c>
      <c r="DN275" s="69"/>
      <c r="DO275" s="69"/>
      <c r="DP275" s="69"/>
      <c r="DQ275" s="68">
        <v>0.5</v>
      </c>
      <c r="DR275" s="69"/>
      <c r="DS275" s="69"/>
      <c r="DT275" s="69"/>
      <c r="DU275" s="69"/>
      <c r="DV275" s="97"/>
      <c r="DW275" s="10"/>
      <c r="DX275" s="71">
        <v>5.01E-11</v>
      </c>
      <c r="DY275" s="7"/>
      <c r="DZ275" s="64" t="s">
        <v>643</v>
      </c>
      <c r="EA275" s="72" t="s">
        <v>166</v>
      </c>
      <c r="EB275" s="82" t="s">
        <v>599</v>
      </c>
    </row>
    <row r="276">
      <c r="A276" s="55" t="s">
        <v>700</v>
      </c>
      <c r="B276" s="56" t="s">
        <v>701</v>
      </c>
      <c r="C276" s="4"/>
      <c r="D276" s="4"/>
      <c r="E276" s="4"/>
      <c r="F276" s="57" t="s">
        <v>168</v>
      </c>
      <c r="G276" s="58">
        <v>84.78665</v>
      </c>
      <c r="H276" s="58">
        <v>-2.51992</v>
      </c>
      <c r="I276" s="6" t="s">
        <v>350</v>
      </c>
      <c r="J276" s="6" t="s">
        <v>515</v>
      </c>
      <c r="K276" s="58">
        <v>3.0</v>
      </c>
      <c r="L276" s="5"/>
      <c r="M276" s="59">
        <v>2.0</v>
      </c>
      <c r="N276" s="61">
        <v>335.334160490929</v>
      </c>
      <c r="O276" s="61">
        <v>1.095</v>
      </c>
      <c r="P276" s="61">
        <v>0.169</v>
      </c>
      <c r="Q276" s="61">
        <v>-0.093</v>
      </c>
      <c r="R276" s="61">
        <v>0.148</v>
      </c>
      <c r="S276" s="60">
        <v>31.19</v>
      </c>
      <c r="T276" s="60">
        <v>0.235</v>
      </c>
      <c r="U276" s="5"/>
      <c r="V276" s="5"/>
      <c r="W276" s="60">
        <v>0.192</v>
      </c>
      <c r="X276" s="5"/>
      <c r="Y276" s="109" t="s">
        <v>351</v>
      </c>
      <c r="Z276" s="60">
        <v>16.82</v>
      </c>
      <c r="AA276" s="60">
        <v>0.01</v>
      </c>
      <c r="AB276" s="60">
        <v>13.036</v>
      </c>
      <c r="AC276" s="60">
        <v>0.027</v>
      </c>
      <c r="AD276" s="60">
        <v>12.156</v>
      </c>
      <c r="AE276" s="60">
        <v>0.024</v>
      </c>
      <c r="AF276" s="60">
        <v>11.702</v>
      </c>
      <c r="AG276" s="60">
        <v>0.023</v>
      </c>
      <c r="AH276" s="6"/>
      <c r="AI276" s="6"/>
      <c r="AJ276" s="63" t="s">
        <v>702</v>
      </c>
      <c r="AK276" s="64" t="s">
        <v>703</v>
      </c>
      <c r="AL276" s="64">
        <v>2004.0</v>
      </c>
      <c r="AM276" s="64">
        <v>4.0</v>
      </c>
      <c r="AN276" s="102">
        <v>360.0</v>
      </c>
      <c r="AO276" s="13"/>
      <c r="AP276" s="64" t="s">
        <v>704</v>
      </c>
      <c r="AQ276" s="7"/>
      <c r="AR276" s="78">
        <v>3200.0</v>
      </c>
      <c r="AS276" s="64">
        <v>150.0</v>
      </c>
      <c r="AT276" s="79">
        <v>0.2</v>
      </c>
      <c r="AU276" s="7"/>
      <c r="AV276" s="64">
        <v>0.1</v>
      </c>
      <c r="AW276" s="7"/>
      <c r="AX276" s="73">
        <v>1.03</v>
      </c>
      <c r="AY276" s="7"/>
      <c r="AZ276" s="68" t="s">
        <v>596</v>
      </c>
      <c r="BA276" s="68" t="s">
        <v>597</v>
      </c>
      <c r="BB276" s="68">
        <v>-19.65</v>
      </c>
      <c r="BC276" s="68">
        <v>0.19</v>
      </c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2"/>
      <c r="DK276" s="12"/>
      <c r="DL276" s="12"/>
      <c r="DM276" s="69"/>
      <c r="DN276" s="69"/>
      <c r="DO276" s="69"/>
      <c r="DP276" s="69"/>
      <c r="DQ276" s="11"/>
      <c r="DR276" s="69"/>
      <c r="DS276" s="69"/>
      <c r="DT276" s="69"/>
      <c r="DU276" s="69"/>
      <c r="DV276" s="97"/>
      <c r="DW276" s="10"/>
      <c r="DX276" s="81">
        <f>10^(-9)</f>
        <v>0.000000001</v>
      </c>
      <c r="DY276" s="7"/>
      <c r="DZ276" s="64" t="s">
        <v>269</v>
      </c>
      <c r="EA276" s="72" t="s">
        <v>354</v>
      </c>
      <c r="EB276" s="82" t="s">
        <v>705</v>
      </c>
    </row>
    <row r="277">
      <c r="A277" s="55" t="s">
        <v>706</v>
      </c>
      <c r="B277" s="56" t="s">
        <v>707</v>
      </c>
      <c r="C277" s="4"/>
      <c r="D277" s="3"/>
      <c r="E277" s="3"/>
      <c r="F277" s="57" t="s">
        <v>168</v>
      </c>
      <c r="G277" s="58">
        <v>84.64941</v>
      </c>
      <c r="H277" s="58">
        <v>-2.73083</v>
      </c>
      <c r="I277" s="6" t="s">
        <v>350</v>
      </c>
      <c r="J277" s="6" t="s">
        <v>515</v>
      </c>
      <c r="K277" s="58">
        <v>3.0</v>
      </c>
      <c r="L277" s="5"/>
      <c r="M277" s="59">
        <v>2.0</v>
      </c>
      <c r="N277" s="61">
        <v>411.353352529823</v>
      </c>
      <c r="O277" s="61">
        <v>1.447</v>
      </c>
      <c r="P277" s="61">
        <v>0.079</v>
      </c>
      <c r="Q277" s="61">
        <v>-0.576</v>
      </c>
      <c r="R277" s="61">
        <v>0.069</v>
      </c>
      <c r="S277" s="60">
        <v>31.2718</v>
      </c>
      <c r="T277" s="60">
        <v>0.500689</v>
      </c>
      <c r="U277" s="5"/>
      <c r="V277" s="5"/>
      <c r="W277" s="60">
        <v>0.2122</v>
      </c>
      <c r="X277" s="5"/>
      <c r="Y277" s="83" t="s">
        <v>351</v>
      </c>
      <c r="Z277" s="60">
        <v>13.08</v>
      </c>
      <c r="AA277" s="60">
        <v>0.01</v>
      </c>
      <c r="AB277" s="60">
        <v>10.445</v>
      </c>
      <c r="AC277" s="60">
        <v>0.027</v>
      </c>
      <c r="AD277" s="60">
        <v>9.726</v>
      </c>
      <c r="AE277" s="60">
        <v>0.024</v>
      </c>
      <c r="AF277" s="60">
        <v>9.311</v>
      </c>
      <c r="AG277" s="60">
        <v>0.028</v>
      </c>
      <c r="AH277" s="6"/>
      <c r="AI277" s="6"/>
      <c r="AJ277" s="63" t="s">
        <v>702</v>
      </c>
      <c r="AK277" s="64" t="s">
        <v>708</v>
      </c>
      <c r="AL277" s="64">
        <v>2009.0</v>
      </c>
      <c r="AM277" s="64">
        <v>4.0</v>
      </c>
      <c r="AN277" s="102">
        <v>360.0</v>
      </c>
      <c r="AO277" s="13"/>
      <c r="AP277" s="64" t="s">
        <v>709</v>
      </c>
      <c r="AQ277" s="7"/>
      <c r="AR277" s="78">
        <v>3500.0</v>
      </c>
      <c r="AS277" s="64">
        <v>150.0</v>
      </c>
      <c r="AT277" s="79">
        <v>0.6</v>
      </c>
      <c r="AU277" s="7"/>
      <c r="AV277" s="64">
        <v>0.69</v>
      </c>
      <c r="AW277" s="7"/>
      <c r="AX277" s="73">
        <v>2.27</v>
      </c>
      <c r="AY277" s="7"/>
      <c r="AZ277" s="68" t="s">
        <v>596</v>
      </c>
      <c r="BA277" s="68" t="s">
        <v>597</v>
      </c>
      <c r="BB277" s="68">
        <v>-4.4</v>
      </c>
      <c r="BC277" s="68">
        <v>0.4</v>
      </c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2"/>
      <c r="DK277" s="12"/>
      <c r="DL277" s="12"/>
      <c r="DM277" s="69"/>
      <c r="DN277" s="69"/>
      <c r="DO277" s="69"/>
      <c r="DP277" s="69"/>
      <c r="DQ277" s="11"/>
      <c r="DR277" s="69"/>
      <c r="DS277" s="69"/>
      <c r="DT277" s="69"/>
      <c r="DU277" s="69"/>
      <c r="DV277" s="7"/>
      <c r="DW277" s="10"/>
      <c r="DX277" s="92">
        <f>10^(-9.04)</f>
        <v>0.0000000009120108394</v>
      </c>
      <c r="DY277" s="7"/>
      <c r="DZ277" s="64" t="s">
        <v>269</v>
      </c>
      <c r="EA277" s="72" t="s">
        <v>354</v>
      </c>
      <c r="EB277" s="82" t="s">
        <v>705</v>
      </c>
    </row>
    <row r="278">
      <c r="A278" s="55" t="s">
        <v>710</v>
      </c>
      <c r="B278" s="56" t="s">
        <v>711</v>
      </c>
      <c r="C278" s="4"/>
      <c r="D278" s="3"/>
      <c r="E278" s="3"/>
      <c r="F278" s="57" t="s">
        <v>168</v>
      </c>
      <c r="G278" s="58">
        <v>84.74306</v>
      </c>
      <c r="H278" s="58">
        <v>-2.26953</v>
      </c>
      <c r="I278" s="6" t="s">
        <v>350</v>
      </c>
      <c r="J278" s="6" t="s">
        <v>712</v>
      </c>
      <c r="K278" s="58">
        <v>3.0</v>
      </c>
      <c r="L278" s="5"/>
      <c r="M278" s="59">
        <v>2.0</v>
      </c>
      <c r="N278" s="61">
        <v>398.692289291125</v>
      </c>
      <c r="O278" s="61">
        <v>0.665</v>
      </c>
      <c r="P278" s="61">
        <v>0.067</v>
      </c>
      <c r="Q278" s="61">
        <v>0.458</v>
      </c>
      <c r="R278" s="61">
        <v>0.057</v>
      </c>
      <c r="S278" s="60">
        <v>26.0964</v>
      </c>
      <c r="T278" s="60">
        <v>0.126643</v>
      </c>
      <c r="U278" s="5"/>
      <c r="V278" s="5"/>
      <c r="W278" s="60">
        <v>0.1511</v>
      </c>
      <c r="X278" s="5"/>
      <c r="Y278" s="109" t="s">
        <v>351</v>
      </c>
      <c r="Z278" s="60">
        <v>14.62</v>
      </c>
      <c r="AA278" s="60">
        <v>0.02</v>
      </c>
      <c r="AB278" s="60">
        <v>12.338</v>
      </c>
      <c r="AC278" s="60">
        <v>0.028</v>
      </c>
      <c r="AD278" s="60">
        <v>11.561</v>
      </c>
      <c r="AE278" s="60">
        <v>0.026</v>
      </c>
      <c r="AF278" s="60">
        <v>11.282</v>
      </c>
      <c r="AG278" s="60">
        <v>0.023</v>
      </c>
      <c r="AH278" s="6"/>
      <c r="AI278" s="6"/>
      <c r="AJ278" s="63" t="s">
        <v>702</v>
      </c>
      <c r="AK278" s="64" t="s">
        <v>708</v>
      </c>
      <c r="AL278" s="64">
        <v>2009.0</v>
      </c>
      <c r="AM278" s="64">
        <v>4.0</v>
      </c>
      <c r="AN278" s="102">
        <v>360.0</v>
      </c>
      <c r="AO278" s="13"/>
      <c r="AP278" s="64" t="s">
        <v>713</v>
      </c>
      <c r="AQ278" s="7"/>
      <c r="AR278" s="78">
        <v>3700.0</v>
      </c>
      <c r="AS278" s="64">
        <v>150.0</v>
      </c>
      <c r="AT278" s="79">
        <v>0.7</v>
      </c>
      <c r="AU278" s="7"/>
      <c r="AV278" s="64">
        <v>0.21</v>
      </c>
      <c r="AW278" s="7"/>
      <c r="AX278" s="73">
        <v>1.12</v>
      </c>
      <c r="AY278" s="7"/>
      <c r="AZ278" s="68" t="s">
        <v>596</v>
      </c>
      <c r="BA278" s="68" t="s">
        <v>597</v>
      </c>
      <c r="BB278" s="68">
        <v>-6.5</v>
      </c>
      <c r="BC278" s="68">
        <v>0.7</v>
      </c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2"/>
      <c r="DK278" s="12"/>
      <c r="DL278" s="12"/>
      <c r="DM278" s="69"/>
      <c r="DN278" s="69"/>
      <c r="DO278" s="69"/>
      <c r="DP278" s="69"/>
      <c r="DQ278" s="11"/>
      <c r="DR278" s="69"/>
      <c r="DS278" s="69"/>
      <c r="DT278" s="69"/>
      <c r="DU278" s="69"/>
      <c r="DV278" s="73"/>
      <c r="DW278" s="10"/>
      <c r="DX278" s="81">
        <f>10^-9.67</f>
        <v>0.000000000213796209</v>
      </c>
      <c r="DY278" s="7"/>
      <c r="DZ278" s="64" t="s">
        <v>269</v>
      </c>
      <c r="EA278" s="72" t="s">
        <v>354</v>
      </c>
      <c r="EB278" s="82" t="s">
        <v>705</v>
      </c>
    </row>
    <row r="279">
      <c r="A279" s="55" t="s">
        <v>714</v>
      </c>
      <c r="B279" s="56" t="s">
        <v>715</v>
      </c>
      <c r="C279" s="4"/>
      <c r="D279" s="3"/>
      <c r="E279" s="3"/>
      <c r="F279" s="57" t="s">
        <v>168</v>
      </c>
      <c r="G279" s="58">
        <v>84.78176</v>
      </c>
      <c r="H279" s="58">
        <v>-2.54423</v>
      </c>
      <c r="I279" s="6" t="s">
        <v>350</v>
      </c>
      <c r="J279" s="6" t="s">
        <v>712</v>
      </c>
      <c r="K279" s="58">
        <v>3.0</v>
      </c>
      <c r="L279" s="5"/>
      <c r="M279" s="59">
        <v>2.0</v>
      </c>
      <c r="N279" s="61">
        <v>400.914084111774</v>
      </c>
      <c r="O279" s="61">
        <v>1.924</v>
      </c>
      <c r="P279" s="61">
        <v>0.051</v>
      </c>
      <c r="Q279" s="61">
        <v>-1.508</v>
      </c>
      <c r="R279" s="61">
        <v>0.048</v>
      </c>
      <c r="S279" s="60">
        <v>29.88</v>
      </c>
      <c r="T279" s="60">
        <v>0.566</v>
      </c>
      <c r="U279" s="5"/>
      <c r="V279" s="5"/>
      <c r="W279" s="60">
        <v>0.197</v>
      </c>
      <c r="X279" s="5"/>
      <c r="Y279" s="109" t="s">
        <v>351</v>
      </c>
      <c r="Z279" s="60">
        <v>13.18</v>
      </c>
      <c r="AA279" s="60">
        <v>0.01</v>
      </c>
      <c r="AB279" s="60">
        <v>11.298</v>
      </c>
      <c r="AC279" s="60">
        <v>0.026</v>
      </c>
      <c r="AD279" s="60">
        <v>10.573</v>
      </c>
      <c r="AE279" s="60">
        <v>0.024</v>
      </c>
      <c r="AF279" s="60">
        <v>10.26</v>
      </c>
      <c r="AG279" s="60">
        <v>0.023</v>
      </c>
      <c r="AH279" s="6"/>
      <c r="AI279" s="6"/>
      <c r="AJ279" s="63" t="s">
        <v>702</v>
      </c>
      <c r="AK279" s="64" t="s">
        <v>708</v>
      </c>
      <c r="AL279" s="64">
        <v>2009.0</v>
      </c>
      <c r="AM279" s="73">
        <v>4.0</v>
      </c>
      <c r="AN279" s="102">
        <v>360.0</v>
      </c>
      <c r="AO279" s="13"/>
      <c r="AP279" s="64" t="s">
        <v>716</v>
      </c>
      <c r="AQ279" s="7"/>
      <c r="AR279" s="78">
        <v>3700.0</v>
      </c>
      <c r="AS279" s="64">
        <v>150.0</v>
      </c>
      <c r="AT279" s="79">
        <v>0.8</v>
      </c>
      <c r="AU279" s="7"/>
      <c r="AV279" s="64">
        <v>0.5</v>
      </c>
      <c r="AW279" s="7"/>
      <c r="AX279" s="73">
        <v>1.73</v>
      </c>
      <c r="AY279" s="7"/>
      <c r="AZ279" s="68" t="s">
        <v>596</v>
      </c>
      <c r="BA279" s="68" t="s">
        <v>597</v>
      </c>
      <c r="BB279" s="68">
        <v>-4.21</v>
      </c>
      <c r="BC279" s="68">
        <v>2.0</v>
      </c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97"/>
      <c r="DW279" s="10"/>
      <c r="DX279" s="81">
        <f>10^-10.61</f>
        <v>0</v>
      </c>
      <c r="DY279" s="7"/>
      <c r="DZ279" s="64" t="s">
        <v>269</v>
      </c>
      <c r="EA279" s="72" t="s">
        <v>354</v>
      </c>
      <c r="EB279" s="82" t="s">
        <v>705</v>
      </c>
    </row>
    <row r="280">
      <c r="A280" s="55" t="s">
        <v>714</v>
      </c>
      <c r="B280" s="56" t="s">
        <v>715</v>
      </c>
      <c r="C280" s="4"/>
      <c r="D280" s="3"/>
      <c r="E280" s="3"/>
      <c r="F280" s="57" t="s">
        <v>168</v>
      </c>
      <c r="G280" s="58">
        <v>84.78176</v>
      </c>
      <c r="H280" s="58">
        <v>-2.54423</v>
      </c>
      <c r="I280" s="6" t="s">
        <v>350</v>
      </c>
      <c r="J280" s="6" t="s">
        <v>712</v>
      </c>
      <c r="K280" s="58">
        <v>3.0</v>
      </c>
      <c r="L280" s="5"/>
      <c r="M280" s="59">
        <v>2.0</v>
      </c>
      <c r="N280" s="61">
        <v>400.914084111774</v>
      </c>
      <c r="O280" s="61">
        <v>1.924</v>
      </c>
      <c r="P280" s="61">
        <v>0.051</v>
      </c>
      <c r="Q280" s="61">
        <v>-1.508</v>
      </c>
      <c r="R280" s="61">
        <v>0.048</v>
      </c>
      <c r="S280" s="60">
        <v>29.88</v>
      </c>
      <c r="T280" s="60">
        <v>0.566</v>
      </c>
      <c r="U280" s="5"/>
      <c r="V280" s="5"/>
      <c r="W280" s="60">
        <v>0.197</v>
      </c>
      <c r="X280" s="5"/>
      <c r="Y280" s="83" t="s">
        <v>351</v>
      </c>
      <c r="Z280" s="60">
        <v>13.18</v>
      </c>
      <c r="AA280" s="60">
        <v>0.01</v>
      </c>
      <c r="AB280" s="60">
        <v>11.298</v>
      </c>
      <c r="AC280" s="60">
        <v>0.026</v>
      </c>
      <c r="AD280" s="60">
        <v>10.573</v>
      </c>
      <c r="AE280" s="60">
        <v>0.024</v>
      </c>
      <c r="AF280" s="60">
        <v>10.26</v>
      </c>
      <c r="AG280" s="60">
        <v>0.023</v>
      </c>
      <c r="AH280" s="6"/>
      <c r="AI280" s="6"/>
      <c r="AJ280" s="63" t="s">
        <v>702</v>
      </c>
      <c r="AK280" s="64" t="s">
        <v>703</v>
      </c>
      <c r="AL280" s="64">
        <v>2004.0</v>
      </c>
      <c r="AM280" s="64">
        <v>4.0</v>
      </c>
      <c r="AN280" s="102">
        <v>360.0</v>
      </c>
      <c r="AO280" s="13"/>
      <c r="AP280" s="64" t="s">
        <v>716</v>
      </c>
      <c r="AQ280" s="7"/>
      <c r="AR280" s="78">
        <v>3700.0</v>
      </c>
      <c r="AS280" s="64">
        <v>150.0</v>
      </c>
      <c r="AT280" s="79">
        <v>0.8</v>
      </c>
      <c r="AU280" s="7"/>
      <c r="AV280" s="64">
        <v>0.5</v>
      </c>
      <c r="AW280" s="7"/>
      <c r="AX280" s="73">
        <v>1.73</v>
      </c>
      <c r="AY280" s="7"/>
      <c r="AZ280" s="68" t="s">
        <v>596</v>
      </c>
      <c r="BA280" s="68" t="s">
        <v>597</v>
      </c>
      <c r="BB280" s="68">
        <v>-13.19</v>
      </c>
      <c r="BC280" s="68">
        <v>1.38</v>
      </c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97"/>
      <c r="DW280" s="10"/>
      <c r="DX280" s="81">
        <f>10^-8</f>
        <v>0.00000001</v>
      </c>
      <c r="DY280" s="7"/>
      <c r="DZ280" s="64" t="s">
        <v>269</v>
      </c>
      <c r="EA280" s="72" t="s">
        <v>354</v>
      </c>
      <c r="EB280" s="82" t="s">
        <v>705</v>
      </c>
    </row>
    <row r="281">
      <c r="A281" s="74" t="s">
        <v>592</v>
      </c>
      <c r="B281" s="99" t="s">
        <v>592</v>
      </c>
      <c r="C281" s="3" t="s">
        <v>156</v>
      </c>
      <c r="D281" s="57">
        <v>0.225</v>
      </c>
      <c r="E281" s="57" t="s">
        <v>137</v>
      </c>
      <c r="F281" s="57" t="s">
        <v>157</v>
      </c>
      <c r="G281" s="58">
        <v>212.0423105</v>
      </c>
      <c r="H281" s="58">
        <v>-41.39793796</v>
      </c>
      <c r="I281" s="6" t="s">
        <v>593</v>
      </c>
      <c r="J281" s="6" t="s">
        <v>169</v>
      </c>
      <c r="K281" s="58">
        <v>5.4</v>
      </c>
      <c r="L281" s="60"/>
      <c r="M281" s="60">
        <v>2.0</v>
      </c>
      <c r="N281" s="60">
        <v>113.43</v>
      </c>
      <c r="O281" s="60">
        <v>-29.661</v>
      </c>
      <c r="P281" s="60">
        <v>0.066</v>
      </c>
      <c r="Q281" s="60">
        <v>-23.823</v>
      </c>
      <c r="R281" s="60">
        <v>0.064</v>
      </c>
      <c r="S281" s="5"/>
      <c r="T281" s="5"/>
      <c r="U281" s="60">
        <v>3.3</v>
      </c>
      <c r="V281" s="5"/>
      <c r="W281" s="5"/>
      <c r="X281" s="5"/>
      <c r="Y281" s="83" t="s">
        <v>717</v>
      </c>
      <c r="Z281" s="5"/>
      <c r="AA281" s="5"/>
      <c r="AB281" s="5"/>
      <c r="AC281" s="5"/>
      <c r="AD281" s="5"/>
      <c r="AE281" s="5"/>
      <c r="AF281" s="5"/>
      <c r="AG281" s="5"/>
      <c r="AH281" s="6"/>
      <c r="AI281" s="5"/>
      <c r="AJ281" s="76" t="s">
        <v>717</v>
      </c>
      <c r="AK281" s="64" t="s">
        <v>595</v>
      </c>
      <c r="AL281" s="64">
        <v>2018.0</v>
      </c>
      <c r="AM281" s="7"/>
      <c r="AN281" s="77">
        <v>113.0</v>
      </c>
      <c r="AO281" s="7"/>
      <c r="AP281" s="7"/>
      <c r="AQ281" s="7"/>
      <c r="AR281" s="9"/>
      <c r="AS281" s="13"/>
      <c r="AT281" s="67">
        <v>0.010500537</v>
      </c>
      <c r="AU281" s="70">
        <v>0.0047729712</v>
      </c>
      <c r="AV281" s="13"/>
      <c r="AW281" s="7"/>
      <c r="AX281" s="70">
        <v>0.20552537</v>
      </c>
      <c r="AY281" s="7"/>
      <c r="AZ281" s="11" t="s">
        <v>162</v>
      </c>
      <c r="BA281" s="68" t="s">
        <v>718</v>
      </c>
      <c r="BB281" s="11"/>
      <c r="BC281" s="11"/>
      <c r="BD281" s="80">
        <v>3.1E-16</v>
      </c>
      <c r="BE281" s="80">
        <v>3.0E-17</v>
      </c>
      <c r="BF281" s="11"/>
      <c r="BG281" s="11"/>
      <c r="BH281" s="80">
        <v>1.6E-16</v>
      </c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69"/>
      <c r="DN281" s="69"/>
      <c r="DO281" s="69"/>
      <c r="DP281" s="69"/>
      <c r="DQ281" s="11"/>
      <c r="DR281" s="69"/>
      <c r="DS281" s="69"/>
      <c r="DT281" s="69"/>
      <c r="DU281" s="69"/>
      <c r="DV281" s="7"/>
      <c r="DW281" s="10"/>
      <c r="DX281" s="71">
        <v>9.5459E-11</v>
      </c>
      <c r="DY281" s="7"/>
      <c r="DZ281" s="64" t="s">
        <v>719</v>
      </c>
      <c r="EA281" s="7"/>
      <c r="EB281" s="64" t="s">
        <v>720</v>
      </c>
    </row>
    <row r="282">
      <c r="A282" s="55" t="s">
        <v>600</v>
      </c>
      <c r="B282" s="56" t="s">
        <v>600</v>
      </c>
      <c r="C282" s="3" t="s">
        <v>156</v>
      </c>
      <c r="D282" s="57">
        <v>0.178</v>
      </c>
      <c r="E282" s="57" t="s">
        <v>137</v>
      </c>
      <c r="F282" s="57" t="s">
        <v>157</v>
      </c>
      <c r="G282" s="58">
        <v>212.0423105</v>
      </c>
      <c r="H282" s="58">
        <v>-41.39793796</v>
      </c>
      <c r="I282" s="6" t="s">
        <v>593</v>
      </c>
      <c r="J282" s="6" t="s">
        <v>169</v>
      </c>
      <c r="K282" s="58">
        <v>5.4</v>
      </c>
      <c r="L282" s="60"/>
      <c r="M282" s="60">
        <v>2.0</v>
      </c>
      <c r="N282" s="60">
        <v>113.43</v>
      </c>
      <c r="O282" s="60">
        <v>-29.661</v>
      </c>
      <c r="P282" s="60">
        <v>0.066</v>
      </c>
      <c r="Q282" s="60">
        <v>-23.823</v>
      </c>
      <c r="R282" s="60">
        <v>0.064</v>
      </c>
      <c r="S282" s="5"/>
      <c r="T282" s="5"/>
      <c r="U282" s="60">
        <v>3.3</v>
      </c>
      <c r="V282" s="5"/>
      <c r="W282" s="5"/>
      <c r="X282" s="5"/>
      <c r="Y282" s="83" t="s">
        <v>717</v>
      </c>
      <c r="Z282" s="5"/>
      <c r="AA282" s="5"/>
      <c r="AB282" s="5"/>
      <c r="AC282" s="5"/>
      <c r="AD282" s="5"/>
      <c r="AE282" s="5"/>
      <c r="AF282" s="5"/>
      <c r="AG282" s="5"/>
      <c r="AH282" s="6"/>
      <c r="AI282" s="5"/>
      <c r="AJ282" s="76" t="s">
        <v>717</v>
      </c>
      <c r="AK282" s="64" t="s">
        <v>595</v>
      </c>
      <c r="AL282" s="64">
        <v>2018.0</v>
      </c>
      <c r="AM282" s="7"/>
      <c r="AN282" s="77">
        <v>113.0</v>
      </c>
      <c r="AO282" s="7"/>
      <c r="AP282" s="7"/>
      <c r="AQ282" s="7"/>
      <c r="AR282" s="9"/>
      <c r="AS282" s="13"/>
      <c r="AT282" s="67">
        <v>0.011455131</v>
      </c>
      <c r="AU282" s="70">
        <v>0.0028637827</v>
      </c>
      <c r="AV282" s="13"/>
      <c r="AW282" s="7"/>
      <c r="AX282" s="70">
        <v>0.20552537</v>
      </c>
      <c r="AY282" s="7"/>
      <c r="AZ282" s="11" t="s">
        <v>162</v>
      </c>
      <c r="BA282" s="68" t="s">
        <v>718</v>
      </c>
      <c r="BB282" s="11"/>
      <c r="BC282" s="11"/>
      <c r="BD282" s="80">
        <v>8.1E-16</v>
      </c>
      <c r="BE282" s="80">
        <v>3.0E-17</v>
      </c>
      <c r="BF282" s="11"/>
      <c r="BG282" s="11"/>
      <c r="BH282" s="80">
        <v>2.3E-16</v>
      </c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69"/>
      <c r="DN282" s="69"/>
      <c r="DO282" s="69"/>
      <c r="DP282" s="69"/>
      <c r="DQ282" s="11"/>
      <c r="DR282" s="69"/>
      <c r="DS282" s="69"/>
      <c r="DT282" s="69"/>
      <c r="DU282" s="69"/>
      <c r="DV282" s="7"/>
      <c r="DW282" s="10"/>
      <c r="DX282" s="81">
        <v>4.77E-10</v>
      </c>
      <c r="DY282" s="7"/>
      <c r="DZ282" s="64" t="s">
        <v>719</v>
      </c>
      <c r="EA282" s="7"/>
      <c r="EB282" s="64" t="s">
        <v>720</v>
      </c>
    </row>
    <row r="283">
      <c r="A283" s="74" t="s">
        <v>601</v>
      </c>
      <c r="B283" s="56" t="s">
        <v>602</v>
      </c>
      <c r="C283" s="3" t="s">
        <v>156</v>
      </c>
      <c r="D283" s="57">
        <v>1.77</v>
      </c>
      <c r="E283" s="4"/>
      <c r="F283" s="57" t="s">
        <v>157</v>
      </c>
      <c r="G283" s="60">
        <v>51.8958</v>
      </c>
      <c r="H283" s="60">
        <v>-55.2656</v>
      </c>
      <c r="I283" s="115" t="s">
        <v>603</v>
      </c>
      <c r="J283" s="5"/>
      <c r="K283" s="60">
        <v>30.0</v>
      </c>
      <c r="L283" s="60"/>
      <c r="M283" s="60"/>
      <c r="N283" s="6"/>
      <c r="O283" s="60">
        <v>100.2</v>
      </c>
      <c r="P283" s="60">
        <v>2.0</v>
      </c>
      <c r="Q283" s="60">
        <v>-47.0</v>
      </c>
      <c r="R283" s="60">
        <v>2.4</v>
      </c>
      <c r="S283" s="60">
        <v>4.0</v>
      </c>
      <c r="T283" s="60">
        <v>2.0</v>
      </c>
      <c r="U283" s="60">
        <v>0.0582</v>
      </c>
      <c r="V283" s="5"/>
      <c r="W283" s="5"/>
      <c r="X283" s="5"/>
      <c r="Y283" s="83" t="s">
        <v>604</v>
      </c>
      <c r="Z283" s="5"/>
      <c r="AA283" s="5"/>
      <c r="AB283" s="60">
        <v>15.4</v>
      </c>
      <c r="AC283" s="60">
        <v>0.3</v>
      </c>
      <c r="AD283" s="60">
        <v>14.2</v>
      </c>
      <c r="AE283" s="60">
        <v>0.2</v>
      </c>
      <c r="AF283" s="60">
        <v>13.6</v>
      </c>
      <c r="AG283" s="60">
        <v>0.2</v>
      </c>
      <c r="AH283" s="6"/>
      <c r="AI283" s="5"/>
      <c r="AJ283" s="76" t="s">
        <v>605</v>
      </c>
      <c r="AK283" s="13" t="s">
        <v>595</v>
      </c>
      <c r="AL283" s="64">
        <v>2018.0</v>
      </c>
      <c r="AM283" s="7"/>
      <c r="AN283" s="77">
        <v>47.2</v>
      </c>
      <c r="AO283" s="64">
        <v>3.1</v>
      </c>
      <c r="AP283" s="7" t="s">
        <v>193</v>
      </c>
      <c r="AQ283" s="7"/>
      <c r="AR283" s="116">
        <v>1801.0</v>
      </c>
      <c r="AS283" s="7"/>
      <c r="AT283" s="67">
        <v>0.012</v>
      </c>
      <c r="AU283" s="7"/>
      <c r="AV283" s="13">
        <v>2.6302679918953814E-4</v>
      </c>
      <c r="AW283" s="7"/>
      <c r="AX283" s="73">
        <v>0.163</v>
      </c>
      <c r="AY283" s="7"/>
      <c r="AZ283" s="68" t="s">
        <v>162</v>
      </c>
      <c r="BA283" s="118" t="s">
        <v>721</v>
      </c>
      <c r="BB283" s="68">
        <v>-135.0</v>
      </c>
      <c r="BC283" s="68">
        <v>5.0</v>
      </c>
      <c r="BD283" s="80">
        <v>1.28E-15</v>
      </c>
      <c r="BE283" s="80">
        <v>7.0E-17</v>
      </c>
      <c r="BF283" s="11"/>
      <c r="BG283" s="11"/>
      <c r="BH283" s="80">
        <v>1.39E-16</v>
      </c>
      <c r="BI283" s="80">
        <v>1.0E-17</v>
      </c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68">
        <v>-1.9</v>
      </c>
      <c r="CY283" s="68">
        <v>0.2</v>
      </c>
      <c r="CZ283" s="80">
        <v>1.8E-17</v>
      </c>
      <c r="DA283" s="80">
        <v>3.0E-18</v>
      </c>
      <c r="DB283" s="68">
        <v>-1.0</v>
      </c>
      <c r="DC283" s="68">
        <v>0.1</v>
      </c>
      <c r="DD283" s="80">
        <v>1.5E-17</v>
      </c>
      <c r="DE283" s="80">
        <v>4.0E-18</v>
      </c>
      <c r="DF283" s="11"/>
      <c r="DG283" s="11"/>
      <c r="DH283" s="11"/>
      <c r="DI283" s="11"/>
      <c r="DJ283" s="11"/>
      <c r="DK283" s="11"/>
      <c r="DL283" s="11"/>
      <c r="DM283" s="12"/>
      <c r="DN283" s="12"/>
      <c r="DO283" s="12"/>
      <c r="DP283" s="12"/>
      <c r="DQ283" s="11"/>
      <c r="DR283" s="12"/>
      <c r="DS283" s="12"/>
      <c r="DT283" s="12"/>
      <c r="DU283" s="12"/>
      <c r="DV283" s="64">
        <v>-6.23</v>
      </c>
      <c r="DW283" s="98">
        <v>0.41</v>
      </c>
      <c r="DX283" s="81">
        <v>3.551086756338838E-7</v>
      </c>
      <c r="DY283" s="114"/>
      <c r="DZ283" s="114" t="s">
        <v>476</v>
      </c>
      <c r="EA283" s="64" t="s">
        <v>722</v>
      </c>
      <c r="EB283" s="7"/>
    </row>
    <row r="284">
      <c r="A284" s="74" t="s">
        <v>601</v>
      </c>
      <c r="B284" s="56" t="s">
        <v>602</v>
      </c>
      <c r="C284" s="3" t="s">
        <v>156</v>
      </c>
      <c r="D284" s="57">
        <v>1.77</v>
      </c>
      <c r="E284" s="4"/>
      <c r="F284" s="57" t="s">
        <v>157</v>
      </c>
      <c r="G284" s="60">
        <v>51.8958</v>
      </c>
      <c r="H284" s="60">
        <v>-55.2656</v>
      </c>
      <c r="I284" s="115" t="s">
        <v>603</v>
      </c>
      <c r="J284" s="5"/>
      <c r="K284" s="60">
        <v>30.0</v>
      </c>
      <c r="L284" s="60"/>
      <c r="M284" s="60"/>
      <c r="N284" s="6"/>
      <c r="O284" s="60">
        <v>100.2</v>
      </c>
      <c r="P284" s="60">
        <v>2.0</v>
      </c>
      <c r="Q284" s="60">
        <v>-47.0</v>
      </c>
      <c r="R284" s="60">
        <v>2.4</v>
      </c>
      <c r="S284" s="60">
        <v>4.0</v>
      </c>
      <c r="T284" s="60">
        <v>2.0</v>
      </c>
      <c r="U284" s="60">
        <v>0.0582</v>
      </c>
      <c r="V284" s="5"/>
      <c r="W284" s="5"/>
      <c r="X284" s="5"/>
      <c r="Y284" s="83" t="s">
        <v>604</v>
      </c>
      <c r="Z284" s="5"/>
      <c r="AA284" s="5"/>
      <c r="AB284" s="60">
        <v>15.4</v>
      </c>
      <c r="AC284" s="60">
        <v>0.3</v>
      </c>
      <c r="AD284" s="60">
        <v>14.2</v>
      </c>
      <c r="AE284" s="60">
        <v>0.2</v>
      </c>
      <c r="AF284" s="60">
        <v>13.6</v>
      </c>
      <c r="AG284" s="60">
        <v>0.2</v>
      </c>
      <c r="AH284" s="6"/>
      <c r="AI284" s="5"/>
      <c r="AJ284" s="76" t="s">
        <v>605</v>
      </c>
      <c r="AK284" s="13" t="s">
        <v>595</v>
      </c>
      <c r="AL284" s="64">
        <v>2018.0</v>
      </c>
      <c r="AM284" s="7"/>
      <c r="AN284" s="77">
        <v>47.2</v>
      </c>
      <c r="AO284" s="64">
        <v>3.1</v>
      </c>
      <c r="AP284" s="7" t="s">
        <v>193</v>
      </c>
      <c r="AQ284" s="7"/>
      <c r="AR284" s="116">
        <v>1801.0</v>
      </c>
      <c r="AS284" s="7"/>
      <c r="AT284" s="67">
        <v>0.012</v>
      </c>
      <c r="AU284" s="7"/>
      <c r="AV284" s="13">
        <v>2.6302679918953814E-4</v>
      </c>
      <c r="AW284" s="7"/>
      <c r="AX284" s="73">
        <v>0.163</v>
      </c>
      <c r="AY284" s="7"/>
      <c r="AZ284" s="68" t="s">
        <v>162</v>
      </c>
      <c r="BA284" s="118" t="s">
        <v>721</v>
      </c>
      <c r="BB284" s="68">
        <v>-135.0</v>
      </c>
      <c r="BC284" s="68">
        <v>5.0</v>
      </c>
      <c r="BD284" s="80">
        <v>1.28E-15</v>
      </c>
      <c r="BE284" s="80">
        <v>7.0E-17</v>
      </c>
      <c r="BF284" s="11"/>
      <c r="BG284" s="11"/>
      <c r="BH284" s="80">
        <v>1.39E-16</v>
      </c>
      <c r="BI284" s="80">
        <v>1.0E-17</v>
      </c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68">
        <v>-1.9</v>
      </c>
      <c r="CY284" s="68">
        <v>0.2</v>
      </c>
      <c r="CZ284" s="80">
        <v>1.8E-17</v>
      </c>
      <c r="DA284" s="80">
        <v>3.0E-18</v>
      </c>
      <c r="DB284" s="68">
        <v>-1.0</v>
      </c>
      <c r="DC284" s="68">
        <v>0.1</v>
      </c>
      <c r="DD284" s="80">
        <v>1.5E-17</v>
      </c>
      <c r="DE284" s="80">
        <v>4.0E-18</v>
      </c>
      <c r="DF284" s="11"/>
      <c r="DG284" s="11"/>
      <c r="DH284" s="11"/>
      <c r="DI284" s="11"/>
      <c r="DJ284" s="11"/>
      <c r="DK284" s="11"/>
      <c r="DL284" s="11"/>
      <c r="DM284" s="12"/>
      <c r="DN284" s="12"/>
      <c r="DO284" s="12"/>
      <c r="DP284" s="12"/>
      <c r="DQ284" s="11"/>
      <c r="DR284" s="12"/>
      <c r="DS284" s="12"/>
      <c r="DT284" s="12"/>
      <c r="DU284" s="12"/>
      <c r="DV284" s="64">
        <v>-6.13</v>
      </c>
      <c r="DW284" s="98">
        <v>0.56</v>
      </c>
      <c r="DX284" s="81">
        <f>(0.000000008)*1048</f>
        <v>0.000008384</v>
      </c>
      <c r="DY284" s="114"/>
      <c r="DZ284" s="114" t="s">
        <v>723</v>
      </c>
      <c r="EA284" s="7"/>
      <c r="EB284" s="7"/>
    </row>
    <row r="285">
      <c r="A285" s="74" t="s">
        <v>185</v>
      </c>
      <c r="B285" s="56" t="s">
        <v>186</v>
      </c>
      <c r="C285" s="3" t="s">
        <v>156</v>
      </c>
      <c r="D285" s="57">
        <v>8.7</v>
      </c>
      <c r="E285" s="4"/>
      <c r="F285" s="57" t="s">
        <v>187</v>
      </c>
      <c r="G285" s="58">
        <v>246.8333</v>
      </c>
      <c r="H285" s="58">
        <v>-24.5831</v>
      </c>
      <c r="I285" s="6" t="s">
        <v>158</v>
      </c>
      <c r="J285" s="6" t="s">
        <v>189</v>
      </c>
      <c r="K285" s="58">
        <v>1.0</v>
      </c>
      <c r="L285" s="5"/>
      <c r="M285" s="5"/>
      <c r="N285" s="60"/>
      <c r="O285" s="60">
        <v>-5.9</v>
      </c>
      <c r="P285" s="60">
        <v>0.5</v>
      </c>
      <c r="Q285" s="60">
        <v>-24.4</v>
      </c>
      <c r="R285" s="60">
        <v>0.4</v>
      </c>
      <c r="S285" s="5"/>
      <c r="T285" s="5"/>
      <c r="U285" s="58">
        <v>1.77</v>
      </c>
      <c r="V285" s="58">
        <v>0.71</v>
      </c>
      <c r="W285" s="5"/>
      <c r="X285" s="5"/>
      <c r="Y285" s="75" t="s">
        <v>190</v>
      </c>
      <c r="Z285" s="5"/>
      <c r="AA285" s="6"/>
      <c r="AB285" s="60">
        <v>16.069</v>
      </c>
      <c r="AC285" s="60">
        <v>0.01</v>
      </c>
      <c r="AD285" s="61">
        <v>15.321</v>
      </c>
      <c r="AE285" s="61">
        <v>0.09</v>
      </c>
      <c r="AF285" s="59">
        <v>14.57</v>
      </c>
      <c r="AG285" s="60">
        <v>0.009</v>
      </c>
      <c r="AH285" s="6"/>
      <c r="AI285" s="6"/>
      <c r="AJ285" s="76" t="s">
        <v>191</v>
      </c>
      <c r="AK285" s="64" t="s">
        <v>192</v>
      </c>
      <c r="AL285" s="64">
        <v>2016.0</v>
      </c>
      <c r="AM285" s="64">
        <v>4.0</v>
      </c>
      <c r="AN285" s="77">
        <v>125.0</v>
      </c>
      <c r="AO285" s="64">
        <v>25.0</v>
      </c>
      <c r="AP285" s="13" t="s">
        <v>193</v>
      </c>
      <c r="AQ285" s="64">
        <v>1.0</v>
      </c>
      <c r="AR285" s="78">
        <v>2600.0</v>
      </c>
      <c r="AS285" s="64">
        <v>100.0</v>
      </c>
      <c r="AT285" s="79">
        <v>0.013</v>
      </c>
      <c r="AU285" s="64">
        <v>0.007</v>
      </c>
      <c r="AV285" s="13"/>
      <c r="AW285" s="7"/>
      <c r="AX285" s="73">
        <v>0.19</v>
      </c>
      <c r="AY285" s="7"/>
      <c r="AZ285" s="11" t="s">
        <v>162</v>
      </c>
      <c r="BA285" s="118" t="s">
        <v>721</v>
      </c>
      <c r="BB285" s="68">
        <v>-57.39</v>
      </c>
      <c r="BC285" s="68">
        <v>17.71</v>
      </c>
      <c r="BD285" s="80">
        <v>1.34E-15</v>
      </c>
      <c r="BE285" s="80">
        <v>5.0E-17</v>
      </c>
      <c r="BF285" s="68">
        <v>-46.9</v>
      </c>
      <c r="BG285" s="68">
        <v>4.21</v>
      </c>
      <c r="BH285" s="80">
        <v>2.19E-16</v>
      </c>
      <c r="BI285" s="80">
        <v>3.0E-18</v>
      </c>
      <c r="BJ285" s="68">
        <v>-23.06</v>
      </c>
      <c r="BK285" s="68">
        <v>2.28</v>
      </c>
      <c r="BL285" s="80">
        <v>6.57E-16</v>
      </c>
      <c r="BM285" s="80">
        <v>4.0E-18</v>
      </c>
      <c r="BN285" s="11"/>
      <c r="BO285" s="11"/>
      <c r="BP285" s="11"/>
      <c r="BQ285" s="11"/>
      <c r="BR285" s="11"/>
      <c r="BS285" s="11"/>
      <c r="BT285" s="11"/>
      <c r="BU285" s="11"/>
      <c r="BV285" s="68">
        <v>-9.37</v>
      </c>
      <c r="BW285" s="68">
        <v>0.44</v>
      </c>
      <c r="BX285" s="80">
        <v>8.93E-17</v>
      </c>
      <c r="BY285" s="80">
        <v>1.2E-18</v>
      </c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2"/>
      <c r="DK285" s="12"/>
      <c r="DL285" s="12"/>
      <c r="DM285" s="69"/>
      <c r="DN285" s="69"/>
      <c r="DO285" s="69"/>
      <c r="DP285" s="69"/>
      <c r="DQ285" s="11"/>
      <c r="DR285" s="68">
        <v>-6.97</v>
      </c>
      <c r="DS285" s="68">
        <v>0.5</v>
      </c>
      <c r="DT285" s="80">
        <v>1.61E-16</v>
      </c>
      <c r="DU285" s="80">
        <v>1.29E-16</v>
      </c>
      <c r="DV285" s="97">
        <v>-5.465973893943865</v>
      </c>
      <c r="DW285" s="10">
        <v>-6.031517051446064</v>
      </c>
      <c r="DX285" s="81">
        <v>1.61E-12</v>
      </c>
      <c r="DY285" s="114">
        <v>1.14E-12</v>
      </c>
      <c r="DZ285" s="64" t="s">
        <v>352</v>
      </c>
      <c r="EA285" s="82"/>
      <c r="EB285" s="82" t="s">
        <v>196</v>
      </c>
    </row>
    <row r="286">
      <c r="A286" s="107" t="s">
        <v>606</v>
      </c>
      <c r="B286" s="99" t="s">
        <v>607</v>
      </c>
      <c r="C286" s="4"/>
      <c r="D286" s="4"/>
      <c r="E286" s="4"/>
      <c r="F286" s="57" t="s">
        <v>187</v>
      </c>
      <c r="G286" s="61">
        <v>241.526224999999</v>
      </c>
      <c r="H286" s="61">
        <v>-23.5870458333333</v>
      </c>
      <c r="I286" s="60" t="s">
        <v>608</v>
      </c>
      <c r="J286" s="5"/>
      <c r="K286" s="61">
        <v>11.0</v>
      </c>
      <c r="L286" s="5"/>
      <c r="M286" s="59"/>
      <c r="N286" s="60"/>
      <c r="O286" s="60">
        <v>-6.6</v>
      </c>
      <c r="P286" s="60">
        <v>2.46</v>
      </c>
      <c r="Q286" s="60">
        <v>-19.21</v>
      </c>
      <c r="R286" s="60">
        <v>2.46</v>
      </c>
      <c r="S286" s="60"/>
      <c r="T286" s="60"/>
      <c r="U286" s="58"/>
      <c r="V286" s="5"/>
      <c r="W286" s="60">
        <v>0.1142</v>
      </c>
      <c r="X286" s="5"/>
      <c r="Y286" s="83" t="s">
        <v>351</v>
      </c>
      <c r="Z286" s="60"/>
      <c r="AA286" s="60"/>
      <c r="AB286" s="60">
        <v>16.107</v>
      </c>
      <c r="AC286" s="60">
        <v>0.11</v>
      </c>
      <c r="AD286" s="60">
        <v>15.544</v>
      </c>
      <c r="AE286" s="60">
        <v>0.13</v>
      </c>
      <c r="AF286" s="60">
        <v>15.052</v>
      </c>
      <c r="AG286" s="60">
        <v>0.161</v>
      </c>
      <c r="AH286" s="6"/>
      <c r="AI286" s="96"/>
      <c r="AJ286" s="76" t="s">
        <v>609</v>
      </c>
      <c r="AK286" s="64" t="s">
        <v>610</v>
      </c>
      <c r="AL286" s="117">
        <v>41791.0</v>
      </c>
      <c r="AM286" s="64">
        <v>4.36</v>
      </c>
      <c r="AN286" s="77">
        <v>146.0</v>
      </c>
      <c r="AO286" s="64">
        <v>3.0</v>
      </c>
      <c r="AP286" s="64" t="s">
        <v>193</v>
      </c>
      <c r="AQ286" s="13"/>
      <c r="AR286" s="66">
        <v>2519.0</v>
      </c>
      <c r="AS286" s="70">
        <v>141.0</v>
      </c>
      <c r="AT286" s="79">
        <f t="shared" ref="AT286:AT287" si="13">15.2/1043</f>
        <v>0.01457334612</v>
      </c>
      <c r="AU286" s="73">
        <f t="shared" ref="AU286:AU287" si="14">1.1/1043</f>
        <v>0.001054650048</v>
      </c>
      <c r="AV286" s="13">
        <f t="shared" ref="AV286:AV287" si="15">10^-3.11</f>
        <v>0.0007762471166</v>
      </c>
      <c r="AW286" s="13">
        <f t="shared" ref="AW286:AW287" si="16">(AV286*0.16)/0.434</f>
        <v>0.0002861740522</v>
      </c>
      <c r="AX286" s="73">
        <f t="shared" ref="AX286:AX287" si="17">1.63/9.731</f>
        <v>0.167505909</v>
      </c>
      <c r="AY286" s="73">
        <f t="shared" ref="AY286:AY287" si="18">0.15/9.731</f>
        <v>0.0154146542</v>
      </c>
      <c r="AZ286" s="11" t="s">
        <v>162</v>
      </c>
      <c r="BA286" s="118" t="s">
        <v>721</v>
      </c>
      <c r="BB286" s="11"/>
      <c r="BC286" s="11"/>
      <c r="BD286" s="80">
        <v>5.3E-17</v>
      </c>
      <c r="BE286" s="80">
        <v>1.9E-17</v>
      </c>
      <c r="BF286" s="11"/>
      <c r="BG286" s="11"/>
      <c r="BH286" s="80">
        <v>2.3E-17</v>
      </c>
      <c r="BI286" s="80">
        <v>1.7E-17</v>
      </c>
      <c r="BJ286" s="11"/>
      <c r="BK286" s="11"/>
      <c r="BL286" s="80">
        <v>1.4E-17</v>
      </c>
      <c r="BM286" s="80">
        <v>1.4E-17</v>
      </c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68" t="s">
        <v>724</v>
      </c>
      <c r="DI286" s="11"/>
      <c r="DJ286" s="11"/>
      <c r="DK286" s="68" t="s">
        <v>625</v>
      </c>
      <c r="DL286" s="11"/>
      <c r="DM286" s="69"/>
      <c r="DN286" s="69"/>
      <c r="DO286" s="69"/>
      <c r="DP286" s="69"/>
      <c r="DQ286" s="11"/>
      <c r="DR286" s="69"/>
      <c r="DS286" s="69"/>
      <c r="DT286" s="69"/>
      <c r="DU286" s="69"/>
      <c r="DV286" s="64">
        <v>-6.69</v>
      </c>
      <c r="DW286" s="98">
        <v>0.16</v>
      </c>
      <c r="DX286" s="81">
        <f>10^(-12.88)</f>
        <v>0</v>
      </c>
      <c r="DY286" s="92">
        <f>(DX286*0.36)/0.434</f>
        <v>0</v>
      </c>
      <c r="DZ286" s="64" t="s">
        <v>476</v>
      </c>
      <c r="EA286" s="7"/>
      <c r="EB286" s="7"/>
    </row>
    <row r="287">
      <c r="A287" s="107" t="s">
        <v>606</v>
      </c>
      <c r="B287" s="99" t="s">
        <v>607</v>
      </c>
      <c r="C287" s="4"/>
      <c r="D287" s="4"/>
      <c r="E287" s="4"/>
      <c r="F287" s="57" t="s">
        <v>187</v>
      </c>
      <c r="G287" s="61">
        <v>241.526224999999</v>
      </c>
      <c r="H287" s="61">
        <v>-23.5870458333333</v>
      </c>
      <c r="I287" s="60" t="s">
        <v>608</v>
      </c>
      <c r="J287" s="5"/>
      <c r="K287" s="61">
        <v>11.0</v>
      </c>
      <c r="L287" s="5"/>
      <c r="M287" s="60"/>
      <c r="N287" s="60"/>
      <c r="O287" s="60">
        <v>-6.6</v>
      </c>
      <c r="P287" s="60">
        <v>2.46</v>
      </c>
      <c r="Q287" s="60">
        <v>-19.21</v>
      </c>
      <c r="R287" s="60">
        <v>2.46</v>
      </c>
      <c r="S287" s="60"/>
      <c r="T287" s="60"/>
      <c r="U287" s="58"/>
      <c r="V287" s="5"/>
      <c r="W287" s="60">
        <v>0.1142</v>
      </c>
      <c r="X287" s="5"/>
      <c r="Y287" s="83" t="s">
        <v>351</v>
      </c>
      <c r="Z287" s="60"/>
      <c r="AA287" s="60"/>
      <c r="AB287" s="60">
        <v>16.107</v>
      </c>
      <c r="AC287" s="60">
        <v>0.11</v>
      </c>
      <c r="AD287" s="60">
        <v>15.544</v>
      </c>
      <c r="AE287" s="60">
        <v>0.13</v>
      </c>
      <c r="AF287" s="60">
        <v>15.052</v>
      </c>
      <c r="AG287" s="60">
        <v>0.161</v>
      </c>
      <c r="AH287" s="6"/>
      <c r="AI287" s="96"/>
      <c r="AJ287" s="76" t="s">
        <v>609</v>
      </c>
      <c r="AK287" s="64" t="s">
        <v>610</v>
      </c>
      <c r="AL287" s="117">
        <v>41791.0</v>
      </c>
      <c r="AM287" s="64">
        <v>4.36</v>
      </c>
      <c r="AN287" s="77">
        <v>146.0</v>
      </c>
      <c r="AO287" s="64">
        <v>3.0</v>
      </c>
      <c r="AP287" s="64" t="s">
        <v>193</v>
      </c>
      <c r="AQ287" s="13"/>
      <c r="AR287" s="66">
        <v>2519.0</v>
      </c>
      <c r="AS287" s="70">
        <v>141.0</v>
      </c>
      <c r="AT287" s="79">
        <f t="shared" si="13"/>
        <v>0.01457334612</v>
      </c>
      <c r="AU287" s="73">
        <f t="shared" si="14"/>
        <v>0.001054650048</v>
      </c>
      <c r="AV287" s="13">
        <f t="shared" si="15"/>
        <v>0.0007762471166</v>
      </c>
      <c r="AW287" s="13">
        <f t="shared" si="16"/>
        <v>0.0002861740522</v>
      </c>
      <c r="AX287" s="73">
        <f t="shared" si="17"/>
        <v>0.167505909</v>
      </c>
      <c r="AY287" s="73">
        <f t="shared" si="18"/>
        <v>0.0154146542</v>
      </c>
      <c r="AZ287" s="11" t="s">
        <v>162</v>
      </c>
      <c r="BA287" s="118" t="s">
        <v>721</v>
      </c>
      <c r="BB287" s="11"/>
      <c r="BC287" s="11"/>
      <c r="BD287" s="80">
        <v>7.2E-17</v>
      </c>
      <c r="BE287" s="80">
        <v>1.7E-17</v>
      </c>
      <c r="BF287" s="11"/>
      <c r="BG287" s="11"/>
      <c r="BH287" s="80">
        <v>1.8E-17</v>
      </c>
      <c r="BI287" s="80">
        <v>1.1E-17</v>
      </c>
      <c r="BJ287" s="11"/>
      <c r="BK287" s="11"/>
      <c r="BL287" s="80">
        <v>2.2E-17</v>
      </c>
      <c r="BM287" s="80">
        <v>1.9E-17</v>
      </c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68" t="s">
        <v>725</v>
      </c>
      <c r="DI287" s="11"/>
      <c r="DJ287" s="11"/>
      <c r="DK287" s="68" t="s">
        <v>612</v>
      </c>
      <c r="DL287" s="11"/>
      <c r="DM287" s="69"/>
      <c r="DN287" s="69"/>
      <c r="DO287" s="69"/>
      <c r="DP287" s="69"/>
      <c r="DQ287" s="11"/>
      <c r="DR287" s="69"/>
      <c r="DS287" s="69"/>
      <c r="DT287" s="69"/>
      <c r="DU287" s="69"/>
      <c r="DV287" s="64">
        <v>-6.54</v>
      </c>
      <c r="DW287" s="98">
        <v>0.09</v>
      </c>
      <c r="DX287" s="81">
        <f>10^(-12.73)</f>
        <v>0</v>
      </c>
      <c r="DY287" s="92">
        <f t="shared" ref="DY287:DY288" si="19">(DX287*0.26)/0.434</f>
        <v>0</v>
      </c>
      <c r="DZ287" s="64" t="s">
        <v>476</v>
      </c>
      <c r="EA287" s="7"/>
      <c r="EB287" s="7"/>
    </row>
    <row r="288">
      <c r="A288" s="55" t="s">
        <v>613</v>
      </c>
      <c r="B288" s="56" t="s">
        <v>614</v>
      </c>
      <c r="C288" s="4"/>
      <c r="D288" s="4"/>
      <c r="E288" s="4"/>
      <c r="F288" s="57" t="s">
        <v>187</v>
      </c>
      <c r="G288" s="61">
        <v>242.118630833333</v>
      </c>
      <c r="H288" s="61">
        <v>-23.2528833333333</v>
      </c>
      <c r="I288" s="60" t="s">
        <v>608</v>
      </c>
      <c r="J288" s="5"/>
      <c r="K288" s="61">
        <v>10.0</v>
      </c>
      <c r="L288" s="5"/>
      <c r="M288" s="60">
        <v>2.0</v>
      </c>
      <c r="N288" s="60">
        <v>221.862312249018</v>
      </c>
      <c r="O288" s="60">
        <v>-5.664</v>
      </c>
      <c r="P288" s="60">
        <v>2.382</v>
      </c>
      <c r="Q288" s="60">
        <v>-23.504</v>
      </c>
      <c r="R288" s="60">
        <v>1.334</v>
      </c>
      <c r="S288" s="60"/>
      <c r="T288" s="60"/>
      <c r="U288" s="58"/>
      <c r="V288" s="5"/>
      <c r="W288" s="60">
        <v>0.1384</v>
      </c>
      <c r="X288" s="5"/>
      <c r="Y288" s="83" t="s">
        <v>351</v>
      </c>
      <c r="Z288" s="60"/>
      <c r="AA288" s="60"/>
      <c r="AB288" s="60">
        <v>15.482</v>
      </c>
      <c r="AC288" s="60">
        <v>0.06</v>
      </c>
      <c r="AD288" s="60">
        <v>14.775</v>
      </c>
      <c r="AE288" s="60">
        <v>0.048</v>
      </c>
      <c r="AF288" s="60">
        <v>14.205</v>
      </c>
      <c r="AG288" s="60">
        <v>0.07</v>
      </c>
      <c r="AH288" s="6"/>
      <c r="AI288" s="96"/>
      <c r="AJ288" s="76" t="s">
        <v>609</v>
      </c>
      <c r="AK288" s="64" t="s">
        <v>610</v>
      </c>
      <c r="AL288" s="117">
        <v>41791.0</v>
      </c>
      <c r="AM288" s="64">
        <v>4.16</v>
      </c>
      <c r="AN288" s="77">
        <f t="shared" ref="AN288:AN289" si="20">1000/4.5073</f>
        <v>221.8623122</v>
      </c>
      <c r="AO288" s="64"/>
      <c r="AP288" s="64" t="s">
        <v>615</v>
      </c>
      <c r="AQ288" s="13"/>
      <c r="AR288" s="66">
        <v>2487.0</v>
      </c>
      <c r="AS288" s="70">
        <v>147.0</v>
      </c>
      <c r="AT288" s="67">
        <v>0.0188</v>
      </c>
      <c r="AU288" s="73"/>
      <c r="AV288" s="13">
        <f t="shared" ref="AV288:AV289" si="21">10^-2.86</f>
        <v>0.001380384265</v>
      </c>
      <c r="AW288" s="13">
        <f t="shared" ref="AW288:AW289" si="22">(AV288*0.15)/0.434</f>
        <v>0.0004770913357</v>
      </c>
      <c r="AX288" s="73">
        <f t="shared" ref="AX288:AX289" si="23">2/9.731</f>
        <v>0.2055287226</v>
      </c>
      <c r="AY288" s="73">
        <f t="shared" ref="AY288:AY289" si="24">0.12/9.731</f>
        <v>0.01233172336</v>
      </c>
      <c r="AZ288" s="11" t="s">
        <v>162</v>
      </c>
      <c r="BA288" s="118" t="s">
        <v>721</v>
      </c>
      <c r="BB288" s="11"/>
      <c r="BC288" s="11"/>
      <c r="BD288" s="80">
        <v>7.65E-16</v>
      </c>
      <c r="BE288" s="80">
        <v>7.65E-16</v>
      </c>
      <c r="BF288" s="11"/>
      <c r="BG288" s="11"/>
      <c r="BH288" s="80">
        <v>1.07E-16</v>
      </c>
      <c r="BI288" s="80">
        <v>1.4E-17</v>
      </c>
      <c r="BJ288" s="11"/>
      <c r="BK288" s="11"/>
      <c r="BL288" s="80">
        <v>8.3E-17</v>
      </c>
      <c r="BM288" s="80">
        <v>1.4E-17</v>
      </c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68" t="s">
        <v>616</v>
      </c>
      <c r="DI288" s="11"/>
      <c r="DJ288" s="11"/>
      <c r="DK288" s="68" t="s">
        <v>617</v>
      </c>
      <c r="DL288" s="11"/>
      <c r="DM288" s="69"/>
      <c r="DN288" s="69"/>
      <c r="DO288" s="69"/>
      <c r="DP288" s="69"/>
      <c r="DQ288" s="11"/>
      <c r="DR288" s="69"/>
      <c r="DS288" s="69"/>
      <c r="DT288" s="69"/>
      <c r="DU288" s="69"/>
      <c r="DV288" s="64">
        <v>-6.34</v>
      </c>
      <c r="DW288" s="98">
        <v>0.04</v>
      </c>
      <c r="DX288" s="81">
        <f>10^(-12.68)</f>
        <v>0</v>
      </c>
      <c r="DY288" s="92">
        <f t="shared" si="19"/>
        <v>0</v>
      </c>
      <c r="DZ288" s="64" t="s">
        <v>476</v>
      </c>
      <c r="EA288" s="7"/>
      <c r="EB288" s="7"/>
    </row>
    <row r="289">
      <c r="A289" s="55" t="s">
        <v>613</v>
      </c>
      <c r="B289" s="56" t="s">
        <v>614</v>
      </c>
      <c r="C289" s="4"/>
      <c r="D289" s="4"/>
      <c r="E289" s="4"/>
      <c r="F289" s="57" t="s">
        <v>187</v>
      </c>
      <c r="G289" s="61">
        <v>242.118630833333</v>
      </c>
      <c r="H289" s="61">
        <v>-23.2528833333333</v>
      </c>
      <c r="I289" s="60" t="s">
        <v>608</v>
      </c>
      <c r="J289" s="5"/>
      <c r="K289" s="61">
        <v>10.0</v>
      </c>
      <c r="L289" s="5"/>
      <c r="M289" s="59">
        <v>2.0</v>
      </c>
      <c r="N289" s="60">
        <v>221.862312249018</v>
      </c>
      <c r="O289" s="60">
        <v>-5.664</v>
      </c>
      <c r="P289" s="60">
        <v>2.382</v>
      </c>
      <c r="Q289" s="60">
        <v>-23.504</v>
      </c>
      <c r="R289" s="60">
        <v>1.334</v>
      </c>
      <c r="S289" s="60"/>
      <c r="T289" s="60"/>
      <c r="U289" s="58"/>
      <c r="V289" s="5"/>
      <c r="W289" s="60">
        <v>0.1384</v>
      </c>
      <c r="X289" s="5"/>
      <c r="Y289" s="83" t="s">
        <v>351</v>
      </c>
      <c r="Z289" s="60"/>
      <c r="AA289" s="60"/>
      <c r="AB289" s="60">
        <v>15.482</v>
      </c>
      <c r="AC289" s="60">
        <v>0.06</v>
      </c>
      <c r="AD289" s="60">
        <v>14.775</v>
      </c>
      <c r="AE289" s="60">
        <v>0.048</v>
      </c>
      <c r="AF289" s="60">
        <v>14.205</v>
      </c>
      <c r="AG289" s="60">
        <v>0.07</v>
      </c>
      <c r="AH289" s="6"/>
      <c r="AI289" s="96"/>
      <c r="AJ289" s="76" t="s">
        <v>609</v>
      </c>
      <c r="AK289" s="64" t="s">
        <v>610</v>
      </c>
      <c r="AL289" s="117">
        <v>41791.0</v>
      </c>
      <c r="AM289" s="64">
        <v>4.16</v>
      </c>
      <c r="AN289" s="77">
        <f t="shared" si="20"/>
        <v>221.8623122</v>
      </c>
      <c r="AO289" s="64"/>
      <c r="AP289" s="64" t="s">
        <v>615</v>
      </c>
      <c r="AQ289" s="13"/>
      <c r="AR289" s="66">
        <v>2487.0</v>
      </c>
      <c r="AS289" s="70">
        <v>147.0</v>
      </c>
      <c r="AT289" s="67">
        <v>0.0188</v>
      </c>
      <c r="AU289" s="73"/>
      <c r="AV289" s="13">
        <f t="shared" si="21"/>
        <v>0.001380384265</v>
      </c>
      <c r="AW289" s="13">
        <f t="shared" si="22"/>
        <v>0.0004770913357</v>
      </c>
      <c r="AX289" s="73">
        <f t="shared" si="23"/>
        <v>0.2055287226</v>
      </c>
      <c r="AY289" s="73">
        <f t="shared" si="24"/>
        <v>0.01233172336</v>
      </c>
      <c r="AZ289" s="11" t="s">
        <v>162</v>
      </c>
      <c r="BA289" s="118" t="s">
        <v>721</v>
      </c>
      <c r="BB289" s="11"/>
      <c r="BC289" s="11"/>
      <c r="BD289" s="80">
        <v>1.199E-15</v>
      </c>
      <c r="BE289" s="80">
        <v>3.8E-17</v>
      </c>
      <c r="BF289" s="11"/>
      <c r="BG289" s="11"/>
      <c r="BH289" s="80">
        <v>1.85E-16</v>
      </c>
      <c r="BI289" s="80">
        <v>2.5E-17</v>
      </c>
      <c r="BJ289" s="11"/>
      <c r="BK289" s="11"/>
      <c r="BL289" s="80">
        <v>1.07E-16</v>
      </c>
      <c r="BM289" s="80">
        <v>2.3E-17</v>
      </c>
      <c r="BN289" s="68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68" t="s">
        <v>618</v>
      </c>
      <c r="DI289" s="11"/>
      <c r="DJ289" s="11"/>
      <c r="DK289" s="68" t="s">
        <v>617</v>
      </c>
      <c r="DL289" s="11"/>
      <c r="DM289" s="69"/>
      <c r="DN289" s="69"/>
      <c r="DO289" s="69"/>
      <c r="DP289" s="69"/>
      <c r="DQ289" s="11"/>
      <c r="DR289" s="69"/>
      <c r="DS289" s="69"/>
      <c r="DT289" s="69"/>
      <c r="DU289" s="69"/>
      <c r="DV289" s="64">
        <v>-5.16</v>
      </c>
      <c r="DW289" s="98">
        <v>0.03</v>
      </c>
      <c r="DX289" s="81">
        <f>10^(-11.5)</f>
        <v>0</v>
      </c>
      <c r="DY289" s="92">
        <f>(DX289*0.25)/0.434</f>
        <v>0</v>
      </c>
      <c r="DZ289" s="64" t="s">
        <v>476</v>
      </c>
      <c r="EA289" s="7"/>
      <c r="EB289" s="7"/>
    </row>
    <row r="290">
      <c r="A290" s="107" t="s">
        <v>619</v>
      </c>
      <c r="B290" s="99" t="s">
        <v>620</v>
      </c>
      <c r="C290" s="57" t="s">
        <v>156</v>
      </c>
      <c r="D290" s="57">
        <v>5.837</v>
      </c>
      <c r="E290" s="4"/>
      <c r="F290" s="57" t="s">
        <v>187</v>
      </c>
      <c r="G290" s="61">
        <v>242.634694583333</v>
      </c>
      <c r="H290" s="61">
        <v>-19.2189972222222</v>
      </c>
      <c r="I290" s="60" t="s">
        <v>608</v>
      </c>
      <c r="J290" s="5"/>
      <c r="K290" s="61">
        <v>10.0</v>
      </c>
      <c r="L290" s="5"/>
      <c r="M290" s="60">
        <v>2.0</v>
      </c>
      <c r="N290" s="60">
        <v>143.67816091954</v>
      </c>
      <c r="O290" s="60">
        <v>-7.043</v>
      </c>
      <c r="P290" s="60">
        <v>1.112</v>
      </c>
      <c r="Q290" s="60">
        <v>-24.982</v>
      </c>
      <c r="R290" s="60">
        <v>0.576</v>
      </c>
      <c r="S290" s="60"/>
      <c r="T290" s="60"/>
      <c r="U290" s="61">
        <v>0.13</v>
      </c>
      <c r="V290" s="5"/>
      <c r="W290" s="5"/>
      <c r="X290" s="5"/>
      <c r="Y290" s="83" t="s">
        <v>609</v>
      </c>
      <c r="Z290" s="60"/>
      <c r="AA290" s="60"/>
      <c r="AB290" s="60">
        <v>13.94</v>
      </c>
      <c r="AC290" s="60">
        <v>0.09</v>
      </c>
      <c r="AD290" s="60">
        <v>13.18</v>
      </c>
      <c r="AE290" s="60">
        <v>0.1</v>
      </c>
      <c r="AF290" s="60">
        <v>12.73</v>
      </c>
      <c r="AG290" s="60">
        <v>0.05</v>
      </c>
      <c r="AH290" s="6"/>
      <c r="AI290" s="96"/>
      <c r="AJ290" s="76" t="s">
        <v>609</v>
      </c>
      <c r="AK290" s="64" t="s">
        <v>610</v>
      </c>
      <c r="AL290" s="70">
        <v>2014.0</v>
      </c>
      <c r="AM290" s="64">
        <v>4.17</v>
      </c>
      <c r="AN290" s="77">
        <v>143.9</v>
      </c>
      <c r="AO290" s="64">
        <v>8.0</v>
      </c>
      <c r="AP290" s="64" t="s">
        <v>621</v>
      </c>
      <c r="AQ290" s="64">
        <v>0.5</v>
      </c>
      <c r="AR290" s="66">
        <v>2542.0</v>
      </c>
      <c r="AS290" s="70">
        <v>104.0</v>
      </c>
      <c r="AT290" s="67">
        <v>0.0190918</v>
      </c>
      <c r="AU290" s="70">
        <v>0.00477294</v>
      </c>
      <c r="AV290" s="13">
        <f>10^-2.25</f>
        <v>0.005623413252</v>
      </c>
      <c r="AW290" s="13">
        <f>(AV290*0.1)/0.434</f>
        <v>0.001295717339</v>
      </c>
      <c r="AX290" s="73">
        <f>3.87/9.731</f>
        <v>0.3976980783</v>
      </c>
      <c r="AY290" s="73">
        <f>0.24/9.731</f>
        <v>0.02466344672</v>
      </c>
      <c r="AZ290" s="11" t="s">
        <v>162</v>
      </c>
      <c r="BA290" s="118" t="s">
        <v>721</v>
      </c>
      <c r="BB290" s="11"/>
      <c r="BC290" s="11"/>
      <c r="BD290" s="80">
        <v>4.86E-16</v>
      </c>
      <c r="BE290" s="80">
        <v>2.6E-17</v>
      </c>
      <c r="BF290" s="11"/>
      <c r="BG290" s="11"/>
      <c r="BH290" s="80">
        <v>5.6E-16</v>
      </c>
      <c r="BI290" s="80">
        <v>2.1E-17</v>
      </c>
      <c r="BJ290" s="11"/>
      <c r="BK290" s="11"/>
      <c r="BL290" s="80">
        <v>2.3E-17</v>
      </c>
      <c r="BM290" s="80">
        <v>1.8E-17</v>
      </c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80">
        <v>2.3E-17</v>
      </c>
      <c r="DI290" s="80">
        <v>1.5E-17</v>
      </c>
      <c r="DJ290" s="11"/>
      <c r="DK290" s="80">
        <v>2.7E-17</v>
      </c>
      <c r="DL290" s="80">
        <v>1.1E-17</v>
      </c>
      <c r="DM290" s="69"/>
      <c r="DN290" s="69"/>
      <c r="DO290" s="69"/>
      <c r="DP290" s="69"/>
      <c r="DQ290" s="11"/>
      <c r="DR290" s="69"/>
      <c r="DS290" s="69"/>
      <c r="DT290" s="69"/>
      <c r="DU290" s="69"/>
      <c r="DV290" s="64">
        <v>-5.7</v>
      </c>
      <c r="DW290" s="98">
        <v>0.3</v>
      </c>
      <c r="DX290" s="81">
        <f>10^(-12.14)</f>
        <v>0</v>
      </c>
      <c r="DY290" s="92">
        <f>(DX290*0.37)/0.434</f>
        <v>0</v>
      </c>
      <c r="DZ290" s="64" t="s">
        <v>476</v>
      </c>
      <c r="EA290" s="7"/>
      <c r="EB290" s="7"/>
    </row>
    <row r="291">
      <c r="A291" s="74" t="s">
        <v>726</v>
      </c>
      <c r="B291" s="99" t="s">
        <v>727</v>
      </c>
      <c r="C291" s="57" t="s">
        <v>156</v>
      </c>
      <c r="D291" s="57">
        <v>21.8</v>
      </c>
      <c r="E291" s="4"/>
      <c r="F291" s="57" t="s">
        <v>187</v>
      </c>
      <c r="G291" s="61">
        <v>238.626994999999</v>
      </c>
      <c r="H291" s="61">
        <v>-27.3326069444444</v>
      </c>
      <c r="I291" s="60" t="s">
        <v>608</v>
      </c>
      <c r="J291" s="5"/>
      <c r="K291" s="61">
        <v>10.0</v>
      </c>
      <c r="L291" s="5"/>
      <c r="M291" s="60">
        <v>2.0</v>
      </c>
      <c r="N291" s="60">
        <v>191.281394058799</v>
      </c>
      <c r="O291" s="60">
        <v>-13.908</v>
      </c>
      <c r="P291" s="60">
        <v>1.517</v>
      </c>
      <c r="Q291" s="60">
        <v>-23.265</v>
      </c>
      <c r="R291" s="60">
        <v>1.097</v>
      </c>
      <c r="S291" s="60"/>
      <c r="T291" s="60"/>
      <c r="U291" s="61">
        <v>0.07</v>
      </c>
      <c r="V291" s="5"/>
      <c r="W291" s="5"/>
      <c r="X291" s="5"/>
      <c r="Y291" s="83" t="s">
        <v>609</v>
      </c>
      <c r="Z291" s="60"/>
      <c r="AA291" s="60"/>
      <c r="AB291" s="60"/>
      <c r="AC291" s="60"/>
      <c r="AD291" s="60">
        <v>14.524</v>
      </c>
      <c r="AE291" s="60">
        <v>0.006</v>
      </c>
      <c r="AF291" s="60">
        <v>14.038</v>
      </c>
      <c r="AG291" s="60">
        <v>0.05</v>
      </c>
      <c r="AH291" s="6"/>
      <c r="AI291" s="96"/>
      <c r="AJ291" s="76" t="s">
        <v>609</v>
      </c>
      <c r="AK291" s="64" t="s">
        <v>610</v>
      </c>
      <c r="AL291" s="117">
        <v>41730.0</v>
      </c>
      <c r="AM291" s="64">
        <v>4.36</v>
      </c>
      <c r="AN291" s="77">
        <v>150.8</v>
      </c>
      <c r="AO291" s="64">
        <v>3.0</v>
      </c>
      <c r="AP291" s="64" t="s">
        <v>621</v>
      </c>
      <c r="AQ291" s="64">
        <v>0.5</v>
      </c>
      <c r="AR291" s="66">
        <v>2602.0</v>
      </c>
      <c r="AS291" s="70">
        <v>117.0</v>
      </c>
      <c r="AT291" s="67">
        <v>0.0190918</v>
      </c>
      <c r="AU291" s="70">
        <v>0.00668212</v>
      </c>
      <c r="AV291" s="65">
        <f t="shared" ref="AV291:AV292" si="25">10^(-2.89)</f>
        <v>0.001288249552</v>
      </c>
      <c r="AW291" s="13">
        <f t="shared" ref="AW291:AW292" si="26">(AV291*0.15)/0.434</f>
        <v>0.0004452475409</v>
      </c>
      <c r="AX291" s="73">
        <f t="shared" ref="AX291:AX292" si="27">1.76/9.731</f>
        <v>0.1808652759</v>
      </c>
      <c r="AY291" s="73">
        <f t="shared" ref="AY291:AY292" si="28">0.15/9.731</f>
        <v>0.0154146542</v>
      </c>
      <c r="AZ291" s="11" t="s">
        <v>162</v>
      </c>
      <c r="BA291" s="118" t="s">
        <v>721</v>
      </c>
      <c r="BB291" s="11"/>
      <c r="BC291" s="11"/>
      <c r="BD291" s="80">
        <v>4.0E-17</v>
      </c>
      <c r="BE291" s="80">
        <v>1.5E-17</v>
      </c>
      <c r="BF291" s="11"/>
      <c r="BG291" s="11"/>
      <c r="BH291" s="80" t="s">
        <v>728</v>
      </c>
      <c r="BI291" s="11"/>
      <c r="BJ291" s="11"/>
      <c r="BK291" s="11"/>
      <c r="BL291" s="68" t="s">
        <v>729</v>
      </c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68" t="s">
        <v>730</v>
      </c>
      <c r="DI291" s="11"/>
      <c r="DJ291" s="11"/>
      <c r="DK291" s="68" t="s">
        <v>731</v>
      </c>
      <c r="DL291" s="11"/>
      <c r="DM291" s="69"/>
      <c r="DN291" s="69"/>
      <c r="DO291" s="69"/>
      <c r="DP291" s="69"/>
      <c r="DQ291" s="11"/>
      <c r="DR291" s="69"/>
      <c r="DS291" s="69"/>
      <c r="DT291" s="69"/>
      <c r="DU291" s="69"/>
      <c r="DV291" s="64">
        <v>-6.79</v>
      </c>
      <c r="DW291" s="98">
        <v>0.05</v>
      </c>
      <c r="DX291" s="81">
        <f>10^(-13.22)</f>
        <v>0</v>
      </c>
      <c r="DY291" s="92">
        <f>(DX291*0.3)/0.434</f>
        <v>0</v>
      </c>
      <c r="DZ291" s="64" t="s">
        <v>476</v>
      </c>
      <c r="EA291" s="7"/>
      <c r="EB291" s="7"/>
    </row>
    <row r="292">
      <c r="A292" s="74" t="s">
        <v>726</v>
      </c>
      <c r="B292" s="99" t="s">
        <v>727</v>
      </c>
      <c r="C292" s="57" t="s">
        <v>156</v>
      </c>
      <c r="D292" s="57">
        <v>21.8</v>
      </c>
      <c r="E292" s="4"/>
      <c r="F292" s="57" t="s">
        <v>187</v>
      </c>
      <c r="G292" s="61">
        <v>238.626994999999</v>
      </c>
      <c r="H292" s="61">
        <v>-27.3326069444444</v>
      </c>
      <c r="I292" s="60" t="s">
        <v>608</v>
      </c>
      <c r="J292" s="5"/>
      <c r="K292" s="61">
        <v>10.0</v>
      </c>
      <c r="L292" s="5"/>
      <c r="M292" s="60">
        <v>2.0</v>
      </c>
      <c r="N292" s="60">
        <v>191.281394058799</v>
      </c>
      <c r="O292" s="60">
        <v>-13.908</v>
      </c>
      <c r="P292" s="60">
        <v>1.517</v>
      </c>
      <c r="Q292" s="60">
        <v>-23.265</v>
      </c>
      <c r="R292" s="60">
        <v>1.097</v>
      </c>
      <c r="S292" s="60"/>
      <c r="T292" s="60"/>
      <c r="U292" s="61">
        <v>0.07</v>
      </c>
      <c r="V292" s="5"/>
      <c r="W292" s="5"/>
      <c r="X292" s="5"/>
      <c r="Y292" s="83" t="s">
        <v>609</v>
      </c>
      <c r="Z292" s="60"/>
      <c r="AA292" s="60"/>
      <c r="AB292" s="60"/>
      <c r="AC292" s="60"/>
      <c r="AD292" s="60">
        <v>14.524</v>
      </c>
      <c r="AE292" s="60">
        <v>0.006</v>
      </c>
      <c r="AF292" s="60">
        <v>14.038</v>
      </c>
      <c r="AG292" s="60">
        <v>0.05</v>
      </c>
      <c r="AH292" s="6"/>
      <c r="AI292" s="96"/>
      <c r="AJ292" s="76" t="s">
        <v>609</v>
      </c>
      <c r="AK292" s="64" t="s">
        <v>610</v>
      </c>
      <c r="AL292" s="117">
        <v>41730.0</v>
      </c>
      <c r="AM292" s="64">
        <v>4.36</v>
      </c>
      <c r="AN292" s="77">
        <v>150.8</v>
      </c>
      <c r="AO292" s="64">
        <v>3.0</v>
      </c>
      <c r="AP292" s="64" t="s">
        <v>621</v>
      </c>
      <c r="AQ292" s="64">
        <v>0.5</v>
      </c>
      <c r="AR292" s="66">
        <v>2602.0</v>
      </c>
      <c r="AS292" s="70">
        <v>117.0</v>
      </c>
      <c r="AT292" s="67">
        <v>0.0190918</v>
      </c>
      <c r="AU292" s="70">
        <v>0.00668212</v>
      </c>
      <c r="AV292" s="65">
        <f t="shared" si="25"/>
        <v>0.001288249552</v>
      </c>
      <c r="AW292" s="13">
        <f t="shared" si="26"/>
        <v>0.0004452475409</v>
      </c>
      <c r="AX292" s="73">
        <f t="shared" si="27"/>
        <v>0.1808652759</v>
      </c>
      <c r="AY292" s="73">
        <f t="shared" si="28"/>
        <v>0.0154146542</v>
      </c>
      <c r="AZ292" s="11" t="s">
        <v>162</v>
      </c>
      <c r="BA292" s="118" t="s">
        <v>721</v>
      </c>
      <c r="BB292" s="11"/>
      <c r="BC292" s="11"/>
      <c r="BD292" s="80">
        <v>5.8E-17</v>
      </c>
      <c r="BE292" s="80">
        <v>1.5E-17</v>
      </c>
      <c r="BF292" s="11"/>
      <c r="BG292" s="11"/>
      <c r="BH292" s="80" t="s">
        <v>732</v>
      </c>
      <c r="BI292" s="11"/>
      <c r="BJ292" s="11"/>
      <c r="BK292" s="11"/>
      <c r="BL292" s="80" t="s">
        <v>733</v>
      </c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68" t="s">
        <v>623</v>
      </c>
      <c r="DI292" s="11"/>
      <c r="DJ292" s="11"/>
      <c r="DK292" s="68" t="s">
        <v>734</v>
      </c>
      <c r="DL292" s="11"/>
      <c r="DM292" s="69"/>
      <c r="DN292" s="69"/>
      <c r="DO292" s="69"/>
      <c r="DP292" s="69"/>
      <c r="DQ292" s="11"/>
      <c r="DR292" s="69"/>
      <c r="DS292" s="69"/>
      <c r="DT292" s="69"/>
      <c r="DU292" s="69"/>
      <c r="DV292" s="64">
        <v>-6.62</v>
      </c>
      <c r="DW292" s="98">
        <v>0.02</v>
      </c>
      <c r="DX292" s="81">
        <f>10^(-13.04)</f>
        <v>0</v>
      </c>
      <c r="DY292" s="92">
        <f>(DX292*0.4)/0.434</f>
        <v>0</v>
      </c>
      <c r="DZ292" s="64" t="s">
        <v>476</v>
      </c>
      <c r="EA292" s="7"/>
      <c r="EB292" s="7"/>
    </row>
    <row r="293">
      <c r="A293" s="107" t="s">
        <v>735</v>
      </c>
      <c r="B293" s="99" t="s">
        <v>736</v>
      </c>
      <c r="C293" s="4"/>
      <c r="D293" s="4"/>
      <c r="E293" s="4"/>
      <c r="F293" s="57" t="s">
        <v>187</v>
      </c>
      <c r="G293" s="61">
        <v>242.696412499999</v>
      </c>
      <c r="H293" s="61">
        <v>-22.6637008333333</v>
      </c>
      <c r="I293" s="60" t="s">
        <v>608</v>
      </c>
      <c r="J293" s="5"/>
      <c r="K293" s="61">
        <v>10.0</v>
      </c>
      <c r="L293" s="5"/>
      <c r="M293" s="60">
        <v>2.0</v>
      </c>
      <c r="N293" s="60">
        <v>128.470304089209</v>
      </c>
      <c r="O293" s="60">
        <v>-10.793</v>
      </c>
      <c r="P293" s="60">
        <v>1.811</v>
      </c>
      <c r="Q293" s="60">
        <v>-26.984</v>
      </c>
      <c r="R293" s="60">
        <v>1.061</v>
      </c>
      <c r="S293" s="60"/>
      <c r="T293" s="60"/>
      <c r="U293" s="58"/>
      <c r="V293" s="5"/>
      <c r="W293" s="60">
        <v>0.1762</v>
      </c>
      <c r="X293" s="5"/>
      <c r="Y293" s="83" t="s">
        <v>351</v>
      </c>
      <c r="Z293" s="60"/>
      <c r="AA293" s="60"/>
      <c r="AB293" s="60">
        <v>15.254</v>
      </c>
      <c r="AC293" s="60">
        <v>0.003</v>
      </c>
      <c r="AD293" s="60">
        <v>14.573</v>
      </c>
      <c r="AE293" s="60">
        <v>0.054</v>
      </c>
      <c r="AF293" s="60">
        <v>14.025</v>
      </c>
      <c r="AG293" s="60">
        <v>0.058</v>
      </c>
      <c r="AH293" s="6"/>
      <c r="AI293" s="96"/>
      <c r="AJ293" s="76" t="s">
        <v>609</v>
      </c>
      <c r="AK293" s="64" t="s">
        <v>610</v>
      </c>
      <c r="AL293" s="117">
        <v>41791.0</v>
      </c>
      <c r="AM293" s="64">
        <v>4.01</v>
      </c>
      <c r="AN293" s="77">
        <v>128.5</v>
      </c>
      <c r="AO293" s="64">
        <v>15.4</v>
      </c>
      <c r="AP293" s="64" t="s">
        <v>621</v>
      </c>
      <c r="AQ293" s="13"/>
      <c r="AR293" s="66">
        <v>2499.0</v>
      </c>
      <c r="AS293" s="70">
        <v>108.0</v>
      </c>
      <c r="AT293" s="67">
        <v>0.0196</v>
      </c>
      <c r="AU293" s="70">
        <v>5.0E-4</v>
      </c>
      <c r="AV293" s="13">
        <f t="shared" ref="AV293:AV295" si="29">10^-2.88</f>
        <v>0.001318256739</v>
      </c>
      <c r="AW293" s="13">
        <f t="shared" ref="AW293:AW295" si="30">(AV293*0.17)/0.434</f>
        <v>0.0005163678469</v>
      </c>
      <c r="AX293" s="73">
        <f t="shared" ref="AX293:AX295" si="31">1.93/9.731</f>
        <v>0.1983352173</v>
      </c>
      <c r="AY293" s="73">
        <f t="shared" ref="AY293:AY295" si="32">0.17/9.731</f>
        <v>0.01746994142</v>
      </c>
      <c r="AZ293" s="11" t="s">
        <v>162</v>
      </c>
      <c r="BA293" s="118" t="s">
        <v>721</v>
      </c>
      <c r="BB293" s="11"/>
      <c r="BC293" s="11"/>
      <c r="BD293" s="80">
        <v>2.8E-17</v>
      </c>
      <c r="BE293" s="80">
        <v>9.0E-18</v>
      </c>
      <c r="BF293" s="11"/>
      <c r="BG293" s="11"/>
      <c r="BH293" s="68" t="s">
        <v>724</v>
      </c>
      <c r="BI293" s="11"/>
      <c r="BJ293" s="11"/>
      <c r="BK293" s="11"/>
      <c r="BL293" s="68" t="s">
        <v>625</v>
      </c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68" t="s">
        <v>737</v>
      </c>
      <c r="DI293" s="11"/>
      <c r="DJ293" s="11"/>
      <c r="DK293" s="68" t="s">
        <v>737</v>
      </c>
      <c r="DL293" s="11"/>
      <c r="DM293" s="69"/>
      <c r="DN293" s="69"/>
      <c r="DO293" s="69"/>
      <c r="DP293" s="69"/>
      <c r="DQ293" s="11"/>
      <c r="DR293" s="69"/>
      <c r="DS293" s="69"/>
      <c r="DT293" s="69"/>
      <c r="DU293" s="69"/>
      <c r="DV293" s="64">
        <v>-7.12</v>
      </c>
      <c r="DW293" s="98">
        <v>0.09</v>
      </c>
      <c r="DX293" s="81">
        <f>10^(-13.46)</f>
        <v>0</v>
      </c>
      <c r="DY293" s="92">
        <f>(DX293*0.27)/0.434</f>
        <v>0</v>
      </c>
      <c r="DZ293" s="64" t="s">
        <v>476</v>
      </c>
      <c r="EA293" s="7"/>
      <c r="EB293" s="7"/>
    </row>
    <row r="294">
      <c r="A294" s="107" t="s">
        <v>735</v>
      </c>
      <c r="B294" s="99" t="s">
        <v>736</v>
      </c>
      <c r="C294" s="4"/>
      <c r="D294" s="4"/>
      <c r="E294" s="4"/>
      <c r="F294" s="57" t="s">
        <v>187</v>
      </c>
      <c r="G294" s="61">
        <v>242.696412499999</v>
      </c>
      <c r="H294" s="61">
        <v>-22.6637008333333</v>
      </c>
      <c r="I294" s="60" t="s">
        <v>608</v>
      </c>
      <c r="J294" s="5"/>
      <c r="K294" s="61">
        <v>10.0</v>
      </c>
      <c r="L294" s="5"/>
      <c r="M294" s="59">
        <v>2.0</v>
      </c>
      <c r="N294" s="60">
        <v>128.470304089209</v>
      </c>
      <c r="O294" s="60">
        <v>-10.793</v>
      </c>
      <c r="P294" s="60">
        <v>1.811</v>
      </c>
      <c r="Q294" s="60">
        <v>-26.984</v>
      </c>
      <c r="R294" s="60">
        <v>1.061</v>
      </c>
      <c r="S294" s="60"/>
      <c r="T294" s="60"/>
      <c r="U294" s="58"/>
      <c r="V294" s="5"/>
      <c r="W294" s="60">
        <v>0.1762</v>
      </c>
      <c r="X294" s="5"/>
      <c r="Y294" s="83" t="s">
        <v>351</v>
      </c>
      <c r="Z294" s="60"/>
      <c r="AA294" s="60"/>
      <c r="AB294" s="60">
        <v>15.254</v>
      </c>
      <c r="AC294" s="60">
        <v>0.003</v>
      </c>
      <c r="AD294" s="60">
        <v>14.573</v>
      </c>
      <c r="AE294" s="60">
        <v>0.054</v>
      </c>
      <c r="AF294" s="60">
        <v>14.025</v>
      </c>
      <c r="AG294" s="60">
        <v>0.058</v>
      </c>
      <c r="AH294" s="6"/>
      <c r="AI294" s="96"/>
      <c r="AJ294" s="76" t="s">
        <v>609</v>
      </c>
      <c r="AK294" s="64" t="s">
        <v>610</v>
      </c>
      <c r="AL294" s="117">
        <v>41821.0</v>
      </c>
      <c r="AM294" s="64">
        <v>4.01</v>
      </c>
      <c r="AN294" s="77">
        <v>128.5</v>
      </c>
      <c r="AO294" s="64">
        <v>15.4</v>
      </c>
      <c r="AP294" s="64" t="s">
        <v>621</v>
      </c>
      <c r="AQ294" s="13"/>
      <c r="AR294" s="66">
        <v>2499.0</v>
      </c>
      <c r="AS294" s="70">
        <v>108.0</v>
      </c>
      <c r="AT294" s="67">
        <v>0.0196</v>
      </c>
      <c r="AU294" s="70">
        <v>5.0E-4</v>
      </c>
      <c r="AV294" s="13">
        <f t="shared" si="29"/>
        <v>0.001318256739</v>
      </c>
      <c r="AW294" s="13">
        <f t="shared" si="30"/>
        <v>0.0005163678469</v>
      </c>
      <c r="AX294" s="73">
        <f t="shared" si="31"/>
        <v>0.1983352173</v>
      </c>
      <c r="AY294" s="73">
        <f t="shared" si="32"/>
        <v>0.01746994142</v>
      </c>
      <c r="AZ294" s="11" t="s">
        <v>162</v>
      </c>
      <c r="BA294" s="118" t="s">
        <v>721</v>
      </c>
      <c r="BB294" s="11"/>
      <c r="BC294" s="11"/>
      <c r="BD294" s="80">
        <v>3.9E-17</v>
      </c>
      <c r="BE294" s="80">
        <v>1.1E-17</v>
      </c>
      <c r="BF294" s="11"/>
      <c r="BG294" s="11"/>
      <c r="BH294" s="68" t="s">
        <v>738</v>
      </c>
      <c r="BI294" s="11"/>
      <c r="BJ294" s="11"/>
      <c r="BK294" s="11"/>
      <c r="BL294" s="68" t="s">
        <v>724</v>
      </c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68" t="s">
        <v>617</v>
      </c>
      <c r="DI294" s="11"/>
      <c r="DJ294" s="11"/>
      <c r="DK294" s="68" t="s">
        <v>739</v>
      </c>
      <c r="DL294" s="11"/>
      <c r="DM294" s="69"/>
      <c r="DN294" s="69"/>
      <c r="DO294" s="69"/>
      <c r="DP294" s="69"/>
      <c r="DQ294" s="11"/>
      <c r="DR294" s="69"/>
      <c r="DS294" s="69"/>
      <c r="DT294" s="69"/>
      <c r="DU294" s="69"/>
      <c r="DV294" s="64">
        <v>-6.96</v>
      </c>
      <c r="DW294" s="98">
        <v>0.07</v>
      </c>
      <c r="DX294" s="81">
        <f>10^(-13.3)</f>
        <v>0</v>
      </c>
      <c r="DY294" s="92">
        <f>(DX294*0.25)/0.434</f>
        <v>0</v>
      </c>
      <c r="DZ294" s="64" t="s">
        <v>476</v>
      </c>
      <c r="EA294" s="7"/>
      <c r="EB294" s="7"/>
    </row>
    <row r="295">
      <c r="A295" s="107" t="s">
        <v>735</v>
      </c>
      <c r="B295" s="99" t="s">
        <v>736</v>
      </c>
      <c r="C295" s="4"/>
      <c r="D295" s="4"/>
      <c r="E295" s="4"/>
      <c r="F295" s="57" t="s">
        <v>187</v>
      </c>
      <c r="G295" s="61">
        <v>242.696412499999</v>
      </c>
      <c r="H295" s="61">
        <v>-22.6637008333333</v>
      </c>
      <c r="I295" s="60" t="s">
        <v>608</v>
      </c>
      <c r="J295" s="5"/>
      <c r="K295" s="61">
        <v>10.0</v>
      </c>
      <c r="L295" s="5"/>
      <c r="M295" s="60">
        <v>2.0</v>
      </c>
      <c r="N295" s="60">
        <v>128.470304089209</v>
      </c>
      <c r="O295" s="60">
        <v>-10.793</v>
      </c>
      <c r="P295" s="60">
        <v>1.811</v>
      </c>
      <c r="Q295" s="60">
        <v>-26.984</v>
      </c>
      <c r="R295" s="60">
        <v>1.061</v>
      </c>
      <c r="S295" s="60"/>
      <c r="T295" s="60"/>
      <c r="U295" s="58"/>
      <c r="V295" s="5"/>
      <c r="W295" s="60">
        <v>0.1762</v>
      </c>
      <c r="X295" s="5"/>
      <c r="Y295" s="83" t="s">
        <v>351</v>
      </c>
      <c r="Z295" s="60"/>
      <c r="AA295" s="60"/>
      <c r="AB295" s="60">
        <v>15.254</v>
      </c>
      <c r="AC295" s="60">
        <v>0.003</v>
      </c>
      <c r="AD295" s="60">
        <v>14.573</v>
      </c>
      <c r="AE295" s="60">
        <v>0.054</v>
      </c>
      <c r="AF295" s="60">
        <v>14.025</v>
      </c>
      <c r="AG295" s="60">
        <v>0.058</v>
      </c>
      <c r="AH295" s="6"/>
      <c r="AI295" s="96"/>
      <c r="AJ295" s="76" t="s">
        <v>609</v>
      </c>
      <c r="AK295" s="64" t="s">
        <v>610</v>
      </c>
      <c r="AL295" s="117">
        <v>41821.0</v>
      </c>
      <c r="AM295" s="64">
        <v>4.01</v>
      </c>
      <c r="AN295" s="77">
        <v>128.5</v>
      </c>
      <c r="AO295" s="64">
        <v>15.4</v>
      </c>
      <c r="AP295" s="64" t="s">
        <v>621</v>
      </c>
      <c r="AQ295" s="13"/>
      <c r="AR295" s="66">
        <v>2499.0</v>
      </c>
      <c r="AS295" s="70">
        <v>108.0</v>
      </c>
      <c r="AT295" s="67">
        <v>0.0196</v>
      </c>
      <c r="AU295" s="70">
        <v>5.0E-4</v>
      </c>
      <c r="AV295" s="13">
        <f t="shared" si="29"/>
        <v>0.001318256739</v>
      </c>
      <c r="AW295" s="13">
        <f t="shared" si="30"/>
        <v>0.0005163678469</v>
      </c>
      <c r="AX295" s="73">
        <f t="shared" si="31"/>
        <v>0.1983352173</v>
      </c>
      <c r="AY295" s="73">
        <f t="shared" si="32"/>
        <v>0.01746994142</v>
      </c>
      <c r="AZ295" s="11" t="s">
        <v>162</v>
      </c>
      <c r="BA295" s="118" t="s">
        <v>721</v>
      </c>
      <c r="BB295" s="11"/>
      <c r="BC295" s="11"/>
      <c r="BD295" s="80">
        <v>4.1E-17</v>
      </c>
      <c r="BE295" s="80">
        <v>1.6E-17</v>
      </c>
      <c r="BF295" s="11"/>
      <c r="BG295" s="11"/>
      <c r="BH295" s="68" t="s">
        <v>740</v>
      </c>
      <c r="BI295" s="11"/>
      <c r="BJ295" s="11"/>
      <c r="BK295" s="11"/>
      <c r="BL295" s="68" t="s">
        <v>740</v>
      </c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68" t="s">
        <v>741</v>
      </c>
      <c r="DI295" s="11"/>
      <c r="DJ295" s="11"/>
      <c r="DK295" s="68" t="s">
        <v>742</v>
      </c>
      <c r="DL295" s="11"/>
      <c r="DM295" s="69"/>
      <c r="DN295" s="69"/>
      <c r="DO295" s="69"/>
      <c r="DP295" s="69"/>
      <c r="DQ295" s="11"/>
      <c r="DR295" s="69"/>
      <c r="DS295" s="69"/>
      <c r="DT295" s="69"/>
      <c r="DU295" s="69"/>
      <c r="DV295" s="64">
        <v>-6.93</v>
      </c>
      <c r="DW295" s="98">
        <v>0.15</v>
      </c>
      <c r="DX295" s="81">
        <f>10^(-13.27)</f>
        <v>0</v>
      </c>
      <c r="DY295" s="92">
        <f>(DX295*0.33)/0.434</f>
        <v>0</v>
      </c>
      <c r="DZ295" s="64" t="s">
        <v>476</v>
      </c>
      <c r="EA295" s="7"/>
      <c r="EB295" s="7"/>
    </row>
    <row r="296">
      <c r="A296" s="107" t="s">
        <v>324</v>
      </c>
      <c r="B296" s="99" t="s">
        <v>622</v>
      </c>
      <c r="C296" s="4"/>
      <c r="D296" s="4"/>
      <c r="E296" s="4"/>
      <c r="F296" s="57" t="s">
        <v>187</v>
      </c>
      <c r="G296" s="61">
        <v>241.849305833333</v>
      </c>
      <c r="H296" s="61">
        <v>-22.1838641666666</v>
      </c>
      <c r="I296" s="60" t="s">
        <v>608</v>
      </c>
      <c r="J296" s="5"/>
      <c r="K296" s="61">
        <v>10.0</v>
      </c>
      <c r="L296" s="5"/>
      <c r="M296" s="60">
        <v>2.0</v>
      </c>
      <c r="N296" s="60">
        <v>119.306115631487</v>
      </c>
      <c r="O296" s="60">
        <v>-17.958</v>
      </c>
      <c r="P296" s="60">
        <v>2.804</v>
      </c>
      <c r="Q296" s="60">
        <v>-21.801</v>
      </c>
      <c r="R296" s="60">
        <v>1.42</v>
      </c>
      <c r="S296" s="60"/>
      <c r="T296" s="60"/>
      <c r="U296" s="58"/>
      <c r="V296" s="5"/>
      <c r="W296" s="60">
        <v>0.1283</v>
      </c>
      <c r="X296" s="5"/>
      <c r="Y296" s="106" t="s">
        <v>351</v>
      </c>
      <c r="Z296" s="60"/>
      <c r="AA296" s="60"/>
      <c r="AB296" s="60">
        <v>15.292</v>
      </c>
      <c r="AC296" s="60">
        <v>0.06</v>
      </c>
      <c r="AD296" s="60">
        <v>14.524</v>
      </c>
      <c r="AE296" s="60">
        <v>0.052</v>
      </c>
      <c r="AF296" s="60">
        <v>14.086</v>
      </c>
      <c r="AG296" s="60">
        <v>0.065</v>
      </c>
      <c r="AH296" s="6"/>
      <c r="AI296" s="96"/>
      <c r="AJ296" s="76" t="s">
        <v>609</v>
      </c>
      <c r="AK296" s="64" t="s">
        <v>610</v>
      </c>
      <c r="AL296" s="117">
        <v>41730.0</v>
      </c>
      <c r="AM296" s="64">
        <v>4.05</v>
      </c>
      <c r="AN296" s="77">
        <v>119.3</v>
      </c>
      <c r="AO296" s="64">
        <v>20.8</v>
      </c>
      <c r="AP296" s="64" t="s">
        <v>615</v>
      </c>
      <c r="AQ296" s="13"/>
      <c r="AR296" s="66">
        <v>2557.0</v>
      </c>
      <c r="AS296" s="70">
        <v>117.0</v>
      </c>
      <c r="AT296" s="67">
        <v>0.0202</v>
      </c>
      <c r="AU296" s="70">
        <v>7.0E-4</v>
      </c>
      <c r="AV296" s="13">
        <f>10^-2.84</f>
        <v>0.001445439771</v>
      </c>
      <c r="AW296" s="13">
        <f>(AV296*0.11)/0.434</f>
        <v>0.0003663557023</v>
      </c>
      <c r="AX296" s="73">
        <f>1.92/9.731</f>
        <v>0.1973075737</v>
      </c>
      <c r="AY296" s="73">
        <f>0.06/9.731</f>
        <v>0.006165861679</v>
      </c>
      <c r="AZ296" s="11" t="s">
        <v>162</v>
      </c>
      <c r="BA296" s="118" t="s">
        <v>721</v>
      </c>
      <c r="BB296" s="11"/>
      <c r="BC296" s="11"/>
      <c r="BD296" s="80">
        <v>9.9E-17</v>
      </c>
      <c r="BE296" s="80">
        <v>1.8E-17</v>
      </c>
      <c r="BF296" s="11"/>
      <c r="BG296" s="11"/>
      <c r="BH296" s="68" t="s">
        <v>623</v>
      </c>
      <c r="BI296" s="11"/>
      <c r="BJ296" s="11"/>
      <c r="BK296" s="11"/>
      <c r="BL296" s="68" t="s">
        <v>624</v>
      </c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68" t="s">
        <v>625</v>
      </c>
      <c r="DI296" s="11"/>
      <c r="DJ296" s="11"/>
      <c r="DK296" s="68" t="s">
        <v>626</v>
      </c>
      <c r="DL296" s="11"/>
      <c r="DM296" s="69"/>
      <c r="DN296" s="69"/>
      <c r="DO296" s="69"/>
      <c r="DP296" s="69"/>
      <c r="DQ296" s="11"/>
      <c r="DR296" s="69"/>
      <c r="DS296" s="69"/>
      <c r="DT296" s="69"/>
      <c r="DU296" s="69"/>
      <c r="DV296" s="64">
        <v>-6.57</v>
      </c>
      <c r="DW296" s="98">
        <v>0.07</v>
      </c>
      <c r="DX296" s="81">
        <f>10^(-12.91)</f>
        <v>0</v>
      </c>
      <c r="DY296" s="92">
        <f>(DX296*0.29)/0.434</f>
        <v>0</v>
      </c>
      <c r="DZ296" s="64" t="s">
        <v>476</v>
      </c>
      <c r="EA296" s="7"/>
      <c r="EB296" s="7"/>
    </row>
    <row r="297">
      <c r="A297" s="107" t="s">
        <v>743</v>
      </c>
      <c r="B297" s="99" t="s">
        <v>744</v>
      </c>
      <c r="C297" s="57" t="s">
        <v>156</v>
      </c>
      <c r="D297" s="57">
        <v>4.536</v>
      </c>
      <c r="E297" s="4"/>
      <c r="F297" s="57" t="s">
        <v>187</v>
      </c>
      <c r="G297" s="61">
        <v>240.481903749999</v>
      </c>
      <c r="H297" s="61">
        <v>-21.9813908333333</v>
      </c>
      <c r="I297" s="60" t="s">
        <v>608</v>
      </c>
      <c r="J297" s="5"/>
      <c r="K297" s="61">
        <v>10.0</v>
      </c>
      <c r="L297" s="5"/>
      <c r="M297" s="60"/>
      <c r="N297" s="60"/>
      <c r="O297" s="60"/>
      <c r="P297" s="60"/>
      <c r="Q297" s="60"/>
      <c r="R297" s="60"/>
      <c r="S297" s="60"/>
      <c r="T297" s="60"/>
      <c r="U297" s="61">
        <v>0.075</v>
      </c>
      <c r="V297" s="5"/>
      <c r="W297" s="5"/>
      <c r="X297" s="5"/>
      <c r="Y297" s="83" t="s">
        <v>609</v>
      </c>
      <c r="Z297" s="60"/>
      <c r="AA297" s="60"/>
      <c r="AB297" s="60"/>
      <c r="AC297" s="60"/>
      <c r="AD297" s="60">
        <v>13.699</v>
      </c>
      <c r="AE297" s="60">
        <v>0.002</v>
      </c>
      <c r="AF297" s="60">
        <v>13.491</v>
      </c>
      <c r="AG297" s="60">
        <v>0.003</v>
      </c>
      <c r="AH297" s="6"/>
      <c r="AI297" s="96"/>
      <c r="AJ297" s="76" t="s">
        <v>609</v>
      </c>
      <c r="AK297" s="64" t="s">
        <v>610</v>
      </c>
      <c r="AL297" s="117">
        <v>41791.0</v>
      </c>
      <c r="AM297" s="64">
        <v>4.34</v>
      </c>
      <c r="AN297" s="77">
        <v>137.2</v>
      </c>
      <c r="AO297" s="64">
        <v>1.5</v>
      </c>
      <c r="AP297" s="64" t="s">
        <v>345</v>
      </c>
      <c r="AQ297" s="64">
        <v>0.5</v>
      </c>
      <c r="AR297" s="66">
        <v>2679.0</v>
      </c>
      <c r="AS297" s="70">
        <v>119.0</v>
      </c>
      <c r="AT297" s="67">
        <v>0.0219555</v>
      </c>
      <c r="AU297" s="70">
        <v>0.00190918</v>
      </c>
      <c r="AV297" s="13">
        <v>0.002951209226666387</v>
      </c>
      <c r="AW297" s="13">
        <v>6.120019133639973E-4</v>
      </c>
      <c r="AX297" s="73">
        <f t="shared" ref="AX297:AX298" si="33">1.83/9.731</f>
        <v>0.1880587812</v>
      </c>
      <c r="AY297" s="73">
        <f t="shared" ref="AY297:AY298" si="34">0.16/9.731</f>
        <v>0.01644229781</v>
      </c>
      <c r="AZ297" s="11" t="s">
        <v>162</v>
      </c>
      <c r="BA297" s="118" t="s">
        <v>721</v>
      </c>
      <c r="BB297" s="11"/>
      <c r="BC297" s="11"/>
      <c r="BD297" s="80">
        <v>6.1E-17</v>
      </c>
      <c r="BE297" s="80">
        <v>2.9E-17</v>
      </c>
      <c r="BF297" s="11"/>
      <c r="BG297" s="11"/>
      <c r="BH297" s="68" t="s">
        <v>745</v>
      </c>
      <c r="BI297" s="11"/>
      <c r="BJ297" s="11"/>
      <c r="BK297" s="11"/>
      <c r="BL297" s="68" t="s">
        <v>746</v>
      </c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68" t="s">
        <v>747</v>
      </c>
      <c r="DI297" s="11"/>
      <c r="DJ297" s="11"/>
      <c r="DK297" s="68" t="s">
        <v>748</v>
      </c>
      <c r="DL297" s="11"/>
      <c r="DM297" s="69"/>
      <c r="DN297" s="69"/>
      <c r="DO297" s="69"/>
      <c r="DP297" s="69"/>
      <c r="DQ297" s="11"/>
      <c r="DR297" s="69"/>
      <c r="DS297" s="69"/>
      <c r="DT297" s="69"/>
      <c r="DU297" s="69"/>
      <c r="DV297" s="64">
        <v>-6.67</v>
      </c>
      <c r="DW297" s="98">
        <v>0.13</v>
      </c>
      <c r="DX297" s="81">
        <f>10^(-13.06)</f>
        <v>0</v>
      </c>
      <c r="DY297" s="92">
        <f>(DX297*0.4)/0.434</f>
        <v>0</v>
      </c>
      <c r="DZ297" s="64" t="s">
        <v>476</v>
      </c>
      <c r="EA297" s="7"/>
      <c r="EB297" s="7"/>
    </row>
    <row r="298">
      <c r="A298" s="107" t="s">
        <v>743</v>
      </c>
      <c r="B298" s="99" t="s">
        <v>744</v>
      </c>
      <c r="C298" s="57" t="s">
        <v>156</v>
      </c>
      <c r="D298" s="57">
        <v>4.536</v>
      </c>
      <c r="E298" s="4"/>
      <c r="F298" s="57" t="s">
        <v>187</v>
      </c>
      <c r="G298" s="61">
        <v>240.481903749999</v>
      </c>
      <c r="H298" s="61">
        <v>-21.9813908333333</v>
      </c>
      <c r="I298" s="60" t="s">
        <v>608</v>
      </c>
      <c r="J298" s="5"/>
      <c r="K298" s="61">
        <v>10.0</v>
      </c>
      <c r="L298" s="5"/>
      <c r="M298" s="60"/>
      <c r="N298" s="60"/>
      <c r="O298" s="60"/>
      <c r="P298" s="60"/>
      <c r="Q298" s="60"/>
      <c r="R298" s="60"/>
      <c r="S298" s="60"/>
      <c r="T298" s="60"/>
      <c r="U298" s="61">
        <v>0.075</v>
      </c>
      <c r="V298" s="5"/>
      <c r="W298" s="5"/>
      <c r="X298" s="5"/>
      <c r="Y298" s="83" t="s">
        <v>609</v>
      </c>
      <c r="Z298" s="60"/>
      <c r="AA298" s="60"/>
      <c r="AB298" s="60"/>
      <c r="AC298" s="60"/>
      <c r="AD298" s="60">
        <v>13.699</v>
      </c>
      <c r="AE298" s="60">
        <v>0.002</v>
      </c>
      <c r="AF298" s="60">
        <v>13.491</v>
      </c>
      <c r="AG298" s="60">
        <v>0.003</v>
      </c>
      <c r="AH298" s="6"/>
      <c r="AI298" s="96"/>
      <c r="AJ298" s="76" t="s">
        <v>609</v>
      </c>
      <c r="AK298" s="64" t="s">
        <v>610</v>
      </c>
      <c r="AL298" s="117">
        <v>41791.0</v>
      </c>
      <c r="AM298" s="64">
        <v>4.34</v>
      </c>
      <c r="AN298" s="77">
        <v>137.2</v>
      </c>
      <c r="AO298" s="64">
        <v>1.5</v>
      </c>
      <c r="AP298" s="64" t="s">
        <v>345</v>
      </c>
      <c r="AQ298" s="64">
        <v>0.5</v>
      </c>
      <c r="AR298" s="66">
        <v>2679.0</v>
      </c>
      <c r="AS298" s="70">
        <v>119.0</v>
      </c>
      <c r="AT298" s="67">
        <v>0.0219555</v>
      </c>
      <c r="AU298" s="70">
        <v>0.00190918</v>
      </c>
      <c r="AV298" s="13">
        <v>0.002951209226666387</v>
      </c>
      <c r="AW298" s="13">
        <v>6.120019133639973E-4</v>
      </c>
      <c r="AX298" s="73">
        <f t="shared" si="33"/>
        <v>0.1880587812</v>
      </c>
      <c r="AY298" s="73">
        <f t="shared" si="34"/>
        <v>0.01644229781</v>
      </c>
      <c r="AZ298" s="11" t="s">
        <v>162</v>
      </c>
      <c r="BA298" s="118" t="s">
        <v>721</v>
      </c>
      <c r="BB298" s="11"/>
      <c r="BC298" s="11"/>
      <c r="BD298" s="80">
        <v>6.8E-17</v>
      </c>
      <c r="BE298" s="80">
        <v>3.6E-17</v>
      </c>
      <c r="BF298" s="11"/>
      <c r="BG298" s="11"/>
      <c r="BH298" s="68" t="s">
        <v>749</v>
      </c>
      <c r="BI298" s="11"/>
      <c r="BJ298" s="11"/>
      <c r="BK298" s="11"/>
      <c r="BL298" s="68" t="s">
        <v>750</v>
      </c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68" t="s">
        <v>751</v>
      </c>
      <c r="DI298" s="11"/>
      <c r="DJ298" s="11"/>
      <c r="DK298" s="68" t="s">
        <v>752</v>
      </c>
      <c r="DL298" s="11"/>
      <c r="DM298" s="69"/>
      <c r="DN298" s="69"/>
      <c r="DO298" s="69"/>
      <c r="DP298" s="69"/>
      <c r="DQ298" s="11"/>
      <c r="DR298" s="69"/>
      <c r="DS298" s="69"/>
      <c r="DT298" s="69"/>
      <c r="DU298" s="69"/>
      <c r="DV298" s="64">
        <v>-6.62</v>
      </c>
      <c r="DW298" s="98">
        <v>0.18</v>
      </c>
      <c r="DX298" s="81">
        <f>10^(-13.01)</f>
        <v>0</v>
      </c>
      <c r="DY298" s="92">
        <f>(DX298*0.27)/0.434</f>
        <v>0</v>
      </c>
      <c r="DZ298" s="64" t="s">
        <v>476</v>
      </c>
      <c r="EA298" s="7"/>
      <c r="EB298" s="7"/>
    </row>
    <row r="299">
      <c r="A299" s="55" t="s">
        <v>753</v>
      </c>
      <c r="B299" s="56" t="s">
        <v>753</v>
      </c>
      <c r="C299" s="4"/>
      <c r="D299" s="4"/>
      <c r="E299" s="57" t="s">
        <v>137</v>
      </c>
      <c r="F299" s="57" t="s">
        <v>168</v>
      </c>
      <c r="G299" s="58">
        <v>246.744329</v>
      </c>
      <c r="H299" s="58">
        <v>-24.309629</v>
      </c>
      <c r="I299" s="6" t="s">
        <v>158</v>
      </c>
      <c r="J299" s="6" t="s">
        <v>169</v>
      </c>
      <c r="K299" s="58">
        <v>1.0</v>
      </c>
      <c r="L299" s="5"/>
      <c r="M299" s="60"/>
      <c r="N299" s="60"/>
      <c r="O299" s="60"/>
      <c r="P299" s="60"/>
      <c r="Q299" s="60"/>
      <c r="R299" s="60"/>
      <c r="S299" s="60"/>
      <c r="T299" s="60"/>
      <c r="U299" s="60">
        <v>13.3</v>
      </c>
      <c r="V299" s="60">
        <v>0.2</v>
      </c>
      <c r="W299" s="5"/>
      <c r="X299" s="5"/>
      <c r="Y299" s="163" t="s">
        <v>754</v>
      </c>
      <c r="Z299" s="60"/>
      <c r="AA299" s="60"/>
      <c r="AB299" s="60">
        <v>15.45</v>
      </c>
      <c r="AC299" s="60">
        <v>0.047</v>
      </c>
      <c r="AD299" s="60">
        <v>13.006</v>
      </c>
      <c r="AE299" s="60">
        <v>0.029</v>
      </c>
      <c r="AF299" s="60">
        <v>11.483</v>
      </c>
      <c r="AG299" s="60">
        <v>0.021</v>
      </c>
      <c r="AH299" s="6"/>
      <c r="AI299" s="6"/>
      <c r="AJ299" s="164" t="s">
        <v>754</v>
      </c>
      <c r="AK299" s="64" t="s">
        <v>610</v>
      </c>
      <c r="AL299" s="97">
        <v>2010.0</v>
      </c>
      <c r="AM299" s="64">
        <v>3.5</v>
      </c>
      <c r="AN299" s="77">
        <v>125.0</v>
      </c>
      <c r="AO299" s="13"/>
      <c r="AP299" s="13" t="s">
        <v>402</v>
      </c>
      <c r="AQ299" s="13"/>
      <c r="AR299" s="78">
        <v>3200.0</v>
      </c>
      <c r="AS299" s="97">
        <v>50.0</v>
      </c>
      <c r="AT299" s="79">
        <v>0.22</v>
      </c>
      <c r="AU299" s="70">
        <v>0.01</v>
      </c>
      <c r="AV299" s="64">
        <v>0.109</v>
      </c>
      <c r="AW299" s="64">
        <v>0.003</v>
      </c>
      <c r="AX299" s="73">
        <v>1.08</v>
      </c>
      <c r="AY299" s="73">
        <v>0.05</v>
      </c>
      <c r="AZ299" s="11" t="s">
        <v>162</v>
      </c>
      <c r="BA299" s="118" t="s">
        <v>721</v>
      </c>
      <c r="BB299" s="68"/>
      <c r="BC299" s="68"/>
      <c r="BD299" s="80">
        <f>101*1E-14</f>
        <v>0</v>
      </c>
      <c r="BE299" s="80"/>
      <c r="BF299" s="68"/>
      <c r="BG299" s="68"/>
      <c r="BH299" s="80">
        <v>2.49E-11</v>
      </c>
      <c r="BI299" s="80"/>
      <c r="BJ299" s="68"/>
      <c r="BK299" s="11"/>
      <c r="BL299" s="80">
        <v>4.54E-11</v>
      </c>
      <c r="BM299" s="80"/>
      <c r="BN299" s="68"/>
      <c r="BO299" s="11"/>
      <c r="BP299" s="80">
        <v>7.76E-11</v>
      </c>
      <c r="BQ299" s="80"/>
      <c r="BR299" s="11"/>
      <c r="BS299" s="11"/>
      <c r="BT299" s="11"/>
      <c r="BU299" s="11"/>
      <c r="BV299" s="11"/>
      <c r="BW299" s="11"/>
      <c r="BX299" s="11"/>
      <c r="BY299" s="11"/>
      <c r="BZ299" s="68"/>
      <c r="CA299" s="68"/>
      <c r="CB299" s="80">
        <v>9.0E-15</v>
      </c>
      <c r="CC299" s="80"/>
      <c r="CD299" s="68"/>
      <c r="CE299" s="68"/>
      <c r="CF299" s="80">
        <v>1.0E-14</v>
      </c>
      <c r="CG299" s="80"/>
      <c r="CH299" s="68"/>
      <c r="CI299" s="68"/>
      <c r="CJ299" s="80">
        <v>1.09E-13</v>
      </c>
      <c r="CK299" s="80"/>
      <c r="CL299" s="68"/>
      <c r="CM299" s="68"/>
      <c r="CN299" s="80">
        <v>4.0E-15</v>
      </c>
      <c r="CO299" s="80"/>
      <c r="CP299" s="80"/>
      <c r="CQ299" s="80"/>
      <c r="CR299" s="80"/>
      <c r="CS299" s="80"/>
      <c r="CT299" s="68"/>
      <c r="CU299" s="68"/>
      <c r="CV299" s="80">
        <v>6.63E-12</v>
      </c>
      <c r="CW299" s="80"/>
      <c r="CX299" s="68"/>
      <c r="CY299" s="68"/>
      <c r="CZ299" s="80">
        <v>1.06E-12</v>
      </c>
      <c r="DA299" s="80"/>
      <c r="DB299" s="11"/>
      <c r="DC299" s="11"/>
      <c r="DD299" s="11"/>
      <c r="DE299" s="11"/>
      <c r="DF299" s="68"/>
      <c r="DG299" s="68"/>
      <c r="DH299" s="80">
        <v>9.21E-11</v>
      </c>
      <c r="DI299" s="80"/>
      <c r="DJ299" s="12"/>
      <c r="DK299" s="12"/>
      <c r="DL299" s="12"/>
      <c r="DM299" s="69"/>
      <c r="DN299" s="69"/>
      <c r="DO299" s="69"/>
      <c r="DP299" s="69"/>
      <c r="DQ299" s="11"/>
      <c r="DR299" s="69"/>
      <c r="DS299" s="69"/>
      <c r="DT299" s="69"/>
      <c r="DU299" s="69"/>
      <c r="DV299" s="73">
        <v>-2.21</v>
      </c>
      <c r="DW299" s="10"/>
      <c r="DX299" s="81">
        <v>1.2E-9</v>
      </c>
      <c r="DY299" s="7"/>
      <c r="DZ299" s="64" t="s">
        <v>755</v>
      </c>
      <c r="EA299" s="64" t="s">
        <v>756</v>
      </c>
      <c r="EB299" s="7"/>
    </row>
    <row r="300">
      <c r="A300" s="55" t="s">
        <v>757</v>
      </c>
      <c r="B300" s="56" t="s">
        <v>757</v>
      </c>
      <c r="C300" s="4"/>
      <c r="D300" s="4"/>
      <c r="E300" s="4"/>
      <c r="F300" s="57" t="s">
        <v>168</v>
      </c>
      <c r="G300" s="58">
        <v>101.36559</v>
      </c>
      <c r="H300" s="58">
        <v>0.26428</v>
      </c>
      <c r="I300" s="6" t="s">
        <v>758</v>
      </c>
      <c r="J300" s="6" t="s">
        <v>169</v>
      </c>
      <c r="K300" s="58">
        <v>0.9</v>
      </c>
      <c r="L300" s="60">
        <v>1.0</v>
      </c>
      <c r="M300" s="60">
        <v>2.0</v>
      </c>
      <c r="N300" s="58">
        <v>3628.447025</v>
      </c>
      <c r="O300" s="58">
        <v>-1.388</v>
      </c>
      <c r="P300" s="58">
        <v>1.067</v>
      </c>
      <c r="Q300" s="58">
        <v>1.807</v>
      </c>
      <c r="R300" s="58">
        <v>1.029</v>
      </c>
      <c r="S300" s="60"/>
      <c r="T300" s="60"/>
      <c r="U300" s="58">
        <v>2.77</v>
      </c>
      <c r="V300" s="60">
        <v>0.1</v>
      </c>
      <c r="W300" s="5"/>
      <c r="X300" s="5"/>
      <c r="Y300" s="83" t="s">
        <v>759</v>
      </c>
      <c r="Z300" s="60">
        <v>20.22</v>
      </c>
      <c r="AA300" s="60"/>
      <c r="AB300" s="60">
        <v>16.75</v>
      </c>
      <c r="AC300" s="60">
        <v>0.16</v>
      </c>
      <c r="AD300" s="60">
        <v>15.73</v>
      </c>
      <c r="AE300" s="60">
        <v>0.14</v>
      </c>
      <c r="AF300" s="60">
        <v>15.35</v>
      </c>
      <c r="AG300" s="60">
        <v>0.19</v>
      </c>
      <c r="AH300" s="6"/>
      <c r="AI300" s="96"/>
      <c r="AJ300" s="76" t="s">
        <v>759</v>
      </c>
      <c r="AK300" s="64" t="s">
        <v>760</v>
      </c>
      <c r="AL300" s="70">
        <v>2013.0</v>
      </c>
      <c r="AM300" s="97">
        <v>4.0</v>
      </c>
      <c r="AN300" s="102">
        <v>4000.0</v>
      </c>
      <c r="AO300" s="97">
        <v>400.0</v>
      </c>
      <c r="AP300" s="13" t="s">
        <v>761</v>
      </c>
      <c r="AQ300" s="97">
        <v>1.0</v>
      </c>
      <c r="AR300" s="78">
        <v>4365.15832</v>
      </c>
      <c r="AS300" s="73">
        <v>500.0</v>
      </c>
      <c r="AT300" s="79">
        <v>0.56</v>
      </c>
      <c r="AU300" s="7"/>
      <c r="AV300" s="64">
        <v>1.148153621</v>
      </c>
      <c r="AW300" s="7">
        <f t="shared" ref="AW300:AW326" si="35">AV300-(10^(Log10(AV300)-0.15))</f>
        <v>0.3353231052</v>
      </c>
      <c r="AX300" s="73">
        <v>1.88</v>
      </c>
      <c r="AY300" s="7"/>
      <c r="AZ300" s="11" t="s">
        <v>162</v>
      </c>
      <c r="BA300" s="118" t="s">
        <v>721</v>
      </c>
      <c r="BB300" s="68">
        <v>-29.0</v>
      </c>
      <c r="BC300" s="68">
        <v>1.3</v>
      </c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2"/>
      <c r="DK300" s="12"/>
      <c r="DL300" s="12"/>
      <c r="DM300" s="69"/>
      <c r="DN300" s="69"/>
      <c r="DO300" s="69"/>
      <c r="DP300" s="69"/>
      <c r="DQ300" s="11"/>
      <c r="DR300" s="69"/>
      <c r="DS300" s="69"/>
      <c r="DT300" s="69"/>
      <c r="DU300" s="69"/>
      <c r="DV300" s="73">
        <v>-0.8</v>
      </c>
      <c r="DW300" s="10"/>
      <c r="DX300" s="81">
        <v>2.19E-8</v>
      </c>
      <c r="DY300" s="7"/>
      <c r="DZ300" s="64" t="s">
        <v>762</v>
      </c>
      <c r="EA300" s="64" t="s">
        <v>763</v>
      </c>
      <c r="EB300" s="7"/>
    </row>
    <row r="301">
      <c r="A301" s="55" t="s">
        <v>764</v>
      </c>
      <c r="B301" s="56" t="s">
        <v>765</v>
      </c>
      <c r="C301" s="4"/>
      <c r="D301" s="4"/>
      <c r="E301" s="4"/>
      <c r="F301" s="57" t="s">
        <v>168</v>
      </c>
      <c r="G301" s="58">
        <v>101.19643</v>
      </c>
      <c r="H301" s="58">
        <v>0.22556</v>
      </c>
      <c r="I301" s="6" t="s">
        <v>758</v>
      </c>
      <c r="J301" s="6" t="s">
        <v>169</v>
      </c>
      <c r="K301" s="58">
        <v>0.9</v>
      </c>
      <c r="L301" s="60">
        <v>1.0</v>
      </c>
      <c r="M301" s="5"/>
      <c r="N301" s="6"/>
      <c r="O301" s="6"/>
      <c r="P301" s="6"/>
      <c r="Q301" s="6"/>
      <c r="R301" s="6"/>
      <c r="S301" s="60"/>
      <c r="T301" s="60"/>
      <c r="U301" s="58">
        <v>2.15</v>
      </c>
      <c r="V301" s="60">
        <v>0.1</v>
      </c>
      <c r="W301" s="5"/>
      <c r="X301" s="5"/>
      <c r="Y301" s="83" t="s">
        <v>759</v>
      </c>
      <c r="Z301" s="60">
        <v>18.51</v>
      </c>
      <c r="AA301" s="60"/>
      <c r="AB301" s="60"/>
      <c r="AC301" s="60"/>
      <c r="AD301" s="60"/>
      <c r="AE301" s="60"/>
      <c r="AF301" s="60"/>
      <c r="AG301" s="60"/>
      <c r="AH301" s="6"/>
      <c r="AI301" s="96"/>
      <c r="AJ301" s="76" t="s">
        <v>759</v>
      </c>
      <c r="AK301" s="64" t="s">
        <v>760</v>
      </c>
      <c r="AL301" s="97">
        <v>2013.0</v>
      </c>
      <c r="AM301" s="97">
        <v>4.0</v>
      </c>
      <c r="AN301" s="102">
        <v>4000.0</v>
      </c>
      <c r="AO301" s="97">
        <v>400.0</v>
      </c>
      <c r="AP301" s="13" t="s">
        <v>766</v>
      </c>
      <c r="AQ301" s="97">
        <v>1.0</v>
      </c>
      <c r="AR301" s="78">
        <v>4786.30092</v>
      </c>
      <c r="AS301" s="73">
        <v>550.0</v>
      </c>
      <c r="AT301" s="79">
        <v>0.91</v>
      </c>
      <c r="AU301" s="7"/>
      <c r="AV301" s="70">
        <v>2.290867653</v>
      </c>
      <c r="AW301" s="7">
        <f t="shared" si="35"/>
        <v>0.6690575555</v>
      </c>
      <c r="AX301" s="73">
        <v>2.21</v>
      </c>
      <c r="AY301" s="7"/>
      <c r="AZ301" s="11" t="s">
        <v>162</v>
      </c>
      <c r="BA301" s="118" t="s">
        <v>721</v>
      </c>
      <c r="BB301" s="90">
        <v>-20.5</v>
      </c>
      <c r="BC301" s="90">
        <v>0.5</v>
      </c>
      <c r="BD301" s="105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2"/>
      <c r="DK301" s="12"/>
      <c r="DL301" s="12"/>
      <c r="DM301" s="69"/>
      <c r="DN301" s="69"/>
      <c r="DO301" s="69"/>
      <c r="DP301" s="69"/>
      <c r="DQ301" s="11"/>
      <c r="DR301" s="69"/>
      <c r="DS301" s="69"/>
      <c r="DT301" s="69"/>
      <c r="DU301" s="69"/>
      <c r="DV301" s="73">
        <v>-0.6</v>
      </c>
      <c r="DW301" s="10"/>
      <c r="DX301" s="81">
        <v>2.45E-8</v>
      </c>
      <c r="DY301" s="7"/>
      <c r="DZ301" s="64" t="s">
        <v>762</v>
      </c>
      <c r="EA301" s="64" t="s">
        <v>763</v>
      </c>
      <c r="EB301" s="7"/>
    </row>
    <row r="302">
      <c r="A302" s="55" t="s">
        <v>767</v>
      </c>
      <c r="B302" s="56" t="s">
        <v>767</v>
      </c>
      <c r="C302" s="4"/>
      <c r="D302" s="4"/>
      <c r="E302" s="4"/>
      <c r="F302" s="57" t="s">
        <v>168</v>
      </c>
      <c r="G302" s="58">
        <v>101.25314</v>
      </c>
      <c r="H302" s="58">
        <v>0.22656</v>
      </c>
      <c r="I302" s="6" t="s">
        <v>758</v>
      </c>
      <c r="J302" s="6" t="s">
        <v>169</v>
      </c>
      <c r="K302" s="58">
        <v>1.5</v>
      </c>
      <c r="L302" s="60">
        <v>1.0</v>
      </c>
      <c r="M302" s="5"/>
      <c r="N302" s="6"/>
      <c r="O302" s="58">
        <v>-0.607</v>
      </c>
      <c r="P302" s="58">
        <v>0.729</v>
      </c>
      <c r="Q302" s="58">
        <v>0.326</v>
      </c>
      <c r="R302" s="58">
        <v>0.881</v>
      </c>
      <c r="S302" s="60"/>
      <c r="T302" s="60"/>
      <c r="U302" s="58">
        <v>1.89</v>
      </c>
      <c r="V302" s="60">
        <v>0.1</v>
      </c>
      <c r="W302" s="5"/>
      <c r="X302" s="5"/>
      <c r="Y302" s="83" t="s">
        <v>759</v>
      </c>
      <c r="Z302" s="60">
        <v>20.24</v>
      </c>
      <c r="AA302" s="60"/>
      <c r="AB302" s="60">
        <v>16.27</v>
      </c>
      <c r="AC302" s="60">
        <v>0.12</v>
      </c>
      <c r="AD302" s="60">
        <v>15.31</v>
      </c>
      <c r="AE302" s="60">
        <v>0.1</v>
      </c>
      <c r="AF302" s="60">
        <v>14.51</v>
      </c>
      <c r="AG302" s="60">
        <v>0.08</v>
      </c>
      <c r="AH302" s="6"/>
      <c r="AI302" s="96"/>
      <c r="AJ302" s="76" t="s">
        <v>759</v>
      </c>
      <c r="AK302" s="64" t="s">
        <v>760</v>
      </c>
      <c r="AL302" s="70">
        <v>2013.0</v>
      </c>
      <c r="AM302" s="97">
        <v>4.0</v>
      </c>
      <c r="AN302" s="102">
        <v>4000.0</v>
      </c>
      <c r="AO302" s="97">
        <v>400.0</v>
      </c>
      <c r="AP302" s="13" t="s">
        <v>768</v>
      </c>
      <c r="AQ302" s="97">
        <v>1.0</v>
      </c>
      <c r="AR302" s="78">
        <v>4897.78819</v>
      </c>
      <c r="AS302" s="73">
        <v>550.0</v>
      </c>
      <c r="AT302" s="79">
        <v>1.05</v>
      </c>
      <c r="AU302" s="7"/>
      <c r="AV302" s="64">
        <v>1.905460718</v>
      </c>
      <c r="AW302" s="7">
        <f t="shared" si="35"/>
        <v>0.5564978354</v>
      </c>
      <c r="AX302" s="73">
        <v>1.92</v>
      </c>
      <c r="AY302" s="7"/>
      <c r="AZ302" s="11" t="s">
        <v>162</v>
      </c>
      <c r="BA302" s="118" t="s">
        <v>721</v>
      </c>
      <c r="BB302" s="68">
        <v>-31.69</v>
      </c>
      <c r="BC302" s="68">
        <v>0.5</v>
      </c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2"/>
      <c r="DK302" s="12"/>
      <c r="DL302" s="12"/>
      <c r="DM302" s="69"/>
      <c r="DN302" s="69"/>
      <c r="DO302" s="69"/>
      <c r="DP302" s="69"/>
      <c r="DQ302" s="11"/>
      <c r="DR302" s="69"/>
      <c r="DS302" s="69"/>
      <c r="DT302" s="69"/>
      <c r="DU302" s="69"/>
      <c r="DV302" s="73">
        <v>-0.49</v>
      </c>
      <c r="DW302" s="10"/>
      <c r="DX302" s="81">
        <v>2.45E-8</v>
      </c>
      <c r="DY302" s="7"/>
      <c r="DZ302" s="64" t="s">
        <v>762</v>
      </c>
      <c r="EA302" s="64" t="s">
        <v>763</v>
      </c>
      <c r="EB302" s="7"/>
    </row>
    <row r="303">
      <c r="A303" s="55" t="s">
        <v>769</v>
      </c>
      <c r="B303" s="56" t="s">
        <v>769</v>
      </c>
      <c r="C303" s="4"/>
      <c r="D303" s="4"/>
      <c r="E303" s="4"/>
      <c r="F303" s="57" t="s">
        <v>168</v>
      </c>
      <c r="G303" s="58">
        <v>101.32672</v>
      </c>
      <c r="H303" s="58">
        <v>0.37192</v>
      </c>
      <c r="I303" s="6" t="s">
        <v>758</v>
      </c>
      <c r="J303" s="6" t="s">
        <v>169</v>
      </c>
      <c r="K303" s="58">
        <v>8.5</v>
      </c>
      <c r="L303" s="60">
        <v>1.0</v>
      </c>
      <c r="M303" s="60">
        <v>2.0</v>
      </c>
      <c r="N303" s="58">
        <v>1478.852411</v>
      </c>
      <c r="O303" s="58">
        <v>-3.621</v>
      </c>
      <c r="P303" s="58">
        <v>0.473</v>
      </c>
      <c r="Q303" s="58">
        <v>0.855</v>
      </c>
      <c r="R303" s="58">
        <v>0.692</v>
      </c>
      <c r="S303" s="60"/>
      <c r="T303" s="60"/>
      <c r="U303" s="58">
        <v>1.05</v>
      </c>
      <c r="V303" s="60">
        <v>0.1</v>
      </c>
      <c r="W303" s="5"/>
      <c r="X303" s="5"/>
      <c r="Y303" s="83" t="s">
        <v>759</v>
      </c>
      <c r="Z303" s="60">
        <v>18.15</v>
      </c>
      <c r="AA303" s="60"/>
      <c r="AB303" s="60">
        <v>16.2</v>
      </c>
      <c r="AC303" s="60">
        <v>0.12</v>
      </c>
      <c r="AD303" s="60">
        <v>15.63</v>
      </c>
      <c r="AE303" s="60">
        <v>0.16</v>
      </c>
      <c r="AF303" s="60">
        <v>15.24</v>
      </c>
      <c r="AG303" s="60">
        <v>0.17</v>
      </c>
      <c r="AH303" s="6"/>
      <c r="AI303" s="96"/>
      <c r="AJ303" s="76" t="s">
        <v>759</v>
      </c>
      <c r="AK303" s="64" t="s">
        <v>760</v>
      </c>
      <c r="AL303" s="70">
        <v>2013.0</v>
      </c>
      <c r="AM303" s="97">
        <v>4.0</v>
      </c>
      <c r="AN303" s="102">
        <v>4000.0</v>
      </c>
      <c r="AO303" s="97">
        <v>400.0</v>
      </c>
      <c r="AP303" s="13" t="s">
        <v>770</v>
      </c>
      <c r="AQ303" s="97">
        <v>1.0</v>
      </c>
      <c r="AR303" s="78">
        <v>5623.413252</v>
      </c>
      <c r="AS303" s="73">
        <v>650.0</v>
      </c>
      <c r="AT303" s="79">
        <v>1.12</v>
      </c>
      <c r="AU303" s="7"/>
      <c r="AV303" s="64">
        <v>1.548816619</v>
      </c>
      <c r="AW303" s="7">
        <f t="shared" si="35"/>
        <v>0.4523384228</v>
      </c>
      <c r="AX303" s="73">
        <v>1.31</v>
      </c>
      <c r="AY303" s="7"/>
      <c r="AZ303" s="11" t="s">
        <v>162</v>
      </c>
      <c r="BA303" s="118" t="s">
        <v>721</v>
      </c>
      <c r="BB303" s="68">
        <v>-5.2</v>
      </c>
      <c r="BC303" s="68">
        <v>0.3</v>
      </c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2"/>
      <c r="DK303" s="12"/>
      <c r="DL303" s="12"/>
      <c r="DM303" s="69"/>
      <c r="DN303" s="69"/>
      <c r="DO303" s="69"/>
      <c r="DP303" s="69"/>
      <c r="DQ303" s="11"/>
      <c r="DR303" s="69"/>
      <c r="DS303" s="69"/>
      <c r="DT303" s="69"/>
      <c r="DU303" s="69"/>
      <c r="DV303" s="73">
        <v>-1.36</v>
      </c>
      <c r="DW303" s="10"/>
      <c r="DX303" s="81">
        <v>2.09E-9</v>
      </c>
      <c r="DY303" s="7"/>
      <c r="DZ303" s="64" t="s">
        <v>762</v>
      </c>
      <c r="EA303" s="64" t="s">
        <v>763</v>
      </c>
      <c r="EB303" s="7"/>
    </row>
    <row r="304">
      <c r="A304" s="55" t="s">
        <v>771</v>
      </c>
      <c r="B304" s="56" t="s">
        <v>771</v>
      </c>
      <c r="C304" s="4"/>
      <c r="D304" s="4"/>
      <c r="E304" s="4"/>
      <c r="F304" s="57" t="s">
        <v>168</v>
      </c>
      <c r="G304" s="58">
        <v>101.30493</v>
      </c>
      <c r="H304" s="58">
        <v>0.30853</v>
      </c>
      <c r="I304" s="6" t="s">
        <v>758</v>
      </c>
      <c r="J304" s="6" t="s">
        <v>169</v>
      </c>
      <c r="K304" s="58">
        <v>9.3</v>
      </c>
      <c r="L304" s="60">
        <v>1.0</v>
      </c>
      <c r="M304" s="5"/>
      <c r="N304" s="6"/>
      <c r="O304" s="5"/>
      <c r="P304" s="5"/>
      <c r="Q304" s="5"/>
      <c r="R304" s="5"/>
      <c r="S304" s="60"/>
      <c r="T304" s="60"/>
      <c r="U304" s="58">
        <v>2.64</v>
      </c>
      <c r="V304" s="60">
        <v>0.1</v>
      </c>
      <c r="W304" s="5"/>
      <c r="X304" s="5"/>
      <c r="Y304" s="83" t="s">
        <v>759</v>
      </c>
      <c r="Z304" s="60">
        <v>19.21</v>
      </c>
      <c r="AA304" s="60"/>
      <c r="AB304" s="60">
        <v>16.343</v>
      </c>
      <c r="AC304" s="60">
        <v>0.121</v>
      </c>
      <c r="AD304" s="60">
        <v>15.66</v>
      </c>
      <c r="AE304" s="60">
        <v>0.14</v>
      </c>
      <c r="AF304" s="60">
        <v>14.846</v>
      </c>
      <c r="AG304" s="60">
        <v>0.123</v>
      </c>
      <c r="AH304" s="6"/>
      <c r="AI304" s="96"/>
      <c r="AJ304" s="76" t="s">
        <v>759</v>
      </c>
      <c r="AK304" s="64" t="s">
        <v>760</v>
      </c>
      <c r="AL304" s="70">
        <v>2013.0</v>
      </c>
      <c r="AM304" s="97">
        <v>4.0</v>
      </c>
      <c r="AN304" s="102">
        <v>4000.0</v>
      </c>
      <c r="AO304" s="97">
        <v>400.0</v>
      </c>
      <c r="AP304" s="13" t="s">
        <v>772</v>
      </c>
      <c r="AQ304" s="97">
        <v>1.0</v>
      </c>
      <c r="AR304" s="78">
        <v>5888.436554</v>
      </c>
      <c r="AS304" s="73">
        <v>700.0</v>
      </c>
      <c r="AT304" s="79">
        <v>1.15</v>
      </c>
      <c r="AU304" s="7"/>
      <c r="AV304" s="64">
        <v>1.9498446</v>
      </c>
      <c r="AW304" s="7">
        <f t="shared" si="35"/>
        <v>0.5694603352</v>
      </c>
      <c r="AX304" s="73">
        <v>1.35</v>
      </c>
      <c r="AY304" s="7"/>
      <c r="AZ304" s="11" t="s">
        <v>162</v>
      </c>
      <c r="BA304" s="118" t="s">
        <v>721</v>
      </c>
      <c r="BB304" s="68">
        <v>-40.5</v>
      </c>
      <c r="BC304" s="68">
        <v>0.5</v>
      </c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2"/>
      <c r="DK304" s="12"/>
      <c r="DL304" s="12"/>
      <c r="DM304" s="12"/>
      <c r="DN304" s="12"/>
      <c r="DO304" s="12"/>
      <c r="DP304" s="12"/>
      <c r="DQ304" s="11"/>
      <c r="DR304" s="12"/>
      <c r="DS304" s="12"/>
      <c r="DT304" s="12"/>
      <c r="DU304" s="12"/>
      <c r="DV304" s="73">
        <v>-0.38</v>
      </c>
      <c r="DW304" s="10"/>
      <c r="DX304" s="73">
        <v>2.0E-8</v>
      </c>
      <c r="DY304" s="7"/>
      <c r="DZ304" s="64" t="s">
        <v>762</v>
      </c>
      <c r="EA304" s="64" t="s">
        <v>763</v>
      </c>
      <c r="EB304" s="7"/>
    </row>
    <row r="305">
      <c r="A305" s="55" t="s">
        <v>773</v>
      </c>
      <c r="B305" s="56" t="s">
        <v>773</v>
      </c>
      <c r="C305" s="4"/>
      <c r="D305" s="4"/>
      <c r="E305" s="4"/>
      <c r="F305" s="57" t="s">
        <v>168</v>
      </c>
      <c r="G305" s="58">
        <v>101.31734</v>
      </c>
      <c r="H305" s="58">
        <v>0.37328</v>
      </c>
      <c r="I305" s="6" t="s">
        <v>758</v>
      </c>
      <c r="J305" s="6" t="s">
        <v>169</v>
      </c>
      <c r="K305" s="58">
        <v>14.8</v>
      </c>
      <c r="L305" s="60">
        <v>1.0</v>
      </c>
      <c r="M305" s="5"/>
      <c r="N305" s="6"/>
      <c r="O305" s="58">
        <v>-2.531</v>
      </c>
      <c r="P305" s="58">
        <v>1.055</v>
      </c>
      <c r="Q305" s="58">
        <v>-5.029</v>
      </c>
      <c r="R305" s="58">
        <v>1.175</v>
      </c>
      <c r="S305" s="60"/>
      <c r="T305" s="60"/>
      <c r="U305" s="58">
        <v>3.84</v>
      </c>
      <c r="V305" s="60">
        <v>0.1</v>
      </c>
      <c r="W305" s="5"/>
      <c r="X305" s="5"/>
      <c r="Y305" s="83" t="s">
        <v>759</v>
      </c>
      <c r="Z305" s="60">
        <v>18.99</v>
      </c>
      <c r="AA305" s="60"/>
      <c r="AB305" s="60">
        <v>14.59</v>
      </c>
      <c r="AC305" s="60">
        <v>0.07</v>
      </c>
      <c r="AD305" s="60">
        <v>13.37</v>
      </c>
      <c r="AE305" s="60">
        <v>0.07</v>
      </c>
      <c r="AF305" s="60"/>
      <c r="AG305" s="60"/>
      <c r="AH305" s="6"/>
      <c r="AI305" s="96"/>
      <c r="AJ305" s="76" t="s">
        <v>759</v>
      </c>
      <c r="AK305" s="64" t="s">
        <v>760</v>
      </c>
      <c r="AL305" s="70">
        <v>2013.0</v>
      </c>
      <c r="AM305" s="97">
        <v>4.0</v>
      </c>
      <c r="AN305" s="102">
        <v>4000.0</v>
      </c>
      <c r="AO305" s="97">
        <v>400.0</v>
      </c>
      <c r="AP305" s="13" t="s">
        <v>774</v>
      </c>
      <c r="AQ305" s="97">
        <v>1.0</v>
      </c>
      <c r="AR305" s="78">
        <v>6918.30971</v>
      </c>
      <c r="AS305" s="73">
        <v>800.0</v>
      </c>
      <c r="AT305" s="79">
        <v>1.23</v>
      </c>
      <c r="AU305" s="7"/>
      <c r="AV305" s="64">
        <v>3.388441561</v>
      </c>
      <c r="AW305" s="7">
        <f t="shared" si="35"/>
        <v>0.9896086423</v>
      </c>
      <c r="AX305" s="73">
        <v>1.28</v>
      </c>
      <c r="AY305" s="7"/>
      <c r="AZ305" s="11" t="s">
        <v>162</v>
      </c>
      <c r="BA305" s="118" t="s">
        <v>721</v>
      </c>
      <c r="BB305" s="68">
        <v>-5.3</v>
      </c>
      <c r="BC305" s="68">
        <v>0.25</v>
      </c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2"/>
      <c r="DK305" s="12"/>
      <c r="DL305" s="12"/>
      <c r="DM305" s="69"/>
      <c r="DN305" s="69"/>
      <c r="DO305" s="69"/>
      <c r="DP305" s="69"/>
      <c r="DQ305" s="11"/>
      <c r="DR305" s="69"/>
      <c r="DS305" s="69"/>
      <c r="DT305" s="69"/>
      <c r="DU305" s="69"/>
      <c r="DV305" s="73">
        <v>-1.09</v>
      </c>
      <c r="DW305" s="10"/>
      <c r="DX305" s="81">
        <v>3.47E-9</v>
      </c>
      <c r="DY305" s="7"/>
      <c r="DZ305" s="64" t="s">
        <v>762</v>
      </c>
      <c r="EA305" s="64" t="s">
        <v>763</v>
      </c>
      <c r="EB305" s="7"/>
    </row>
    <row r="306">
      <c r="A306" s="55" t="s">
        <v>775</v>
      </c>
      <c r="B306" s="56" t="s">
        <v>775</v>
      </c>
      <c r="C306" s="4"/>
      <c r="D306" s="4"/>
      <c r="E306" s="4"/>
      <c r="F306" s="57" t="s">
        <v>168</v>
      </c>
      <c r="G306" s="58">
        <v>101.15947</v>
      </c>
      <c r="H306" s="58">
        <v>0.32303</v>
      </c>
      <c r="I306" s="6" t="s">
        <v>758</v>
      </c>
      <c r="J306" s="6" t="s">
        <v>169</v>
      </c>
      <c r="K306" s="58">
        <v>10.9</v>
      </c>
      <c r="L306" s="60">
        <v>1.0</v>
      </c>
      <c r="M306" s="60">
        <v>2.0</v>
      </c>
      <c r="N306" s="58">
        <v>2652.519894</v>
      </c>
      <c r="O306" s="58">
        <v>-0.777</v>
      </c>
      <c r="P306" s="58">
        <v>0.21</v>
      </c>
      <c r="Q306" s="58">
        <v>0.926</v>
      </c>
      <c r="R306" s="58">
        <v>0.208</v>
      </c>
      <c r="S306" s="60"/>
      <c r="T306" s="60"/>
      <c r="U306" s="58">
        <v>1.3</v>
      </c>
      <c r="V306" s="60">
        <v>0.1</v>
      </c>
      <c r="W306" s="5"/>
      <c r="X306" s="5"/>
      <c r="Y306" s="83" t="s">
        <v>759</v>
      </c>
      <c r="Z306" s="60">
        <v>17.08</v>
      </c>
      <c r="AA306" s="60"/>
      <c r="AB306" s="60">
        <v>15.31</v>
      </c>
      <c r="AC306" s="60">
        <v>0.05</v>
      </c>
      <c r="AD306" s="60">
        <v>14.61</v>
      </c>
      <c r="AE306" s="60">
        <v>0.06</v>
      </c>
      <c r="AF306" s="60">
        <v>13.85</v>
      </c>
      <c r="AG306" s="60">
        <v>0.05</v>
      </c>
      <c r="AH306" s="6"/>
      <c r="AI306" s="96"/>
      <c r="AJ306" s="76" t="s">
        <v>759</v>
      </c>
      <c r="AK306" s="64" t="s">
        <v>760</v>
      </c>
      <c r="AL306" s="70">
        <v>2013.0</v>
      </c>
      <c r="AM306" s="97">
        <v>4.0</v>
      </c>
      <c r="AN306" s="102">
        <v>4000.0</v>
      </c>
      <c r="AO306" s="97">
        <v>400.0</v>
      </c>
      <c r="AP306" s="13" t="s">
        <v>776</v>
      </c>
      <c r="AQ306" s="97">
        <v>1.0</v>
      </c>
      <c r="AR306" s="78">
        <v>6760.82975</v>
      </c>
      <c r="AS306" s="73">
        <v>800.0</v>
      </c>
      <c r="AT306" s="79">
        <v>1.26</v>
      </c>
      <c r="AU306" s="7"/>
      <c r="AV306" s="64">
        <v>4.570881896</v>
      </c>
      <c r="AW306" s="7">
        <f t="shared" si="35"/>
        <v>1.334945327</v>
      </c>
      <c r="AX306" s="73">
        <v>1.56</v>
      </c>
      <c r="AY306" s="7"/>
      <c r="AZ306" s="11" t="s">
        <v>162</v>
      </c>
      <c r="BA306" s="118" t="s">
        <v>721</v>
      </c>
      <c r="BB306" s="68">
        <v>-11.7</v>
      </c>
      <c r="BC306" s="68">
        <v>0.25</v>
      </c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2"/>
      <c r="DK306" s="12"/>
      <c r="DL306" s="12"/>
      <c r="DM306" s="69"/>
      <c r="DN306" s="69"/>
      <c r="DO306" s="69"/>
      <c r="DP306" s="69"/>
      <c r="DQ306" s="11"/>
      <c r="DR306" s="69"/>
      <c r="DS306" s="69"/>
      <c r="DT306" s="69"/>
      <c r="DU306" s="69"/>
      <c r="DV306" s="73">
        <v>-0.6</v>
      </c>
      <c r="DW306" s="10"/>
      <c r="DX306" s="81">
        <v>1.26E-8</v>
      </c>
      <c r="DY306" s="7"/>
      <c r="DZ306" s="64" t="s">
        <v>762</v>
      </c>
      <c r="EA306" s="64" t="s">
        <v>763</v>
      </c>
      <c r="EB306" s="7"/>
    </row>
    <row r="307">
      <c r="A307" s="55" t="s">
        <v>777</v>
      </c>
      <c r="B307" s="56" t="s">
        <v>777</v>
      </c>
      <c r="C307" s="4"/>
      <c r="D307" s="4"/>
      <c r="E307" s="4"/>
      <c r="F307" s="57" t="s">
        <v>168</v>
      </c>
      <c r="G307" s="58">
        <v>101.26143</v>
      </c>
      <c r="H307" s="58">
        <v>0.30215</v>
      </c>
      <c r="I307" s="6" t="s">
        <v>758</v>
      </c>
      <c r="J307" s="6" t="s">
        <v>169</v>
      </c>
      <c r="K307" s="58">
        <v>9.5</v>
      </c>
      <c r="L307" s="60">
        <v>1.0</v>
      </c>
      <c r="M307" s="5"/>
      <c r="N307" s="6"/>
      <c r="O307" s="58">
        <v>-0.401</v>
      </c>
      <c r="P307" s="58">
        <v>0.458</v>
      </c>
      <c r="Q307" s="58">
        <v>1.618</v>
      </c>
      <c r="R307" s="58">
        <v>0.492</v>
      </c>
      <c r="S307" s="60"/>
      <c r="T307" s="60"/>
      <c r="U307" s="58">
        <v>3.14</v>
      </c>
      <c r="V307" s="60">
        <v>0.1</v>
      </c>
      <c r="W307" s="5"/>
      <c r="X307" s="5"/>
      <c r="Y307" s="83" t="s">
        <v>759</v>
      </c>
      <c r="Z307" s="60">
        <v>18.66</v>
      </c>
      <c r="AA307" s="60"/>
      <c r="AB307" s="60">
        <v>15.36</v>
      </c>
      <c r="AC307" s="60">
        <v>0.05</v>
      </c>
      <c r="AD307" s="60">
        <v>14.509</v>
      </c>
      <c r="AE307" s="60">
        <v>0.05</v>
      </c>
      <c r="AF307" s="60">
        <v>13.77</v>
      </c>
      <c r="AG307" s="60">
        <v>0.05</v>
      </c>
      <c r="AH307" s="6"/>
      <c r="AI307" s="96"/>
      <c r="AJ307" s="76" t="s">
        <v>759</v>
      </c>
      <c r="AK307" s="64" t="s">
        <v>760</v>
      </c>
      <c r="AL307" s="70">
        <v>2013.0</v>
      </c>
      <c r="AM307" s="97">
        <v>4.0</v>
      </c>
      <c r="AN307" s="102">
        <v>4000.0</v>
      </c>
      <c r="AO307" s="97">
        <v>400.0</v>
      </c>
      <c r="AP307" s="13" t="s">
        <v>774</v>
      </c>
      <c r="AQ307" s="97">
        <v>1.0</v>
      </c>
      <c r="AR307" s="78">
        <v>6918.30971</v>
      </c>
      <c r="AS307" s="73">
        <v>800.0</v>
      </c>
      <c r="AT307" s="79">
        <v>1.3</v>
      </c>
      <c r="AU307" s="7"/>
      <c r="AV307" s="64">
        <v>5.495408739</v>
      </c>
      <c r="AW307" s="7">
        <f t="shared" si="35"/>
        <v>1.604957289</v>
      </c>
      <c r="AX307" s="73">
        <v>1.64</v>
      </c>
      <c r="AY307" s="7"/>
      <c r="AZ307" s="11" t="s">
        <v>162</v>
      </c>
      <c r="BA307" s="118" t="s">
        <v>721</v>
      </c>
      <c r="BB307" s="68">
        <v>-33.7</v>
      </c>
      <c r="BC307" s="68">
        <v>0.25</v>
      </c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2"/>
      <c r="DK307" s="12"/>
      <c r="DL307" s="12"/>
      <c r="DM307" s="69"/>
      <c r="DN307" s="69"/>
      <c r="DO307" s="69"/>
      <c r="DP307" s="69"/>
      <c r="DQ307" s="11"/>
      <c r="DR307" s="69"/>
      <c r="DS307" s="69"/>
      <c r="DT307" s="69"/>
      <c r="DU307" s="69"/>
      <c r="DV307" s="73">
        <v>-0.07</v>
      </c>
      <c r="DW307" s="10"/>
      <c r="DX307" s="81">
        <v>4.37E-8</v>
      </c>
      <c r="DY307" s="7"/>
      <c r="DZ307" s="64" t="s">
        <v>762</v>
      </c>
      <c r="EA307" s="64" t="s">
        <v>763</v>
      </c>
      <c r="EB307" s="7"/>
    </row>
    <row r="308">
      <c r="A308" s="55" t="s">
        <v>778</v>
      </c>
      <c r="B308" s="56" t="s">
        <v>778</v>
      </c>
      <c r="C308" s="4"/>
      <c r="D308" s="4"/>
      <c r="E308" s="4"/>
      <c r="F308" s="57" t="s">
        <v>168</v>
      </c>
      <c r="G308" s="58">
        <v>101.20568</v>
      </c>
      <c r="H308" s="58">
        <v>0.34015</v>
      </c>
      <c r="I308" s="6" t="s">
        <v>758</v>
      </c>
      <c r="J308" s="6" t="s">
        <v>257</v>
      </c>
      <c r="K308" s="58">
        <v>4.3</v>
      </c>
      <c r="L308" s="60">
        <v>1.0</v>
      </c>
      <c r="M308" s="60">
        <v>2.0</v>
      </c>
      <c r="N308" s="58">
        <v>3827.018752</v>
      </c>
      <c r="O308" s="58">
        <v>-0.354</v>
      </c>
      <c r="P308" s="58">
        <v>0.501</v>
      </c>
      <c r="Q308" s="58">
        <v>0.805</v>
      </c>
      <c r="R308" s="58">
        <v>0.601</v>
      </c>
      <c r="S308" s="60"/>
      <c r="T308" s="60"/>
      <c r="U308" s="58">
        <v>1.7</v>
      </c>
      <c r="V308" s="60">
        <v>0.1</v>
      </c>
      <c r="W308" s="5"/>
      <c r="X308" s="5"/>
      <c r="Y308" s="83" t="s">
        <v>759</v>
      </c>
      <c r="Z308" s="60">
        <v>17.97</v>
      </c>
      <c r="AA308" s="60"/>
      <c r="AB308" s="60">
        <v>15.79</v>
      </c>
      <c r="AC308" s="60">
        <v>0.1</v>
      </c>
      <c r="AD308" s="60">
        <v>14.77</v>
      </c>
      <c r="AE308" s="60">
        <v>0.09</v>
      </c>
      <c r="AF308" s="60">
        <v>14.0</v>
      </c>
      <c r="AG308" s="60">
        <v>0.09</v>
      </c>
      <c r="AH308" s="6"/>
      <c r="AI308" s="96"/>
      <c r="AJ308" s="76" t="s">
        <v>759</v>
      </c>
      <c r="AK308" s="64" t="s">
        <v>760</v>
      </c>
      <c r="AL308" s="70">
        <v>2013.0</v>
      </c>
      <c r="AM308" s="97">
        <v>4.0</v>
      </c>
      <c r="AN308" s="102">
        <v>4000.0</v>
      </c>
      <c r="AO308" s="97">
        <v>400.0</v>
      </c>
      <c r="AP308" s="13" t="s">
        <v>779</v>
      </c>
      <c r="AQ308" s="97">
        <v>1.0</v>
      </c>
      <c r="AR308" s="78">
        <v>5623.41325</v>
      </c>
      <c r="AS308" s="73">
        <v>650.0</v>
      </c>
      <c r="AT308" s="79">
        <v>1.36</v>
      </c>
      <c r="AU308" s="7"/>
      <c r="AV308" s="64">
        <v>2.630267992</v>
      </c>
      <c r="AW308" s="7">
        <f t="shared" si="35"/>
        <v>0.7681808553</v>
      </c>
      <c r="AX308" s="73">
        <v>1.71</v>
      </c>
      <c r="AY308" s="7"/>
      <c r="AZ308" s="11" t="s">
        <v>162</v>
      </c>
      <c r="BA308" s="118" t="s">
        <v>721</v>
      </c>
      <c r="BB308" s="68">
        <v>-14.87</v>
      </c>
      <c r="BC308" s="68">
        <v>0.3</v>
      </c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2"/>
      <c r="DK308" s="12"/>
      <c r="DL308" s="12"/>
      <c r="DM308" s="69"/>
      <c r="DN308" s="69"/>
      <c r="DO308" s="69"/>
      <c r="DP308" s="69"/>
      <c r="DQ308" s="11"/>
      <c r="DR308" s="69"/>
      <c r="DS308" s="69"/>
      <c r="DT308" s="69"/>
      <c r="DU308" s="69"/>
      <c r="DV308" s="73">
        <v>-0.67</v>
      </c>
      <c r="DW308" s="10"/>
      <c r="DX308" s="81">
        <v>1.12E-8</v>
      </c>
      <c r="DY308" s="7"/>
      <c r="DZ308" s="64" t="s">
        <v>762</v>
      </c>
      <c r="EA308" s="64" t="s">
        <v>763</v>
      </c>
      <c r="EB308" s="7"/>
    </row>
    <row r="309">
      <c r="A309" s="55" t="s">
        <v>780</v>
      </c>
      <c r="B309" s="56" t="s">
        <v>780</v>
      </c>
      <c r="C309" s="4"/>
      <c r="D309" s="4"/>
      <c r="E309" s="4"/>
      <c r="F309" s="57" t="s">
        <v>168</v>
      </c>
      <c r="G309" s="58">
        <v>101.32197</v>
      </c>
      <c r="H309" s="58">
        <v>0.39595</v>
      </c>
      <c r="I309" s="6" t="s">
        <v>758</v>
      </c>
      <c r="J309" s="6" t="s">
        <v>169</v>
      </c>
      <c r="K309" s="58">
        <v>5.6</v>
      </c>
      <c r="L309" s="60">
        <v>1.0</v>
      </c>
      <c r="M309" s="60">
        <v>2.0</v>
      </c>
      <c r="N309" s="58">
        <v>1652.346332</v>
      </c>
      <c r="O309" s="58">
        <v>0.424</v>
      </c>
      <c r="P309" s="58">
        <v>0.44</v>
      </c>
      <c r="Q309" s="58">
        <v>1.809</v>
      </c>
      <c r="R309" s="58">
        <v>0.486</v>
      </c>
      <c r="S309" s="60"/>
      <c r="T309" s="60"/>
      <c r="U309" s="58">
        <v>2.69</v>
      </c>
      <c r="V309" s="60">
        <v>0.1</v>
      </c>
      <c r="W309" s="5"/>
      <c r="X309" s="5"/>
      <c r="Y309" s="83" t="s">
        <v>759</v>
      </c>
      <c r="Z309" s="60">
        <v>17.54</v>
      </c>
      <c r="AA309" s="60"/>
      <c r="AB309" s="60">
        <v>13.52</v>
      </c>
      <c r="AC309" s="60">
        <v>0.04</v>
      </c>
      <c r="AD309" s="60">
        <v>11.9</v>
      </c>
      <c r="AE309" s="60">
        <v>0.03</v>
      </c>
      <c r="AF309" s="60">
        <v>10.599</v>
      </c>
      <c r="AG309" s="60">
        <v>0.026</v>
      </c>
      <c r="AH309" s="6"/>
      <c r="AI309" s="96"/>
      <c r="AJ309" s="76" t="s">
        <v>759</v>
      </c>
      <c r="AK309" s="64" t="s">
        <v>760</v>
      </c>
      <c r="AL309" s="70">
        <v>2013.0</v>
      </c>
      <c r="AM309" s="97">
        <v>4.0</v>
      </c>
      <c r="AN309" s="102">
        <v>4000.0</v>
      </c>
      <c r="AO309" s="97">
        <v>400.0</v>
      </c>
      <c r="AP309" s="13" t="s">
        <v>776</v>
      </c>
      <c r="AQ309" s="97">
        <v>1.0</v>
      </c>
      <c r="AR309" s="78">
        <v>6760.82975</v>
      </c>
      <c r="AS309" s="73">
        <v>800.0</v>
      </c>
      <c r="AT309" s="79">
        <v>1.57</v>
      </c>
      <c r="AU309" s="7"/>
      <c r="AV309" s="64">
        <v>10.0</v>
      </c>
      <c r="AW309" s="7">
        <f t="shared" si="35"/>
        <v>2.920542156</v>
      </c>
      <c r="AX309" s="73">
        <v>2.31</v>
      </c>
      <c r="AY309" s="7"/>
      <c r="AZ309" s="11" t="s">
        <v>162</v>
      </c>
      <c r="BA309" s="118" t="s">
        <v>721</v>
      </c>
      <c r="BB309" s="68">
        <v>-16.58</v>
      </c>
      <c r="BC309" s="68">
        <v>0.3</v>
      </c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2"/>
      <c r="DK309" s="12"/>
      <c r="DL309" s="12"/>
      <c r="DM309" s="69"/>
      <c r="DN309" s="69"/>
      <c r="DO309" s="69"/>
      <c r="DP309" s="69"/>
      <c r="DQ309" s="11"/>
      <c r="DR309" s="69"/>
      <c r="DS309" s="69"/>
      <c r="DT309" s="69"/>
      <c r="DU309" s="69"/>
      <c r="DV309" s="73">
        <v>-0.11</v>
      </c>
      <c r="DW309" s="10"/>
      <c r="DX309" s="81">
        <v>4.68E-8</v>
      </c>
      <c r="DY309" s="7"/>
      <c r="DZ309" s="64" t="s">
        <v>762</v>
      </c>
      <c r="EA309" s="64" t="s">
        <v>763</v>
      </c>
      <c r="EB309" s="7"/>
    </row>
    <row r="310">
      <c r="A310" s="55" t="s">
        <v>781</v>
      </c>
      <c r="B310" s="56" t="s">
        <v>781</v>
      </c>
      <c r="C310" s="4"/>
      <c r="D310" s="4"/>
      <c r="E310" s="4"/>
      <c r="F310" s="57" t="s">
        <v>168</v>
      </c>
      <c r="G310" s="58">
        <v>101.14755</v>
      </c>
      <c r="H310" s="58">
        <v>0.31926</v>
      </c>
      <c r="I310" s="6" t="s">
        <v>758</v>
      </c>
      <c r="J310" s="6" t="s">
        <v>159</v>
      </c>
      <c r="K310" s="58">
        <v>5.6</v>
      </c>
      <c r="L310" s="60">
        <v>1.0</v>
      </c>
      <c r="M310" s="60">
        <v>2.0</v>
      </c>
      <c r="N310" s="58">
        <v>5327.650506</v>
      </c>
      <c r="O310" s="59">
        <v>-0.457</v>
      </c>
      <c r="P310" s="59">
        <v>0.265</v>
      </c>
      <c r="Q310" s="59">
        <v>0.077</v>
      </c>
      <c r="R310" s="59">
        <v>0.264</v>
      </c>
      <c r="S310" s="60"/>
      <c r="T310" s="60"/>
      <c r="U310" s="58">
        <v>3.0</v>
      </c>
      <c r="V310" s="60">
        <v>0.1</v>
      </c>
      <c r="W310" s="5"/>
      <c r="X310" s="5"/>
      <c r="Y310" s="83" t="s">
        <v>759</v>
      </c>
      <c r="Z310" s="60">
        <v>17.4</v>
      </c>
      <c r="AA310" s="60"/>
      <c r="AB310" s="60">
        <v>14.74</v>
      </c>
      <c r="AC310" s="60">
        <v>0.04</v>
      </c>
      <c r="AD310" s="60">
        <v>13.96</v>
      </c>
      <c r="AE310" s="60">
        <v>0.04</v>
      </c>
      <c r="AF310" s="60">
        <v>13.52</v>
      </c>
      <c r="AG310" s="60">
        <v>0.05</v>
      </c>
      <c r="AH310" s="6"/>
      <c r="AI310" s="96"/>
      <c r="AJ310" s="76" t="s">
        <v>759</v>
      </c>
      <c r="AK310" s="64" t="s">
        <v>760</v>
      </c>
      <c r="AL310" s="70">
        <v>2013.0</v>
      </c>
      <c r="AM310" s="97">
        <v>4.0</v>
      </c>
      <c r="AN310" s="102">
        <v>4000.0</v>
      </c>
      <c r="AO310" s="97">
        <v>400.0</v>
      </c>
      <c r="AP310" s="13" t="s">
        <v>776</v>
      </c>
      <c r="AQ310" s="97">
        <v>1.0</v>
      </c>
      <c r="AR310" s="78">
        <v>6760.829754</v>
      </c>
      <c r="AS310" s="73">
        <v>800.0</v>
      </c>
      <c r="AT310" s="79">
        <v>1.57</v>
      </c>
      <c r="AU310" s="7"/>
      <c r="AV310" s="64">
        <v>10.0</v>
      </c>
      <c r="AW310" s="7">
        <f t="shared" si="35"/>
        <v>2.920542156</v>
      </c>
      <c r="AX310" s="73">
        <v>2.31</v>
      </c>
      <c r="AY310" s="7"/>
      <c r="AZ310" s="11" t="s">
        <v>162</v>
      </c>
      <c r="BA310" s="118" t="s">
        <v>721</v>
      </c>
      <c r="BB310" s="68">
        <v>-4.2</v>
      </c>
      <c r="BC310" s="68">
        <v>0.2</v>
      </c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2"/>
      <c r="DK310" s="12"/>
      <c r="DL310" s="12"/>
      <c r="DM310" s="12"/>
      <c r="DN310" s="12"/>
      <c r="DO310" s="12"/>
      <c r="DP310" s="12"/>
      <c r="DQ310" s="11"/>
      <c r="DR310" s="12"/>
      <c r="DS310" s="12"/>
      <c r="DT310" s="12"/>
      <c r="DU310" s="12"/>
      <c r="DV310" s="73">
        <v>-0.71</v>
      </c>
      <c r="DW310" s="10"/>
      <c r="DX310" s="81">
        <v>1.17E-8</v>
      </c>
      <c r="DY310" s="7"/>
      <c r="DZ310" s="64" t="s">
        <v>762</v>
      </c>
      <c r="EA310" s="64" t="s">
        <v>763</v>
      </c>
      <c r="EB310" s="7"/>
    </row>
    <row r="311">
      <c r="A311" s="55" t="s">
        <v>782</v>
      </c>
      <c r="B311" s="56" t="s">
        <v>783</v>
      </c>
      <c r="C311" s="4"/>
      <c r="D311" s="4"/>
      <c r="E311" s="4"/>
      <c r="F311" s="57" t="s">
        <v>168</v>
      </c>
      <c r="G311" s="58">
        <v>101.19176</v>
      </c>
      <c r="H311" s="58">
        <v>0.32173</v>
      </c>
      <c r="I311" s="6" t="s">
        <v>758</v>
      </c>
      <c r="J311" s="6" t="s">
        <v>159</v>
      </c>
      <c r="K311" s="58">
        <v>3.8</v>
      </c>
      <c r="L311" s="60">
        <v>1.0</v>
      </c>
      <c r="M311" s="5"/>
      <c r="N311" s="6"/>
      <c r="O311" s="58">
        <v>-1.388</v>
      </c>
      <c r="P311" s="58">
        <v>0.432</v>
      </c>
      <c r="Q311" s="58">
        <v>-0.59</v>
      </c>
      <c r="R311" s="58">
        <v>0.487</v>
      </c>
      <c r="S311" s="60"/>
      <c r="T311" s="60"/>
      <c r="U311" s="58">
        <v>5.63</v>
      </c>
      <c r="V311" s="60">
        <v>0.1</v>
      </c>
      <c r="W311" s="5"/>
      <c r="X311" s="5"/>
      <c r="Y311" s="83" t="s">
        <v>759</v>
      </c>
      <c r="Z311" s="60">
        <v>21.85</v>
      </c>
      <c r="AA311" s="60"/>
      <c r="AB311" s="60"/>
      <c r="AC311" s="60"/>
      <c r="AD311" s="60"/>
      <c r="AE311" s="60"/>
      <c r="AF311" s="60"/>
      <c r="AG311" s="60"/>
      <c r="AH311" s="6"/>
      <c r="AI311" s="96"/>
      <c r="AJ311" s="76" t="s">
        <v>759</v>
      </c>
      <c r="AK311" s="64" t="s">
        <v>760</v>
      </c>
      <c r="AL311" s="97">
        <v>2013.0</v>
      </c>
      <c r="AM311" s="97">
        <v>4.0</v>
      </c>
      <c r="AN311" s="102">
        <v>4000.0</v>
      </c>
      <c r="AO311" s="97">
        <v>400.0</v>
      </c>
      <c r="AP311" s="13" t="s">
        <v>772</v>
      </c>
      <c r="AQ311" s="97">
        <v>1.0</v>
      </c>
      <c r="AR311" s="78">
        <v>5888.43655</v>
      </c>
      <c r="AS311" s="73">
        <v>700.0</v>
      </c>
      <c r="AT311" s="79">
        <v>1.57</v>
      </c>
      <c r="AU311" s="7"/>
      <c r="AV311" s="70">
        <v>5.011872336</v>
      </c>
      <c r="AW311" s="7">
        <f t="shared" si="35"/>
        <v>1.463738444</v>
      </c>
      <c r="AX311" s="73">
        <v>2.16</v>
      </c>
      <c r="AY311" s="7"/>
      <c r="AZ311" s="11" t="s">
        <v>162</v>
      </c>
      <c r="BA311" s="118" t="s">
        <v>721</v>
      </c>
      <c r="BB311" s="90">
        <v>-73.2</v>
      </c>
      <c r="BC311" s="90">
        <v>0.9</v>
      </c>
      <c r="BD311" s="105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2"/>
      <c r="DK311" s="12"/>
      <c r="DL311" s="12"/>
      <c r="DM311" s="69"/>
      <c r="DN311" s="69"/>
      <c r="DO311" s="69"/>
      <c r="DP311" s="69"/>
      <c r="DQ311" s="11"/>
      <c r="DR311" s="69"/>
      <c r="DS311" s="69"/>
      <c r="DT311" s="69"/>
      <c r="DU311" s="69"/>
      <c r="DV311" s="73">
        <v>0.29</v>
      </c>
      <c r="DW311" s="10"/>
      <c r="DX311" s="81">
        <v>1.1E-7</v>
      </c>
      <c r="DY311" s="7"/>
      <c r="DZ311" s="64" t="s">
        <v>762</v>
      </c>
      <c r="EA311" s="64" t="s">
        <v>763</v>
      </c>
      <c r="EB311" s="7"/>
    </row>
    <row r="312">
      <c r="A312" s="55" t="s">
        <v>784</v>
      </c>
      <c r="B312" s="56" t="s">
        <v>784</v>
      </c>
      <c r="C312" s="4"/>
      <c r="D312" s="4"/>
      <c r="E312" s="4"/>
      <c r="F312" s="57" t="s">
        <v>168</v>
      </c>
      <c r="G312" s="58">
        <v>101.15343</v>
      </c>
      <c r="H312" s="58">
        <v>0.27184</v>
      </c>
      <c r="I312" s="6" t="s">
        <v>758</v>
      </c>
      <c r="J312" s="6" t="s">
        <v>169</v>
      </c>
      <c r="K312" s="58">
        <v>5.5</v>
      </c>
      <c r="L312" s="60">
        <v>1.0</v>
      </c>
      <c r="M312" s="60">
        <v>2.0</v>
      </c>
      <c r="N312" s="58">
        <v>2926.543752</v>
      </c>
      <c r="O312" s="59">
        <v>-0.529</v>
      </c>
      <c r="P312" s="59">
        <v>0.15</v>
      </c>
      <c r="Q312" s="59">
        <v>0.044</v>
      </c>
      <c r="R312" s="59">
        <v>0.144</v>
      </c>
      <c r="S312" s="60"/>
      <c r="T312" s="60"/>
      <c r="U312" s="61">
        <v>1.62</v>
      </c>
      <c r="V312" s="60">
        <v>0.25</v>
      </c>
      <c r="W312" s="5"/>
      <c r="X312" s="5"/>
      <c r="Y312" s="83" t="s">
        <v>759</v>
      </c>
      <c r="Z312" s="60">
        <v>16.98</v>
      </c>
      <c r="AA312" s="60"/>
      <c r="AB312" s="60">
        <v>14.58</v>
      </c>
      <c r="AC312" s="60">
        <v>0.037</v>
      </c>
      <c r="AD312" s="60">
        <v>13.831</v>
      </c>
      <c r="AE312" s="60">
        <v>0.038</v>
      </c>
      <c r="AF312" s="60">
        <v>13.03</v>
      </c>
      <c r="AG312" s="60">
        <v>0.03</v>
      </c>
      <c r="AH312" s="6"/>
      <c r="AI312" s="96"/>
      <c r="AJ312" s="76" t="s">
        <v>759</v>
      </c>
      <c r="AK312" s="64" t="s">
        <v>785</v>
      </c>
      <c r="AL312" s="70">
        <v>2013.0</v>
      </c>
      <c r="AM312" s="97">
        <v>4.0</v>
      </c>
      <c r="AN312" s="102">
        <v>4000.0</v>
      </c>
      <c r="AO312" s="97">
        <v>400.0</v>
      </c>
      <c r="AP312" s="13" t="s">
        <v>786</v>
      </c>
      <c r="AQ312" s="70">
        <v>1.5</v>
      </c>
      <c r="AR312" s="78">
        <v>7585.77575</v>
      </c>
      <c r="AS312" s="73">
        <v>750.0</v>
      </c>
      <c r="AT312" s="79">
        <v>1.6</v>
      </c>
      <c r="AU312" s="7"/>
      <c r="AV312" s="64">
        <v>12.58925412</v>
      </c>
      <c r="AW312" s="7">
        <f t="shared" si="35"/>
        <v>3.676744737</v>
      </c>
      <c r="AX312" s="73">
        <v>1.79</v>
      </c>
      <c r="AY312" s="7"/>
      <c r="AZ312" s="11" t="s">
        <v>162</v>
      </c>
      <c r="BA312" s="118" t="s">
        <v>721</v>
      </c>
      <c r="BB312" s="68">
        <v>-8.98</v>
      </c>
      <c r="BC312" s="68">
        <v>0.4</v>
      </c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2"/>
      <c r="DK312" s="12"/>
      <c r="DL312" s="12"/>
      <c r="DM312" s="12"/>
      <c r="DN312" s="12"/>
      <c r="DO312" s="12"/>
      <c r="DP312" s="12"/>
      <c r="DQ312" s="11"/>
      <c r="DR312" s="12"/>
      <c r="DS312" s="12"/>
      <c r="DT312" s="12"/>
      <c r="DU312" s="12"/>
      <c r="DV312" s="73">
        <v>-0.26</v>
      </c>
      <c r="DW312" s="10"/>
      <c r="DX312" s="81">
        <v>3.16E-8</v>
      </c>
      <c r="DY312" s="7"/>
      <c r="DZ312" s="64" t="s">
        <v>762</v>
      </c>
      <c r="EA312" s="64" t="s">
        <v>763</v>
      </c>
      <c r="EB312" s="7"/>
    </row>
    <row r="313">
      <c r="A313" s="55" t="s">
        <v>784</v>
      </c>
      <c r="B313" s="56" t="s">
        <v>784</v>
      </c>
      <c r="C313" s="4"/>
      <c r="D313" s="4"/>
      <c r="E313" s="4"/>
      <c r="F313" s="57" t="s">
        <v>168</v>
      </c>
      <c r="G313" s="58">
        <v>101.15343</v>
      </c>
      <c r="H313" s="58">
        <v>0.27184</v>
      </c>
      <c r="I313" s="6" t="s">
        <v>758</v>
      </c>
      <c r="J313" s="6" t="s">
        <v>169</v>
      </c>
      <c r="K313" s="58">
        <v>5.5</v>
      </c>
      <c r="L313" s="60">
        <v>1.0</v>
      </c>
      <c r="M313" s="60">
        <v>2.0</v>
      </c>
      <c r="N313" s="58">
        <v>2926.543752</v>
      </c>
      <c r="O313" s="59">
        <v>-0.529</v>
      </c>
      <c r="P313" s="59">
        <v>0.15</v>
      </c>
      <c r="Q313" s="59">
        <v>0.044</v>
      </c>
      <c r="R313" s="59">
        <v>0.144</v>
      </c>
      <c r="S313" s="60"/>
      <c r="T313" s="60"/>
      <c r="U313" s="58">
        <v>1.9</v>
      </c>
      <c r="V313" s="60">
        <v>0.1</v>
      </c>
      <c r="W313" s="5"/>
      <c r="X313" s="5"/>
      <c r="Y313" s="83" t="s">
        <v>759</v>
      </c>
      <c r="Z313" s="60">
        <v>16.98</v>
      </c>
      <c r="AA313" s="60"/>
      <c r="AB313" s="60">
        <v>14.58</v>
      </c>
      <c r="AC313" s="60">
        <v>0.037</v>
      </c>
      <c r="AD313" s="60">
        <v>13.831</v>
      </c>
      <c r="AE313" s="60">
        <v>0.038</v>
      </c>
      <c r="AF313" s="60">
        <v>13.03</v>
      </c>
      <c r="AG313" s="60">
        <v>0.03</v>
      </c>
      <c r="AH313" s="6"/>
      <c r="AI313" s="96"/>
      <c r="AJ313" s="76" t="s">
        <v>759</v>
      </c>
      <c r="AK313" s="64" t="s">
        <v>760</v>
      </c>
      <c r="AL313" s="70">
        <v>2013.0</v>
      </c>
      <c r="AM313" s="97">
        <v>4.0</v>
      </c>
      <c r="AN313" s="102">
        <v>4000.0</v>
      </c>
      <c r="AO313" s="97">
        <v>400.0</v>
      </c>
      <c r="AP313" s="13" t="s">
        <v>786</v>
      </c>
      <c r="AQ313" s="97">
        <v>1.0</v>
      </c>
      <c r="AR313" s="78">
        <v>7585.77575</v>
      </c>
      <c r="AS313" s="73">
        <v>750.0</v>
      </c>
      <c r="AT313" s="79">
        <v>1.6</v>
      </c>
      <c r="AU313" s="7"/>
      <c r="AV313" s="64">
        <v>9.54992586</v>
      </c>
      <c r="AW313" s="7">
        <f t="shared" si="35"/>
        <v>2.789096106</v>
      </c>
      <c r="AX313" s="73">
        <v>1.79</v>
      </c>
      <c r="AY313" s="7"/>
      <c r="AZ313" s="11" t="s">
        <v>162</v>
      </c>
      <c r="BA313" s="118" t="s">
        <v>721</v>
      </c>
      <c r="BB313" s="68">
        <v>-8.4</v>
      </c>
      <c r="BC313" s="68">
        <v>0.2</v>
      </c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2"/>
      <c r="DK313" s="12"/>
      <c r="DL313" s="12"/>
      <c r="DM313" s="12"/>
      <c r="DN313" s="12"/>
      <c r="DO313" s="12"/>
      <c r="DP313" s="12"/>
      <c r="DQ313" s="11"/>
      <c r="DR313" s="12"/>
      <c r="DS313" s="12"/>
      <c r="DT313" s="12"/>
      <c r="DU313" s="12"/>
      <c r="DV313" s="73">
        <v>-0.26</v>
      </c>
      <c r="DW313" s="10"/>
      <c r="DX313" s="81">
        <v>3.16E-8</v>
      </c>
      <c r="DY313" s="7"/>
      <c r="DZ313" s="64" t="s">
        <v>762</v>
      </c>
      <c r="EA313" s="64" t="s">
        <v>763</v>
      </c>
      <c r="EB313" s="7"/>
    </row>
    <row r="314">
      <c r="A314" s="55" t="s">
        <v>787</v>
      </c>
      <c r="B314" s="56" t="s">
        <v>787</v>
      </c>
      <c r="C314" s="4"/>
      <c r="D314" s="4"/>
      <c r="E314" s="4"/>
      <c r="F314" s="57" t="s">
        <v>168</v>
      </c>
      <c r="G314" s="58">
        <v>101.35226</v>
      </c>
      <c r="H314" s="58">
        <v>0.37912</v>
      </c>
      <c r="I314" s="6" t="s">
        <v>758</v>
      </c>
      <c r="J314" s="6" t="s">
        <v>169</v>
      </c>
      <c r="K314" s="58">
        <v>1.0</v>
      </c>
      <c r="L314" s="60">
        <v>1.0</v>
      </c>
      <c r="M314" s="60">
        <v>2.0</v>
      </c>
      <c r="N314" s="58">
        <v>326.2749192</v>
      </c>
      <c r="O314" s="58">
        <v>2.983</v>
      </c>
      <c r="P314" s="58">
        <v>0.901</v>
      </c>
      <c r="Q314" s="58">
        <v>2.318</v>
      </c>
      <c r="R314" s="58">
        <v>0.791</v>
      </c>
      <c r="S314" s="60"/>
      <c r="T314" s="60"/>
      <c r="U314" s="58">
        <v>2.33</v>
      </c>
      <c r="V314" s="60">
        <v>0.1</v>
      </c>
      <c r="W314" s="5"/>
      <c r="X314" s="5"/>
      <c r="Y314" s="83" t="s">
        <v>759</v>
      </c>
      <c r="Z314" s="60">
        <v>18.97</v>
      </c>
      <c r="AA314" s="60"/>
      <c r="AB314" s="60">
        <v>16.17</v>
      </c>
      <c r="AC314" s="60">
        <v>0.11</v>
      </c>
      <c r="AD314" s="60">
        <v>15.05</v>
      </c>
      <c r="AE314" s="60">
        <v>0.08</v>
      </c>
      <c r="AF314" s="60">
        <v>14.36</v>
      </c>
      <c r="AG314" s="60">
        <v>0.07</v>
      </c>
      <c r="AH314" s="6"/>
      <c r="AI314" s="96"/>
      <c r="AJ314" s="76" t="s">
        <v>759</v>
      </c>
      <c r="AK314" s="64" t="s">
        <v>760</v>
      </c>
      <c r="AL314" s="70">
        <v>2013.0</v>
      </c>
      <c r="AM314" s="97">
        <v>4.0</v>
      </c>
      <c r="AN314" s="102">
        <v>4000.0</v>
      </c>
      <c r="AO314" s="97">
        <v>400.0</v>
      </c>
      <c r="AP314" s="13" t="s">
        <v>788</v>
      </c>
      <c r="AQ314" s="97">
        <v>1.0</v>
      </c>
      <c r="AR314" s="78">
        <v>5370.31796</v>
      </c>
      <c r="AS314" s="73">
        <v>600.0</v>
      </c>
      <c r="AT314" s="79">
        <v>1.66</v>
      </c>
      <c r="AU314" s="7"/>
      <c r="AV314" s="64">
        <v>5.623413252</v>
      </c>
      <c r="AW314" s="7">
        <f t="shared" si="35"/>
        <v>1.642341546</v>
      </c>
      <c r="AX314" s="73">
        <v>2.75</v>
      </c>
      <c r="AY314" s="7"/>
      <c r="AZ314" s="11" t="s">
        <v>162</v>
      </c>
      <c r="BA314" s="118" t="s">
        <v>721</v>
      </c>
      <c r="BB314" s="68">
        <v>-21.18</v>
      </c>
      <c r="BC314" s="68">
        <v>0.2</v>
      </c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2"/>
      <c r="DK314" s="12"/>
      <c r="DL314" s="12"/>
      <c r="DM314" s="69"/>
      <c r="DN314" s="69"/>
      <c r="DO314" s="69"/>
      <c r="DP314" s="69"/>
      <c r="DQ314" s="11"/>
      <c r="DR314" s="69"/>
      <c r="DS314" s="69"/>
      <c r="DT314" s="69"/>
      <c r="DU314" s="69"/>
      <c r="DV314" s="73">
        <v>-0.18</v>
      </c>
      <c r="DW314" s="10"/>
      <c r="DX314" s="81">
        <v>4.47E-8</v>
      </c>
      <c r="DY314" s="7"/>
      <c r="DZ314" s="64" t="s">
        <v>762</v>
      </c>
      <c r="EA314" s="64" t="s">
        <v>763</v>
      </c>
      <c r="EB314" s="7"/>
    </row>
    <row r="315">
      <c r="A315" s="55" t="s">
        <v>789</v>
      </c>
      <c r="B315" s="56" t="s">
        <v>789</v>
      </c>
      <c r="C315" s="4"/>
      <c r="D315" s="4"/>
      <c r="E315" s="4"/>
      <c r="F315" s="57" t="s">
        <v>168</v>
      </c>
      <c r="G315" s="58">
        <v>101.25868</v>
      </c>
      <c r="H315" s="58">
        <v>0.32898</v>
      </c>
      <c r="I315" s="6" t="s">
        <v>758</v>
      </c>
      <c r="J315" s="6" t="s">
        <v>257</v>
      </c>
      <c r="K315" s="58">
        <v>4.1</v>
      </c>
      <c r="L315" s="60">
        <v>1.0</v>
      </c>
      <c r="M315" s="60">
        <v>2.0</v>
      </c>
      <c r="N315" s="58">
        <v>8532.423208</v>
      </c>
      <c r="O315" s="58">
        <v>-0.358</v>
      </c>
      <c r="P315" s="58">
        <v>0.16</v>
      </c>
      <c r="Q315" s="58">
        <v>0.328</v>
      </c>
      <c r="R315" s="58">
        <v>0.177</v>
      </c>
      <c r="S315" s="60"/>
      <c r="T315" s="60"/>
      <c r="U315" s="61">
        <v>2.23</v>
      </c>
      <c r="V315" s="61">
        <v>0.3</v>
      </c>
      <c r="W315" s="5"/>
      <c r="X315" s="5"/>
      <c r="Y315" s="83" t="s">
        <v>759</v>
      </c>
      <c r="Z315" s="60">
        <v>16.56</v>
      </c>
      <c r="AA315" s="60"/>
      <c r="AB315" s="60">
        <v>14.624</v>
      </c>
      <c r="AC315" s="60">
        <v>0.036</v>
      </c>
      <c r="AD315" s="60">
        <v>14.13</v>
      </c>
      <c r="AE315" s="60">
        <v>0.05</v>
      </c>
      <c r="AF315" s="60">
        <v>13.84</v>
      </c>
      <c r="AG315" s="60">
        <v>0.05</v>
      </c>
      <c r="AH315" s="6"/>
      <c r="AI315" s="96"/>
      <c r="AJ315" s="76" t="s">
        <v>759</v>
      </c>
      <c r="AK315" s="64" t="s">
        <v>785</v>
      </c>
      <c r="AL315" s="70">
        <v>2013.0</v>
      </c>
      <c r="AM315" s="97">
        <v>4.0</v>
      </c>
      <c r="AN315" s="102">
        <v>4000.0</v>
      </c>
      <c r="AO315" s="97">
        <v>400.0</v>
      </c>
      <c r="AP315" s="13" t="s">
        <v>790</v>
      </c>
      <c r="AQ315" s="70">
        <v>1.5</v>
      </c>
      <c r="AR315" s="78">
        <v>8128.305162</v>
      </c>
      <c r="AS315" s="73">
        <v>800.0</v>
      </c>
      <c r="AT315" s="79">
        <v>1.75</v>
      </c>
      <c r="AU315" s="7"/>
      <c r="AV315" s="64">
        <v>33.88441561</v>
      </c>
      <c r="AW315" s="7">
        <f t="shared" si="35"/>
        <v>9.896086423</v>
      </c>
      <c r="AX315" s="73">
        <v>2.94</v>
      </c>
      <c r="AY315" s="7"/>
      <c r="AZ315" s="11" t="s">
        <v>162</v>
      </c>
      <c r="BA315" s="118" t="s">
        <v>721</v>
      </c>
      <c r="BB315" s="68">
        <v>-43.56</v>
      </c>
      <c r="BC315" s="68">
        <v>2.1</v>
      </c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2"/>
      <c r="DK315" s="12"/>
      <c r="DL315" s="12"/>
      <c r="DM315" s="12"/>
      <c r="DN315" s="12"/>
      <c r="DO315" s="12"/>
      <c r="DP315" s="12"/>
      <c r="DQ315" s="11"/>
      <c r="DR315" s="12"/>
      <c r="DS315" s="12"/>
      <c r="DT315" s="12"/>
      <c r="DU315" s="12"/>
      <c r="DV315" s="73">
        <v>0.48</v>
      </c>
      <c r="DW315" s="10"/>
      <c r="DX315" s="73">
        <v>1.51E-7</v>
      </c>
      <c r="DY315" s="7"/>
      <c r="DZ315" s="64" t="s">
        <v>762</v>
      </c>
      <c r="EA315" s="64" t="s">
        <v>763</v>
      </c>
      <c r="EB315" s="7"/>
    </row>
    <row r="316">
      <c r="A316" s="55" t="s">
        <v>789</v>
      </c>
      <c r="B316" s="56" t="s">
        <v>789</v>
      </c>
      <c r="C316" s="4"/>
      <c r="D316" s="4"/>
      <c r="E316" s="4"/>
      <c r="F316" s="57" t="s">
        <v>168</v>
      </c>
      <c r="G316" s="58">
        <v>101.25868</v>
      </c>
      <c r="H316" s="58">
        <v>0.32898</v>
      </c>
      <c r="I316" s="6" t="s">
        <v>758</v>
      </c>
      <c r="J316" s="6" t="s">
        <v>257</v>
      </c>
      <c r="K316" s="58">
        <v>4.1</v>
      </c>
      <c r="L316" s="60">
        <v>1.0</v>
      </c>
      <c r="M316" s="60">
        <v>2.0</v>
      </c>
      <c r="N316" s="58">
        <v>8532.423208</v>
      </c>
      <c r="O316" s="58">
        <v>-0.358</v>
      </c>
      <c r="P316" s="58">
        <v>0.16</v>
      </c>
      <c r="Q316" s="58">
        <v>0.328</v>
      </c>
      <c r="R316" s="58">
        <v>0.177</v>
      </c>
      <c r="S316" s="60"/>
      <c r="T316" s="60"/>
      <c r="U316" s="58">
        <v>2.45</v>
      </c>
      <c r="V316" s="60">
        <v>0.1</v>
      </c>
      <c r="W316" s="5"/>
      <c r="X316" s="5"/>
      <c r="Y316" s="83" t="s">
        <v>759</v>
      </c>
      <c r="Z316" s="60">
        <v>16.56</v>
      </c>
      <c r="AA316" s="60"/>
      <c r="AB316" s="60">
        <v>14.624</v>
      </c>
      <c r="AC316" s="60">
        <v>0.036</v>
      </c>
      <c r="AD316" s="60">
        <v>14.13</v>
      </c>
      <c r="AE316" s="60">
        <v>0.05</v>
      </c>
      <c r="AF316" s="60">
        <v>13.84</v>
      </c>
      <c r="AG316" s="60">
        <v>0.05</v>
      </c>
      <c r="AH316" s="6"/>
      <c r="AI316" s="96"/>
      <c r="AJ316" s="76" t="s">
        <v>759</v>
      </c>
      <c r="AK316" s="64" t="s">
        <v>760</v>
      </c>
      <c r="AL316" s="70">
        <v>2013.0</v>
      </c>
      <c r="AM316" s="97">
        <v>4.0</v>
      </c>
      <c r="AN316" s="102">
        <v>4000.0</v>
      </c>
      <c r="AO316" s="97">
        <v>400.0</v>
      </c>
      <c r="AP316" s="13" t="s">
        <v>790</v>
      </c>
      <c r="AQ316" s="97">
        <v>1.0</v>
      </c>
      <c r="AR316" s="78">
        <v>8128.305162</v>
      </c>
      <c r="AS316" s="73">
        <v>800.0</v>
      </c>
      <c r="AT316" s="79">
        <v>1.75</v>
      </c>
      <c r="AU316" s="7"/>
      <c r="AV316" s="64">
        <v>18.62087137</v>
      </c>
      <c r="AW316" s="7">
        <f t="shared" si="35"/>
        <v>5.438303982</v>
      </c>
      <c r="AX316" s="73">
        <v>2.94</v>
      </c>
      <c r="AY316" s="7"/>
      <c r="AZ316" s="11" t="s">
        <v>162</v>
      </c>
      <c r="BA316" s="118" t="s">
        <v>721</v>
      </c>
      <c r="BB316" s="68">
        <v>-8.05</v>
      </c>
      <c r="BC316" s="68">
        <v>0.1</v>
      </c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2"/>
      <c r="DK316" s="12"/>
      <c r="DL316" s="12"/>
      <c r="DM316" s="12"/>
      <c r="DN316" s="12"/>
      <c r="DO316" s="12"/>
      <c r="DP316" s="12"/>
      <c r="DQ316" s="11"/>
      <c r="DR316" s="12"/>
      <c r="DS316" s="12"/>
      <c r="DT316" s="12"/>
      <c r="DU316" s="12"/>
      <c r="DV316" s="73">
        <v>0.48</v>
      </c>
      <c r="DW316" s="10"/>
      <c r="DX316" s="73">
        <v>1.51E-7</v>
      </c>
      <c r="DY316" s="7"/>
      <c r="DZ316" s="64" t="s">
        <v>762</v>
      </c>
      <c r="EA316" s="64" t="s">
        <v>763</v>
      </c>
      <c r="EB316" s="7"/>
    </row>
    <row r="317">
      <c r="A317" s="55" t="s">
        <v>791</v>
      </c>
      <c r="B317" s="56" t="s">
        <v>791</v>
      </c>
      <c r="C317" s="4"/>
      <c r="D317" s="4"/>
      <c r="E317" s="4"/>
      <c r="F317" s="57" t="s">
        <v>168</v>
      </c>
      <c r="G317" s="58">
        <v>101.18734</v>
      </c>
      <c r="H317" s="58">
        <v>0.32598</v>
      </c>
      <c r="I317" s="6" t="s">
        <v>758</v>
      </c>
      <c r="J317" s="6" t="s">
        <v>169</v>
      </c>
      <c r="K317" s="58">
        <v>3.3</v>
      </c>
      <c r="L317" s="60">
        <v>1.0</v>
      </c>
      <c r="M317" s="5"/>
      <c r="N317" s="6"/>
      <c r="O317" s="58">
        <v>-0.388</v>
      </c>
      <c r="P317" s="58">
        <v>0.233</v>
      </c>
      <c r="Q317" s="58">
        <v>0.043</v>
      </c>
      <c r="R317" s="58">
        <v>0.231</v>
      </c>
      <c r="S317" s="60"/>
      <c r="T317" s="60"/>
      <c r="U317" s="58">
        <v>2.52</v>
      </c>
      <c r="V317" s="60">
        <v>0.1</v>
      </c>
      <c r="W317" s="5"/>
      <c r="X317" s="5"/>
      <c r="Y317" s="83" t="s">
        <v>759</v>
      </c>
      <c r="Z317" s="60">
        <v>17.26</v>
      </c>
      <c r="AA317" s="60"/>
      <c r="AB317" s="60">
        <v>14.83</v>
      </c>
      <c r="AC317" s="60">
        <v>0.04</v>
      </c>
      <c r="AD317" s="60">
        <v>13.96</v>
      </c>
      <c r="AE317" s="60">
        <v>0.05</v>
      </c>
      <c r="AF317" s="60">
        <v>13.48</v>
      </c>
      <c r="AG317" s="60">
        <v>0.05</v>
      </c>
      <c r="AH317" s="6"/>
      <c r="AI317" s="96"/>
      <c r="AJ317" s="76" t="s">
        <v>759</v>
      </c>
      <c r="AK317" s="64" t="s">
        <v>760</v>
      </c>
      <c r="AL317" s="70">
        <v>2013.0</v>
      </c>
      <c r="AM317" s="97">
        <v>4.0</v>
      </c>
      <c r="AN317" s="102">
        <v>4000.0</v>
      </c>
      <c r="AO317" s="97">
        <v>400.0</v>
      </c>
      <c r="AP317" s="13" t="s">
        <v>792</v>
      </c>
      <c r="AQ317" s="97">
        <v>1.0</v>
      </c>
      <c r="AR317" s="78">
        <v>6025.595861</v>
      </c>
      <c r="AS317" s="73">
        <v>700.0</v>
      </c>
      <c r="AT317" s="79">
        <v>1.75</v>
      </c>
      <c r="AU317" s="7"/>
      <c r="AV317" s="64">
        <v>7.58577575</v>
      </c>
      <c r="AW317" s="7">
        <f t="shared" si="35"/>
        <v>2.215457787</v>
      </c>
      <c r="AX317" s="73">
        <v>2.53</v>
      </c>
      <c r="AY317" s="7"/>
      <c r="AZ317" s="11" t="s">
        <v>162</v>
      </c>
      <c r="BA317" s="118" t="s">
        <v>721</v>
      </c>
      <c r="BB317" s="68">
        <v>-8.8</v>
      </c>
      <c r="BC317" s="68">
        <v>0.15</v>
      </c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2"/>
      <c r="DK317" s="12"/>
      <c r="DL317" s="12"/>
      <c r="DM317" s="69"/>
      <c r="DN317" s="69"/>
      <c r="DO317" s="69"/>
      <c r="DP317" s="69"/>
      <c r="DQ317" s="11"/>
      <c r="DR317" s="69"/>
      <c r="DS317" s="69"/>
      <c r="DT317" s="69"/>
      <c r="DU317" s="69"/>
      <c r="DV317" s="73">
        <v>-0.46</v>
      </c>
      <c r="DW317" s="10"/>
      <c r="DX317" s="81">
        <v>2.04E-8</v>
      </c>
      <c r="DY317" s="7"/>
      <c r="DZ317" s="64" t="s">
        <v>762</v>
      </c>
      <c r="EA317" s="64" t="s">
        <v>763</v>
      </c>
      <c r="EB317" s="7"/>
    </row>
    <row r="318">
      <c r="A318" s="55" t="s">
        <v>793</v>
      </c>
      <c r="B318" s="56" t="s">
        <v>793</v>
      </c>
      <c r="C318" s="4"/>
      <c r="D318" s="4"/>
      <c r="E318" s="4"/>
      <c r="F318" s="57" t="s">
        <v>168</v>
      </c>
      <c r="G318" s="58">
        <v>101.13714</v>
      </c>
      <c r="H318" s="58">
        <v>0.39851</v>
      </c>
      <c r="I318" s="6" t="s">
        <v>758</v>
      </c>
      <c r="J318" s="6" t="s">
        <v>169</v>
      </c>
      <c r="K318" s="58">
        <v>4.0</v>
      </c>
      <c r="L318" s="60">
        <v>1.0</v>
      </c>
      <c r="M318" s="5"/>
      <c r="N318" s="6"/>
      <c r="O318" s="6"/>
      <c r="P318" s="6"/>
      <c r="Q318" s="6"/>
      <c r="R318" s="6"/>
      <c r="S318" s="60"/>
      <c r="T318" s="60"/>
      <c r="U318" s="58">
        <v>3.1</v>
      </c>
      <c r="V318" s="60">
        <v>0.1</v>
      </c>
      <c r="W318" s="5"/>
      <c r="X318" s="5"/>
      <c r="Y318" s="83" t="s">
        <v>759</v>
      </c>
      <c r="Z318" s="60">
        <v>17.02</v>
      </c>
      <c r="AA318" s="60"/>
      <c r="AB318" s="60">
        <v>13.39</v>
      </c>
      <c r="AC318" s="60">
        <v>0.04</v>
      </c>
      <c r="AD318" s="60">
        <v>12.108</v>
      </c>
      <c r="AE318" s="60">
        <v>0.036</v>
      </c>
      <c r="AF318" s="60">
        <v>11.22</v>
      </c>
      <c r="AG318" s="60">
        <v>0.03</v>
      </c>
      <c r="AH318" s="6"/>
      <c r="AI318" s="6"/>
      <c r="AJ318" s="76" t="s">
        <v>759</v>
      </c>
      <c r="AK318" s="64" t="s">
        <v>760</v>
      </c>
      <c r="AL318" s="70">
        <v>2013.0</v>
      </c>
      <c r="AM318" s="97">
        <v>4.0</v>
      </c>
      <c r="AN318" s="102">
        <v>4000.0</v>
      </c>
      <c r="AO318" s="97">
        <v>400.0</v>
      </c>
      <c r="AP318" s="13" t="s">
        <v>794</v>
      </c>
      <c r="AQ318" s="97">
        <v>1.0</v>
      </c>
      <c r="AR318" s="78">
        <v>7244.3596</v>
      </c>
      <c r="AS318" s="73">
        <v>850.0</v>
      </c>
      <c r="AT318" s="79">
        <v>1.79</v>
      </c>
      <c r="AU318" s="7"/>
      <c r="AV318" s="64">
        <v>18.62087137</v>
      </c>
      <c r="AW318" s="7">
        <f t="shared" si="35"/>
        <v>5.438303982</v>
      </c>
      <c r="AX318" s="97">
        <v>2.75</v>
      </c>
      <c r="AY318" s="13"/>
      <c r="AZ318" s="69" t="s">
        <v>162</v>
      </c>
      <c r="BA318" s="118" t="s">
        <v>721</v>
      </c>
      <c r="BB318" s="68">
        <v>-23.8</v>
      </c>
      <c r="BC318" s="68">
        <v>0.4</v>
      </c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2"/>
      <c r="DG318" s="12"/>
      <c r="DH318" s="12"/>
      <c r="DI318" s="12"/>
      <c r="DJ318" s="12"/>
      <c r="DK318" s="12"/>
      <c r="DL318" s="12"/>
      <c r="DM318" s="69"/>
      <c r="DN318" s="69"/>
      <c r="DO318" s="69"/>
      <c r="DP318" s="69"/>
      <c r="DQ318" s="11"/>
      <c r="DR318" s="69"/>
      <c r="DS318" s="69"/>
      <c r="DT318" s="69"/>
      <c r="DU318" s="69"/>
      <c r="DV318" s="73">
        <v>0.28</v>
      </c>
      <c r="DW318" s="10"/>
      <c r="DX318" s="97">
        <v>1.2E-7</v>
      </c>
      <c r="DY318" s="7"/>
      <c r="DZ318" s="64" t="s">
        <v>762</v>
      </c>
      <c r="EA318" s="64" t="s">
        <v>763</v>
      </c>
      <c r="EB318" s="13"/>
    </row>
    <row r="319">
      <c r="A319" s="55" t="s">
        <v>795</v>
      </c>
      <c r="B319" s="56" t="s">
        <v>795</v>
      </c>
      <c r="C319" s="4"/>
      <c r="D319" s="4"/>
      <c r="E319" s="4"/>
      <c r="F319" s="57" t="s">
        <v>168</v>
      </c>
      <c r="G319" s="58">
        <v>101.15784</v>
      </c>
      <c r="H319" s="58">
        <v>0.36415</v>
      </c>
      <c r="I319" s="6" t="s">
        <v>758</v>
      </c>
      <c r="J319" s="6" t="s">
        <v>159</v>
      </c>
      <c r="K319" s="58">
        <v>3.9</v>
      </c>
      <c r="L319" s="60">
        <v>1.0</v>
      </c>
      <c r="M319" s="60">
        <v>2.0</v>
      </c>
      <c r="N319" s="58">
        <v>6635.700066</v>
      </c>
      <c r="O319" s="58">
        <v>-0.341</v>
      </c>
      <c r="P319" s="58">
        <v>0.127</v>
      </c>
      <c r="Q319" s="58">
        <v>0.424</v>
      </c>
      <c r="R319" s="58">
        <v>0.124</v>
      </c>
      <c r="S319" s="60"/>
      <c r="T319" s="60"/>
      <c r="U319" s="58">
        <v>2.28</v>
      </c>
      <c r="V319" s="60">
        <v>0.1</v>
      </c>
      <c r="W319" s="5"/>
      <c r="X319" s="5"/>
      <c r="Y319" s="83" t="s">
        <v>759</v>
      </c>
      <c r="Z319" s="60">
        <v>16.3</v>
      </c>
      <c r="AA319" s="60"/>
      <c r="AB319" s="60">
        <v>13.87</v>
      </c>
      <c r="AC319" s="60">
        <v>0.03</v>
      </c>
      <c r="AD319" s="60">
        <v>13.21</v>
      </c>
      <c r="AE319" s="60">
        <v>0.03</v>
      </c>
      <c r="AF319" s="60">
        <v>12.99</v>
      </c>
      <c r="AG319" s="60">
        <v>0.04</v>
      </c>
      <c r="AH319" s="6"/>
      <c r="AI319" s="96"/>
      <c r="AJ319" s="76" t="s">
        <v>759</v>
      </c>
      <c r="AK319" s="64" t="s">
        <v>760</v>
      </c>
      <c r="AL319" s="70">
        <v>2013.0</v>
      </c>
      <c r="AM319" s="97">
        <v>4.0</v>
      </c>
      <c r="AN319" s="102">
        <v>4000.0</v>
      </c>
      <c r="AO319" s="97">
        <v>400.0</v>
      </c>
      <c r="AP319" s="13" t="s">
        <v>794</v>
      </c>
      <c r="AQ319" s="97">
        <v>1.0</v>
      </c>
      <c r="AR319" s="78">
        <v>7244.3596</v>
      </c>
      <c r="AS319" s="73">
        <v>850.0</v>
      </c>
      <c r="AT319" s="79">
        <v>1.79</v>
      </c>
      <c r="AU319" s="7"/>
      <c r="AV319" s="64">
        <v>18.62087137</v>
      </c>
      <c r="AW319" s="7">
        <f t="shared" si="35"/>
        <v>5.438303982</v>
      </c>
      <c r="AX319" s="73">
        <v>2.75</v>
      </c>
      <c r="AY319" s="7"/>
      <c r="AZ319" s="11" t="s">
        <v>162</v>
      </c>
      <c r="BA319" s="118" t="s">
        <v>721</v>
      </c>
      <c r="BB319" s="68">
        <v>-2.8</v>
      </c>
      <c r="BC319" s="68">
        <v>0.1</v>
      </c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2"/>
      <c r="DK319" s="12"/>
      <c r="DL319" s="12"/>
      <c r="DM319" s="69"/>
      <c r="DN319" s="69"/>
      <c r="DO319" s="69"/>
      <c r="DP319" s="69"/>
      <c r="DQ319" s="11"/>
      <c r="DR319" s="69"/>
      <c r="DS319" s="69"/>
      <c r="DT319" s="69"/>
      <c r="DU319" s="69"/>
      <c r="DV319" s="73">
        <v>-0.65</v>
      </c>
      <c r="DW319" s="10"/>
      <c r="DX319" s="81">
        <v>1.41E-8</v>
      </c>
      <c r="DY319" s="7"/>
      <c r="DZ319" s="64" t="s">
        <v>762</v>
      </c>
      <c r="EA319" s="64" t="s">
        <v>763</v>
      </c>
      <c r="EB319" s="7"/>
    </row>
    <row r="320">
      <c r="A320" s="55" t="s">
        <v>796</v>
      </c>
      <c r="B320" s="56" t="s">
        <v>796</v>
      </c>
      <c r="C320" s="4"/>
      <c r="D320" s="4"/>
      <c r="E320" s="4"/>
      <c r="F320" s="57" t="s">
        <v>168</v>
      </c>
      <c r="G320" s="58">
        <v>101.13726</v>
      </c>
      <c r="H320" s="58">
        <v>0.18134</v>
      </c>
      <c r="I320" s="6" t="s">
        <v>758</v>
      </c>
      <c r="J320" s="6" t="s">
        <v>169</v>
      </c>
      <c r="K320" s="58">
        <v>3.5</v>
      </c>
      <c r="L320" s="60">
        <v>1.0</v>
      </c>
      <c r="M320" s="5"/>
      <c r="N320" s="6"/>
      <c r="O320" s="5"/>
      <c r="P320" s="5"/>
      <c r="Q320" s="5"/>
      <c r="R320" s="5"/>
      <c r="S320" s="60"/>
      <c r="T320" s="60"/>
      <c r="U320" s="58">
        <v>3.64</v>
      </c>
      <c r="V320" s="60">
        <v>0.1</v>
      </c>
      <c r="W320" s="5"/>
      <c r="X320" s="5"/>
      <c r="Y320" s="83" t="s">
        <v>759</v>
      </c>
      <c r="Z320" s="60">
        <v>18.21</v>
      </c>
      <c r="AA320" s="60"/>
      <c r="AB320" s="60">
        <v>14.02</v>
      </c>
      <c r="AC320" s="60">
        <v>0.05</v>
      </c>
      <c r="AD320" s="60">
        <v>13.13</v>
      </c>
      <c r="AE320" s="60">
        <v>0.04</v>
      </c>
      <c r="AF320" s="60">
        <v>12.23</v>
      </c>
      <c r="AG320" s="60">
        <v>0.04</v>
      </c>
      <c r="AH320" s="6"/>
      <c r="AI320" s="6"/>
      <c r="AJ320" s="76" t="s">
        <v>759</v>
      </c>
      <c r="AK320" s="64" t="s">
        <v>760</v>
      </c>
      <c r="AL320" s="70">
        <v>2013.0</v>
      </c>
      <c r="AM320" s="97">
        <v>4.0</v>
      </c>
      <c r="AN320" s="102">
        <v>4000.0</v>
      </c>
      <c r="AO320" s="97">
        <v>400.0</v>
      </c>
      <c r="AP320" s="13" t="s">
        <v>797</v>
      </c>
      <c r="AQ320" s="97">
        <v>1.0</v>
      </c>
      <c r="AR320" s="78">
        <v>6456.54229</v>
      </c>
      <c r="AS320" s="73">
        <v>750.0</v>
      </c>
      <c r="AT320" s="79">
        <v>1.83</v>
      </c>
      <c r="AU320" s="7"/>
      <c r="AV320" s="64">
        <v>12.88249552</v>
      </c>
      <c r="AW320" s="7">
        <f t="shared" si="35"/>
        <v>3.762387124</v>
      </c>
      <c r="AX320" s="97">
        <v>2.88</v>
      </c>
      <c r="AY320" s="13"/>
      <c r="AZ320" s="69" t="s">
        <v>162</v>
      </c>
      <c r="BA320" s="118" t="s">
        <v>721</v>
      </c>
      <c r="BB320" s="68">
        <v>-139.28</v>
      </c>
      <c r="BC320" s="68">
        <v>1.23</v>
      </c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2"/>
      <c r="DG320" s="12"/>
      <c r="DH320" s="12"/>
      <c r="DI320" s="12"/>
      <c r="DJ320" s="12"/>
      <c r="DK320" s="12"/>
      <c r="DL320" s="12"/>
      <c r="DM320" s="69"/>
      <c r="DN320" s="69"/>
      <c r="DO320" s="69"/>
      <c r="DP320" s="69"/>
      <c r="DQ320" s="11"/>
      <c r="DR320" s="69"/>
      <c r="DS320" s="69"/>
      <c r="DT320" s="69"/>
      <c r="DU320" s="69"/>
      <c r="DV320" s="73">
        <v>0.95</v>
      </c>
      <c r="DW320" s="10"/>
      <c r="DX320" s="97">
        <v>5.75E-7</v>
      </c>
      <c r="DY320" s="7"/>
      <c r="DZ320" s="64" t="s">
        <v>762</v>
      </c>
      <c r="EA320" s="64" t="s">
        <v>763</v>
      </c>
      <c r="EB320" s="13"/>
    </row>
    <row r="321">
      <c r="A321" s="55" t="s">
        <v>798</v>
      </c>
      <c r="B321" s="56" t="s">
        <v>798</v>
      </c>
      <c r="C321" s="4"/>
      <c r="D321" s="4"/>
      <c r="E321" s="4"/>
      <c r="F321" s="57" t="s">
        <v>168</v>
      </c>
      <c r="G321" s="58">
        <v>101.32089</v>
      </c>
      <c r="H321" s="58">
        <v>0.36881</v>
      </c>
      <c r="I321" s="6" t="s">
        <v>758</v>
      </c>
      <c r="J321" s="6" t="s">
        <v>169</v>
      </c>
      <c r="K321" s="58">
        <v>7.5</v>
      </c>
      <c r="L321" s="60">
        <v>1.0</v>
      </c>
      <c r="M321" s="60">
        <v>2.0</v>
      </c>
      <c r="N321" s="58">
        <v>3361.344538</v>
      </c>
      <c r="O321" s="58">
        <v>-0.295</v>
      </c>
      <c r="P321" s="58">
        <v>0.183</v>
      </c>
      <c r="Q321" s="58">
        <v>0.253</v>
      </c>
      <c r="R321" s="58">
        <v>0.178</v>
      </c>
      <c r="S321" s="60"/>
      <c r="T321" s="60"/>
      <c r="U321" s="58">
        <v>3.82</v>
      </c>
      <c r="V321" s="60">
        <v>0.1</v>
      </c>
      <c r="W321" s="5"/>
      <c r="X321" s="5"/>
      <c r="Y321" s="83" t="s">
        <v>759</v>
      </c>
      <c r="Z321" s="60">
        <v>17.28</v>
      </c>
      <c r="AA321" s="60"/>
      <c r="AB321" s="60">
        <v>14.23</v>
      </c>
      <c r="AC321" s="60">
        <v>0.04</v>
      </c>
      <c r="AD321" s="60">
        <v>13.47</v>
      </c>
      <c r="AE321" s="60">
        <v>0.04</v>
      </c>
      <c r="AF321" s="60">
        <v>12.99</v>
      </c>
      <c r="AG321" s="60">
        <v>0.03</v>
      </c>
      <c r="AH321" s="6"/>
      <c r="AI321" s="96"/>
      <c r="AJ321" s="76" t="s">
        <v>759</v>
      </c>
      <c r="AK321" s="64" t="s">
        <v>760</v>
      </c>
      <c r="AL321" s="70">
        <v>2013.0</v>
      </c>
      <c r="AM321" s="97">
        <v>4.0</v>
      </c>
      <c r="AN321" s="102">
        <v>4000.0</v>
      </c>
      <c r="AO321" s="97">
        <v>400.0</v>
      </c>
      <c r="AP321" s="13" t="s">
        <v>799</v>
      </c>
      <c r="AQ321" s="97">
        <v>1.0</v>
      </c>
      <c r="AR321" s="78">
        <v>9549.92586</v>
      </c>
      <c r="AS321" s="73">
        <v>1100.0</v>
      </c>
      <c r="AT321" s="79">
        <v>2.0</v>
      </c>
      <c r="AU321" s="7"/>
      <c r="AV321" s="64">
        <v>30.1995172</v>
      </c>
      <c r="AW321" s="7">
        <f t="shared" si="35"/>
        <v>8.819896308</v>
      </c>
      <c r="AX321" s="73">
        <v>2.01</v>
      </c>
      <c r="AY321" s="7"/>
      <c r="AZ321" s="11" t="s">
        <v>162</v>
      </c>
      <c r="BA321" s="118" t="s">
        <v>721</v>
      </c>
      <c r="BB321" s="68">
        <v>-10.3</v>
      </c>
      <c r="BC321" s="68">
        <v>0.4</v>
      </c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2"/>
      <c r="DK321" s="12"/>
      <c r="DL321" s="12"/>
      <c r="DM321" s="69"/>
      <c r="DN321" s="69"/>
      <c r="DO321" s="69"/>
      <c r="DP321" s="69"/>
      <c r="DQ321" s="11"/>
      <c r="DR321" s="69"/>
      <c r="DS321" s="69"/>
      <c r="DT321" s="69"/>
      <c r="DU321" s="69"/>
      <c r="DV321" s="73">
        <v>-0.07</v>
      </c>
      <c r="DW321" s="10"/>
      <c r="DX321" s="81">
        <v>3.55E-8</v>
      </c>
      <c r="DY321" s="7"/>
      <c r="DZ321" s="64" t="s">
        <v>762</v>
      </c>
      <c r="EA321" s="64" t="s">
        <v>763</v>
      </c>
      <c r="EB321" s="7"/>
    </row>
    <row r="322">
      <c r="A322" s="55" t="s">
        <v>800</v>
      </c>
      <c r="B322" s="56" t="s">
        <v>800</v>
      </c>
      <c r="C322" s="4"/>
      <c r="D322" s="4"/>
      <c r="E322" s="4"/>
      <c r="F322" s="57" t="s">
        <v>168</v>
      </c>
      <c r="G322" s="58">
        <v>101.24322</v>
      </c>
      <c r="H322" s="58">
        <v>0.23753</v>
      </c>
      <c r="I322" s="6" t="s">
        <v>758</v>
      </c>
      <c r="J322" s="6" t="s">
        <v>257</v>
      </c>
      <c r="K322" s="58">
        <v>3.0</v>
      </c>
      <c r="L322" s="60">
        <v>1.0</v>
      </c>
      <c r="M322" s="60">
        <v>2.0</v>
      </c>
      <c r="N322" s="58">
        <v>8333.333333</v>
      </c>
      <c r="O322" s="58">
        <v>-0.266</v>
      </c>
      <c r="P322" s="58">
        <v>0.135</v>
      </c>
      <c r="Q322" s="58">
        <v>0.071</v>
      </c>
      <c r="R322" s="58">
        <v>0.158</v>
      </c>
      <c r="S322" s="60"/>
      <c r="T322" s="60"/>
      <c r="U322" s="58">
        <v>2.45</v>
      </c>
      <c r="V322" s="58">
        <v>0.15</v>
      </c>
      <c r="W322" s="5"/>
      <c r="X322" s="5"/>
      <c r="Y322" s="83" t="s">
        <v>759</v>
      </c>
      <c r="Z322" s="60"/>
      <c r="AA322" s="60"/>
      <c r="AB322" s="60">
        <v>14.476</v>
      </c>
      <c r="AC322" s="60">
        <v>0.035</v>
      </c>
      <c r="AD322" s="60">
        <v>13.993</v>
      </c>
      <c r="AE322" s="60">
        <v>0.044</v>
      </c>
      <c r="AF322" s="60">
        <v>13.671</v>
      </c>
      <c r="AG322" s="60">
        <v>0.043</v>
      </c>
      <c r="AH322" s="6"/>
      <c r="AI322" s="96"/>
      <c r="AJ322" s="76" t="s">
        <v>759</v>
      </c>
      <c r="AK322" s="64" t="s">
        <v>785</v>
      </c>
      <c r="AL322" s="70">
        <v>2013.0</v>
      </c>
      <c r="AM322" s="97">
        <v>4.0</v>
      </c>
      <c r="AN322" s="102">
        <v>4000.0</v>
      </c>
      <c r="AO322" s="97">
        <v>400.0</v>
      </c>
      <c r="AP322" s="13" t="s">
        <v>801</v>
      </c>
      <c r="AQ322" s="70">
        <v>1.5</v>
      </c>
      <c r="AR322" s="78">
        <v>7079.457844</v>
      </c>
      <c r="AS322" s="73">
        <v>800.0</v>
      </c>
      <c r="AT322" s="79">
        <v>2.0</v>
      </c>
      <c r="AU322" s="7"/>
      <c r="AV322" s="64">
        <v>23.98832919</v>
      </c>
      <c r="AW322" s="7">
        <f t="shared" si="35"/>
        <v>7.005892666</v>
      </c>
      <c r="AX322" s="73">
        <v>3.26</v>
      </c>
      <c r="AY322" s="7"/>
      <c r="AZ322" s="11" t="s">
        <v>162</v>
      </c>
      <c r="BA322" s="118" t="s">
        <v>721</v>
      </c>
      <c r="BB322" s="68">
        <v>-26.58</v>
      </c>
      <c r="BC322" s="68">
        <v>1.3</v>
      </c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2"/>
      <c r="DK322" s="12"/>
      <c r="DL322" s="12"/>
      <c r="DM322" s="12"/>
      <c r="DN322" s="12"/>
      <c r="DO322" s="12"/>
      <c r="DP322" s="12"/>
      <c r="DQ322" s="11"/>
      <c r="DR322" s="12"/>
      <c r="DS322" s="12"/>
      <c r="DT322" s="12"/>
      <c r="DU322" s="12"/>
      <c r="DV322" s="73">
        <v>0.38</v>
      </c>
      <c r="DW322" s="10"/>
      <c r="DX322" s="73">
        <v>1.62E-7</v>
      </c>
      <c r="DY322" s="7"/>
      <c r="DZ322" s="64" t="s">
        <v>762</v>
      </c>
      <c r="EA322" s="64" t="s">
        <v>763</v>
      </c>
      <c r="EB322" s="7"/>
    </row>
    <row r="323">
      <c r="A323" s="55" t="s">
        <v>802</v>
      </c>
      <c r="B323" s="56" t="s">
        <v>802</v>
      </c>
      <c r="C323" s="4"/>
      <c r="D323" s="4"/>
      <c r="E323" s="4"/>
      <c r="F323" s="57" t="s">
        <v>168</v>
      </c>
      <c r="G323" s="58">
        <v>101.23239</v>
      </c>
      <c r="H323" s="58">
        <v>0.22134</v>
      </c>
      <c r="I323" s="6" t="s">
        <v>758</v>
      </c>
      <c r="J323" s="6" t="s">
        <v>257</v>
      </c>
      <c r="K323" s="58">
        <v>2.7</v>
      </c>
      <c r="L323" s="60">
        <v>1.0</v>
      </c>
      <c r="M323" s="60">
        <v>2.0</v>
      </c>
      <c r="N323" s="58">
        <v>5263.157895</v>
      </c>
      <c r="O323" s="58">
        <v>-0.438</v>
      </c>
      <c r="P323" s="58">
        <v>0.071</v>
      </c>
      <c r="Q323" s="58">
        <v>0.078</v>
      </c>
      <c r="R323" s="58">
        <v>0.071</v>
      </c>
      <c r="S323" s="60"/>
      <c r="T323" s="60"/>
      <c r="U323" s="58">
        <v>1.93</v>
      </c>
      <c r="V323" s="58">
        <v>0.15</v>
      </c>
      <c r="W323" s="5"/>
      <c r="X323" s="5"/>
      <c r="Y323" s="83" t="s">
        <v>759</v>
      </c>
      <c r="Z323" s="60"/>
      <c r="AA323" s="60"/>
      <c r="AB323" s="60">
        <v>13.895</v>
      </c>
      <c r="AC323" s="60">
        <v>0.028</v>
      </c>
      <c r="AD323" s="60">
        <v>13.458</v>
      </c>
      <c r="AE323" s="60">
        <v>0.033</v>
      </c>
      <c r="AF323" s="60">
        <v>12.901</v>
      </c>
      <c r="AG323" s="60">
        <v>0.033</v>
      </c>
      <c r="AH323" s="6"/>
      <c r="AI323" s="96"/>
      <c r="AJ323" s="76" t="s">
        <v>759</v>
      </c>
      <c r="AK323" s="64" t="s">
        <v>785</v>
      </c>
      <c r="AL323" s="70">
        <v>2013.0</v>
      </c>
      <c r="AM323" s="97">
        <v>4.0</v>
      </c>
      <c r="AN323" s="102">
        <v>4000.0</v>
      </c>
      <c r="AO323" s="97">
        <v>400.0</v>
      </c>
      <c r="AP323" s="13" t="s">
        <v>803</v>
      </c>
      <c r="AQ323" s="97">
        <v>1.5</v>
      </c>
      <c r="AR323" s="78">
        <v>7413.102413</v>
      </c>
      <c r="AS323" s="73">
        <v>800.0</v>
      </c>
      <c r="AT323" s="79">
        <v>2.08</v>
      </c>
      <c r="AU323" s="7"/>
      <c r="AV323" s="64">
        <v>25.11886432</v>
      </c>
      <c r="AW323" s="7">
        <f t="shared" si="35"/>
        <v>7.336070216</v>
      </c>
      <c r="AX323" s="73">
        <v>3.05</v>
      </c>
      <c r="AY323" s="7"/>
      <c r="AZ323" s="11" t="s">
        <v>162</v>
      </c>
      <c r="BA323" s="118" t="s">
        <v>721</v>
      </c>
      <c r="BB323" s="68">
        <v>-8.23</v>
      </c>
      <c r="BC323" s="68">
        <v>0.3</v>
      </c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2"/>
      <c r="DK323" s="12"/>
      <c r="DL323" s="12"/>
      <c r="DM323" s="69"/>
      <c r="DN323" s="69"/>
      <c r="DO323" s="69"/>
      <c r="DP323" s="69"/>
      <c r="DQ323" s="11"/>
      <c r="DR323" s="69"/>
      <c r="DS323" s="69"/>
      <c r="DT323" s="69"/>
      <c r="DU323" s="69"/>
      <c r="DV323" s="73">
        <v>-0.04</v>
      </c>
      <c r="DW323" s="10"/>
      <c r="DX323" s="81">
        <v>6.31E-8</v>
      </c>
      <c r="DY323" s="7"/>
      <c r="DZ323" s="64" t="s">
        <v>762</v>
      </c>
      <c r="EA323" s="64" t="s">
        <v>763</v>
      </c>
      <c r="EB323" s="7"/>
    </row>
    <row r="324">
      <c r="A324" s="55" t="s">
        <v>804</v>
      </c>
      <c r="B324" s="56" t="s">
        <v>804</v>
      </c>
      <c r="C324" s="4"/>
      <c r="D324" s="4"/>
      <c r="E324" s="4"/>
      <c r="F324" s="57" t="s">
        <v>168</v>
      </c>
      <c r="G324" s="58">
        <v>101.27839</v>
      </c>
      <c r="H324" s="58">
        <v>0.23153</v>
      </c>
      <c r="I324" s="6" t="s">
        <v>758</v>
      </c>
      <c r="J324" s="6" t="s">
        <v>169</v>
      </c>
      <c r="K324" s="58">
        <v>2.0</v>
      </c>
      <c r="L324" s="60">
        <v>1.0</v>
      </c>
      <c r="M324" s="60">
        <v>2.0</v>
      </c>
      <c r="N324" s="58">
        <v>17271.15717</v>
      </c>
      <c r="O324" s="58">
        <v>-0.176</v>
      </c>
      <c r="P324" s="58">
        <v>0.183</v>
      </c>
      <c r="Q324" s="58">
        <v>-0.162</v>
      </c>
      <c r="R324" s="58">
        <v>0.226</v>
      </c>
      <c r="S324" s="60"/>
      <c r="T324" s="60"/>
      <c r="U324" s="58">
        <v>2.06</v>
      </c>
      <c r="V324" s="58">
        <v>0.15</v>
      </c>
      <c r="W324" s="5"/>
      <c r="X324" s="5"/>
      <c r="Y324" s="83" t="s">
        <v>759</v>
      </c>
      <c r="Z324" s="60">
        <v>15.83</v>
      </c>
      <c r="AA324" s="60">
        <v>0.02</v>
      </c>
      <c r="AB324" s="60">
        <v>14.0</v>
      </c>
      <c r="AC324" s="60">
        <v>0.02</v>
      </c>
      <c r="AD324" s="60">
        <v>13.23</v>
      </c>
      <c r="AE324" s="60">
        <v>0.02</v>
      </c>
      <c r="AF324" s="60">
        <v>12.62</v>
      </c>
      <c r="AG324" s="60">
        <v>0.02</v>
      </c>
      <c r="AH324" s="6"/>
      <c r="AI324" s="96"/>
      <c r="AJ324" s="76" t="s">
        <v>759</v>
      </c>
      <c r="AK324" s="64" t="s">
        <v>785</v>
      </c>
      <c r="AL324" s="70">
        <v>2013.0</v>
      </c>
      <c r="AM324" s="97">
        <v>4.0</v>
      </c>
      <c r="AN324" s="102">
        <v>4000.0</v>
      </c>
      <c r="AO324" s="97">
        <v>400.0</v>
      </c>
      <c r="AP324" s="13" t="s">
        <v>772</v>
      </c>
      <c r="AQ324" s="70">
        <v>1.5</v>
      </c>
      <c r="AR324" s="78">
        <v>5888.43655</v>
      </c>
      <c r="AS324" s="73">
        <v>700.0</v>
      </c>
      <c r="AT324" s="79">
        <v>2.16</v>
      </c>
      <c r="AU324" s="7"/>
      <c r="AV324" s="64">
        <v>18.19700859</v>
      </c>
      <c r="AW324" s="7">
        <f t="shared" si="35"/>
        <v>5.31451307</v>
      </c>
      <c r="AX324" s="73">
        <v>4.11</v>
      </c>
      <c r="AY324" s="7"/>
      <c r="AZ324" s="11" t="s">
        <v>162</v>
      </c>
      <c r="BA324" s="118" t="s">
        <v>721</v>
      </c>
      <c r="BB324" s="68">
        <v>-1.46</v>
      </c>
      <c r="BC324" s="68">
        <v>0.5</v>
      </c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2"/>
      <c r="DK324" s="12"/>
      <c r="DL324" s="12"/>
      <c r="DM324" s="69"/>
      <c r="DN324" s="69"/>
      <c r="DO324" s="69"/>
      <c r="DP324" s="69"/>
      <c r="DQ324" s="11"/>
      <c r="DR324" s="69"/>
      <c r="DS324" s="69"/>
      <c r="DT324" s="69"/>
      <c r="DU324" s="69"/>
      <c r="DV324" s="73">
        <v>-0.92</v>
      </c>
      <c r="DW324" s="10"/>
      <c r="DX324" s="81">
        <v>8.51E-9</v>
      </c>
      <c r="DY324" s="7"/>
      <c r="DZ324" s="64" t="s">
        <v>762</v>
      </c>
      <c r="EA324" s="64" t="s">
        <v>763</v>
      </c>
      <c r="EB324" s="7"/>
    </row>
    <row r="325">
      <c r="A325" s="55" t="s">
        <v>804</v>
      </c>
      <c r="B325" s="56" t="s">
        <v>804</v>
      </c>
      <c r="C325" s="4"/>
      <c r="D325" s="4"/>
      <c r="E325" s="4"/>
      <c r="F325" s="57" t="s">
        <v>168</v>
      </c>
      <c r="G325" s="58">
        <v>101.27839</v>
      </c>
      <c r="H325" s="58">
        <v>0.23153</v>
      </c>
      <c r="I325" s="6" t="s">
        <v>758</v>
      </c>
      <c r="J325" s="6" t="s">
        <v>169</v>
      </c>
      <c r="K325" s="58">
        <v>2.0</v>
      </c>
      <c r="L325" s="60">
        <v>1.0</v>
      </c>
      <c r="M325" s="60">
        <v>2.0</v>
      </c>
      <c r="N325" s="58">
        <v>17271.15717</v>
      </c>
      <c r="O325" s="58">
        <v>-0.176</v>
      </c>
      <c r="P325" s="58">
        <v>0.183</v>
      </c>
      <c r="Q325" s="58">
        <v>-0.162</v>
      </c>
      <c r="R325" s="58">
        <v>0.226</v>
      </c>
      <c r="S325" s="60"/>
      <c r="T325" s="60"/>
      <c r="U325" s="61">
        <v>2.0</v>
      </c>
      <c r="V325" s="60">
        <v>0.1</v>
      </c>
      <c r="W325" s="5"/>
      <c r="X325" s="5"/>
      <c r="Y325" s="83" t="s">
        <v>759</v>
      </c>
      <c r="Z325" s="60">
        <v>15.83</v>
      </c>
      <c r="AA325" s="60">
        <v>0.02</v>
      </c>
      <c r="AB325" s="60">
        <v>14.0</v>
      </c>
      <c r="AC325" s="60">
        <v>0.02</v>
      </c>
      <c r="AD325" s="60">
        <v>13.23</v>
      </c>
      <c r="AE325" s="60">
        <v>0.02</v>
      </c>
      <c r="AF325" s="60">
        <v>12.62</v>
      </c>
      <c r="AG325" s="60">
        <v>0.02</v>
      </c>
      <c r="AH325" s="6"/>
      <c r="AI325" s="96"/>
      <c r="AJ325" s="76" t="s">
        <v>759</v>
      </c>
      <c r="AK325" s="64" t="s">
        <v>760</v>
      </c>
      <c r="AL325" s="70">
        <v>2013.0</v>
      </c>
      <c r="AM325" s="97">
        <v>4.0</v>
      </c>
      <c r="AN325" s="102">
        <v>4000.0</v>
      </c>
      <c r="AO325" s="97">
        <v>400.0</v>
      </c>
      <c r="AP325" s="13" t="s">
        <v>772</v>
      </c>
      <c r="AQ325" s="97">
        <v>1.0</v>
      </c>
      <c r="AR325" s="78">
        <v>5888.43655</v>
      </c>
      <c r="AS325" s="73">
        <v>700.0</v>
      </c>
      <c r="AT325" s="79">
        <v>2.16</v>
      </c>
      <c r="AU325" s="7"/>
      <c r="AV325" s="64">
        <v>17.7827941</v>
      </c>
      <c r="AW325" s="7">
        <f t="shared" si="35"/>
        <v>5.193539982</v>
      </c>
      <c r="AX325" s="73">
        <v>4.11</v>
      </c>
      <c r="AY325" s="7"/>
      <c r="AZ325" s="11" t="s">
        <v>162</v>
      </c>
      <c r="BA325" s="118" t="s">
        <v>721</v>
      </c>
      <c r="BB325" s="68">
        <v>-1.9</v>
      </c>
      <c r="BC325" s="68">
        <v>0.1</v>
      </c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2"/>
      <c r="DK325" s="12"/>
      <c r="DL325" s="12"/>
      <c r="DM325" s="69"/>
      <c r="DN325" s="69"/>
      <c r="DO325" s="69"/>
      <c r="DP325" s="69"/>
      <c r="DQ325" s="11"/>
      <c r="DR325" s="69"/>
      <c r="DS325" s="69"/>
      <c r="DT325" s="69"/>
      <c r="DU325" s="69"/>
      <c r="DV325" s="73">
        <v>-0.92</v>
      </c>
      <c r="DW325" s="10"/>
      <c r="DX325" s="81">
        <v>8.51E-9</v>
      </c>
      <c r="DY325" s="7"/>
      <c r="DZ325" s="64" t="s">
        <v>762</v>
      </c>
      <c r="EA325" s="64" t="s">
        <v>763</v>
      </c>
      <c r="EB325" s="7"/>
    </row>
    <row r="326">
      <c r="A326" s="55" t="s">
        <v>805</v>
      </c>
      <c r="B326" s="56" t="s">
        <v>805</v>
      </c>
      <c r="C326" s="4"/>
      <c r="D326" s="4"/>
      <c r="E326" s="4"/>
      <c r="F326" s="57" t="s">
        <v>168</v>
      </c>
      <c r="G326" s="58">
        <v>101.29047</v>
      </c>
      <c r="H326" s="58">
        <v>0.2367</v>
      </c>
      <c r="I326" s="6" t="s">
        <v>758</v>
      </c>
      <c r="J326" s="6" t="s">
        <v>169</v>
      </c>
      <c r="K326" s="58">
        <v>1.5</v>
      </c>
      <c r="L326" s="60">
        <v>1.0</v>
      </c>
      <c r="M326" s="60">
        <v>2.0</v>
      </c>
      <c r="N326" s="58">
        <v>5540.166205</v>
      </c>
      <c r="O326" s="58">
        <v>-0.283</v>
      </c>
      <c r="P326" s="58">
        <v>0.108</v>
      </c>
      <c r="Q326" s="58">
        <v>0.256</v>
      </c>
      <c r="R326" s="58">
        <v>0.139</v>
      </c>
      <c r="S326" s="60"/>
      <c r="T326" s="60"/>
      <c r="U326" s="58">
        <v>2.11</v>
      </c>
      <c r="V326" s="60">
        <v>0.1</v>
      </c>
      <c r="W326" s="5"/>
      <c r="X326" s="5"/>
      <c r="Y326" s="83" t="s">
        <v>759</v>
      </c>
      <c r="Z326" s="60">
        <v>15.05</v>
      </c>
      <c r="AA326" s="60"/>
      <c r="AB326" s="60">
        <v>13.15</v>
      </c>
      <c r="AC326" s="60">
        <v>0.06</v>
      </c>
      <c r="AD326" s="60">
        <v>12.705</v>
      </c>
      <c r="AE326" s="60">
        <v>0.027</v>
      </c>
      <c r="AF326" s="60">
        <v>12.535</v>
      </c>
      <c r="AG326" s="60">
        <v>0.029</v>
      </c>
      <c r="AH326" s="6"/>
      <c r="AI326" s="96"/>
      <c r="AJ326" s="76" t="s">
        <v>759</v>
      </c>
      <c r="AK326" s="64" t="s">
        <v>760</v>
      </c>
      <c r="AL326" s="70">
        <v>2013.0</v>
      </c>
      <c r="AM326" s="97">
        <v>4.0</v>
      </c>
      <c r="AN326" s="102">
        <v>4000.0</v>
      </c>
      <c r="AO326" s="97">
        <v>400.0</v>
      </c>
      <c r="AP326" s="13" t="s">
        <v>790</v>
      </c>
      <c r="AQ326" s="97">
        <v>1.0</v>
      </c>
      <c r="AR326" s="78">
        <v>8128.305162</v>
      </c>
      <c r="AS326" s="73">
        <v>950.0</v>
      </c>
      <c r="AT326" s="79">
        <v>2.62</v>
      </c>
      <c r="AU326" s="7"/>
      <c r="AV326" s="64">
        <v>67.60829754</v>
      </c>
      <c r="AW326" s="7">
        <f t="shared" si="35"/>
        <v>19.74528831</v>
      </c>
      <c r="AX326" s="73">
        <v>4.16</v>
      </c>
      <c r="AY326" s="7"/>
      <c r="AZ326" s="11" t="s">
        <v>162</v>
      </c>
      <c r="BA326" s="118" t="s">
        <v>721</v>
      </c>
      <c r="BB326" s="68">
        <v>-14.0</v>
      </c>
      <c r="BC326" s="68">
        <v>0.2</v>
      </c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2"/>
      <c r="DK326" s="12"/>
      <c r="DL326" s="12"/>
      <c r="DM326" s="12"/>
      <c r="DN326" s="12"/>
      <c r="DO326" s="12"/>
      <c r="DP326" s="12"/>
      <c r="DQ326" s="11"/>
      <c r="DR326" s="12"/>
      <c r="DS326" s="12"/>
      <c r="DT326" s="12"/>
      <c r="DU326" s="12"/>
      <c r="DV326" s="73">
        <v>0.53</v>
      </c>
      <c r="DW326" s="10"/>
      <c r="DX326" s="73">
        <v>2.19E-7</v>
      </c>
      <c r="DY326" s="7"/>
      <c r="DZ326" s="64" t="s">
        <v>762</v>
      </c>
      <c r="EA326" s="64" t="s">
        <v>763</v>
      </c>
      <c r="EB326" s="7"/>
    </row>
    <row r="327">
      <c r="A327" s="74" t="s">
        <v>601</v>
      </c>
      <c r="B327" s="56" t="s">
        <v>602</v>
      </c>
      <c r="C327" s="3" t="s">
        <v>156</v>
      </c>
      <c r="D327" s="57">
        <v>1.77</v>
      </c>
      <c r="E327" s="4"/>
      <c r="F327" s="57" t="s">
        <v>157</v>
      </c>
      <c r="G327" s="60">
        <v>51.8958</v>
      </c>
      <c r="H327" s="60">
        <v>-55.2656</v>
      </c>
      <c r="I327" s="115" t="s">
        <v>603</v>
      </c>
      <c r="J327" s="5"/>
      <c r="K327" s="60">
        <v>30.0</v>
      </c>
      <c r="L327" s="60"/>
      <c r="M327" s="60"/>
      <c r="N327" s="6"/>
      <c r="O327" s="60">
        <v>100.2</v>
      </c>
      <c r="P327" s="60">
        <v>2.0</v>
      </c>
      <c r="Q327" s="60">
        <v>-47.0</v>
      </c>
      <c r="R327" s="60">
        <v>2.4</v>
      </c>
      <c r="S327" s="60">
        <v>4.0</v>
      </c>
      <c r="T327" s="60">
        <v>2.0</v>
      </c>
      <c r="U327" s="60">
        <v>0.0582</v>
      </c>
      <c r="V327" s="5"/>
      <c r="W327" s="5"/>
      <c r="X327" s="5"/>
      <c r="Y327" s="83" t="s">
        <v>604</v>
      </c>
      <c r="Z327" s="5"/>
      <c r="AA327" s="5"/>
      <c r="AB327" s="60">
        <v>15.4</v>
      </c>
      <c r="AC327" s="60">
        <v>0.3</v>
      </c>
      <c r="AD327" s="60">
        <v>14.2</v>
      </c>
      <c r="AE327" s="60">
        <v>0.2</v>
      </c>
      <c r="AF327" s="60">
        <v>13.6</v>
      </c>
      <c r="AG327" s="60">
        <v>0.2</v>
      </c>
      <c r="AH327" s="6"/>
      <c r="AI327" s="5"/>
      <c r="AJ327" s="76" t="s">
        <v>605</v>
      </c>
      <c r="AK327" s="13" t="s">
        <v>595</v>
      </c>
      <c r="AL327" s="64">
        <v>2018.0</v>
      </c>
      <c r="AM327" s="7"/>
      <c r="AN327" s="77">
        <v>47.2</v>
      </c>
      <c r="AO327" s="64">
        <v>3.1</v>
      </c>
      <c r="AP327" s="7" t="s">
        <v>193</v>
      </c>
      <c r="AQ327" s="7"/>
      <c r="AR327" s="116">
        <v>1801.0</v>
      </c>
      <c r="AS327" s="7"/>
      <c r="AT327" s="67">
        <v>0.012</v>
      </c>
      <c r="AU327" s="7"/>
      <c r="AV327" s="13">
        <v>2.6302679918953814E-4</v>
      </c>
      <c r="AW327" s="7"/>
      <c r="AX327" s="73">
        <v>0.163</v>
      </c>
      <c r="AY327" s="7"/>
      <c r="AZ327" s="68" t="s">
        <v>162</v>
      </c>
      <c r="BA327" s="68" t="s">
        <v>806</v>
      </c>
      <c r="BB327" s="68">
        <v>-135.0</v>
      </c>
      <c r="BC327" s="68">
        <v>5.0</v>
      </c>
      <c r="BD327" s="80">
        <v>1.28E-15</v>
      </c>
      <c r="BE327" s="80">
        <v>7.0E-17</v>
      </c>
      <c r="BF327" s="11"/>
      <c r="BG327" s="11"/>
      <c r="BH327" s="80">
        <v>1.39E-16</v>
      </c>
      <c r="BI327" s="80">
        <v>1.0E-17</v>
      </c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68">
        <v>-1.9</v>
      </c>
      <c r="CY327" s="68">
        <v>0.2</v>
      </c>
      <c r="CZ327" s="80">
        <v>1.8E-17</v>
      </c>
      <c r="DA327" s="80">
        <v>3.0E-18</v>
      </c>
      <c r="DB327" s="68">
        <v>-1.0</v>
      </c>
      <c r="DC327" s="68">
        <v>0.1</v>
      </c>
      <c r="DD327" s="80">
        <v>1.5E-17</v>
      </c>
      <c r="DE327" s="80">
        <v>4.0E-18</v>
      </c>
      <c r="DF327" s="11"/>
      <c r="DG327" s="11"/>
      <c r="DH327" s="11"/>
      <c r="DI327" s="11"/>
      <c r="DJ327" s="11"/>
      <c r="DK327" s="11"/>
      <c r="DL327" s="11"/>
      <c r="DM327" s="12"/>
      <c r="DN327" s="12"/>
      <c r="DO327" s="12"/>
      <c r="DP327" s="12"/>
      <c r="DQ327" s="11"/>
      <c r="DR327" s="12"/>
      <c r="DS327" s="12"/>
      <c r="DT327" s="12"/>
      <c r="DU327" s="12"/>
      <c r="DV327" s="64"/>
      <c r="DW327" s="98"/>
      <c r="DX327" s="81">
        <f>(0.00000001)*1048</f>
        <v>0.00001048</v>
      </c>
      <c r="DY327" s="114"/>
      <c r="DZ327" s="114" t="s">
        <v>807</v>
      </c>
      <c r="EA327" s="7"/>
      <c r="EB327" s="7"/>
    </row>
    <row r="328">
      <c r="A328" s="55" t="s">
        <v>808</v>
      </c>
      <c r="B328" s="56" t="s">
        <v>809</v>
      </c>
      <c r="C328" s="3" t="s">
        <v>156</v>
      </c>
      <c r="D328" s="57">
        <v>93.0</v>
      </c>
      <c r="E328" s="4"/>
      <c r="F328" s="57" t="s">
        <v>157</v>
      </c>
      <c r="G328" s="58">
        <v>69.825</v>
      </c>
      <c r="H328" s="58">
        <v>22.35094</v>
      </c>
      <c r="I328" s="5"/>
      <c r="J328" s="6" t="s">
        <v>169</v>
      </c>
      <c r="K328" s="58">
        <v>2.0</v>
      </c>
      <c r="L328" s="5"/>
      <c r="M328" s="60">
        <v>2.0</v>
      </c>
      <c r="N328" s="60">
        <v>158.863806059065</v>
      </c>
      <c r="O328" s="60">
        <v>10.471</v>
      </c>
      <c r="P328" s="60">
        <v>0.127</v>
      </c>
      <c r="Q328" s="60">
        <v>-17.383</v>
      </c>
      <c r="R328" s="60">
        <v>0.06</v>
      </c>
      <c r="S328" s="165"/>
      <c r="T328" s="5"/>
      <c r="U328" s="58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60">
        <v>21.60684001</v>
      </c>
      <c r="AI328" s="60">
        <v>0.5607876235</v>
      </c>
      <c r="AJ328" s="76" t="s">
        <v>810</v>
      </c>
      <c r="AK328" s="64" t="s">
        <v>811</v>
      </c>
      <c r="AL328" s="64">
        <v>2014.0</v>
      </c>
      <c r="AM328" s="7"/>
      <c r="AN328" s="77">
        <v>145.0</v>
      </c>
      <c r="AO328" s="64">
        <v>15.0</v>
      </c>
      <c r="AP328" s="7"/>
      <c r="AQ328" s="7"/>
      <c r="AR328" s="9"/>
      <c r="AS328" s="7"/>
      <c r="AT328" s="67">
        <v>0.00572757</v>
      </c>
      <c r="AU328" s="64">
        <v>9.5459E-4</v>
      </c>
      <c r="AV328" s="13"/>
      <c r="AW328" s="7"/>
      <c r="AX328" s="73">
        <v>0.160784</v>
      </c>
      <c r="AY328" s="7"/>
      <c r="AZ328" s="68" t="s">
        <v>812</v>
      </c>
      <c r="BA328" s="118" t="s">
        <v>813</v>
      </c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69"/>
      <c r="DN328" s="69"/>
      <c r="DO328" s="69"/>
      <c r="DP328" s="69"/>
      <c r="DQ328" s="11"/>
      <c r="DR328" s="69"/>
      <c r="DS328" s="69"/>
      <c r="DT328" s="69"/>
      <c r="DU328" s="69"/>
      <c r="DV328" s="7">
        <f>Log10(4*10^-4)</f>
        <v>-3.397940009</v>
      </c>
      <c r="DW328" s="10"/>
      <c r="DX328" s="71">
        <v>4.77297117E-10</v>
      </c>
      <c r="DY328" s="7"/>
      <c r="DZ328" s="7"/>
      <c r="EA328" s="7"/>
      <c r="EB328" s="64" t="s">
        <v>814</v>
      </c>
    </row>
    <row r="329">
      <c r="A329" s="55" t="s">
        <v>600</v>
      </c>
      <c r="B329" s="56" t="s">
        <v>600</v>
      </c>
      <c r="C329" s="3" t="s">
        <v>156</v>
      </c>
      <c r="D329" s="57">
        <v>0.193</v>
      </c>
      <c r="E329" s="4"/>
      <c r="F329" s="57" t="s">
        <v>157</v>
      </c>
      <c r="G329" s="58">
        <v>212.0423105</v>
      </c>
      <c r="H329" s="58">
        <v>-41.39793796</v>
      </c>
      <c r="I329" s="60" t="s">
        <v>815</v>
      </c>
      <c r="J329" s="6" t="s">
        <v>169</v>
      </c>
      <c r="K329" s="61">
        <v>5.4</v>
      </c>
      <c r="L329" s="5"/>
      <c r="M329" s="60">
        <v>2.0</v>
      </c>
      <c r="N329" s="60">
        <v>113.43</v>
      </c>
      <c r="O329" s="60">
        <v>-29.661</v>
      </c>
      <c r="P329" s="60">
        <v>0.066</v>
      </c>
      <c r="Q329" s="60">
        <v>-23.823</v>
      </c>
      <c r="R329" s="60">
        <v>0.064</v>
      </c>
      <c r="S329" s="5"/>
      <c r="T329" s="5"/>
      <c r="U329" s="58"/>
      <c r="V329" s="5"/>
      <c r="W329" s="5"/>
      <c r="X329" s="5"/>
      <c r="Y329" s="166"/>
      <c r="Z329" s="5"/>
      <c r="AA329" s="5"/>
      <c r="AB329" s="5"/>
      <c r="AC329" s="5"/>
      <c r="AD329" s="5"/>
      <c r="AE329" s="5"/>
      <c r="AF329" s="5"/>
      <c r="AG329" s="5"/>
      <c r="AH329" s="6"/>
      <c r="AI329" s="5"/>
      <c r="AJ329" s="76" t="s">
        <v>816</v>
      </c>
      <c r="AK329" s="64" t="s">
        <v>811</v>
      </c>
      <c r="AL329" s="64">
        <v>2018.0</v>
      </c>
      <c r="AM329" s="7"/>
      <c r="AN329" s="8"/>
      <c r="AO329" s="13"/>
      <c r="AP329" s="7"/>
      <c r="AQ329" s="7"/>
      <c r="AR329" s="9"/>
      <c r="AS329" s="7"/>
      <c r="AT329" s="79">
        <v>0.006679</v>
      </c>
      <c r="AU329" s="64">
        <v>0.0019091885</v>
      </c>
      <c r="AV329" s="13"/>
      <c r="AW329" s="7"/>
      <c r="AX329" s="73">
        <v>0.10049</v>
      </c>
      <c r="AY329" s="7"/>
      <c r="AZ329" s="68" t="s">
        <v>812</v>
      </c>
      <c r="BA329" s="118" t="s">
        <v>813</v>
      </c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69"/>
      <c r="DN329" s="69"/>
      <c r="DO329" s="69"/>
      <c r="DP329" s="69"/>
      <c r="DQ329" s="11"/>
      <c r="DR329" s="69"/>
      <c r="DS329" s="69"/>
      <c r="DT329" s="69"/>
      <c r="DU329" s="69"/>
      <c r="DV329" s="7"/>
      <c r="DW329" s="10"/>
      <c r="DX329" s="81">
        <v>1.9E-12</v>
      </c>
      <c r="DY329" s="64">
        <v>0.00190467</v>
      </c>
      <c r="DZ329" s="64" t="s">
        <v>352</v>
      </c>
      <c r="EA329" s="7"/>
      <c r="EB329" s="64"/>
    </row>
    <row r="330">
      <c r="A330" s="167" t="s">
        <v>817</v>
      </c>
      <c r="B330" s="56" t="s">
        <v>818</v>
      </c>
      <c r="C330" s="3"/>
      <c r="D330" s="4"/>
      <c r="E330" s="4"/>
      <c r="F330" s="57" t="s">
        <v>168</v>
      </c>
      <c r="G330" s="61">
        <v>271.12247</v>
      </c>
      <c r="H330" s="61">
        <v>-24.53023</v>
      </c>
      <c r="I330" s="60" t="s">
        <v>819</v>
      </c>
      <c r="J330" s="60" t="s">
        <v>169</v>
      </c>
      <c r="K330" s="61">
        <v>5.7</v>
      </c>
      <c r="L330" s="60">
        <v>3.31</v>
      </c>
      <c r="M330" s="60">
        <v>2.0</v>
      </c>
      <c r="N330" s="61">
        <v>478.102887741441</v>
      </c>
      <c r="O330" s="61">
        <v>-11.569</v>
      </c>
      <c r="P330" s="61">
        <v>1.049</v>
      </c>
      <c r="Q330" s="61">
        <v>-1.234</v>
      </c>
      <c r="R330" s="61">
        <v>0.955</v>
      </c>
      <c r="S330" s="60"/>
      <c r="T330" s="60"/>
      <c r="U330" s="58"/>
      <c r="V330" s="5"/>
      <c r="W330" s="5"/>
      <c r="X330" s="5"/>
      <c r="Y330" s="166"/>
      <c r="Z330" s="60">
        <v>19.88</v>
      </c>
      <c r="AA330" s="60">
        <v>0.064</v>
      </c>
      <c r="AB330" s="60"/>
      <c r="AC330" s="60"/>
      <c r="AD330" s="60"/>
      <c r="AE330" s="60"/>
      <c r="AF330" s="60"/>
      <c r="AG330" s="60"/>
      <c r="AH330" s="60">
        <v>18.77</v>
      </c>
      <c r="AI330" s="60">
        <v>0.1333604139</v>
      </c>
      <c r="AJ330" s="76" t="s">
        <v>759</v>
      </c>
      <c r="AK330" s="64" t="s">
        <v>820</v>
      </c>
      <c r="AL330" s="168"/>
      <c r="AM330" s="7"/>
      <c r="AN330" s="77">
        <v>1250.0</v>
      </c>
      <c r="AO330" s="64">
        <v>50.0</v>
      </c>
      <c r="AP330" s="13"/>
      <c r="AQ330" s="13"/>
      <c r="AR330" s="78"/>
      <c r="AS330" s="97"/>
      <c r="AT330" s="67">
        <v>0.2</v>
      </c>
      <c r="AU330" s="70">
        <v>0.26</v>
      </c>
      <c r="AV330" s="13"/>
      <c r="AW330" s="13"/>
      <c r="AX330" s="73"/>
      <c r="AY330" s="73"/>
      <c r="AZ330" s="68" t="s">
        <v>812</v>
      </c>
      <c r="BA330" s="68" t="s">
        <v>821</v>
      </c>
      <c r="BB330" s="68">
        <v>-36.01</v>
      </c>
      <c r="BC330" s="68">
        <v>1.91</v>
      </c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2"/>
      <c r="DK330" s="12"/>
      <c r="DL330" s="12"/>
      <c r="DM330" s="69"/>
      <c r="DN330" s="69"/>
      <c r="DO330" s="69"/>
      <c r="DP330" s="69"/>
      <c r="DQ330" s="11"/>
      <c r="DR330" s="69"/>
      <c r="DS330" s="69"/>
      <c r="DT330" s="69"/>
      <c r="DU330" s="69"/>
      <c r="DV330" s="97"/>
      <c r="DW330" s="98"/>
      <c r="DX330" s="71">
        <v>1.26E-9</v>
      </c>
      <c r="DY330" s="114">
        <v>1.74E-9</v>
      </c>
      <c r="DZ330" s="64" t="s">
        <v>762</v>
      </c>
      <c r="EA330" s="72" t="s">
        <v>822</v>
      </c>
      <c r="EB330" s="82"/>
    </row>
    <row r="331">
      <c r="A331" s="167" t="s">
        <v>823</v>
      </c>
      <c r="B331" s="56" t="s">
        <v>824</v>
      </c>
      <c r="C331" s="3"/>
      <c r="D331" s="4"/>
      <c r="E331" s="4"/>
      <c r="F331" s="57" t="s">
        <v>168</v>
      </c>
      <c r="G331" s="61">
        <v>271.28552</v>
      </c>
      <c r="H331" s="61">
        <v>-24.27943</v>
      </c>
      <c r="I331" s="60" t="s">
        <v>819</v>
      </c>
      <c r="J331" s="60" t="s">
        <v>169</v>
      </c>
      <c r="K331" s="61">
        <v>5.7</v>
      </c>
      <c r="L331" s="60">
        <v>3.44</v>
      </c>
      <c r="M331" s="60">
        <v>2.0</v>
      </c>
      <c r="N331" s="61">
        <v>3656.3071297989</v>
      </c>
      <c r="O331" s="61">
        <v>-0.155</v>
      </c>
      <c r="P331" s="61">
        <v>1.08</v>
      </c>
      <c r="Q331" s="61">
        <v>-1.273</v>
      </c>
      <c r="R331" s="61">
        <v>1.051</v>
      </c>
      <c r="S331" s="60"/>
      <c r="T331" s="60"/>
      <c r="U331" s="58"/>
      <c r="V331" s="5"/>
      <c r="W331" s="5"/>
      <c r="X331" s="5"/>
      <c r="Y331" s="166"/>
      <c r="Z331" s="60">
        <v>20.01</v>
      </c>
      <c r="AA331" s="60">
        <v>0.066</v>
      </c>
      <c r="AB331" s="60"/>
      <c r="AC331" s="60"/>
      <c r="AD331" s="60"/>
      <c r="AE331" s="60"/>
      <c r="AF331" s="60"/>
      <c r="AG331" s="60"/>
      <c r="AH331" s="60">
        <v>18.61</v>
      </c>
      <c r="AI331" s="60">
        <v>0.136077184</v>
      </c>
      <c r="AJ331" s="76" t="s">
        <v>759</v>
      </c>
      <c r="AK331" s="64" t="s">
        <v>820</v>
      </c>
      <c r="AL331" s="168"/>
      <c r="AM331" s="7"/>
      <c r="AN331" s="77">
        <v>1250.0</v>
      </c>
      <c r="AO331" s="64">
        <v>50.0</v>
      </c>
      <c r="AP331" s="13"/>
      <c r="AQ331" s="13"/>
      <c r="AR331" s="78"/>
      <c r="AS331" s="97"/>
      <c r="AT331" s="67">
        <v>0.2</v>
      </c>
      <c r="AU331" s="70">
        <v>0.27</v>
      </c>
      <c r="AV331" s="13"/>
      <c r="AW331" s="13"/>
      <c r="AX331" s="73"/>
      <c r="AY331" s="73"/>
      <c r="AZ331" s="68" t="s">
        <v>812</v>
      </c>
      <c r="BA331" s="68" t="s">
        <v>821</v>
      </c>
      <c r="BB331" s="68">
        <v>-79.87</v>
      </c>
      <c r="BC331" s="68">
        <v>6.65</v>
      </c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2"/>
      <c r="DK331" s="12"/>
      <c r="DL331" s="12"/>
      <c r="DM331" s="69"/>
      <c r="DN331" s="69"/>
      <c r="DO331" s="69"/>
      <c r="DP331" s="69"/>
      <c r="DQ331" s="11"/>
      <c r="DR331" s="69"/>
      <c r="DS331" s="69"/>
      <c r="DT331" s="69"/>
      <c r="DU331" s="69"/>
      <c r="DV331" s="97"/>
      <c r="DW331" s="98"/>
      <c r="DX331" s="71">
        <v>2.51E-9</v>
      </c>
      <c r="DY331" s="114">
        <v>3.47E-9</v>
      </c>
      <c r="DZ331" s="64" t="s">
        <v>762</v>
      </c>
      <c r="EA331" s="72" t="s">
        <v>822</v>
      </c>
      <c r="EB331" s="82"/>
    </row>
    <row r="332">
      <c r="A332" s="167" t="s">
        <v>825</v>
      </c>
      <c r="B332" s="56" t="s">
        <v>826</v>
      </c>
      <c r="C332" s="3"/>
      <c r="D332" s="4"/>
      <c r="E332" s="4"/>
      <c r="F332" s="57" t="s">
        <v>168</v>
      </c>
      <c r="G332" s="61">
        <v>271.11664</v>
      </c>
      <c r="H332" s="61">
        <v>-24.20081</v>
      </c>
      <c r="I332" s="60" t="s">
        <v>819</v>
      </c>
      <c r="J332" s="60" t="s">
        <v>169</v>
      </c>
      <c r="K332" s="61">
        <v>5.8</v>
      </c>
      <c r="L332" s="60">
        <v>3.79</v>
      </c>
      <c r="M332" s="5"/>
      <c r="N332" s="61"/>
      <c r="O332" s="61">
        <v>4.739</v>
      </c>
      <c r="P332" s="61">
        <v>1.209</v>
      </c>
      <c r="Q332" s="61">
        <v>0.787</v>
      </c>
      <c r="R332" s="61">
        <v>1.097</v>
      </c>
      <c r="S332" s="60"/>
      <c r="T332" s="60"/>
      <c r="U332" s="58"/>
      <c r="V332" s="5"/>
      <c r="W332" s="5"/>
      <c r="X332" s="5"/>
      <c r="Y332" s="166"/>
      <c r="Z332" s="60">
        <v>20.11</v>
      </c>
      <c r="AA332" s="60">
        <v>0.073</v>
      </c>
      <c r="AB332" s="60"/>
      <c r="AC332" s="60"/>
      <c r="AD332" s="60"/>
      <c r="AE332" s="60"/>
      <c r="AF332" s="60"/>
      <c r="AG332" s="60"/>
      <c r="AH332" s="60">
        <v>18.54</v>
      </c>
      <c r="AI332" s="60">
        <v>0.1370583817</v>
      </c>
      <c r="AJ332" s="76" t="s">
        <v>759</v>
      </c>
      <c r="AK332" s="64" t="s">
        <v>820</v>
      </c>
      <c r="AL332" s="168"/>
      <c r="AM332" s="7"/>
      <c r="AN332" s="77">
        <v>1250.0</v>
      </c>
      <c r="AO332" s="64">
        <v>50.0</v>
      </c>
      <c r="AP332" s="13"/>
      <c r="AQ332" s="13"/>
      <c r="AR332" s="78"/>
      <c r="AS332" s="97"/>
      <c r="AT332" s="67">
        <v>0.2</v>
      </c>
      <c r="AU332" s="70">
        <v>0.3</v>
      </c>
      <c r="AV332" s="13"/>
      <c r="AW332" s="13"/>
      <c r="AX332" s="73"/>
      <c r="AY332" s="73"/>
      <c r="AZ332" s="68" t="s">
        <v>812</v>
      </c>
      <c r="BA332" s="68" t="s">
        <v>821</v>
      </c>
      <c r="BB332" s="68">
        <v>-116.11</v>
      </c>
      <c r="BC332" s="68">
        <v>13.7</v>
      </c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2"/>
      <c r="DK332" s="12"/>
      <c r="DL332" s="12"/>
      <c r="DM332" s="69"/>
      <c r="DN332" s="69"/>
      <c r="DO332" s="69"/>
      <c r="DP332" s="69"/>
      <c r="DQ332" s="11"/>
      <c r="DR332" s="69"/>
      <c r="DS332" s="69"/>
      <c r="DT332" s="69"/>
      <c r="DU332" s="69"/>
      <c r="DV332" s="97"/>
      <c r="DW332" s="98"/>
      <c r="DX332" s="71">
        <v>3.16E-9</v>
      </c>
      <c r="DY332" s="114">
        <v>4.37E-9</v>
      </c>
      <c r="DZ332" s="64" t="s">
        <v>762</v>
      </c>
      <c r="EA332" s="72" t="s">
        <v>822</v>
      </c>
      <c r="EB332" s="82"/>
    </row>
    <row r="333">
      <c r="A333" s="167" t="s">
        <v>827</v>
      </c>
      <c r="B333" s="56" t="s">
        <v>828</v>
      </c>
      <c r="C333" s="3"/>
      <c r="D333" s="4"/>
      <c r="E333" s="4"/>
      <c r="F333" s="57" t="s">
        <v>168</v>
      </c>
      <c r="G333" s="61">
        <v>270.64032</v>
      </c>
      <c r="H333" s="61">
        <v>-24.30061</v>
      </c>
      <c r="I333" s="60" t="s">
        <v>819</v>
      </c>
      <c r="J333" s="60" t="s">
        <v>169</v>
      </c>
      <c r="K333" s="61">
        <v>5.5</v>
      </c>
      <c r="L333" s="60">
        <v>2.54</v>
      </c>
      <c r="M333" s="60">
        <v>2.0</v>
      </c>
      <c r="N333" s="61">
        <v>1204.81927710843</v>
      </c>
      <c r="O333" s="61">
        <v>1.339</v>
      </c>
      <c r="P333" s="61">
        <v>1.464</v>
      </c>
      <c r="Q333" s="61">
        <v>-0.307</v>
      </c>
      <c r="R333" s="61">
        <v>1.363</v>
      </c>
      <c r="S333" s="60"/>
      <c r="T333" s="60"/>
      <c r="U333" s="58"/>
      <c r="V333" s="5"/>
      <c r="W333" s="5"/>
      <c r="X333" s="5"/>
      <c r="Y333" s="166"/>
      <c r="Z333" s="60">
        <v>19.96</v>
      </c>
      <c r="AA333" s="60">
        <v>0.049</v>
      </c>
      <c r="AB333" s="60"/>
      <c r="AC333" s="60"/>
      <c r="AD333" s="60"/>
      <c r="AE333" s="60"/>
      <c r="AF333" s="60"/>
      <c r="AG333" s="60"/>
      <c r="AH333" s="60">
        <v>17.98</v>
      </c>
      <c r="AI333" s="60">
        <v>0.08300602388</v>
      </c>
      <c r="AJ333" s="76" t="s">
        <v>759</v>
      </c>
      <c r="AK333" s="64" t="s">
        <v>820</v>
      </c>
      <c r="AL333" s="168"/>
      <c r="AM333" s="7"/>
      <c r="AN333" s="77">
        <v>1250.0</v>
      </c>
      <c r="AO333" s="64">
        <v>50.0</v>
      </c>
      <c r="AP333" s="13"/>
      <c r="AQ333" s="13"/>
      <c r="AR333" s="78"/>
      <c r="AS333" s="97"/>
      <c r="AT333" s="67">
        <v>0.2</v>
      </c>
      <c r="AU333" s="70">
        <v>0.2</v>
      </c>
      <c r="AV333" s="13"/>
      <c r="AW333" s="13"/>
      <c r="AX333" s="73"/>
      <c r="AY333" s="73"/>
      <c r="AZ333" s="68" t="s">
        <v>812</v>
      </c>
      <c r="BA333" s="68" t="s">
        <v>821</v>
      </c>
      <c r="BB333" s="68">
        <v>-213.96</v>
      </c>
      <c r="BC333" s="68">
        <v>36.9</v>
      </c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2"/>
      <c r="DK333" s="12"/>
      <c r="DL333" s="12"/>
      <c r="DM333" s="69"/>
      <c r="DN333" s="69"/>
      <c r="DO333" s="69"/>
      <c r="DP333" s="69"/>
      <c r="DQ333" s="11"/>
      <c r="DR333" s="69"/>
      <c r="DS333" s="69"/>
      <c r="DT333" s="69"/>
      <c r="DU333" s="69"/>
      <c r="DV333" s="97"/>
      <c r="DW333" s="98"/>
      <c r="DX333" s="71">
        <v>1.0E-8</v>
      </c>
      <c r="DY333" s="114">
        <v>1.38E-8</v>
      </c>
      <c r="DZ333" s="64" t="s">
        <v>762</v>
      </c>
      <c r="EA333" s="72" t="s">
        <v>822</v>
      </c>
      <c r="EB333" s="82"/>
    </row>
    <row r="334">
      <c r="A334" s="167" t="s">
        <v>829</v>
      </c>
      <c r="B334" s="56" t="s">
        <v>830</v>
      </c>
      <c r="C334" s="3"/>
      <c r="D334" s="4"/>
      <c r="E334" s="4"/>
      <c r="F334" s="57" t="s">
        <v>168</v>
      </c>
      <c r="G334" s="61">
        <v>271.16434</v>
      </c>
      <c r="H334" s="61">
        <v>-24.45251</v>
      </c>
      <c r="I334" s="60" t="s">
        <v>819</v>
      </c>
      <c r="J334" s="60" t="s">
        <v>169</v>
      </c>
      <c r="K334" s="61">
        <v>4.3</v>
      </c>
      <c r="L334" s="60">
        <v>0.25</v>
      </c>
      <c r="M334" s="60">
        <v>2.0</v>
      </c>
      <c r="N334" s="61">
        <v>1339.405304045</v>
      </c>
      <c r="O334" s="61">
        <v>1.987</v>
      </c>
      <c r="P334" s="61">
        <v>0.179</v>
      </c>
      <c r="Q334" s="61">
        <v>-2.085</v>
      </c>
      <c r="R334" s="61">
        <v>0.166</v>
      </c>
      <c r="S334" s="60">
        <v>0.53</v>
      </c>
      <c r="T334" s="60">
        <v>2.14</v>
      </c>
      <c r="U334" s="58"/>
      <c r="V334" s="5"/>
      <c r="W334" s="5"/>
      <c r="X334" s="5"/>
      <c r="Y334" s="166"/>
      <c r="Z334" s="60">
        <v>16.63</v>
      </c>
      <c r="AA334" s="60">
        <v>0.004</v>
      </c>
      <c r="AB334" s="60">
        <v>13.353</v>
      </c>
      <c r="AC334" s="60">
        <v>0.073</v>
      </c>
      <c r="AD334" s="60">
        <v>12.258</v>
      </c>
      <c r="AE334" s="60">
        <v>0.059</v>
      </c>
      <c r="AF334" s="60">
        <v>11.724</v>
      </c>
      <c r="AG334" s="60">
        <v>0.034</v>
      </c>
      <c r="AH334" s="60">
        <v>15.79</v>
      </c>
      <c r="AI334" s="60">
        <v>0.01170469991</v>
      </c>
      <c r="AJ334" s="76" t="s">
        <v>759</v>
      </c>
      <c r="AK334" s="64" t="s">
        <v>820</v>
      </c>
      <c r="AL334" s="168"/>
      <c r="AM334" s="7"/>
      <c r="AN334" s="77">
        <v>1250.0</v>
      </c>
      <c r="AO334" s="64">
        <v>50.0</v>
      </c>
      <c r="AP334" s="13"/>
      <c r="AQ334" s="13"/>
      <c r="AR334" s="78"/>
      <c r="AS334" s="97"/>
      <c r="AT334" s="67">
        <v>0.3</v>
      </c>
      <c r="AU334" s="70">
        <v>0.02</v>
      </c>
      <c r="AV334" s="13"/>
      <c r="AW334" s="13"/>
      <c r="AX334" s="73"/>
      <c r="AY334" s="73"/>
      <c r="AZ334" s="68" t="s">
        <v>812</v>
      </c>
      <c r="BA334" s="68" t="s">
        <v>821</v>
      </c>
      <c r="BB334" s="68">
        <v>-28.35</v>
      </c>
      <c r="BC334" s="68">
        <v>4.88</v>
      </c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2"/>
      <c r="DK334" s="12"/>
      <c r="DL334" s="12"/>
      <c r="DM334" s="69"/>
      <c r="DN334" s="69"/>
      <c r="DO334" s="69"/>
      <c r="DP334" s="69"/>
      <c r="DQ334" s="11"/>
      <c r="DR334" s="69"/>
      <c r="DS334" s="69"/>
      <c r="DT334" s="69"/>
      <c r="DU334" s="69"/>
      <c r="DV334" s="97"/>
      <c r="DW334" s="98"/>
      <c r="DX334" s="71">
        <v>2.51E-8</v>
      </c>
      <c r="DY334" s="114">
        <v>3.47E-8</v>
      </c>
      <c r="DZ334" s="64" t="s">
        <v>762</v>
      </c>
      <c r="EA334" s="72" t="s">
        <v>822</v>
      </c>
      <c r="EB334" s="82"/>
    </row>
    <row r="335">
      <c r="A335" s="167" t="s">
        <v>831</v>
      </c>
      <c r="B335" s="56" t="s">
        <v>832</v>
      </c>
      <c r="C335" s="3"/>
      <c r="D335" s="4"/>
      <c r="E335" s="4"/>
      <c r="F335" s="57" t="s">
        <v>168</v>
      </c>
      <c r="G335" s="61">
        <v>271.06326</v>
      </c>
      <c r="H335" s="61">
        <v>-24.44519</v>
      </c>
      <c r="I335" s="60" t="s">
        <v>819</v>
      </c>
      <c r="J335" s="60" t="s">
        <v>169</v>
      </c>
      <c r="K335" s="61">
        <v>4.4</v>
      </c>
      <c r="L335" s="60">
        <v>0.91</v>
      </c>
      <c r="M335" s="60">
        <v>2.0</v>
      </c>
      <c r="N335" s="61">
        <v>1850.48112509252</v>
      </c>
      <c r="O335" s="61">
        <v>2.117</v>
      </c>
      <c r="P335" s="61">
        <v>0.315</v>
      </c>
      <c r="Q335" s="61">
        <v>-2.435</v>
      </c>
      <c r="R335" s="61">
        <v>0.254</v>
      </c>
      <c r="S335" s="60"/>
      <c r="T335" s="60"/>
      <c r="U335" s="58"/>
      <c r="V335" s="5"/>
      <c r="W335" s="5"/>
      <c r="X335" s="5"/>
      <c r="Y335" s="166"/>
      <c r="Z335" s="60">
        <v>18.09</v>
      </c>
      <c r="AA335" s="60">
        <v>0.017</v>
      </c>
      <c r="AB335" s="60">
        <v>14.033</v>
      </c>
      <c r="AC335" s="60">
        <v>0.07</v>
      </c>
      <c r="AD335" s="60">
        <v>12.951</v>
      </c>
      <c r="AE335" s="60">
        <v>0.116</v>
      </c>
      <c r="AF335" s="60">
        <v>12.414</v>
      </c>
      <c r="AG335" s="60">
        <v>0.033</v>
      </c>
      <c r="AH335" s="60">
        <v>16.71</v>
      </c>
      <c r="AI335" s="60">
        <v>0.03981205847</v>
      </c>
      <c r="AJ335" s="76" t="s">
        <v>759</v>
      </c>
      <c r="AK335" s="64" t="s">
        <v>820</v>
      </c>
      <c r="AL335" s="168"/>
      <c r="AM335" s="7"/>
      <c r="AN335" s="77">
        <v>1250.0</v>
      </c>
      <c r="AO335" s="64">
        <v>50.0</v>
      </c>
      <c r="AP335" s="13"/>
      <c r="AQ335" s="13"/>
      <c r="AR335" s="78"/>
      <c r="AS335" s="97"/>
      <c r="AT335" s="67">
        <v>0.3</v>
      </c>
      <c r="AU335" s="70">
        <v>0.07</v>
      </c>
      <c r="AV335" s="13"/>
      <c r="AW335" s="13"/>
      <c r="AX335" s="73"/>
      <c r="AY335" s="73"/>
      <c r="AZ335" s="68" t="s">
        <v>812</v>
      </c>
      <c r="BA335" s="68" t="s">
        <v>821</v>
      </c>
      <c r="BB335" s="68">
        <v>-97.94</v>
      </c>
      <c r="BC335" s="68">
        <v>16.8</v>
      </c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2"/>
      <c r="DK335" s="12"/>
      <c r="DL335" s="12"/>
      <c r="DM335" s="69"/>
      <c r="DN335" s="69"/>
      <c r="DO335" s="69"/>
      <c r="DP335" s="69"/>
      <c r="DQ335" s="11"/>
      <c r="DR335" s="69"/>
      <c r="DS335" s="69"/>
      <c r="DT335" s="69"/>
      <c r="DU335" s="69"/>
      <c r="DV335" s="97"/>
      <c r="DW335" s="98"/>
      <c r="DX335" s="71">
        <v>2.0E-8</v>
      </c>
      <c r="DY335" s="114">
        <v>2.76E-8</v>
      </c>
      <c r="DZ335" s="64" t="s">
        <v>762</v>
      </c>
      <c r="EA335" s="72" t="s">
        <v>822</v>
      </c>
      <c r="EB335" s="82"/>
    </row>
    <row r="336">
      <c r="A336" s="167" t="s">
        <v>833</v>
      </c>
      <c r="B336" s="56" t="s">
        <v>834</v>
      </c>
      <c r="C336" s="3"/>
      <c r="D336" s="4"/>
      <c r="E336" s="4"/>
      <c r="F336" s="57" t="s">
        <v>168</v>
      </c>
      <c r="G336" s="61">
        <v>270.88773</v>
      </c>
      <c r="H336" s="61">
        <v>-24.27307</v>
      </c>
      <c r="I336" s="60" t="s">
        <v>819</v>
      </c>
      <c r="J336" s="60" t="s">
        <v>169</v>
      </c>
      <c r="K336" s="61">
        <v>5.7</v>
      </c>
      <c r="L336" s="60">
        <v>1.16</v>
      </c>
      <c r="M336" s="60">
        <v>2.0</v>
      </c>
      <c r="N336" s="61">
        <v>935.103796521414</v>
      </c>
      <c r="O336" s="61">
        <v>1.103</v>
      </c>
      <c r="P336" s="61">
        <v>0.458</v>
      </c>
      <c r="Q336" s="61">
        <v>-2.116</v>
      </c>
      <c r="R336" s="61">
        <v>0.381</v>
      </c>
      <c r="S336" s="60"/>
      <c r="T336" s="60"/>
      <c r="U336" s="58"/>
      <c r="V336" s="5"/>
      <c r="W336" s="5"/>
      <c r="X336" s="5"/>
      <c r="Y336" s="166"/>
      <c r="Z336" s="60">
        <v>18.54</v>
      </c>
      <c r="AA336" s="60">
        <v>0.022</v>
      </c>
      <c r="AB336" s="60">
        <v>14.092</v>
      </c>
      <c r="AC336" s="60"/>
      <c r="AD336" s="60">
        <v>13.018</v>
      </c>
      <c r="AE336" s="60"/>
      <c r="AF336" s="60">
        <v>12.232</v>
      </c>
      <c r="AG336" s="60"/>
      <c r="AH336" s="60">
        <v>17.16</v>
      </c>
      <c r="AI336" s="60">
        <v>0.0491934955</v>
      </c>
      <c r="AJ336" s="76" t="s">
        <v>759</v>
      </c>
      <c r="AK336" s="64" t="s">
        <v>820</v>
      </c>
      <c r="AL336" s="168"/>
      <c r="AM336" s="7"/>
      <c r="AN336" s="77">
        <v>1250.0</v>
      </c>
      <c r="AO336" s="64">
        <v>50.0</v>
      </c>
      <c r="AP336" s="13"/>
      <c r="AQ336" s="13"/>
      <c r="AR336" s="78"/>
      <c r="AS336" s="97"/>
      <c r="AT336" s="67">
        <v>0.3</v>
      </c>
      <c r="AU336" s="70">
        <v>0.09</v>
      </c>
      <c r="AV336" s="13"/>
      <c r="AW336" s="13"/>
      <c r="AX336" s="73"/>
      <c r="AY336" s="73"/>
      <c r="AZ336" s="68" t="s">
        <v>812</v>
      </c>
      <c r="BA336" s="68" t="s">
        <v>821</v>
      </c>
      <c r="BB336" s="68">
        <v>-104.69</v>
      </c>
      <c r="BC336" s="68">
        <v>17.5</v>
      </c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2"/>
      <c r="DK336" s="12"/>
      <c r="DL336" s="12"/>
      <c r="DM336" s="69"/>
      <c r="DN336" s="69"/>
      <c r="DO336" s="69"/>
      <c r="DP336" s="69"/>
      <c r="DQ336" s="11"/>
      <c r="DR336" s="69"/>
      <c r="DS336" s="69"/>
      <c r="DT336" s="69"/>
      <c r="DU336" s="69"/>
      <c r="DV336" s="97"/>
      <c r="DW336" s="98"/>
      <c r="DX336" s="71">
        <v>7.94E-9</v>
      </c>
      <c r="DY336" s="114">
        <v>1.1E-8</v>
      </c>
      <c r="DZ336" s="64" t="s">
        <v>762</v>
      </c>
      <c r="EA336" s="72" t="s">
        <v>822</v>
      </c>
      <c r="EB336" s="82"/>
    </row>
    <row r="337">
      <c r="A337" s="167" t="s">
        <v>835</v>
      </c>
      <c r="B337" s="56" t="s">
        <v>836</v>
      </c>
      <c r="C337" s="3"/>
      <c r="D337" s="4"/>
      <c r="E337" s="4"/>
      <c r="F337" s="57" t="s">
        <v>168</v>
      </c>
      <c r="G337" s="61">
        <v>271.08856</v>
      </c>
      <c r="H337" s="61">
        <v>-24.38548</v>
      </c>
      <c r="I337" s="60" t="s">
        <v>819</v>
      </c>
      <c r="J337" s="60" t="s">
        <v>169</v>
      </c>
      <c r="K337" s="61">
        <v>4.3</v>
      </c>
      <c r="L337" s="60">
        <v>0.67</v>
      </c>
      <c r="M337" s="60">
        <v>2.0</v>
      </c>
      <c r="N337" s="61">
        <v>188.444578449478</v>
      </c>
      <c r="O337" s="61">
        <v>-6.347</v>
      </c>
      <c r="P337" s="61">
        <v>0.799</v>
      </c>
      <c r="Q337" s="61">
        <v>1.949</v>
      </c>
      <c r="R337" s="61">
        <v>0.64</v>
      </c>
      <c r="S337" s="60"/>
      <c r="T337" s="60"/>
      <c r="U337" s="58"/>
      <c r="V337" s="5"/>
      <c r="W337" s="5"/>
      <c r="X337" s="5"/>
      <c r="Y337" s="166"/>
      <c r="Z337" s="60">
        <v>17.72</v>
      </c>
      <c r="AA337" s="60">
        <v>0.012</v>
      </c>
      <c r="AB337" s="60">
        <v>14.144</v>
      </c>
      <c r="AC337" s="60">
        <v>0.024</v>
      </c>
      <c r="AD337" s="60">
        <v>13.102</v>
      </c>
      <c r="AE337" s="60">
        <v>0.027</v>
      </c>
      <c r="AF337" s="60">
        <v>12.404</v>
      </c>
      <c r="AG337" s="60">
        <v>0.031</v>
      </c>
      <c r="AH337" s="60">
        <v>16.84</v>
      </c>
      <c r="AI337" s="60">
        <v>0.03984971769</v>
      </c>
      <c r="AJ337" s="76" t="s">
        <v>759</v>
      </c>
      <c r="AK337" s="64" t="s">
        <v>820</v>
      </c>
      <c r="AL337" s="168"/>
      <c r="AM337" s="7"/>
      <c r="AN337" s="77">
        <v>1250.0</v>
      </c>
      <c r="AO337" s="64">
        <v>50.0</v>
      </c>
      <c r="AP337" s="13"/>
      <c r="AQ337" s="13"/>
      <c r="AR337" s="78"/>
      <c r="AS337" s="97"/>
      <c r="AT337" s="67">
        <v>0.3</v>
      </c>
      <c r="AU337" s="70">
        <v>0.05</v>
      </c>
      <c r="AV337" s="13"/>
      <c r="AW337" s="13"/>
      <c r="AX337" s="73"/>
      <c r="AY337" s="73"/>
      <c r="AZ337" s="68" t="s">
        <v>812</v>
      </c>
      <c r="BA337" s="68" t="s">
        <v>821</v>
      </c>
      <c r="BB337" s="68">
        <v>-22.85</v>
      </c>
      <c r="BC337" s="68">
        <v>1.98</v>
      </c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2"/>
      <c r="DK337" s="12"/>
      <c r="DL337" s="12"/>
      <c r="DM337" s="69"/>
      <c r="DN337" s="69"/>
      <c r="DO337" s="69"/>
      <c r="DP337" s="69"/>
      <c r="DQ337" s="11"/>
      <c r="DR337" s="69"/>
      <c r="DS337" s="69"/>
      <c r="DT337" s="69"/>
      <c r="DU337" s="69"/>
      <c r="DV337" s="97"/>
      <c r="DW337" s="98"/>
      <c r="DX337" s="71">
        <v>6.31E-9</v>
      </c>
      <c r="DY337" s="114">
        <v>8.72E-9</v>
      </c>
      <c r="DZ337" s="64" t="s">
        <v>762</v>
      </c>
      <c r="EA337" s="72" t="s">
        <v>822</v>
      </c>
      <c r="EB337" s="82"/>
    </row>
    <row r="338">
      <c r="A338" s="167" t="s">
        <v>837</v>
      </c>
      <c r="B338" s="56" t="s">
        <v>838</v>
      </c>
      <c r="C338" s="3"/>
      <c r="D338" s="4"/>
      <c r="E338" s="4"/>
      <c r="F338" s="57" t="s">
        <v>168</v>
      </c>
      <c r="G338" s="61">
        <v>271.01743</v>
      </c>
      <c r="H338" s="61">
        <v>-24.29532</v>
      </c>
      <c r="I338" s="60" t="s">
        <v>819</v>
      </c>
      <c r="J338" s="60" t="s">
        <v>169</v>
      </c>
      <c r="K338" s="61">
        <v>4.1</v>
      </c>
      <c r="L338" s="60">
        <v>0.73</v>
      </c>
      <c r="M338" s="5"/>
      <c r="N338" s="61"/>
      <c r="O338" s="61"/>
      <c r="P338" s="61"/>
      <c r="Q338" s="61"/>
      <c r="R338" s="61"/>
      <c r="S338" s="60"/>
      <c r="T338" s="60"/>
      <c r="U338" s="58"/>
      <c r="V338" s="5"/>
      <c r="W338" s="5"/>
      <c r="X338" s="5"/>
      <c r="Y338" s="166"/>
      <c r="Z338" s="60">
        <v>17.82</v>
      </c>
      <c r="AA338" s="60">
        <v>0.014</v>
      </c>
      <c r="AB338" s="60">
        <v>14.165</v>
      </c>
      <c r="AC338" s="60"/>
      <c r="AD338" s="60">
        <v>13.216</v>
      </c>
      <c r="AE338" s="60"/>
      <c r="AF338" s="60">
        <v>12.658</v>
      </c>
      <c r="AG338" s="60"/>
      <c r="AH338" s="60">
        <v>16.88</v>
      </c>
      <c r="AI338" s="60">
        <v>0.0423792402</v>
      </c>
      <c r="AJ338" s="76" t="s">
        <v>759</v>
      </c>
      <c r="AK338" s="64" t="s">
        <v>820</v>
      </c>
      <c r="AL338" s="168"/>
      <c r="AM338" s="7"/>
      <c r="AN338" s="77">
        <v>1250.0</v>
      </c>
      <c r="AO338" s="64">
        <v>50.0</v>
      </c>
      <c r="AP338" s="13"/>
      <c r="AQ338" s="13"/>
      <c r="AR338" s="78"/>
      <c r="AS338" s="97"/>
      <c r="AT338" s="67">
        <v>0.3</v>
      </c>
      <c r="AU338" s="70">
        <v>0.05</v>
      </c>
      <c r="AV338" s="13"/>
      <c r="AW338" s="13"/>
      <c r="AX338" s="73"/>
      <c r="AY338" s="73"/>
      <c r="AZ338" s="68" t="s">
        <v>812</v>
      </c>
      <c r="BA338" s="68" t="s">
        <v>821</v>
      </c>
      <c r="BB338" s="68">
        <v>-28.82</v>
      </c>
      <c r="BC338" s="68">
        <v>3.03</v>
      </c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2"/>
      <c r="DK338" s="12"/>
      <c r="DL338" s="12"/>
      <c r="DM338" s="69"/>
      <c r="DN338" s="69"/>
      <c r="DO338" s="69"/>
      <c r="DP338" s="69"/>
      <c r="DQ338" s="11"/>
      <c r="DR338" s="69"/>
      <c r="DS338" s="69"/>
      <c r="DT338" s="69"/>
      <c r="DU338" s="69"/>
      <c r="DV338" s="97"/>
      <c r="DW338" s="98"/>
      <c r="DX338" s="71">
        <v>7.94E-9</v>
      </c>
      <c r="DY338" s="114">
        <v>1.1E-8</v>
      </c>
      <c r="DZ338" s="64" t="s">
        <v>762</v>
      </c>
      <c r="EA338" s="72" t="s">
        <v>822</v>
      </c>
      <c r="EB338" s="82"/>
    </row>
    <row r="339">
      <c r="A339" s="167" t="s">
        <v>837</v>
      </c>
      <c r="B339" s="56" t="s">
        <v>839</v>
      </c>
      <c r="C339" s="3"/>
      <c r="D339" s="4"/>
      <c r="E339" s="4"/>
      <c r="F339" s="57" t="s">
        <v>168</v>
      </c>
      <c r="G339" s="61">
        <v>271.01746</v>
      </c>
      <c r="H339" s="61">
        <v>-24.29531</v>
      </c>
      <c r="I339" s="60" t="s">
        <v>819</v>
      </c>
      <c r="J339" s="60" t="s">
        <v>169</v>
      </c>
      <c r="K339" s="61">
        <v>4.2</v>
      </c>
      <c r="L339" s="60">
        <v>0.58</v>
      </c>
      <c r="M339" s="5"/>
      <c r="N339" s="61"/>
      <c r="O339" s="61"/>
      <c r="P339" s="61"/>
      <c r="Q339" s="61"/>
      <c r="R339" s="61"/>
      <c r="S339" s="60"/>
      <c r="T339" s="60"/>
      <c r="U339" s="58"/>
      <c r="V339" s="5"/>
      <c r="W339" s="5"/>
      <c r="X339" s="5"/>
      <c r="Y339" s="166"/>
      <c r="Z339" s="60">
        <v>17.71</v>
      </c>
      <c r="AA339" s="60">
        <v>0.011</v>
      </c>
      <c r="AB339" s="60">
        <v>14.165</v>
      </c>
      <c r="AC339" s="60"/>
      <c r="AD339" s="60">
        <v>13.216</v>
      </c>
      <c r="AE339" s="60"/>
      <c r="AF339" s="60">
        <v>12.658</v>
      </c>
      <c r="AG339" s="60"/>
      <c r="AH339" s="60">
        <v>16.61</v>
      </c>
      <c r="AI339" s="60">
        <v>0.02915475947</v>
      </c>
      <c r="AJ339" s="76" t="s">
        <v>759</v>
      </c>
      <c r="AK339" s="64" t="s">
        <v>820</v>
      </c>
      <c r="AL339" s="168"/>
      <c r="AM339" s="7"/>
      <c r="AN339" s="77">
        <v>1250.0</v>
      </c>
      <c r="AO339" s="64">
        <v>50.0</v>
      </c>
      <c r="AP339" s="13"/>
      <c r="AQ339" s="13"/>
      <c r="AR339" s="78"/>
      <c r="AS339" s="97"/>
      <c r="AT339" s="67">
        <v>0.3</v>
      </c>
      <c r="AU339" s="70">
        <v>0.04</v>
      </c>
      <c r="AV339" s="13"/>
      <c r="AW339" s="13"/>
      <c r="AX339" s="73"/>
      <c r="AY339" s="73"/>
      <c r="AZ339" s="68" t="s">
        <v>812</v>
      </c>
      <c r="BA339" s="68" t="s">
        <v>821</v>
      </c>
      <c r="BB339" s="68">
        <v>-55.05</v>
      </c>
      <c r="BC339" s="68">
        <v>9.06</v>
      </c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2"/>
      <c r="DK339" s="12"/>
      <c r="DL339" s="12"/>
      <c r="DM339" s="69"/>
      <c r="DN339" s="69"/>
      <c r="DO339" s="69"/>
      <c r="DP339" s="69"/>
      <c r="DQ339" s="11"/>
      <c r="DR339" s="69"/>
      <c r="DS339" s="69"/>
      <c r="DT339" s="69"/>
      <c r="DU339" s="69"/>
      <c r="DV339" s="97"/>
      <c r="DW339" s="98"/>
      <c r="DX339" s="71">
        <v>1.58E-8</v>
      </c>
      <c r="DY339" s="114">
        <v>2.19E-8</v>
      </c>
      <c r="DZ339" s="64" t="s">
        <v>762</v>
      </c>
      <c r="EA339" s="72" t="s">
        <v>822</v>
      </c>
      <c r="EB339" s="82"/>
    </row>
    <row r="340">
      <c r="A340" s="167" t="s">
        <v>840</v>
      </c>
      <c r="B340" s="56" t="s">
        <v>841</v>
      </c>
      <c r="C340" s="3"/>
      <c r="D340" s="4"/>
      <c r="E340" s="4"/>
      <c r="F340" s="57" t="s">
        <v>168</v>
      </c>
      <c r="G340" s="61">
        <v>271.2334</v>
      </c>
      <c r="H340" s="61">
        <v>-24.41318</v>
      </c>
      <c r="I340" s="60" t="s">
        <v>819</v>
      </c>
      <c r="J340" s="60" t="s">
        <v>169</v>
      </c>
      <c r="K340" s="61">
        <v>4.5</v>
      </c>
      <c r="L340" s="60">
        <v>0.75</v>
      </c>
      <c r="M340" s="60">
        <v>2.0</v>
      </c>
      <c r="N340" s="61">
        <v>1012.24820325943</v>
      </c>
      <c r="O340" s="61">
        <v>2.532</v>
      </c>
      <c r="P340" s="61">
        <v>1.11</v>
      </c>
      <c r="Q340" s="61">
        <v>-0.614</v>
      </c>
      <c r="R340" s="61">
        <v>0.841</v>
      </c>
      <c r="S340" s="60"/>
      <c r="T340" s="60"/>
      <c r="U340" s="58"/>
      <c r="V340" s="5"/>
      <c r="W340" s="5"/>
      <c r="X340" s="5"/>
      <c r="Y340" s="166"/>
      <c r="Z340" s="60">
        <v>18.05</v>
      </c>
      <c r="AA340" s="60">
        <v>0.014</v>
      </c>
      <c r="AB340" s="60">
        <v>14.23</v>
      </c>
      <c r="AC340" s="60">
        <v>0.045</v>
      </c>
      <c r="AD340" s="60">
        <v>13.208</v>
      </c>
      <c r="AE340" s="60">
        <v>0.066</v>
      </c>
      <c r="AF340" s="60">
        <v>12.729</v>
      </c>
      <c r="AG340" s="60">
        <v>0.065</v>
      </c>
      <c r="AH340" s="60">
        <v>17.09</v>
      </c>
      <c r="AI340" s="60">
        <v>0.03676955262</v>
      </c>
      <c r="AJ340" s="76" t="s">
        <v>759</v>
      </c>
      <c r="AK340" s="64" t="s">
        <v>820</v>
      </c>
      <c r="AL340" s="168"/>
      <c r="AM340" s="7"/>
      <c r="AN340" s="77">
        <v>1250.0</v>
      </c>
      <c r="AO340" s="64">
        <v>50.0</v>
      </c>
      <c r="AP340" s="13"/>
      <c r="AQ340" s="13"/>
      <c r="AR340" s="78"/>
      <c r="AS340" s="97"/>
      <c r="AT340" s="67">
        <v>0.3</v>
      </c>
      <c r="AU340" s="70">
        <v>0.05</v>
      </c>
      <c r="AV340" s="13"/>
      <c r="AW340" s="13"/>
      <c r="AX340" s="73"/>
      <c r="AY340" s="73"/>
      <c r="AZ340" s="68" t="s">
        <v>812</v>
      </c>
      <c r="BA340" s="68" t="s">
        <v>821</v>
      </c>
      <c r="BB340" s="68">
        <v>-31.23</v>
      </c>
      <c r="BC340" s="68">
        <v>3.81</v>
      </c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2"/>
      <c r="DK340" s="12"/>
      <c r="DL340" s="12"/>
      <c r="DM340" s="69"/>
      <c r="DN340" s="69"/>
      <c r="DO340" s="69"/>
      <c r="DP340" s="69"/>
      <c r="DQ340" s="11"/>
      <c r="DR340" s="69"/>
      <c r="DS340" s="69"/>
      <c r="DT340" s="69"/>
      <c r="DU340" s="69"/>
      <c r="DV340" s="97"/>
      <c r="DW340" s="98"/>
      <c r="DX340" s="71">
        <v>6.31E-9</v>
      </c>
      <c r="DY340" s="114">
        <v>8.72E-9</v>
      </c>
      <c r="DZ340" s="64" t="s">
        <v>762</v>
      </c>
      <c r="EA340" s="72" t="s">
        <v>822</v>
      </c>
      <c r="EB340" s="82"/>
    </row>
    <row r="341">
      <c r="A341" s="167" t="s">
        <v>842</v>
      </c>
      <c r="B341" s="56" t="s">
        <v>843</v>
      </c>
      <c r="C341" s="3"/>
      <c r="D341" s="4"/>
      <c r="E341" s="4"/>
      <c r="F341" s="57" t="s">
        <v>168</v>
      </c>
      <c r="G341" s="61">
        <v>270.72943</v>
      </c>
      <c r="H341" s="61">
        <v>-24.31254</v>
      </c>
      <c r="I341" s="60" t="s">
        <v>819</v>
      </c>
      <c r="J341" s="60" t="s">
        <v>169</v>
      </c>
      <c r="K341" s="61">
        <v>4.8</v>
      </c>
      <c r="L341" s="60">
        <v>1.06</v>
      </c>
      <c r="M341" s="5"/>
      <c r="N341" s="61"/>
      <c r="O341" s="61"/>
      <c r="P341" s="61"/>
      <c r="Q341" s="61"/>
      <c r="R341" s="61"/>
      <c r="S341" s="60"/>
      <c r="T341" s="60"/>
      <c r="U341" s="58"/>
      <c r="V341" s="5"/>
      <c r="W341" s="5"/>
      <c r="X341" s="5"/>
      <c r="Y341" s="166"/>
      <c r="Z341" s="60">
        <v>18.88</v>
      </c>
      <c r="AA341" s="60">
        <v>0.02</v>
      </c>
      <c r="AB341" s="60">
        <v>14.29</v>
      </c>
      <c r="AC341" s="60">
        <v>0.04</v>
      </c>
      <c r="AD341" s="60">
        <v>13.17</v>
      </c>
      <c r="AE341" s="60">
        <v>0.07</v>
      </c>
      <c r="AF341" s="60">
        <v>12.54</v>
      </c>
      <c r="AG341" s="60">
        <v>0.06</v>
      </c>
      <c r="AH341" s="60">
        <v>17.59</v>
      </c>
      <c r="AI341" s="60">
        <v>0.03689173349</v>
      </c>
      <c r="AJ341" s="76" t="s">
        <v>759</v>
      </c>
      <c r="AK341" s="64" t="s">
        <v>820</v>
      </c>
      <c r="AL341" s="168"/>
      <c r="AM341" s="7"/>
      <c r="AN341" s="77">
        <v>1250.0</v>
      </c>
      <c r="AO341" s="64">
        <v>50.0</v>
      </c>
      <c r="AP341" s="13"/>
      <c r="AQ341" s="13"/>
      <c r="AR341" s="78"/>
      <c r="AS341" s="97"/>
      <c r="AT341" s="67">
        <v>0.3</v>
      </c>
      <c r="AU341" s="70">
        <v>0.08</v>
      </c>
      <c r="AV341" s="13"/>
      <c r="AW341" s="13"/>
      <c r="AX341" s="73"/>
      <c r="AY341" s="73"/>
      <c r="AZ341" s="68" t="s">
        <v>812</v>
      </c>
      <c r="BA341" s="68" t="s">
        <v>821</v>
      </c>
      <c r="BB341" s="68">
        <v>-75.26</v>
      </c>
      <c r="BC341" s="68">
        <v>12.4</v>
      </c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2"/>
      <c r="DK341" s="12"/>
      <c r="DL341" s="12"/>
      <c r="DM341" s="69"/>
      <c r="DN341" s="69"/>
      <c r="DO341" s="69"/>
      <c r="DP341" s="69"/>
      <c r="DQ341" s="11"/>
      <c r="DR341" s="69"/>
      <c r="DS341" s="69"/>
      <c r="DT341" s="69"/>
      <c r="DU341" s="69"/>
      <c r="DV341" s="97"/>
      <c r="DW341" s="98"/>
      <c r="DX341" s="71">
        <v>6.31E-9</v>
      </c>
      <c r="DY341" s="114">
        <v>8.72E-9</v>
      </c>
      <c r="DZ341" s="64" t="s">
        <v>762</v>
      </c>
      <c r="EA341" s="72" t="s">
        <v>822</v>
      </c>
      <c r="EB341" s="82"/>
    </row>
    <row r="342">
      <c r="A342" s="167" t="s">
        <v>844</v>
      </c>
      <c r="B342" s="56" t="s">
        <v>845</v>
      </c>
      <c r="C342" s="3"/>
      <c r="D342" s="4"/>
      <c r="E342" s="4"/>
      <c r="F342" s="57" t="s">
        <v>168</v>
      </c>
      <c r="G342" s="61">
        <v>271.11383</v>
      </c>
      <c r="H342" s="61">
        <v>-24.32551</v>
      </c>
      <c r="I342" s="60" t="s">
        <v>819</v>
      </c>
      <c r="J342" s="60" t="s">
        <v>169</v>
      </c>
      <c r="K342" s="61">
        <v>4.5</v>
      </c>
      <c r="L342" s="60">
        <v>0.75</v>
      </c>
      <c r="M342" s="60">
        <v>2.0</v>
      </c>
      <c r="N342" s="61">
        <v>1998.00199800199</v>
      </c>
      <c r="O342" s="61">
        <v>2.265</v>
      </c>
      <c r="P342" s="61">
        <v>0.368</v>
      </c>
      <c r="Q342" s="61">
        <v>-1.477</v>
      </c>
      <c r="R342" s="61">
        <v>0.307</v>
      </c>
      <c r="S342" s="60"/>
      <c r="T342" s="60"/>
      <c r="U342" s="58"/>
      <c r="V342" s="5"/>
      <c r="W342" s="5"/>
      <c r="X342" s="5"/>
      <c r="Y342" s="166"/>
      <c r="Z342" s="60">
        <v>17.82</v>
      </c>
      <c r="AA342" s="60">
        <v>0.014</v>
      </c>
      <c r="AB342" s="60">
        <v>14.373</v>
      </c>
      <c r="AC342" s="60"/>
      <c r="AD342" s="60">
        <v>13.565</v>
      </c>
      <c r="AE342" s="60">
        <v>0.112</v>
      </c>
      <c r="AF342" s="60">
        <v>13.11</v>
      </c>
      <c r="AG342" s="60">
        <v>0.052</v>
      </c>
      <c r="AH342" s="60">
        <v>16.88</v>
      </c>
      <c r="AI342" s="60">
        <v>0.0423792402</v>
      </c>
      <c r="AJ342" s="76" t="s">
        <v>759</v>
      </c>
      <c r="AK342" s="64" t="s">
        <v>820</v>
      </c>
      <c r="AL342" s="168"/>
      <c r="AM342" s="7"/>
      <c r="AN342" s="77">
        <v>1250.0</v>
      </c>
      <c r="AO342" s="64">
        <v>50.0</v>
      </c>
      <c r="AP342" s="13"/>
      <c r="AQ342" s="13"/>
      <c r="AR342" s="78"/>
      <c r="AS342" s="97"/>
      <c r="AT342" s="67">
        <v>0.3</v>
      </c>
      <c r="AU342" s="70">
        <v>0.05</v>
      </c>
      <c r="AV342" s="13"/>
      <c r="AW342" s="13"/>
      <c r="AX342" s="73"/>
      <c r="AY342" s="73"/>
      <c r="AZ342" s="68" t="s">
        <v>812</v>
      </c>
      <c r="BA342" s="68" t="s">
        <v>821</v>
      </c>
      <c r="BB342" s="68">
        <v>-32.32</v>
      </c>
      <c r="BC342" s="68">
        <v>3.72</v>
      </c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2"/>
      <c r="DK342" s="12"/>
      <c r="DL342" s="12"/>
      <c r="DM342" s="69"/>
      <c r="DN342" s="69"/>
      <c r="DO342" s="69"/>
      <c r="DP342" s="69"/>
      <c r="DQ342" s="11"/>
      <c r="DR342" s="69"/>
      <c r="DS342" s="69"/>
      <c r="DT342" s="69"/>
      <c r="DU342" s="69"/>
      <c r="DV342" s="97"/>
      <c r="DW342" s="98"/>
      <c r="DX342" s="71">
        <v>7.94E-9</v>
      </c>
      <c r="DY342" s="114">
        <v>1.1E-8</v>
      </c>
      <c r="DZ342" s="64" t="s">
        <v>762</v>
      </c>
      <c r="EA342" s="72" t="s">
        <v>822</v>
      </c>
      <c r="EB342" s="82"/>
    </row>
    <row r="343">
      <c r="A343" s="167" t="s">
        <v>846</v>
      </c>
      <c r="B343" s="56" t="s">
        <v>847</v>
      </c>
      <c r="C343" s="3"/>
      <c r="D343" s="4"/>
      <c r="E343" s="4"/>
      <c r="F343" s="57" t="s">
        <v>168</v>
      </c>
      <c r="G343" s="61">
        <v>271.0298</v>
      </c>
      <c r="H343" s="61">
        <v>-24.36123</v>
      </c>
      <c r="I343" s="60" t="s">
        <v>819</v>
      </c>
      <c r="J343" s="60" t="s">
        <v>169</v>
      </c>
      <c r="K343" s="61">
        <v>5.6</v>
      </c>
      <c r="L343" s="60">
        <v>1.24</v>
      </c>
      <c r="M343" s="60">
        <v>2.0</v>
      </c>
      <c r="N343" s="61">
        <v>896.05734767025</v>
      </c>
      <c r="O343" s="61">
        <v>1.153</v>
      </c>
      <c r="P343" s="61">
        <v>0.335</v>
      </c>
      <c r="Q343" s="61">
        <v>-2.037</v>
      </c>
      <c r="R343" s="61">
        <v>0.268</v>
      </c>
      <c r="S343" s="60"/>
      <c r="T343" s="60"/>
      <c r="U343" s="58"/>
      <c r="V343" s="5"/>
      <c r="W343" s="5"/>
      <c r="X343" s="5"/>
      <c r="Y343" s="166"/>
      <c r="Z343" s="60">
        <v>18.42</v>
      </c>
      <c r="AA343" s="60">
        <v>0.023</v>
      </c>
      <c r="AB343" s="60">
        <v>14.394</v>
      </c>
      <c r="AC343" s="60">
        <v>0.054</v>
      </c>
      <c r="AD343" s="60">
        <v>13.336</v>
      </c>
      <c r="AE343" s="60">
        <v>0.068</v>
      </c>
      <c r="AF343" s="60">
        <v>12.734</v>
      </c>
      <c r="AG343" s="60">
        <v>0.048</v>
      </c>
      <c r="AH343" s="60">
        <v>17.04</v>
      </c>
      <c r="AI343" s="60">
        <v>0.05412947441</v>
      </c>
      <c r="AJ343" s="76" t="s">
        <v>759</v>
      </c>
      <c r="AK343" s="64" t="s">
        <v>820</v>
      </c>
      <c r="AL343" s="168"/>
      <c r="AM343" s="7"/>
      <c r="AN343" s="77">
        <v>1250.0</v>
      </c>
      <c r="AO343" s="64">
        <v>50.0</v>
      </c>
      <c r="AP343" s="13"/>
      <c r="AQ343" s="13"/>
      <c r="AR343" s="78"/>
      <c r="AS343" s="97"/>
      <c r="AT343" s="67">
        <v>0.3</v>
      </c>
      <c r="AU343" s="70">
        <v>0.09</v>
      </c>
      <c r="AV343" s="13"/>
      <c r="AW343" s="13"/>
      <c r="AX343" s="73"/>
      <c r="AY343" s="73"/>
      <c r="AZ343" s="68" t="s">
        <v>812</v>
      </c>
      <c r="BA343" s="68" t="s">
        <v>821</v>
      </c>
      <c r="BB343" s="68">
        <v>-106.39</v>
      </c>
      <c r="BC343" s="68">
        <v>17.6</v>
      </c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2"/>
      <c r="DK343" s="12"/>
      <c r="DL343" s="12"/>
      <c r="DM343" s="69"/>
      <c r="DN343" s="69"/>
      <c r="DO343" s="69"/>
      <c r="DP343" s="69"/>
      <c r="DQ343" s="11"/>
      <c r="DR343" s="69"/>
      <c r="DS343" s="69"/>
      <c r="DT343" s="69"/>
      <c r="DU343" s="69"/>
      <c r="DV343" s="97"/>
      <c r="DW343" s="98"/>
      <c r="DX343" s="71">
        <v>1.0E-8</v>
      </c>
      <c r="DY343" s="114">
        <v>1.38E-8</v>
      </c>
      <c r="DZ343" s="64" t="s">
        <v>762</v>
      </c>
      <c r="EA343" s="72" t="s">
        <v>822</v>
      </c>
      <c r="EB343" s="82"/>
    </row>
    <row r="344">
      <c r="A344" s="167" t="s">
        <v>846</v>
      </c>
      <c r="B344" s="56" t="s">
        <v>848</v>
      </c>
      <c r="C344" s="3"/>
      <c r="D344" s="4"/>
      <c r="E344" s="4"/>
      <c r="F344" s="57" t="s">
        <v>168</v>
      </c>
      <c r="G344" s="61">
        <v>271.02988</v>
      </c>
      <c r="H344" s="61">
        <v>-24.36129</v>
      </c>
      <c r="I344" s="60" t="s">
        <v>819</v>
      </c>
      <c r="J344" s="60" t="s">
        <v>169</v>
      </c>
      <c r="K344" s="61">
        <v>5.1</v>
      </c>
      <c r="L344" s="60">
        <v>0.73</v>
      </c>
      <c r="M344" s="60">
        <v>2.0</v>
      </c>
      <c r="N344" s="61">
        <v>896.05734767025</v>
      </c>
      <c r="O344" s="61">
        <v>1.153</v>
      </c>
      <c r="P344" s="61">
        <v>0.335</v>
      </c>
      <c r="Q344" s="61">
        <v>-2.037</v>
      </c>
      <c r="R344" s="61">
        <v>0.268</v>
      </c>
      <c r="S344" s="60"/>
      <c r="T344" s="60"/>
      <c r="U344" s="58"/>
      <c r="V344" s="5"/>
      <c r="W344" s="5"/>
      <c r="X344" s="5"/>
      <c r="Y344" s="166"/>
      <c r="Z344" s="60">
        <v>17.99</v>
      </c>
      <c r="AA344" s="60">
        <v>0.013</v>
      </c>
      <c r="AB344" s="60">
        <v>14.394</v>
      </c>
      <c r="AC344" s="60">
        <v>0.054</v>
      </c>
      <c r="AD344" s="60">
        <v>13.336</v>
      </c>
      <c r="AE344" s="60">
        <v>0.068</v>
      </c>
      <c r="AF344" s="60">
        <v>12.734</v>
      </c>
      <c r="AG344" s="60">
        <v>0.048</v>
      </c>
      <c r="AH344" s="60">
        <v>16.73</v>
      </c>
      <c r="AI344" s="60">
        <v>0.03361547263</v>
      </c>
      <c r="AJ344" s="76" t="s">
        <v>759</v>
      </c>
      <c r="AK344" s="64" t="s">
        <v>820</v>
      </c>
      <c r="AL344" s="168"/>
      <c r="AM344" s="7"/>
      <c r="AN344" s="77">
        <v>1250.0</v>
      </c>
      <c r="AO344" s="64">
        <v>50.0</v>
      </c>
      <c r="AP344" s="13"/>
      <c r="AQ344" s="13"/>
      <c r="AR344" s="78"/>
      <c r="AS344" s="97"/>
      <c r="AT344" s="67">
        <v>0.3</v>
      </c>
      <c r="AU344" s="70">
        <v>0.05</v>
      </c>
      <c r="AV344" s="13"/>
      <c r="AW344" s="13"/>
      <c r="AX344" s="73"/>
      <c r="AY344" s="73"/>
      <c r="AZ344" s="68" t="s">
        <v>812</v>
      </c>
      <c r="BA344" s="68" t="s">
        <v>821</v>
      </c>
      <c r="BB344" s="68">
        <v>-84.84</v>
      </c>
      <c r="BC344" s="68">
        <v>14.7</v>
      </c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2"/>
      <c r="DK344" s="12"/>
      <c r="DL344" s="12"/>
      <c r="DM344" s="69"/>
      <c r="DN344" s="69"/>
      <c r="DO344" s="69"/>
      <c r="DP344" s="69"/>
      <c r="DQ344" s="11"/>
      <c r="DR344" s="69"/>
      <c r="DS344" s="69"/>
      <c r="DT344" s="69"/>
      <c r="DU344" s="69"/>
      <c r="DV344" s="97"/>
      <c r="DW344" s="98"/>
      <c r="DX344" s="71">
        <v>1.58E-8</v>
      </c>
      <c r="DY344" s="114">
        <v>2.19E-8</v>
      </c>
      <c r="DZ344" s="64" t="s">
        <v>762</v>
      </c>
      <c r="EA344" s="72" t="s">
        <v>822</v>
      </c>
      <c r="EB344" s="82"/>
    </row>
    <row r="345">
      <c r="A345" s="167" t="s">
        <v>849</v>
      </c>
      <c r="B345" s="56" t="s">
        <v>850</v>
      </c>
      <c r="C345" s="3"/>
      <c r="D345" s="4"/>
      <c r="E345" s="4"/>
      <c r="F345" s="57" t="s">
        <v>168</v>
      </c>
      <c r="G345" s="61">
        <v>270.89407</v>
      </c>
      <c r="H345" s="61">
        <v>-24.41309</v>
      </c>
      <c r="I345" s="60" t="s">
        <v>819</v>
      </c>
      <c r="J345" s="60" t="s">
        <v>169</v>
      </c>
      <c r="K345" s="61">
        <v>4.4</v>
      </c>
      <c r="L345" s="60">
        <v>0.59</v>
      </c>
      <c r="M345" s="60">
        <v>2.0</v>
      </c>
      <c r="N345" s="61">
        <v>1170.68602200889</v>
      </c>
      <c r="O345" s="61">
        <v>-0.625</v>
      </c>
      <c r="P345" s="61">
        <v>0.481</v>
      </c>
      <c r="Q345" s="61">
        <v>-0.836</v>
      </c>
      <c r="R345" s="61">
        <v>0.402</v>
      </c>
      <c r="S345" s="60"/>
      <c r="T345" s="60"/>
      <c r="U345" s="58"/>
      <c r="V345" s="5"/>
      <c r="W345" s="5"/>
      <c r="X345" s="5"/>
      <c r="Y345" s="166"/>
      <c r="Z345" s="60">
        <v>17.92</v>
      </c>
      <c r="AA345" s="60">
        <v>0.011</v>
      </c>
      <c r="AB345" s="60">
        <v>14.477</v>
      </c>
      <c r="AC345" s="60"/>
      <c r="AD345" s="60">
        <v>13.609</v>
      </c>
      <c r="AE345" s="60"/>
      <c r="AF345" s="60">
        <v>13.206</v>
      </c>
      <c r="AG345" s="60"/>
      <c r="AH345" s="60">
        <v>16.58</v>
      </c>
      <c r="AI345" s="60">
        <v>0.02459674775</v>
      </c>
      <c r="AJ345" s="76" t="s">
        <v>759</v>
      </c>
      <c r="AK345" s="64" t="s">
        <v>820</v>
      </c>
      <c r="AL345" s="168"/>
      <c r="AM345" s="7"/>
      <c r="AN345" s="77">
        <v>1250.0</v>
      </c>
      <c r="AO345" s="64">
        <v>50.0</v>
      </c>
      <c r="AP345" s="13"/>
      <c r="AQ345" s="13"/>
      <c r="AR345" s="78"/>
      <c r="AS345" s="97"/>
      <c r="AT345" s="67">
        <v>0.3</v>
      </c>
      <c r="AU345" s="70">
        <v>0.04</v>
      </c>
      <c r="AV345" s="13"/>
      <c r="AW345" s="13"/>
      <c r="AX345" s="73"/>
      <c r="AY345" s="73"/>
      <c r="AZ345" s="68" t="s">
        <v>812</v>
      </c>
      <c r="BA345" s="68" t="s">
        <v>821</v>
      </c>
      <c r="BB345" s="68">
        <v>-100.72</v>
      </c>
      <c r="BC345" s="68">
        <v>18.4</v>
      </c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2"/>
      <c r="DK345" s="12"/>
      <c r="DL345" s="12"/>
      <c r="DM345" s="69"/>
      <c r="DN345" s="69"/>
      <c r="DO345" s="69"/>
      <c r="DP345" s="69"/>
      <c r="DQ345" s="11"/>
      <c r="DR345" s="69"/>
      <c r="DS345" s="69"/>
      <c r="DT345" s="69"/>
      <c r="DU345" s="69"/>
      <c r="DV345" s="97"/>
      <c r="DW345" s="98"/>
      <c r="DX345" s="71">
        <v>2.0E-8</v>
      </c>
      <c r="DY345" s="114">
        <v>2.76E-8</v>
      </c>
      <c r="DZ345" s="64" t="s">
        <v>762</v>
      </c>
      <c r="EA345" s="72" t="s">
        <v>822</v>
      </c>
      <c r="EB345" s="82"/>
    </row>
    <row r="346">
      <c r="A346" s="167" t="s">
        <v>851</v>
      </c>
      <c r="B346" s="56" t="s">
        <v>852</v>
      </c>
      <c r="C346" s="3"/>
      <c r="D346" s="4"/>
      <c r="E346" s="4"/>
      <c r="F346" s="57" t="s">
        <v>168</v>
      </c>
      <c r="G346" s="61">
        <v>270.93274</v>
      </c>
      <c r="H346" s="61">
        <v>-24.2717</v>
      </c>
      <c r="I346" s="60" t="s">
        <v>819</v>
      </c>
      <c r="J346" s="60" t="s">
        <v>169</v>
      </c>
      <c r="K346" s="61">
        <v>5.4</v>
      </c>
      <c r="L346" s="60">
        <v>0.91</v>
      </c>
      <c r="M346" s="60">
        <v>2.0</v>
      </c>
      <c r="N346" s="61">
        <v>3294.89291598023</v>
      </c>
      <c r="O346" s="61">
        <v>3.574</v>
      </c>
      <c r="P346" s="61">
        <v>0.478</v>
      </c>
      <c r="Q346" s="61">
        <v>-1.128</v>
      </c>
      <c r="R346" s="61">
        <v>0.402</v>
      </c>
      <c r="S346" s="60"/>
      <c r="T346" s="60"/>
      <c r="U346" s="58"/>
      <c r="V346" s="5"/>
      <c r="W346" s="5"/>
      <c r="X346" s="5"/>
      <c r="Y346" s="166"/>
      <c r="Z346" s="60">
        <v>18.25</v>
      </c>
      <c r="AA346" s="60">
        <v>0.017</v>
      </c>
      <c r="AB346" s="60">
        <v>14.49</v>
      </c>
      <c r="AC346" s="60"/>
      <c r="AD346" s="60">
        <v>13.448</v>
      </c>
      <c r="AE346" s="60"/>
      <c r="AF346" s="60">
        <v>12.795</v>
      </c>
      <c r="AG346" s="60"/>
      <c r="AH346" s="60">
        <v>17.22</v>
      </c>
      <c r="AI346" s="60">
        <v>0.04716990566</v>
      </c>
      <c r="AJ346" s="76" t="s">
        <v>759</v>
      </c>
      <c r="AK346" s="64" t="s">
        <v>820</v>
      </c>
      <c r="AL346" s="168"/>
      <c r="AM346" s="7"/>
      <c r="AN346" s="77">
        <v>1250.0</v>
      </c>
      <c r="AO346" s="64">
        <v>50.0</v>
      </c>
      <c r="AP346" s="13"/>
      <c r="AQ346" s="13"/>
      <c r="AR346" s="78"/>
      <c r="AS346" s="97"/>
      <c r="AT346" s="67">
        <v>0.3</v>
      </c>
      <c r="AU346" s="70">
        <v>0.07</v>
      </c>
      <c r="AV346" s="13"/>
      <c r="AW346" s="13"/>
      <c r="AX346" s="73"/>
      <c r="AY346" s="73"/>
      <c r="AZ346" s="68" t="s">
        <v>812</v>
      </c>
      <c r="BA346" s="68" t="s">
        <v>821</v>
      </c>
      <c r="BB346" s="68">
        <v>-50.43</v>
      </c>
      <c r="BC346" s="68">
        <v>6.99</v>
      </c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2"/>
      <c r="DK346" s="12"/>
      <c r="DL346" s="12"/>
      <c r="DM346" s="69"/>
      <c r="DN346" s="69"/>
      <c r="DO346" s="69"/>
      <c r="DP346" s="69"/>
      <c r="DQ346" s="11"/>
      <c r="DR346" s="69"/>
      <c r="DS346" s="69"/>
      <c r="DT346" s="69"/>
      <c r="DU346" s="69"/>
      <c r="DV346" s="97"/>
      <c r="DW346" s="98"/>
      <c r="DX346" s="71">
        <v>5.01E-9</v>
      </c>
      <c r="DY346" s="114">
        <v>6.93E-9</v>
      </c>
      <c r="DZ346" s="64" t="s">
        <v>762</v>
      </c>
      <c r="EA346" s="72" t="s">
        <v>822</v>
      </c>
      <c r="EB346" s="82"/>
    </row>
    <row r="347">
      <c r="A347" s="167" t="s">
        <v>853</v>
      </c>
      <c r="B347" s="56" t="s">
        <v>854</v>
      </c>
      <c r="C347" s="3"/>
      <c r="D347" s="4"/>
      <c r="E347" s="4"/>
      <c r="F347" s="57" t="s">
        <v>168</v>
      </c>
      <c r="G347" s="61">
        <v>271.12402</v>
      </c>
      <c r="H347" s="61">
        <v>-24.37666</v>
      </c>
      <c r="I347" s="60" t="s">
        <v>819</v>
      </c>
      <c r="J347" s="60" t="s">
        <v>169</v>
      </c>
      <c r="K347" s="61">
        <v>5.6</v>
      </c>
      <c r="L347" s="60">
        <v>1.53</v>
      </c>
      <c r="M347" s="60">
        <v>2.0</v>
      </c>
      <c r="N347" s="61">
        <v>1238.23675086676</v>
      </c>
      <c r="O347" s="61">
        <v>1.352</v>
      </c>
      <c r="P347" s="61">
        <v>0.658</v>
      </c>
      <c r="Q347" s="61">
        <v>-1.638</v>
      </c>
      <c r="R347" s="61">
        <v>0.554</v>
      </c>
      <c r="S347" s="60"/>
      <c r="T347" s="60"/>
      <c r="U347" s="58"/>
      <c r="V347" s="5"/>
      <c r="W347" s="5"/>
      <c r="X347" s="5"/>
      <c r="Y347" s="166"/>
      <c r="Z347" s="60">
        <v>18.71</v>
      </c>
      <c r="AA347" s="60">
        <v>0.029</v>
      </c>
      <c r="AB347" s="60">
        <v>14.523</v>
      </c>
      <c r="AC347" s="60">
        <v>0.08</v>
      </c>
      <c r="AD347" s="60">
        <v>13.366</v>
      </c>
      <c r="AE347" s="60">
        <v>0.104</v>
      </c>
      <c r="AF347" s="60">
        <v>12.593</v>
      </c>
      <c r="AG347" s="60">
        <v>0.058</v>
      </c>
      <c r="AH347" s="60">
        <v>17.59</v>
      </c>
      <c r="AI347" s="60">
        <v>0.07669419796</v>
      </c>
      <c r="AJ347" s="76" t="s">
        <v>759</v>
      </c>
      <c r="AK347" s="64" t="s">
        <v>820</v>
      </c>
      <c r="AL347" s="168"/>
      <c r="AM347" s="7"/>
      <c r="AN347" s="77">
        <v>1250.0</v>
      </c>
      <c r="AO347" s="64">
        <v>50.0</v>
      </c>
      <c r="AP347" s="13"/>
      <c r="AQ347" s="13"/>
      <c r="AR347" s="78"/>
      <c r="AS347" s="97"/>
      <c r="AT347" s="67">
        <v>0.3</v>
      </c>
      <c r="AU347" s="70">
        <v>0.12</v>
      </c>
      <c r="AV347" s="13"/>
      <c r="AW347" s="13"/>
      <c r="AX347" s="73"/>
      <c r="AY347" s="73"/>
      <c r="AZ347" s="68" t="s">
        <v>812</v>
      </c>
      <c r="BA347" s="68" t="s">
        <v>821</v>
      </c>
      <c r="BB347" s="68">
        <v>-51.31</v>
      </c>
      <c r="BC347" s="68">
        <v>5.19</v>
      </c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2"/>
      <c r="DK347" s="12"/>
      <c r="DL347" s="12"/>
      <c r="DM347" s="69"/>
      <c r="DN347" s="69"/>
      <c r="DO347" s="69"/>
      <c r="DP347" s="69"/>
      <c r="DQ347" s="11"/>
      <c r="DR347" s="69"/>
      <c r="DS347" s="69"/>
      <c r="DT347" s="69"/>
      <c r="DU347" s="69"/>
      <c r="DV347" s="97"/>
      <c r="DW347" s="98"/>
      <c r="DX347" s="71">
        <v>3.98E-9</v>
      </c>
      <c r="DY347" s="114">
        <v>5.5E-9</v>
      </c>
      <c r="DZ347" s="64" t="s">
        <v>762</v>
      </c>
      <c r="EA347" s="72" t="s">
        <v>822</v>
      </c>
      <c r="EB347" s="82"/>
    </row>
    <row r="348">
      <c r="A348" s="167" t="s">
        <v>855</v>
      </c>
      <c r="B348" s="56" t="s">
        <v>856</v>
      </c>
      <c r="C348" s="3"/>
      <c r="D348" s="4"/>
      <c r="E348" s="4"/>
      <c r="F348" s="57" t="s">
        <v>168</v>
      </c>
      <c r="G348" s="61">
        <v>270.81897</v>
      </c>
      <c r="H348" s="61">
        <v>-24.32613</v>
      </c>
      <c r="I348" s="60" t="s">
        <v>819</v>
      </c>
      <c r="J348" s="60" t="s">
        <v>169</v>
      </c>
      <c r="K348" s="61">
        <v>5.4</v>
      </c>
      <c r="L348" s="60">
        <v>0.95</v>
      </c>
      <c r="M348" s="60">
        <v>2.0</v>
      </c>
      <c r="N348" s="61">
        <v>472.679145396105</v>
      </c>
      <c r="O348" s="61">
        <v>1.344</v>
      </c>
      <c r="P348" s="61">
        <v>0.682</v>
      </c>
      <c r="Q348" s="61">
        <v>-1.764</v>
      </c>
      <c r="R348" s="61">
        <v>0.558</v>
      </c>
      <c r="S348" s="60"/>
      <c r="T348" s="60"/>
      <c r="U348" s="58"/>
      <c r="V348" s="5"/>
      <c r="W348" s="5"/>
      <c r="X348" s="5"/>
      <c r="Y348" s="166"/>
      <c r="Z348" s="60">
        <v>18.3</v>
      </c>
      <c r="AA348" s="60">
        <v>0.018</v>
      </c>
      <c r="AB348" s="60">
        <v>14.54</v>
      </c>
      <c r="AC348" s="60"/>
      <c r="AD348" s="60">
        <v>13.83</v>
      </c>
      <c r="AE348" s="60"/>
      <c r="AF348" s="60">
        <v>13.437</v>
      </c>
      <c r="AG348" s="60"/>
      <c r="AH348" s="60">
        <v>16.91</v>
      </c>
      <c r="AI348" s="60">
        <v>0.04024922359</v>
      </c>
      <c r="AJ348" s="76" t="s">
        <v>759</v>
      </c>
      <c r="AK348" s="64" t="s">
        <v>820</v>
      </c>
      <c r="AL348" s="168"/>
      <c r="AM348" s="7"/>
      <c r="AN348" s="77">
        <v>1250.0</v>
      </c>
      <c r="AO348" s="64">
        <v>50.0</v>
      </c>
      <c r="AP348" s="13"/>
      <c r="AQ348" s="13"/>
      <c r="AR348" s="78"/>
      <c r="AS348" s="97"/>
      <c r="AT348" s="67">
        <v>0.3</v>
      </c>
      <c r="AU348" s="70">
        <v>0.07</v>
      </c>
      <c r="AV348" s="13"/>
      <c r="AW348" s="13"/>
      <c r="AX348" s="73"/>
      <c r="AY348" s="73"/>
      <c r="AZ348" s="68" t="s">
        <v>812</v>
      </c>
      <c r="BA348" s="68" t="s">
        <v>821</v>
      </c>
      <c r="BB348" s="68">
        <v>-101.92</v>
      </c>
      <c r="BC348" s="68">
        <v>17.6</v>
      </c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2"/>
      <c r="DK348" s="12"/>
      <c r="DL348" s="12"/>
      <c r="DM348" s="69"/>
      <c r="DN348" s="69"/>
      <c r="DO348" s="69"/>
      <c r="DP348" s="69"/>
      <c r="DQ348" s="11"/>
      <c r="DR348" s="69"/>
      <c r="DS348" s="69"/>
      <c r="DT348" s="69"/>
      <c r="DU348" s="69"/>
      <c r="DV348" s="97"/>
      <c r="DW348" s="98"/>
      <c r="DX348" s="71">
        <v>1.26E-8</v>
      </c>
      <c r="DY348" s="114">
        <v>1.74E-8</v>
      </c>
      <c r="DZ348" s="64" t="s">
        <v>762</v>
      </c>
      <c r="EA348" s="72" t="s">
        <v>822</v>
      </c>
      <c r="EB348" s="82"/>
    </row>
    <row r="349">
      <c r="A349" s="167" t="s">
        <v>857</v>
      </c>
      <c r="B349" s="56" t="s">
        <v>858</v>
      </c>
      <c r="C349" s="3"/>
      <c r="D349" s="4"/>
      <c r="E349" s="4"/>
      <c r="F349" s="57" t="s">
        <v>168</v>
      </c>
      <c r="G349" s="61">
        <v>271.00662</v>
      </c>
      <c r="H349" s="61">
        <v>-24.27575</v>
      </c>
      <c r="I349" s="60" t="s">
        <v>819</v>
      </c>
      <c r="J349" s="60" t="s">
        <v>169</v>
      </c>
      <c r="K349" s="61">
        <v>4.9</v>
      </c>
      <c r="L349" s="60">
        <v>1.6</v>
      </c>
      <c r="M349" s="60">
        <v>2.0</v>
      </c>
      <c r="N349" s="61">
        <v>2028.80908906471</v>
      </c>
      <c r="O349" s="61">
        <v>1.035</v>
      </c>
      <c r="P349" s="61">
        <v>0.358</v>
      </c>
      <c r="Q349" s="61">
        <v>-2.265</v>
      </c>
      <c r="R349" s="61">
        <v>0.305</v>
      </c>
      <c r="S349" s="60"/>
      <c r="T349" s="60"/>
      <c r="U349" s="58"/>
      <c r="V349" s="5"/>
      <c r="W349" s="5"/>
      <c r="X349" s="5"/>
      <c r="Y349" s="166"/>
      <c r="Z349" s="60">
        <v>18.89</v>
      </c>
      <c r="AA349" s="60">
        <v>0.03</v>
      </c>
      <c r="AB349" s="60">
        <v>14.646</v>
      </c>
      <c r="AC349" s="60"/>
      <c r="AD349" s="60">
        <v>13.366</v>
      </c>
      <c r="AE349" s="60"/>
      <c r="AF349" s="60">
        <v>12.752</v>
      </c>
      <c r="AG349" s="60"/>
      <c r="AH349" s="60">
        <v>17.65</v>
      </c>
      <c r="AI349" s="60">
        <v>0.07707788269</v>
      </c>
      <c r="AJ349" s="76" t="s">
        <v>759</v>
      </c>
      <c r="AK349" s="64" t="s">
        <v>820</v>
      </c>
      <c r="AL349" s="168"/>
      <c r="AM349" s="7"/>
      <c r="AN349" s="77">
        <v>1250.0</v>
      </c>
      <c r="AO349" s="64">
        <v>50.0</v>
      </c>
      <c r="AP349" s="13"/>
      <c r="AQ349" s="13"/>
      <c r="AR349" s="78"/>
      <c r="AS349" s="97"/>
      <c r="AT349" s="67">
        <v>0.3</v>
      </c>
      <c r="AU349" s="70">
        <v>0.12</v>
      </c>
      <c r="AV349" s="13"/>
      <c r="AW349" s="13"/>
      <c r="AX349" s="73"/>
      <c r="AY349" s="73"/>
      <c r="AZ349" s="68" t="s">
        <v>812</v>
      </c>
      <c r="BA349" s="68" t="s">
        <v>821</v>
      </c>
      <c r="BB349" s="68">
        <v>-73.47</v>
      </c>
      <c r="BC349" s="68">
        <v>9.6</v>
      </c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2"/>
      <c r="DK349" s="12"/>
      <c r="DL349" s="12"/>
      <c r="DM349" s="69"/>
      <c r="DN349" s="69"/>
      <c r="DO349" s="69"/>
      <c r="DP349" s="69"/>
      <c r="DQ349" s="11"/>
      <c r="DR349" s="69"/>
      <c r="DS349" s="69"/>
      <c r="DT349" s="69"/>
      <c r="DU349" s="69"/>
      <c r="DV349" s="97"/>
      <c r="DW349" s="98"/>
      <c r="DX349" s="71">
        <v>3.98E-9</v>
      </c>
      <c r="DY349" s="114">
        <v>5.5E-9</v>
      </c>
      <c r="DZ349" s="64" t="s">
        <v>762</v>
      </c>
      <c r="EA349" s="72" t="s">
        <v>822</v>
      </c>
      <c r="EB349" s="82"/>
    </row>
    <row r="350">
      <c r="A350" s="167" t="s">
        <v>859</v>
      </c>
      <c r="B350" s="56" t="s">
        <v>860</v>
      </c>
      <c r="C350" s="3"/>
      <c r="D350" s="4"/>
      <c r="E350" s="4"/>
      <c r="F350" s="57" t="s">
        <v>168</v>
      </c>
      <c r="G350" s="61">
        <v>270.83673</v>
      </c>
      <c r="H350" s="61">
        <v>-24.26195</v>
      </c>
      <c r="I350" s="60" t="s">
        <v>819</v>
      </c>
      <c r="J350" s="60" t="s">
        <v>169</v>
      </c>
      <c r="K350" s="61">
        <v>4.8</v>
      </c>
      <c r="L350" s="60">
        <v>0.84</v>
      </c>
      <c r="M350" s="60">
        <v>2.0</v>
      </c>
      <c r="N350" s="61">
        <v>1112.34705228031</v>
      </c>
      <c r="O350" s="61">
        <v>1.127</v>
      </c>
      <c r="P350" s="61">
        <v>0.308</v>
      </c>
      <c r="Q350" s="61">
        <v>-1.419</v>
      </c>
      <c r="R350" s="61">
        <v>0.256</v>
      </c>
      <c r="S350" s="60"/>
      <c r="T350" s="60"/>
      <c r="U350" s="58"/>
      <c r="V350" s="5"/>
      <c r="W350" s="5"/>
      <c r="X350" s="5"/>
      <c r="Y350" s="166"/>
      <c r="Z350" s="60">
        <v>18.13</v>
      </c>
      <c r="AA350" s="60">
        <v>0.015</v>
      </c>
      <c r="AB350" s="60">
        <v>14.656</v>
      </c>
      <c r="AC350" s="60"/>
      <c r="AD350" s="60">
        <v>13.812</v>
      </c>
      <c r="AE350" s="60"/>
      <c r="AF350" s="60">
        <v>13.211</v>
      </c>
      <c r="AG350" s="60"/>
      <c r="AH350" s="60">
        <v>16.71</v>
      </c>
      <c r="AI350" s="60">
        <v>0.03443835072</v>
      </c>
      <c r="AJ350" s="76" t="s">
        <v>759</v>
      </c>
      <c r="AK350" s="64" t="s">
        <v>820</v>
      </c>
      <c r="AL350" s="168"/>
      <c r="AM350" s="7"/>
      <c r="AN350" s="77">
        <v>1250.0</v>
      </c>
      <c r="AO350" s="64">
        <v>50.0</v>
      </c>
      <c r="AP350" s="13"/>
      <c r="AQ350" s="13"/>
      <c r="AR350" s="78"/>
      <c r="AS350" s="97"/>
      <c r="AT350" s="67">
        <v>0.3</v>
      </c>
      <c r="AU350" s="70">
        <v>0.06</v>
      </c>
      <c r="AV350" s="13"/>
      <c r="AW350" s="13"/>
      <c r="AX350" s="73"/>
      <c r="AY350" s="73"/>
      <c r="AZ350" s="68" t="s">
        <v>812</v>
      </c>
      <c r="BA350" s="68" t="s">
        <v>821</v>
      </c>
      <c r="BB350" s="68">
        <v>-116.52</v>
      </c>
      <c r="BC350" s="68">
        <v>20.9</v>
      </c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2"/>
      <c r="DK350" s="12"/>
      <c r="DL350" s="12"/>
      <c r="DM350" s="69"/>
      <c r="DN350" s="69"/>
      <c r="DO350" s="69"/>
      <c r="DP350" s="69"/>
      <c r="DQ350" s="11"/>
      <c r="DR350" s="69"/>
      <c r="DS350" s="69"/>
      <c r="DT350" s="69"/>
      <c r="DU350" s="69"/>
      <c r="DV350" s="97"/>
      <c r="DW350" s="98"/>
      <c r="DX350" s="71">
        <v>1.58E-8</v>
      </c>
      <c r="DY350" s="114">
        <v>2.19E-8</v>
      </c>
      <c r="DZ350" s="64" t="s">
        <v>762</v>
      </c>
      <c r="EA350" s="72" t="s">
        <v>822</v>
      </c>
      <c r="EB350" s="82"/>
    </row>
    <row r="351">
      <c r="A351" s="167" t="s">
        <v>861</v>
      </c>
      <c r="B351" s="56" t="s">
        <v>862</v>
      </c>
      <c r="C351" s="3"/>
      <c r="D351" s="4"/>
      <c r="E351" s="4"/>
      <c r="F351" s="57" t="s">
        <v>168</v>
      </c>
      <c r="G351" s="61">
        <v>271.12006</v>
      </c>
      <c r="H351" s="61">
        <v>-24.35126</v>
      </c>
      <c r="I351" s="60" t="s">
        <v>819</v>
      </c>
      <c r="J351" s="60" t="s">
        <v>169</v>
      </c>
      <c r="K351" s="61">
        <v>5.3</v>
      </c>
      <c r="L351" s="60">
        <v>1.08</v>
      </c>
      <c r="M351" s="60">
        <v>2.0</v>
      </c>
      <c r="N351" s="61">
        <v>1170.96018735363</v>
      </c>
      <c r="O351" s="61">
        <v>1.977</v>
      </c>
      <c r="P351" s="61">
        <v>0.527</v>
      </c>
      <c r="Q351" s="61">
        <v>-0.698</v>
      </c>
      <c r="R351" s="61">
        <v>0.457</v>
      </c>
      <c r="S351" s="60"/>
      <c r="T351" s="60"/>
      <c r="U351" s="58"/>
      <c r="V351" s="5"/>
      <c r="W351" s="5"/>
      <c r="X351" s="5"/>
      <c r="Y351" s="166"/>
      <c r="Z351" s="60">
        <v>18.29</v>
      </c>
      <c r="AA351" s="60">
        <v>0.02</v>
      </c>
      <c r="AB351" s="60">
        <v>14.677</v>
      </c>
      <c r="AC351" s="60">
        <v>0.072</v>
      </c>
      <c r="AD351" s="60">
        <v>13.649</v>
      </c>
      <c r="AE351" s="60">
        <v>0.101</v>
      </c>
      <c r="AF351" s="60">
        <v>13.095</v>
      </c>
      <c r="AG351" s="60">
        <v>0.081</v>
      </c>
      <c r="AH351" s="60">
        <v>17.27</v>
      </c>
      <c r="AI351" s="60">
        <v>0.06992138443</v>
      </c>
      <c r="AJ351" s="76" t="s">
        <v>759</v>
      </c>
      <c r="AK351" s="64" t="s">
        <v>820</v>
      </c>
      <c r="AL351" s="168"/>
      <c r="AM351" s="7"/>
      <c r="AN351" s="77">
        <v>1250.0</v>
      </c>
      <c r="AO351" s="64">
        <v>50.0</v>
      </c>
      <c r="AP351" s="13"/>
      <c r="AQ351" s="13"/>
      <c r="AR351" s="78"/>
      <c r="AS351" s="97"/>
      <c r="AT351" s="67">
        <v>0.3</v>
      </c>
      <c r="AU351" s="70">
        <v>0.08</v>
      </c>
      <c r="AV351" s="13"/>
      <c r="AW351" s="13"/>
      <c r="AX351" s="73"/>
      <c r="AY351" s="73"/>
      <c r="AZ351" s="68" t="s">
        <v>812</v>
      </c>
      <c r="BA351" s="68" t="s">
        <v>821</v>
      </c>
      <c r="BB351" s="68">
        <v>-44.6</v>
      </c>
      <c r="BC351" s="68">
        <v>4.49</v>
      </c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2"/>
      <c r="DK351" s="12"/>
      <c r="DL351" s="12"/>
      <c r="DM351" s="69"/>
      <c r="DN351" s="69"/>
      <c r="DO351" s="69"/>
      <c r="DP351" s="69"/>
      <c r="DQ351" s="11"/>
      <c r="DR351" s="69"/>
      <c r="DS351" s="69"/>
      <c r="DT351" s="69"/>
      <c r="DU351" s="69"/>
      <c r="DV351" s="97"/>
      <c r="DW351" s="98"/>
      <c r="DX351" s="71">
        <v>5.01E-9</v>
      </c>
      <c r="DY351" s="114">
        <v>6.93E-9</v>
      </c>
      <c r="DZ351" s="64" t="s">
        <v>762</v>
      </c>
      <c r="EA351" s="72" t="s">
        <v>822</v>
      </c>
      <c r="EB351" s="82"/>
    </row>
    <row r="352">
      <c r="A352" s="167" t="s">
        <v>863</v>
      </c>
      <c r="B352" s="56" t="s">
        <v>864</v>
      </c>
      <c r="C352" s="3"/>
      <c r="D352" s="4"/>
      <c r="E352" s="4"/>
      <c r="F352" s="57" t="s">
        <v>168</v>
      </c>
      <c r="G352" s="61">
        <v>270.98187</v>
      </c>
      <c r="H352" s="61">
        <v>-24.37377</v>
      </c>
      <c r="I352" s="60" t="s">
        <v>819</v>
      </c>
      <c r="J352" s="60" t="s">
        <v>169</v>
      </c>
      <c r="K352" s="61">
        <v>5.8</v>
      </c>
      <c r="L352" s="60">
        <v>1.18</v>
      </c>
      <c r="M352" s="60">
        <v>2.0</v>
      </c>
      <c r="N352" s="61">
        <v>1847.74575018477</v>
      </c>
      <c r="O352" s="61">
        <v>-1.063</v>
      </c>
      <c r="P352" s="61">
        <v>0.707</v>
      </c>
      <c r="Q352" s="61">
        <v>-1.163</v>
      </c>
      <c r="R352" s="61">
        <v>0.546</v>
      </c>
      <c r="S352" s="60"/>
      <c r="T352" s="60"/>
      <c r="U352" s="58"/>
      <c r="V352" s="5"/>
      <c r="W352" s="5"/>
      <c r="X352" s="5"/>
      <c r="Y352" s="166"/>
      <c r="Z352" s="60">
        <v>18.54</v>
      </c>
      <c r="AA352" s="60">
        <v>0.022</v>
      </c>
      <c r="AB352" s="60">
        <v>14.719</v>
      </c>
      <c r="AC352" s="60"/>
      <c r="AD352" s="60">
        <v>13.885</v>
      </c>
      <c r="AE352" s="60"/>
      <c r="AF352" s="60">
        <v>13.432</v>
      </c>
      <c r="AG352" s="60"/>
      <c r="AH352" s="60">
        <v>17.29</v>
      </c>
      <c r="AI352" s="60">
        <v>0.05554277631</v>
      </c>
      <c r="AJ352" s="76" t="s">
        <v>759</v>
      </c>
      <c r="AK352" s="64" t="s">
        <v>820</v>
      </c>
      <c r="AL352" s="168"/>
      <c r="AM352" s="7"/>
      <c r="AN352" s="77">
        <v>1250.0</v>
      </c>
      <c r="AO352" s="64">
        <v>50.0</v>
      </c>
      <c r="AP352" s="13"/>
      <c r="AQ352" s="13"/>
      <c r="AR352" s="78"/>
      <c r="AS352" s="97"/>
      <c r="AT352" s="67">
        <v>0.3</v>
      </c>
      <c r="AU352" s="70">
        <v>0.09</v>
      </c>
      <c r="AV352" s="13"/>
      <c r="AW352" s="13"/>
      <c r="AX352" s="73"/>
      <c r="AY352" s="73"/>
      <c r="AZ352" s="68" t="s">
        <v>812</v>
      </c>
      <c r="BA352" s="68" t="s">
        <v>821</v>
      </c>
      <c r="BB352" s="68">
        <v>-78.67</v>
      </c>
      <c r="BC352" s="68">
        <v>11.9</v>
      </c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2"/>
      <c r="DK352" s="12"/>
      <c r="DL352" s="12"/>
      <c r="DM352" s="69"/>
      <c r="DN352" s="69"/>
      <c r="DO352" s="69"/>
      <c r="DP352" s="69"/>
      <c r="DQ352" s="11"/>
      <c r="DR352" s="69"/>
      <c r="DS352" s="69"/>
      <c r="DT352" s="69"/>
      <c r="DU352" s="69"/>
      <c r="DV352" s="97"/>
      <c r="DW352" s="98"/>
      <c r="DX352" s="71">
        <v>6.31E-9</v>
      </c>
      <c r="DY352" s="114">
        <v>8.72E-9</v>
      </c>
      <c r="DZ352" s="64" t="s">
        <v>762</v>
      </c>
      <c r="EA352" s="72" t="s">
        <v>822</v>
      </c>
      <c r="EB352" s="82"/>
    </row>
    <row r="353">
      <c r="A353" s="167" t="s">
        <v>865</v>
      </c>
      <c r="B353" s="56" t="s">
        <v>866</v>
      </c>
      <c r="C353" s="3"/>
      <c r="D353" s="4"/>
      <c r="E353" s="4"/>
      <c r="F353" s="57" t="s">
        <v>168</v>
      </c>
      <c r="G353" s="61">
        <v>271.13226</v>
      </c>
      <c r="H353" s="61">
        <v>-24.36544</v>
      </c>
      <c r="I353" s="60" t="s">
        <v>819</v>
      </c>
      <c r="J353" s="60" t="s">
        <v>169</v>
      </c>
      <c r="K353" s="61">
        <v>5.1</v>
      </c>
      <c r="L353" s="60">
        <v>0.85</v>
      </c>
      <c r="M353" s="60">
        <v>2.0</v>
      </c>
      <c r="N353" s="61">
        <v>1600.51216389244</v>
      </c>
      <c r="O353" s="61">
        <v>0.695</v>
      </c>
      <c r="P353" s="61">
        <v>0.32</v>
      </c>
      <c r="Q353" s="61">
        <v>-2.224</v>
      </c>
      <c r="R353" s="61">
        <v>0.282</v>
      </c>
      <c r="S353" s="60"/>
      <c r="T353" s="60"/>
      <c r="U353" s="58"/>
      <c r="V353" s="5"/>
      <c r="W353" s="5"/>
      <c r="X353" s="5"/>
      <c r="Y353" s="166"/>
      <c r="Z353" s="60">
        <v>18.2</v>
      </c>
      <c r="AA353" s="60">
        <v>0.015</v>
      </c>
      <c r="AB353" s="60">
        <v>14.777</v>
      </c>
      <c r="AC353" s="60">
        <v>0.049</v>
      </c>
      <c r="AD353" s="60">
        <v>13.649</v>
      </c>
      <c r="AE353" s="60">
        <v>0.088</v>
      </c>
      <c r="AF353" s="60">
        <v>13.126</v>
      </c>
      <c r="AG353" s="60">
        <v>0.09</v>
      </c>
      <c r="AH353" s="60">
        <v>17.17</v>
      </c>
      <c r="AI353" s="60">
        <v>0.03992492956</v>
      </c>
      <c r="AJ353" s="76" t="s">
        <v>759</v>
      </c>
      <c r="AK353" s="64" t="s">
        <v>820</v>
      </c>
      <c r="AL353" s="168"/>
      <c r="AM353" s="7"/>
      <c r="AN353" s="77">
        <v>1250.0</v>
      </c>
      <c r="AO353" s="64">
        <v>50.0</v>
      </c>
      <c r="AP353" s="13"/>
      <c r="AQ353" s="13"/>
      <c r="AR353" s="78"/>
      <c r="AS353" s="97"/>
      <c r="AT353" s="67">
        <v>0.3</v>
      </c>
      <c r="AU353" s="70">
        <v>0.06</v>
      </c>
      <c r="AV353" s="13"/>
      <c r="AW353" s="13"/>
      <c r="AX353" s="73"/>
      <c r="AY353" s="73"/>
      <c r="AZ353" s="68" t="s">
        <v>812</v>
      </c>
      <c r="BA353" s="68" t="s">
        <v>821</v>
      </c>
      <c r="BB353" s="68">
        <v>-47.76</v>
      </c>
      <c r="BC353" s="68">
        <v>6.87</v>
      </c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2"/>
      <c r="DK353" s="12"/>
      <c r="DL353" s="12"/>
      <c r="DM353" s="69"/>
      <c r="DN353" s="69"/>
      <c r="DO353" s="69"/>
      <c r="DP353" s="69"/>
      <c r="DQ353" s="11"/>
      <c r="DR353" s="69"/>
      <c r="DS353" s="69"/>
      <c r="DT353" s="69"/>
      <c r="DU353" s="69"/>
      <c r="DV353" s="97"/>
      <c r="DW353" s="98"/>
      <c r="DX353" s="71">
        <v>5.01E-9</v>
      </c>
      <c r="DY353" s="114">
        <v>6.93E-9</v>
      </c>
      <c r="DZ353" s="64" t="s">
        <v>762</v>
      </c>
      <c r="EA353" s="72" t="s">
        <v>822</v>
      </c>
      <c r="EB353" s="82"/>
    </row>
    <row r="354">
      <c r="A354" s="167" t="s">
        <v>867</v>
      </c>
      <c r="B354" s="56" t="s">
        <v>868</v>
      </c>
      <c r="C354" s="3"/>
      <c r="D354" s="4"/>
      <c r="E354" s="4"/>
      <c r="F354" s="57" t="s">
        <v>168</v>
      </c>
      <c r="G354" s="61">
        <v>271.08167</v>
      </c>
      <c r="H354" s="61">
        <v>-24.43681</v>
      </c>
      <c r="I354" s="60" t="s">
        <v>819</v>
      </c>
      <c r="J354" s="60" t="s">
        <v>169</v>
      </c>
      <c r="K354" s="61">
        <v>5.6</v>
      </c>
      <c r="L354" s="60">
        <v>1.49</v>
      </c>
      <c r="M354" s="60">
        <v>2.0</v>
      </c>
      <c r="N354" s="61">
        <v>1440.29958231312</v>
      </c>
      <c r="O354" s="61">
        <v>1.279</v>
      </c>
      <c r="P354" s="61">
        <v>0.453</v>
      </c>
      <c r="Q354" s="61">
        <v>-2.712</v>
      </c>
      <c r="R354" s="61">
        <v>0.367</v>
      </c>
      <c r="S354" s="60"/>
      <c r="T354" s="60"/>
      <c r="U354" s="58"/>
      <c r="V354" s="5"/>
      <c r="W354" s="5"/>
      <c r="X354" s="5"/>
      <c r="Y354" s="166"/>
      <c r="Z354" s="60">
        <v>18.65</v>
      </c>
      <c r="AA354" s="60">
        <v>0.028</v>
      </c>
      <c r="AB354" s="60">
        <v>14.85</v>
      </c>
      <c r="AC354" s="60">
        <v>0.037</v>
      </c>
      <c r="AD354" s="60">
        <v>13.824</v>
      </c>
      <c r="AE354" s="60">
        <v>0.054</v>
      </c>
      <c r="AF354" s="60">
        <v>13.213</v>
      </c>
      <c r="AG354" s="60">
        <v>0.053</v>
      </c>
      <c r="AH354" s="60">
        <v>17.54</v>
      </c>
      <c r="AI354" s="60">
        <v>0.07912016178</v>
      </c>
      <c r="AJ354" s="76" t="s">
        <v>759</v>
      </c>
      <c r="AK354" s="64" t="s">
        <v>820</v>
      </c>
      <c r="AL354" s="168"/>
      <c r="AM354" s="7"/>
      <c r="AN354" s="77">
        <v>1250.0</v>
      </c>
      <c r="AO354" s="64">
        <v>50.0</v>
      </c>
      <c r="AP354" s="13"/>
      <c r="AQ354" s="13"/>
      <c r="AR354" s="78"/>
      <c r="AS354" s="97"/>
      <c r="AT354" s="67">
        <v>0.3</v>
      </c>
      <c r="AU354" s="70">
        <v>0.11</v>
      </c>
      <c r="AV354" s="13"/>
      <c r="AW354" s="13"/>
      <c r="AX354" s="73"/>
      <c r="AY354" s="73"/>
      <c r="AZ354" s="68" t="s">
        <v>812</v>
      </c>
      <c r="BA354" s="68" t="s">
        <v>821</v>
      </c>
      <c r="BB354" s="68">
        <v>-45.01</v>
      </c>
      <c r="BC354" s="68">
        <v>3.85</v>
      </c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2"/>
      <c r="DK354" s="12"/>
      <c r="DL354" s="12"/>
      <c r="DM354" s="69"/>
      <c r="DN354" s="69"/>
      <c r="DO354" s="69"/>
      <c r="DP354" s="69"/>
      <c r="DQ354" s="11"/>
      <c r="DR354" s="69"/>
      <c r="DS354" s="69"/>
      <c r="DT354" s="69"/>
      <c r="DU354" s="69"/>
      <c r="DV354" s="97"/>
      <c r="DW354" s="98"/>
      <c r="DX354" s="71">
        <v>5.01E-9</v>
      </c>
      <c r="DY354" s="114">
        <v>6.93E-9</v>
      </c>
      <c r="DZ354" s="64" t="s">
        <v>762</v>
      </c>
      <c r="EA354" s="72" t="s">
        <v>822</v>
      </c>
      <c r="EB354" s="82"/>
    </row>
    <row r="355">
      <c r="A355" s="167" t="s">
        <v>869</v>
      </c>
      <c r="B355" s="56" t="s">
        <v>870</v>
      </c>
      <c r="C355" s="3"/>
      <c r="D355" s="4"/>
      <c r="E355" s="4"/>
      <c r="F355" s="57" t="s">
        <v>168</v>
      </c>
      <c r="G355" s="61">
        <v>270.8564</v>
      </c>
      <c r="H355" s="61">
        <v>-24.26754</v>
      </c>
      <c r="I355" s="60" t="s">
        <v>819</v>
      </c>
      <c r="J355" s="60" t="s">
        <v>169</v>
      </c>
      <c r="K355" s="61">
        <v>5.1</v>
      </c>
      <c r="L355" s="60">
        <v>0.8</v>
      </c>
      <c r="M355" s="60">
        <v>2.0</v>
      </c>
      <c r="N355" s="61">
        <v>2016.53559185319</v>
      </c>
      <c r="O355" s="61">
        <v>1.632</v>
      </c>
      <c r="P355" s="61">
        <v>0.362</v>
      </c>
      <c r="Q355" s="61">
        <v>-2.058</v>
      </c>
      <c r="R355" s="61">
        <v>0.289</v>
      </c>
      <c r="S355" s="60"/>
      <c r="T355" s="60"/>
      <c r="U355" s="58"/>
      <c r="V355" s="5"/>
      <c r="W355" s="5"/>
      <c r="X355" s="5"/>
      <c r="Y355" s="166"/>
      <c r="Z355" s="60">
        <v>18.07</v>
      </c>
      <c r="AA355" s="60">
        <v>0.014</v>
      </c>
      <c r="AB355" s="60">
        <v>14.859</v>
      </c>
      <c r="AC355" s="60"/>
      <c r="AD355" s="60">
        <v>14.037</v>
      </c>
      <c r="AE355" s="60"/>
      <c r="AF355" s="60">
        <v>13.642</v>
      </c>
      <c r="AG355" s="60"/>
      <c r="AH355" s="60">
        <v>17.12</v>
      </c>
      <c r="AI355" s="60">
        <v>0.0423792402</v>
      </c>
      <c r="AJ355" s="76" t="s">
        <v>759</v>
      </c>
      <c r="AK355" s="64" t="s">
        <v>820</v>
      </c>
      <c r="AL355" s="168"/>
      <c r="AM355" s="7"/>
      <c r="AN355" s="77">
        <v>1250.0</v>
      </c>
      <c r="AO355" s="64">
        <v>50.0</v>
      </c>
      <c r="AP355" s="13"/>
      <c r="AQ355" s="13"/>
      <c r="AR355" s="78"/>
      <c r="AS355" s="97"/>
      <c r="AT355" s="67">
        <v>0.3</v>
      </c>
      <c r="AU355" s="70">
        <v>0.06</v>
      </c>
      <c r="AV355" s="13"/>
      <c r="AW355" s="13"/>
      <c r="AX355" s="73"/>
      <c r="AY355" s="73"/>
      <c r="AZ355" s="68" t="s">
        <v>812</v>
      </c>
      <c r="BA355" s="68" t="s">
        <v>821</v>
      </c>
      <c r="BB355" s="68">
        <v>-40.91</v>
      </c>
      <c r="BC355" s="68">
        <v>5.38</v>
      </c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2"/>
      <c r="DK355" s="12"/>
      <c r="DL355" s="12"/>
      <c r="DM355" s="69"/>
      <c r="DN355" s="69"/>
      <c r="DO355" s="69"/>
      <c r="DP355" s="69"/>
      <c r="DQ355" s="11"/>
      <c r="DR355" s="69"/>
      <c r="DS355" s="69"/>
      <c r="DT355" s="69"/>
      <c r="DU355" s="69"/>
      <c r="DV355" s="97"/>
      <c r="DW355" s="98"/>
      <c r="DX355" s="71">
        <v>5.01E-9</v>
      </c>
      <c r="DY355" s="114">
        <v>6.93E-9</v>
      </c>
      <c r="DZ355" s="64" t="s">
        <v>762</v>
      </c>
      <c r="EA355" s="72" t="s">
        <v>822</v>
      </c>
      <c r="EB355" s="82"/>
    </row>
    <row r="356">
      <c r="A356" s="167" t="s">
        <v>871</v>
      </c>
      <c r="B356" s="56" t="s">
        <v>872</v>
      </c>
      <c r="C356" s="3"/>
      <c r="D356" s="4"/>
      <c r="E356" s="4"/>
      <c r="F356" s="57" t="s">
        <v>168</v>
      </c>
      <c r="G356" s="61">
        <v>271.15326</v>
      </c>
      <c r="H356" s="61">
        <v>-24.36858</v>
      </c>
      <c r="I356" s="60" t="s">
        <v>819</v>
      </c>
      <c r="J356" s="60" t="s">
        <v>169</v>
      </c>
      <c r="K356" s="61">
        <v>5.9</v>
      </c>
      <c r="L356" s="60">
        <v>1.11</v>
      </c>
      <c r="M356" s="60">
        <v>2.0</v>
      </c>
      <c r="N356" s="61">
        <v>1496.78191887442</v>
      </c>
      <c r="O356" s="61">
        <v>1.171</v>
      </c>
      <c r="P356" s="61">
        <v>0.67</v>
      </c>
      <c r="Q356" s="61">
        <v>-2.142</v>
      </c>
      <c r="R356" s="61">
        <v>0.541</v>
      </c>
      <c r="S356" s="60"/>
      <c r="T356" s="60"/>
      <c r="U356" s="58"/>
      <c r="V356" s="5"/>
      <c r="W356" s="5"/>
      <c r="X356" s="5"/>
      <c r="Y356" s="166"/>
      <c r="Z356" s="60">
        <v>18.52</v>
      </c>
      <c r="AA356" s="60">
        <v>0.021</v>
      </c>
      <c r="AB356" s="60">
        <v>14.95</v>
      </c>
      <c r="AC356" s="60">
        <v>0.075</v>
      </c>
      <c r="AD356" s="60">
        <v>14.048</v>
      </c>
      <c r="AE356" s="60">
        <v>0.121</v>
      </c>
      <c r="AF356" s="60">
        <v>13.546</v>
      </c>
      <c r="AG356" s="60"/>
      <c r="AH356" s="60">
        <v>17.37</v>
      </c>
      <c r="AI356" s="60">
        <v>0.05056678752</v>
      </c>
      <c r="AJ356" s="76" t="s">
        <v>759</v>
      </c>
      <c r="AK356" s="64" t="s">
        <v>820</v>
      </c>
      <c r="AL356" s="168"/>
      <c r="AM356" s="7"/>
      <c r="AN356" s="77">
        <v>1250.0</v>
      </c>
      <c r="AO356" s="64">
        <v>50.0</v>
      </c>
      <c r="AP356" s="13"/>
      <c r="AQ356" s="13"/>
      <c r="AR356" s="78"/>
      <c r="AS356" s="97"/>
      <c r="AT356" s="67">
        <v>0.3</v>
      </c>
      <c r="AU356" s="70">
        <v>0.08</v>
      </c>
      <c r="AV356" s="13"/>
      <c r="AW356" s="13"/>
      <c r="AX356" s="73"/>
      <c r="AY356" s="73"/>
      <c r="AZ356" s="68" t="s">
        <v>812</v>
      </c>
      <c r="BA356" s="68" t="s">
        <v>821</v>
      </c>
      <c r="BB356" s="68">
        <v>-55.53</v>
      </c>
      <c r="BC356" s="68">
        <v>7.74</v>
      </c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2"/>
      <c r="DK356" s="12"/>
      <c r="DL356" s="12"/>
      <c r="DM356" s="69"/>
      <c r="DN356" s="69"/>
      <c r="DO356" s="69"/>
      <c r="DP356" s="69"/>
      <c r="DQ356" s="11"/>
      <c r="DR356" s="69"/>
      <c r="DS356" s="69"/>
      <c r="DT356" s="69"/>
      <c r="DU356" s="69"/>
      <c r="DV356" s="97"/>
      <c r="DW356" s="98"/>
      <c r="DX356" s="71">
        <v>6.31E-9</v>
      </c>
      <c r="DY356" s="114">
        <v>8.72E-9</v>
      </c>
      <c r="DZ356" s="64" t="s">
        <v>762</v>
      </c>
      <c r="EA356" s="72" t="s">
        <v>822</v>
      </c>
      <c r="EB356" s="82"/>
    </row>
    <row r="357">
      <c r="A357" s="167" t="s">
        <v>873</v>
      </c>
      <c r="B357" s="56" t="s">
        <v>874</v>
      </c>
      <c r="C357" s="3"/>
      <c r="D357" s="4"/>
      <c r="E357" s="4"/>
      <c r="F357" s="57" t="s">
        <v>168</v>
      </c>
      <c r="G357" s="61">
        <v>271.14044</v>
      </c>
      <c r="H357" s="61">
        <v>-24.3982</v>
      </c>
      <c r="I357" s="60" t="s">
        <v>819</v>
      </c>
      <c r="J357" s="60" t="s">
        <v>169</v>
      </c>
      <c r="K357" s="61">
        <v>5.6</v>
      </c>
      <c r="L357" s="60">
        <v>1.05</v>
      </c>
      <c r="M357" s="60">
        <v>2.0</v>
      </c>
      <c r="N357" s="61">
        <v>1317.17597471022</v>
      </c>
      <c r="O357" s="61">
        <v>1.217</v>
      </c>
      <c r="P357" s="61">
        <v>0.221</v>
      </c>
      <c r="Q357" s="61">
        <v>-1.848</v>
      </c>
      <c r="R357" s="61">
        <v>0.179</v>
      </c>
      <c r="S357" s="60"/>
      <c r="T357" s="60"/>
      <c r="U357" s="58"/>
      <c r="V357" s="5"/>
      <c r="W357" s="5"/>
      <c r="X357" s="5"/>
      <c r="Y357" s="166"/>
      <c r="Z357" s="60">
        <v>18.45</v>
      </c>
      <c r="AA357" s="60">
        <v>0.019</v>
      </c>
      <c r="AB357" s="60">
        <v>15.009</v>
      </c>
      <c r="AC357" s="60">
        <v>0.057</v>
      </c>
      <c r="AD357" s="60">
        <v>14.063</v>
      </c>
      <c r="AE357" s="60">
        <v>0.08</v>
      </c>
      <c r="AF357" s="60">
        <v>13.659</v>
      </c>
      <c r="AG357" s="60">
        <v>0.074</v>
      </c>
      <c r="AH357" s="60">
        <v>16.92</v>
      </c>
      <c r="AI357" s="60">
        <v>0.03807886553</v>
      </c>
      <c r="AJ357" s="76" t="s">
        <v>759</v>
      </c>
      <c r="AK357" s="64" t="s">
        <v>820</v>
      </c>
      <c r="AL357" s="168"/>
      <c r="AM357" s="7"/>
      <c r="AN357" s="77">
        <v>1250.0</v>
      </c>
      <c r="AO357" s="64">
        <v>50.0</v>
      </c>
      <c r="AP357" s="13"/>
      <c r="AQ357" s="13"/>
      <c r="AR357" s="78"/>
      <c r="AS357" s="97"/>
      <c r="AT357" s="67">
        <v>0.3</v>
      </c>
      <c r="AU357" s="70">
        <v>0.08</v>
      </c>
      <c r="AV357" s="13"/>
      <c r="AW357" s="13"/>
      <c r="AX357" s="73"/>
      <c r="AY357" s="73"/>
      <c r="AZ357" s="68" t="s">
        <v>812</v>
      </c>
      <c r="BA357" s="68" t="s">
        <v>821</v>
      </c>
      <c r="BB357" s="68">
        <v>-139.99</v>
      </c>
      <c r="BC357" s="68">
        <v>25.3</v>
      </c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2"/>
      <c r="DK357" s="12"/>
      <c r="DL357" s="12"/>
      <c r="DM357" s="69"/>
      <c r="DN357" s="69"/>
      <c r="DO357" s="69"/>
      <c r="DP357" s="69"/>
      <c r="DQ357" s="11"/>
      <c r="DR357" s="69"/>
      <c r="DS357" s="69"/>
      <c r="DT357" s="69"/>
      <c r="DU357" s="69"/>
      <c r="DV357" s="97"/>
      <c r="DW357" s="98"/>
      <c r="DX357" s="71">
        <v>1.26E-8</v>
      </c>
      <c r="DY357" s="114">
        <v>1.74E-8</v>
      </c>
      <c r="DZ357" s="64" t="s">
        <v>762</v>
      </c>
      <c r="EA357" s="72" t="s">
        <v>822</v>
      </c>
      <c r="EB357" s="82"/>
    </row>
    <row r="358">
      <c r="A358" s="167" t="s">
        <v>875</v>
      </c>
      <c r="B358" s="56" t="s">
        <v>876</v>
      </c>
      <c r="C358" s="3"/>
      <c r="D358" s="4"/>
      <c r="E358" s="4"/>
      <c r="F358" s="57" t="s">
        <v>168</v>
      </c>
      <c r="G358" s="61">
        <v>271.0115</v>
      </c>
      <c r="H358" s="61">
        <v>-24.29854</v>
      </c>
      <c r="I358" s="60" t="s">
        <v>819</v>
      </c>
      <c r="J358" s="60" t="s">
        <v>169</v>
      </c>
      <c r="K358" s="61">
        <v>5.7</v>
      </c>
      <c r="L358" s="60">
        <v>1.1</v>
      </c>
      <c r="M358" s="60">
        <v>2.0</v>
      </c>
      <c r="N358" s="61">
        <v>1081.66576527852</v>
      </c>
      <c r="O358" s="61">
        <v>1.333</v>
      </c>
      <c r="P358" s="61">
        <v>0.36</v>
      </c>
      <c r="Q358" s="61">
        <v>-1.902</v>
      </c>
      <c r="R358" s="61">
        <v>0.298</v>
      </c>
      <c r="S358" s="60"/>
      <c r="T358" s="60"/>
      <c r="U358" s="58"/>
      <c r="V358" s="5"/>
      <c r="W358" s="5"/>
      <c r="X358" s="5"/>
      <c r="Y358" s="166"/>
      <c r="Z358" s="60">
        <v>18.45</v>
      </c>
      <c r="AA358" s="60">
        <v>0.02</v>
      </c>
      <c r="AB358" s="60">
        <v>15.077</v>
      </c>
      <c r="AC358" s="60">
        <v>0.047</v>
      </c>
      <c r="AD358" s="60">
        <v>14.191</v>
      </c>
      <c r="AE358" s="60">
        <v>0.057</v>
      </c>
      <c r="AF358" s="60">
        <v>13.772</v>
      </c>
      <c r="AG358" s="60">
        <v>0.096</v>
      </c>
      <c r="AH358" s="60">
        <v>17.53</v>
      </c>
      <c r="AI358" s="60">
        <v>0.06419501538</v>
      </c>
      <c r="AJ358" s="76" t="s">
        <v>759</v>
      </c>
      <c r="AK358" s="64" t="s">
        <v>820</v>
      </c>
      <c r="AL358" s="168"/>
      <c r="AM358" s="7"/>
      <c r="AN358" s="77">
        <v>1250.0</v>
      </c>
      <c r="AO358" s="64">
        <v>50.0</v>
      </c>
      <c r="AP358" s="13"/>
      <c r="AQ358" s="13"/>
      <c r="AR358" s="78"/>
      <c r="AS358" s="97"/>
      <c r="AT358" s="67">
        <v>0.3</v>
      </c>
      <c r="AU358" s="70">
        <v>0.08</v>
      </c>
      <c r="AV358" s="13"/>
      <c r="AW358" s="13"/>
      <c r="AX358" s="73"/>
      <c r="AY358" s="73"/>
      <c r="AZ358" s="68" t="s">
        <v>812</v>
      </c>
      <c r="BA358" s="68" t="s">
        <v>821</v>
      </c>
      <c r="BB358" s="68">
        <v>-34.77</v>
      </c>
      <c r="BC358" s="68">
        <v>2.85</v>
      </c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2"/>
      <c r="DK358" s="12"/>
      <c r="DL358" s="12"/>
      <c r="DM358" s="69"/>
      <c r="DN358" s="69"/>
      <c r="DO358" s="69"/>
      <c r="DP358" s="69"/>
      <c r="DQ358" s="11"/>
      <c r="DR358" s="69"/>
      <c r="DS358" s="69"/>
      <c r="DT358" s="69"/>
      <c r="DU358" s="69"/>
      <c r="DV358" s="97"/>
      <c r="DW358" s="98"/>
      <c r="DX358" s="71">
        <v>2.51E-9</v>
      </c>
      <c r="DY358" s="114">
        <v>3.47E-9</v>
      </c>
      <c r="DZ358" s="64" t="s">
        <v>762</v>
      </c>
      <c r="EA358" s="72" t="s">
        <v>822</v>
      </c>
      <c r="EB358" s="82"/>
    </row>
    <row r="359">
      <c r="A359" s="167" t="s">
        <v>877</v>
      </c>
      <c r="B359" s="56" t="s">
        <v>878</v>
      </c>
      <c r="C359" s="3"/>
      <c r="D359" s="4"/>
      <c r="E359" s="4"/>
      <c r="F359" s="57" t="s">
        <v>168</v>
      </c>
      <c r="G359" s="61">
        <v>271.0657</v>
      </c>
      <c r="H359" s="61">
        <v>-24.42104</v>
      </c>
      <c r="I359" s="60" t="s">
        <v>819</v>
      </c>
      <c r="J359" s="60" t="s">
        <v>169</v>
      </c>
      <c r="K359" s="61">
        <v>5.7</v>
      </c>
      <c r="L359" s="60">
        <v>1.25</v>
      </c>
      <c r="M359" s="5"/>
      <c r="N359" s="61"/>
      <c r="O359" s="61"/>
      <c r="P359" s="61"/>
      <c r="Q359" s="61"/>
      <c r="R359" s="61"/>
      <c r="S359" s="60"/>
      <c r="T359" s="60"/>
      <c r="U359" s="58"/>
      <c r="V359" s="5"/>
      <c r="W359" s="5"/>
      <c r="X359" s="5"/>
      <c r="Y359" s="166"/>
      <c r="Z359" s="60">
        <v>18.55</v>
      </c>
      <c r="AA359" s="60">
        <v>0.023</v>
      </c>
      <c r="AB359" s="60">
        <v>15.18</v>
      </c>
      <c r="AC359" s="60">
        <v>0.08</v>
      </c>
      <c r="AD359" s="60">
        <v>13.73</v>
      </c>
      <c r="AE359" s="60">
        <v>0.08</v>
      </c>
      <c r="AF359" s="60">
        <v>12.69</v>
      </c>
      <c r="AG359" s="60">
        <v>0.05</v>
      </c>
      <c r="AH359" s="60">
        <v>17.49</v>
      </c>
      <c r="AI359" s="60">
        <v>0.06800735254</v>
      </c>
      <c r="AJ359" s="76" t="s">
        <v>759</v>
      </c>
      <c r="AK359" s="64" t="s">
        <v>820</v>
      </c>
      <c r="AL359" s="168"/>
      <c r="AM359" s="7"/>
      <c r="AN359" s="77">
        <v>1250.0</v>
      </c>
      <c r="AO359" s="64">
        <v>50.0</v>
      </c>
      <c r="AP359" s="13"/>
      <c r="AQ359" s="13"/>
      <c r="AR359" s="78"/>
      <c r="AS359" s="97"/>
      <c r="AT359" s="67">
        <v>0.3</v>
      </c>
      <c r="AU359" s="70">
        <v>0.09</v>
      </c>
      <c r="AV359" s="13"/>
      <c r="AW359" s="13"/>
      <c r="AX359" s="73"/>
      <c r="AY359" s="73"/>
      <c r="AZ359" s="68" t="s">
        <v>812</v>
      </c>
      <c r="BA359" s="68" t="s">
        <v>821</v>
      </c>
      <c r="BB359" s="68">
        <v>-49.55</v>
      </c>
      <c r="BC359" s="68">
        <v>5.48</v>
      </c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2"/>
      <c r="DK359" s="12"/>
      <c r="DL359" s="12"/>
      <c r="DM359" s="69"/>
      <c r="DN359" s="69"/>
      <c r="DO359" s="69"/>
      <c r="DP359" s="69"/>
      <c r="DQ359" s="11"/>
      <c r="DR359" s="69"/>
      <c r="DS359" s="69"/>
      <c r="DT359" s="69"/>
      <c r="DU359" s="69"/>
      <c r="DV359" s="97"/>
      <c r="DW359" s="98"/>
      <c r="DX359" s="71">
        <v>3.98E-9</v>
      </c>
      <c r="DY359" s="114">
        <v>5.5E-9</v>
      </c>
      <c r="DZ359" s="64" t="s">
        <v>762</v>
      </c>
      <c r="EA359" s="72" t="s">
        <v>822</v>
      </c>
      <c r="EB359" s="82"/>
    </row>
    <row r="360">
      <c r="A360" s="167" t="s">
        <v>879</v>
      </c>
      <c r="B360" s="56" t="s">
        <v>880</v>
      </c>
      <c r="C360" s="3"/>
      <c r="D360" s="4"/>
      <c r="E360" s="4"/>
      <c r="F360" s="57" t="s">
        <v>168</v>
      </c>
      <c r="G360" s="61">
        <v>271.1765</v>
      </c>
      <c r="H360" s="61">
        <v>-24.26439</v>
      </c>
      <c r="I360" s="60" t="s">
        <v>819</v>
      </c>
      <c r="J360" s="60" t="s">
        <v>169</v>
      </c>
      <c r="K360" s="61">
        <v>5.3</v>
      </c>
      <c r="L360" s="60">
        <v>1.39</v>
      </c>
      <c r="M360" s="60">
        <v>2.0</v>
      </c>
      <c r="N360" s="61">
        <v>848.608282416836</v>
      </c>
      <c r="O360" s="61">
        <v>-0.229</v>
      </c>
      <c r="P360" s="61">
        <v>0.549</v>
      </c>
      <c r="Q360" s="61">
        <v>-1.893</v>
      </c>
      <c r="R360" s="61">
        <v>0.457</v>
      </c>
      <c r="S360" s="60"/>
      <c r="T360" s="60"/>
      <c r="U360" s="58"/>
      <c r="V360" s="5"/>
      <c r="W360" s="5"/>
      <c r="X360" s="5"/>
      <c r="Y360" s="166"/>
      <c r="Z360" s="60">
        <v>18.81</v>
      </c>
      <c r="AA360" s="60">
        <v>0.026</v>
      </c>
      <c r="AB360" s="60">
        <v>15.256</v>
      </c>
      <c r="AC360" s="60"/>
      <c r="AD360" s="60">
        <v>14.315</v>
      </c>
      <c r="AE360" s="60"/>
      <c r="AF360" s="60">
        <v>13.672</v>
      </c>
      <c r="AG360" s="60"/>
      <c r="AH360" s="60">
        <v>17.66</v>
      </c>
      <c r="AI360" s="60">
        <v>0.05993329626</v>
      </c>
      <c r="AJ360" s="76" t="s">
        <v>759</v>
      </c>
      <c r="AK360" s="64" t="s">
        <v>820</v>
      </c>
      <c r="AL360" s="168"/>
      <c r="AM360" s="7"/>
      <c r="AN360" s="77">
        <v>1250.0</v>
      </c>
      <c r="AO360" s="64">
        <v>50.0</v>
      </c>
      <c r="AP360" s="13"/>
      <c r="AQ360" s="13"/>
      <c r="AR360" s="78"/>
      <c r="AS360" s="97"/>
      <c r="AT360" s="67">
        <v>0.3</v>
      </c>
      <c r="AU360" s="70">
        <v>0.11</v>
      </c>
      <c r="AV360" s="13"/>
      <c r="AW360" s="13"/>
      <c r="AX360" s="73"/>
      <c r="AY360" s="73"/>
      <c r="AZ360" s="68" t="s">
        <v>812</v>
      </c>
      <c r="BA360" s="68" t="s">
        <v>821</v>
      </c>
      <c r="BB360" s="68">
        <v>-66.12</v>
      </c>
      <c r="BC360" s="68">
        <v>9.21</v>
      </c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2"/>
      <c r="DK360" s="12"/>
      <c r="DL360" s="12"/>
      <c r="DM360" s="69"/>
      <c r="DN360" s="69"/>
      <c r="DO360" s="69"/>
      <c r="DP360" s="69"/>
      <c r="DQ360" s="11"/>
      <c r="DR360" s="69"/>
      <c r="DS360" s="69"/>
      <c r="DT360" s="69"/>
      <c r="DU360" s="69"/>
      <c r="DV360" s="97"/>
      <c r="DW360" s="98"/>
      <c r="DX360" s="71">
        <v>3.16E-9</v>
      </c>
      <c r="DY360" s="114">
        <v>4.37E-9</v>
      </c>
      <c r="DZ360" s="64" t="s">
        <v>762</v>
      </c>
      <c r="EA360" s="72" t="s">
        <v>822</v>
      </c>
      <c r="EB360" s="82"/>
    </row>
    <row r="361">
      <c r="A361" s="167" t="s">
        <v>881</v>
      </c>
      <c r="B361" s="56" t="s">
        <v>882</v>
      </c>
      <c r="C361" s="3"/>
      <c r="D361" s="4"/>
      <c r="E361" s="4"/>
      <c r="F361" s="57" t="s">
        <v>168</v>
      </c>
      <c r="G361" s="61">
        <v>271.20044</v>
      </c>
      <c r="H361" s="61">
        <v>-24.52048</v>
      </c>
      <c r="I361" s="60" t="s">
        <v>819</v>
      </c>
      <c r="J361" s="60" t="s">
        <v>169</v>
      </c>
      <c r="K361" s="61">
        <v>6.4</v>
      </c>
      <c r="L361" s="60">
        <v>3.01</v>
      </c>
      <c r="M361" s="60">
        <v>2.0</v>
      </c>
      <c r="N361" s="61">
        <v>494.829036567865</v>
      </c>
      <c r="O361" s="61">
        <v>5.726</v>
      </c>
      <c r="P361" s="61">
        <v>1.249</v>
      </c>
      <c r="Q361" s="61">
        <v>-13.698</v>
      </c>
      <c r="R361" s="61">
        <v>1.102</v>
      </c>
      <c r="S361" s="60"/>
      <c r="T361" s="60"/>
      <c r="U361" s="58"/>
      <c r="V361" s="5"/>
      <c r="W361" s="5"/>
      <c r="X361" s="5"/>
      <c r="Y361" s="166"/>
      <c r="Z361" s="60">
        <v>19.83</v>
      </c>
      <c r="AA361" s="60">
        <v>0.057</v>
      </c>
      <c r="AB361" s="60"/>
      <c r="AC361" s="60"/>
      <c r="AD361" s="60"/>
      <c r="AE361" s="60"/>
      <c r="AF361" s="60"/>
      <c r="AG361" s="60"/>
      <c r="AH361" s="60">
        <v>18.83</v>
      </c>
      <c r="AI361" s="60">
        <v>0.1238910812</v>
      </c>
      <c r="AJ361" s="76" t="s">
        <v>759</v>
      </c>
      <c r="AK361" s="64" t="s">
        <v>820</v>
      </c>
      <c r="AL361" s="168"/>
      <c r="AM361" s="7"/>
      <c r="AN361" s="77">
        <v>1250.0</v>
      </c>
      <c r="AO361" s="64">
        <v>50.0</v>
      </c>
      <c r="AP361" s="13"/>
      <c r="AQ361" s="13"/>
      <c r="AR361" s="78"/>
      <c r="AS361" s="97"/>
      <c r="AT361" s="67">
        <v>0.3</v>
      </c>
      <c r="AU361" s="70">
        <v>0.23</v>
      </c>
      <c r="AV361" s="13"/>
      <c r="AW361" s="13"/>
      <c r="AX361" s="73"/>
      <c r="AY361" s="73"/>
      <c r="AZ361" s="68" t="s">
        <v>812</v>
      </c>
      <c r="BA361" s="68" t="s">
        <v>821</v>
      </c>
      <c r="BB361" s="68">
        <v>-37.96</v>
      </c>
      <c r="BC361" s="68">
        <v>0.77</v>
      </c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2"/>
      <c r="DK361" s="12"/>
      <c r="DL361" s="12"/>
      <c r="DM361" s="69"/>
      <c r="DN361" s="69"/>
      <c r="DO361" s="69"/>
      <c r="DP361" s="69"/>
      <c r="DQ361" s="11"/>
      <c r="DR361" s="69"/>
      <c r="DS361" s="69"/>
      <c r="DT361" s="69"/>
      <c r="DU361" s="69"/>
      <c r="DV361" s="97"/>
      <c r="DW361" s="98"/>
      <c r="DX361" s="71">
        <v>5.01E-10</v>
      </c>
      <c r="DY361" s="114">
        <v>6.93E-10</v>
      </c>
      <c r="DZ361" s="64" t="s">
        <v>762</v>
      </c>
      <c r="EA361" s="72" t="s">
        <v>822</v>
      </c>
      <c r="EB361" s="82"/>
    </row>
    <row r="362">
      <c r="A362" s="167" t="s">
        <v>883</v>
      </c>
      <c r="B362" s="56" t="s">
        <v>884</v>
      </c>
      <c r="C362" s="3"/>
      <c r="D362" s="4"/>
      <c r="E362" s="4"/>
      <c r="F362" s="57" t="s">
        <v>168</v>
      </c>
      <c r="G362" s="61">
        <v>271.13217</v>
      </c>
      <c r="H362" s="61">
        <v>-24.09581</v>
      </c>
      <c r="I362" s="60" t="s">
        <v>819</v>
      </c>
      <c r="J362" s="60" t="s">
        <v>169</v>
      </c>
      <c r="K362" s="61">
        <v>6.0</v>
      </c>
      <c r="L362" s="60">
        <v>1.67</v>
      </c>
      <c r="M362" s="60">
        <v>2.0</v>
      </c>
      <c r="N362" s="61">
        <v>1137.78586869951</v>
      </c>
      <c r="O362" s="61">
        <v>-5.624</v>
      </c>
      <c r="P362" s="61">
        <v>0.579</v>
      </c>
      <c r="Q362" s="61">
        <v>-4.612</v>
      </c>
      <c r="R362" s="61">
        <v>0.501</v>
      </c>
      <c r="S362" s="60"/>
      <c r="T362" s="60"/>
      <c r="U362" s="58"/>
      <c r="V362" s="5"/>
      <c r="W362" s="5"/>
      <c r="X362" s="5"/>
      <c r="Y362" s="166"/>
      <c r="Z362" s="60">
        <v>19.37</v>
      </c>
      <c r="AA362" s="60">
        <v>0.031</v>
      </c>
      <c r="AB362" s="60"/>
      <c r="AC362" s="60"/>
      <c r="AD362" s="60"/>
      <c r="AE362" s="60"/>
      <c r="AF362" s="60"/>
      <c r="AG362" s="60"/>
      <c r="AH362" s="60">
        <v>18.43</v>
      </c>
      <c r="AI362" s="60">
        <v>0.0756439026</v>
      </c>
      <c r="AJ362" s="76" t="s">
        <v>759</v>
      </c>
      <c r="AK362" s="64" t="s">
        <v>820</v>
      </c>
      <c r="AL362" s="168"/>
      <c r="AM362" s="7"/>
      <c r="AN362" s="77">
        <v>1250.0</v>
      </c>
      <c r="AO362" s="64">
        <v>50.0</v>
      </c>
      <c r="AP362" s="13"/>
      <c r="AQ362" s="13"/>
      <c r="AR362" s="78"/>
      <c r="AS362" s="97"/>
      <c r="AT362" s="67">
        <v>0.3</v>
      </c>
      <c r="AU362" s="70">
        <v>0.13</v>
      </c>
      <c r="AV362" s="13"/>
      <c r="AW362" s="13"/>
      <c r="AX362" s="73"/>
      <c r="AY362" s="73"/>
      <c r="AZ362" s="68" t="s">
        <v>812</v>
      </c>
      <c r="BA362" s="68" t="s">
        <v>821</v>
      </c>
      <c r="BB362" s="68">
        <v>-29.75</v>
      </c>
      <c r="BC362" s="68">
        <v>0.88</v>
      </c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2"/>
      <c r="DK362" s="12"/>
      <c r="DL362" s="12"/>
      <c r="DM362" s="69"/>
      <c r="DN362" s="69"/>
      <c r="DO362" s="69"/>
      <c r="DP362" s="69"/>
      <c r="DQ362" s="11"/>
      <c r="DR362" s="69"/>
      <c r="DS362" s="69"/>
      <c r="DT362" s="69"/>
      <c r="DU362" s="69"/>
      <c r="DV362" s="97"/>
      <c r="DW362" s="98"/>
      <c r="DX362" s="71">
        <v>7.94E-10</v>
      </c>
      <c r="DY362" s="114">
        <v>1.1E-9</v>
      </c>
      <c r="DZ362" s="64" t="s">
        <v>762</v>
      </c>
      <c r="EA362" s="72" t="s">
        <v>822</v>
      </c>
      <c r="EB362" s="82"/>
    </row>
    <row r="363">
      <c r="A363" s="167" t="s">
        <v>885</v>
      </c>
      <c r="B363" s="56" t="s">
        <v>886</v>
      </c>
      <c r="C363" s="3"/>
      <c r="D363" s="4"/>
      <c r="E363" s="4"/>
      <c r="F363" s="57" t="s">
        <v>168</v>
      </c>
      <c r="G363" s="61">
        <v>271.1801</v>
      </c>
      <c r="H363" s="61">
        <v>-24.21647</v>
      </c>
      <c r="I363" s="60" t="s">
        <v>819</v>
      </c>
      <c r="J363" s="60" t="s">
        <v>169</v>
      </c>
      <c r="K363" s="61">
        <v>6.3</v>
      </c>
      <c r="L363" s="60">
        <v>2.31</v>
      </c>
      <c r="M363" s="60">
        <v>2.0</v>
      </c>
      <c r="N363" s="61">
        <v>6165.22811344019</v>
      </c>
      <c r="O363" s="61">
        <v>1.277</v>
      </c>
      <c r="P363" s="61">
        <v>1.393</v>
      </c>
      <c r="Q363" s="61">
        <v>-0.863</v>
      </c>
      <c r="R363" s="61">
        <v>1.345</v>
      </c>
      <c r="S363" s="60"/>
      <c r="T363" s="60"/>
      <c r="U363" s="58"/>
      <c r="V363" s="5"/>
      <c r="W363" s="5"/>
      <c r="X363" s="5"/>
      <c r="Y363" s="166"/>
      <c r="Z363" s="60">
        <v>19.62</v>
      </c>
      <c r="AA363" s="60">
        <v>0.043</v>
      </c>
      <c r="AB363" s="60"/>
      <c r="AC363" s="60"/>
      <c r="AD363" s="60"/>
      <c r="AE363" s="60"/>
      <c r="AF363" s="60"/>
      <c r="AG363" s="60"/>
      <c r="AH363" s="60">
        <v>18.59</v>
      </c>
      <c r="AI363" s="60">
        <v>0.09974467404</v>
      </c>
      <c r="AJ363" s="76" t="s">
        <v>759</v>
      </c>
      <c r="AK363" s="64" t="s">
        <v>820</v>
      </c>
      <c r="AL363" s="168"/>
      <c r="AM363" s="7"/>
      <c r="AN363" s="77">
        <v>1250.0</v>
      </c>
      <c r="AO363" s="64">
        <v>50.0</v>
      </c>
      <c r="AP363" s="13"/>
      <c r="AQ363" s="13"/>
      <c r="AR363" s="78"/>
      <c r="AS363" s="97"/>
      <c r="AT363" s="67">
        <v>0.3</v>
      </c>
      <c r="AU363" s="70">
        <v>0.18</v>
      </c>
      <c r="AV363" s="13"/>
      <c r="AW363" s="13"/>
      <c r="AX363" s="73"/>
      <c r="AY363" s="73"/>
      <c r="AZ363" s="68" t="s">
        <v>812</v>
      </c>
      <c r="BA363" s="68" t="s">
        <v>821</v>
      </c>
      <c r="BB363" s="68">
        <v>-38.73</v>
      </c>
      <c r="BC363" s="68">
        <v>1.06</v>
      </c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2"/>
      <c r="DK363" s="12"/>
      <c r="DL363" s="12"/>
      <c r="DM363" s="69"/>
      <c r="DN363" s="69"/>
      <c r="DO363" s="69"/>
      <c r="DP363" s="69"/>
      <c r="DQ363" s="11"/>
      <c r="DR363" s="69"/>
      <c r="DS363" s="69"/>
      <c r="DT363" s="69"/>
      <c r="DU363" s="69"/>
      <c r="DV363" s="97"/>
      <c r="DW363" s="98"/>
      <c r="DX363" s="71">
        <v>7.94E-10</v>
      </c>
      <c r="DY363" s="114">
        <v>1.1E-9</v>
      </c>
      <c r="DZ363" s="64" t="s">
        <v>762</v>
      </c>
      <c r="EA363" s="72" t="s">
        <v>822</v>
      </c>
      <c r="EB363" s="82"/>
    </row>
    <row r="364">
      <c r="A364" s="167" t="s">
        <v>887</v>
      </c>
      <c r="B364" s="56" t="s">
        <v>888</v>
      </c>
      <c r="C364" s="3"/>
      <c r="D364" s="4"/>
      <c r="E364" s="4"/>
      <c r="F364" s="57" t="s">
        <v>168</v>
      </c>
      <c r="G364" s="61">
        <v>271.27103</v>
      </c>
      <c r="H364" s="61">
        <v>-24.21314</v>
      </c>
      <c r="I364" s="60" t="s">
        <v>819</v>
      </c>
      <c r="J364" s="60" t="s">
        <v>169</v>
      </c>
      <c r="K364" s="61">
        <v>6.5</v>
      </c>
      <c r="L364" s="60">
        <v>2.88</v>
      </c>
      <c r="M364" s="5"/>
      <c r="N364" s="61"/>
      <c r="O364" s="61"/>
      <c r="P364" s="61"/>
      <c r="Q364" s="61"/>
      <c r="R364" s="61"/>
      <c r="S364" s="60"/>
      <c r="T364" s="60"/>
      <c r="U364" s="58"/>
      <c r="V364" s="5"/>
      <c r="W364" s="5"/>
      <c r="X364" s="5"/>
      <c r="Y364" s="166"/>
      <c r="Z364" s="60">
        <v>19.87</v>
      </c>
      <c r="AA364" s="60">
        <v>0.051</v>
      </c>
      <c r="AB364" s="60"/>
      <c r="AC364" s="60"/>
      <c r="AD364" s="60"/>
      <c r="AE364" s="60"/>
      <c r="AF364" s="60"/>
      <c r="AG364" s="60"/>
      <c r="AH364" s="60">
        <v>18.61</v>
      </c>
      <c r="AI364" s="60">
        <v>0.1051903037</v>
      </c>
      <c r="AJ364" s="76" t="s">
        <v>759</v>
      </c>
      <c r="AK364" s="64" t="s">
        <v>820</v>
      </c>
      <c r="AL364" s="168"/>
      <c r="AM364" s="7"/>
      <c r="AN364" s="77">
        <v>1250.0</v>
      </c>
      <c r="AO364" s="64">
        <v>50.0</v>
      </c>
      <c r="AP364" s="13"/>
      <c r="AQ364" s="13"/>
      <c r="AR364" s="78"/>
      <c r="AS364" s="97"/>
      <c r="AT364" s="67">
        <v>0.3</v>
      </c>
      <c r="AU364" s="70">
        <v>0.22</v>
      </c>
      <c r="AV364" s="13"/>
      <c r="AW364" s="13"/>
      <c r="AX364" s="73"/>
      <c r="AY364" s="73"/>
      <c r="AZ364" s="68" t="s">
        <v>812</v>
      </c>
      <c r="BA364" s="68" t="s">
        <v>821</v>
      </c>
      <c r="BB364" s="68">
        <v>-90.22</v>
      </c>
      <c r="BC364" s="68">
        <v>10.8</v>
      </c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2"/>
      <c r="DK364" s="12"/>
      <c r="DL364" s="12"/>
      <c r="DM364" s="69"/>
      <c r="DN364" s="69"/>
      <c r="DO364" s="69"/>
      <c r="DP364" s="69"/>
      <c r="DQ364" s="11"/>
      <c r="DR364" s="69"/>
      <c r="DS364" s="69"/>
      <c r="DT364" s="69"/>
      <c r="DU364" s="69"/>
      <c r="DV364" s="97"/>
      <c r="DW364" s="98"/>
      <c r="DX364" s="71">
        <v>7.94E-10</v>
      </c>
      <c r="DY364" s="114">
        <v>1.1E-9</v>
      </c>
      <c r="DZ364" s="64" t="s">
        <v>762</v>
      </c>
      <c r="EA364" s="72" t="s">
        <v>822</v>
      </c>
      <c r="EB364" s="82"/>
    </row>
    <row r="365">
      <c r="A365" s="167" t="s">
        <v>889</v>
      </c>
      <c r="B365" s="56" t="s">
        <v>890</v>
      </c>
      <c r="C365" s="3"/>
      <c r="D365" s="4"/>
      <c r="E365" s="4"/>
      <c r="F365" s="57" t="s">
        <v>168</v>
      </c>
      <c r="G365" s="61">
        <v>270.72485</v>
      </c>
      <c r="H365" s="61">
        <v>-24.30488</v>
      </c>
      <c r="I365" s="60" t="s">
        <v>819</v>
      </c>
      <c r="J365" s="60" t="s">
        <v>169</v>
      </c>
      <c r="K365" s="61">
        <v>6.0</v>
      </c>
      <c r="L365" s="60">
        <v>1.84</v>
      </c>
      <c r="M365" s="5"/>
      <c r="N365" s="61"/>
      <c r="O365" s="61"/>
      <c r="P365" s="61"/>
      <c r="Q365" s="61"/>
      <c r="R365" s="61"/>
      <c r="S365" s="60"/>
      <c r="T365" s="60"/>
      <c r="U365" s="58"/>
      <c r="V365" s="5"/>
      <c r="W365" s="5"/>
      <c r="X365" s="5"/>
      <c r="Y365" s="166"/>
      <c r="Z365" s="60">
        <v>19.31</v>
      </c>
      <c r="AA365" s="60">
        <v>0.034</v>
      </c>
      <c r="AB365" s="60"/>
      <c r="AC365" s="60"/>
      <c r="AD365" s="60"/>
      <c r="AE365" s="60"/>
      <c r="AF365" s="60"/>
      <c r="AG365" s="60"/>
      <c r="AH365" s="60">
        <v>18.25</v>
      </c>
      <c r="AI365" s="60">
        <v>0.1009009415</v>
      </c>
      <c r="AJ365" s="76" t="s">
        <v>759</v>
      </c>
      <c r="AK365" s="64" t="s">
        <v>820</v>
      </c>
      <c r="AL365" s="168"/>
      <c r="AM365" s="7"/>
      <c r="AN365" s="77">
        <v>1250.0</v>
      </c>
      <c r="AO365" s="64">
        <v>50.0</v>
      </c>
      <c r="AP365" s="13"/>
      <c r="AQ365" s="13"/>
      <c r="AR365" s="78"/>
      <c r="AS365" s="97"/>
      <c r="AT365" s="67">
        <v>0.3</v>
      </c>
      <c r="AU365" s="70">
        <v>0.14</v>
      </c>
      <c r="AV365" s="13"/>
      <c r="AW365" s="13"/>
      <c r="AX365" s="73"/>
      <c r="AY365" s="73"/>
      <c r="AZ365" s="68" t="s">
        <v>812</v>
      </c>
      <c r="BA365" s="68" t="s">
        <v>821</v>
      </c>
      <c r="BB365" s="68">
        <v>-52.02</v>
      </c>
      <c r="BC365" s="68">
        <v>3.92</v>
      </c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2"/>
      <c r="DK365" s="12"/>
      <c r="DL365" s="12"/>
      <c r="DM365" s="69"/>
      <c r="DN365" s="69"/>
      <c r="DO365" s="69"/>
      <c r="DP365" s="69"/>
      <c r="DQ365" s="11"/>
      <c r="DR365" s="69"/>
      <c r="DS365" s="69"/>
      <c r="DT365" s="69"/>
      <c r="DU365" s="69"/>
      <c r="DV365" s="97"/>
      <c r="DW365" s="98"/>
      <c r="DX365" s="71">
        <v>1.0E-9</v>
      </c>
      <c r="DY365" s="114">
        <v>1.38E-9</v>
      </c>
      <c r="DZ365" s="64" t="s">
        <v>762</v>
      </c>
      <c r="EA365" s="72" t="s">
        <v>822</v>
      </c>
      <c r="EB365" s="82"/>
    </row>
    <row r="366">
      <c r="A366" s="167" t="s">
        <v>891</v>
      </c>
      <c r="B366" s="56" t="s">
        <v>892</v>
      </c>
      <c r="C366" s="3"/>
      <c r="D366" s="4"/>
      <c r="E366" s="4"/>
      <c r="F366" s="57" t="s">
        <v>168</v>
      </c>
      <c r="G366" s="61">
        <v>270.76154</v>
      </c>
      <c r="H366" s="61">
        <v>-24.11763</v>
      </c>
      <c r="I366" s="60" t="s">
        <v>819</v>
      </c>
      <c r="J366" s="60" t="s">
        <v>169</v>
      </c>
      <c r="K366" s="61">
        <v>5.8</v>
      </c>
      <c r="L366" s="60">
        <v>1.1</v>
      </c>
      <c r="M366" s="60">
        <v>2.0</v>
      </c>
      <c r="N366" s="61">
        <v>2282.06298493838</v>
      </c>
      <c r="O366" s="61">
        <v>-1.055</v>
      </c>
      <c r="P366" s="61">
        <v>0.593</v>
      </c>
      <c r="Q366" s="61">
        <v>-2.914</v>
      </c>
      <c r="R366" s="61">
        <v>0.474</v>
      </c>
      <c r="S366" s="60"/>
      <c r="T366" s="60"/>
      <c r="U366" s="58"/>
      <c r="V366" s="5"/>
      <c r="W366" s="5"/>
      <c r="X366" s="5"/>
      <c r="Y366" s="166"/>
      <c r="Z366" s="60">
        <v>18.94</v>
      </c>
      <c r="AA366" s="60">
        <v>0.02</v>
      </c>
      <c r="AB366" s="60"/>
      <c r="AC366" s="60"/>
      <c r="AD366" s="60"/>
      <c r="AE366" s="60"/>
      <c r="AF366" s="60"/>
      <c r="AG366" s="60"/>
      <c r="AH366" s="60">
        <v>18.07</v>
      </c>
      <c r="AI366" s="60">
        <v>0.04833218389</v>
      </c>
      <c r="AJ366" s="76" t="s">
        <v>759</v>
      </c>
      <c r="AK366" s="64" t="s">
        <v>820</v>
      </c>
      <c r="AL366" s="168"/>
      <c r="AM366" s="7"/>
      <c r="AN366" s="77">
        <v>1250.0</v>
      </c>
      <c r="AO366" s="64">
        <v>50.0</v>
      </c>
      <c r="AP366" s="13"/>
      <c r="AQ366" s="13"/>
      <c r="AR366" s="78"/>
      <c r="AS366" s="97"/>
      <c r="AT366" s="67">
        <v>0.3</v>
      </c>
      <c r="AU366" s="70">
        <v>0.08</v>
      </c>
      <c r="AV366" s="13"/>
      <c r="AW366" s="13"/>
      <c r="AX366" s="73"/>
      <c r="AY366" s="73"/>
      <c r="AZ366" s="68" t="s">
        <v>812</v>
      </c>
      <c r="BA366" s="68" t="s">
        <v>821</v>
      </c>
      <c r="BB366" s="68">
        <v>-28.87</v>
      </c>
      <c r="BC366" s="68">
        <v>2.52</v>
      </c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2"/>
      <c r="DK366" s="12"/>
      <c r="DL366" s="12"/>
      <c r="DM366" s="69"/>
      <c r="DN366" s="69"/>
      <c r="DO366" s="69"/>
      <c r="DP366" s="69"/>
      <c r="DQ366" s="11"/>
      <c r="DR366" s="69"/>
      <c r="DS366" s="69"/>
      <c r="DT366" s="69"/>
      <c r="DU366" s="69"/>
      <c r="DV366" s="97"/>
      <c r="DW366" s="98"/>
      <c r="DX366" s="71">
        <v>1.0E-9</v>
      </c>
      <c r="DY366" s="114">
        <v>1.38E-9</v>
      </c>
      <c r="DZ366" s="64" t="s">
        <v>762</v>
      </c>
      <c r="EA366" s="72" t="s">
        <v>822</v>
      </c>
      <c r="EB366" s="82"/>
    </row>
    <row r="367">
      <c r="A367" s="167" t="s">
        <v>893</v>
      </c>
      <c r="B367" s="56" t="s">
        <v>894</v>
      </c>
      <c r="C367" s="3"/>
      <c r="D367" s="4"/>
      <c r="E367" s="4"/>
      <c r="F367" s="57" t="s">
        <v>168</v>
      </c>
      <c r="G367" s="61">
        <v>271.32446</v>
      </c>
      <c r="H367" s="61">
        <v>-24.50794</v>
      </c>
      <c r="I367" s="60" t="s">
        <v>819</v>
      </c>
      <c r="J367" s="60" t="s">
        <v>169</v>
      </c>
      <c r="K367" s="61">
        <v>5.6</v>
      </c>
      <c r="L367" s="60">
        <v>1.69</v>
      </c>
      <c r="M367" s="60">
        <v>2.0</v>
      </c>
      <c r="N367" s="61">
        <v>1664.72448809721</v>
      </c>
      <c r="O367" s="61">
        <v>3.195</v>
      </c>
      <c r="P367" s="61">
        <v>0.813</v>
      </c>
      <c r="Q367" s="61">
        <v>-8.731</v>
      </c>
      <c r="R367" s="61">
        <v>0.681</v>
      </c>
      <c r="S367" s="60"/>
      <c r="T367" s="60"/>
      <c r="U367" s="58"/>
      <c r="V367" s="5"/>
      <c r="W367" s="5"/>
      <c r="X367" s="5"/>
      <c r="Y367" s="166"/>
      <c r="Z367" s="60">
        <v>19.07</v>
      </c>
      <c r="AA367" s="60">
        <v>0.031</v>
      </c>
      <c r="AB367" s="60"/>
      <c r="AC367" s="60"/>
      <c r="AD367" s="60"/>
      <c r="AE367" s="60"/>
      <c r="AF367" s="60"/>
      <c r="AG367" s="60"/>
      <c r="AH367" s="60">
        <v>18.13</v>
      </c>
      <c r="AI367" s="60">
        <v>0.09330058949</v>
      </c>
      <c r="AJ367" s="76" t="s">
        <v>759</v>
      </c>
      <c r="AK367" s="64" t="s">
        <v>820</v>
      </c>
      <c r="AL367" s="168"/>
      <c r="AM367" s="7"/>
      <c r="AN367" s="77">
        <v>1250.0</v>
      </c>
      <c r="AO367" s="64">
        <v>50.0</v>
      </c>
      <c r="AP367" s="13"/>
      <c r="AQ367" s="13"/>
      <c r="AR367" s="78"/>
      <c r="AS367" s="97"/>
      <c r="AT367" s="67">
        <v>0.3</v>
      </c>
      <c r="AU367" s="70">
        <v>0.13</v>
      </c>
      <c r="AV367" s="13"/>
      <c r="AW367" s="13"/>
      <c r="AX367" s="73"/>
      <c r="AY367" s="73"/>
      <c r="AZ367" s="68" t="s">
        <v>812</v>
      </c>
      <c r="BA367" s="68" t="s">
        <v>821</v>
      </c>
      <c r="BB367" s="68">
        <v>-34.26</v>
      </c>
      <c r="BC367" s="68">
        <v>0.82</v>
      </c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2"/>
      <c r="DK367" s="12"/>
      <c r="DL367" s="12"/>
      <c r="DM367" s="69"/>
      <c r="DN367" s="69"/>
      <c r="DO367" s="69"/>
      <c r="DP367" s="69"/>
      <c r="DQ367" s="11"/>
      <c r="DR367" s="69"/>
      <c r="DS367" s="69"/>
      <c r="DT367" s="69"/>
      <c r="DU367" s="69"/>
      <c r="DV367" s="97"/>
      <c r="DW367" s="98"/>
      <c r="DX367" s="71">
        <v>1.0E-9</v>
      </c>
      <c r="DY367" s="114">
        <v>1.38E-9</v>
      </c>
      <c r="DZ367" s="64" t="s">
        <v>762</v>
      </c>
      <c r="EA367" s="72" t="s">
        <v>822</v>
      </c>
      <c r="EB367" s="82"/>
    </row>
    <row r="368">
      <c r="A368" s="167" t="s">
        <v>895</v>
      </c>
      <c r="B368" s="56" t="s">
        <v>896</v>
      </c>
      <c r="C368" s="3"/>
      <c r="D368" s="4"/>
      <c r="E368" s="4"/>
      <c r="F368" s="57" t="s">
        <v>168</v>
      </c>
      <c r="G368" s="61">
        <v>270.78125</v>
      </c>
      <c r="H368" s="61">
        <v>-24.28704</v>
      </c>
      <c r="I368" s="60" t="s">
        <v>819</v>
      </c>
      <c r="J368" s="60" t="s">
        <v>169</v>
      </c>
      <c r="K368" s="61">
        <v>6.6</v>
      </c>
      <c r="L368" s="60">
        <v>2.95</v>
      </c>
      <c r="M368" s="5"/>
      <c r="N368" s="61"/>
      <c r="O368" s="61"/>
      <c r="P368" s="61"/>
      <c r="Q368" s="61"/>
      <c r="R368" s="61"/>
      <c r="S368" s="60"/>
      <c r="T368" s="60"/>
      <c r="U368" s="58"/>
      <c r="V368" s="5"/>
      <c r="W368" s="5"/>
      <c r="X368" s="5"/>
      <c r="Y368" s="166"/>
      <c r="Z368" s="60">
        <v>19.85</v>
      </c>
      <c r="AA368" s="60">
        <v>0.053</v>
      </c>
      <c r="AB368" s="60"/>
      <c r="AC368" s="60"/>
      <c r="AD368" s="60"/>
      <c r="AE368" s="60"/>
      <c r="AF368" s="60"/>
      <c r="AG368" s="60"/>
      <c r="AH368" s="60">
        <v>18.27</v>
      </c>
      <c r="AI368" s="60">
        <v>0.09596353474</v>
      </c>
      <c r="AJ368" s="76" t="s">
        <v>759</v>
      </c>
      <c r="AK368" s="64" t="s">
        <v>820</v>
      </c>
      <c r="AL368" s="168"/>
      <c r="AM368" s="7"/>
      <c r="AN368" s="77">
        <v>1250.0</v>
      </c>
      <c r="AO368" s="64">
        <v>50.0</v>
      </c>
      <c r="AP368" s="13"/>
      <c r="AQ368" s="13"/>
      <c r="AR368" s="78"/>
      <c r="AS368" s="97"/>
      <c r="AT368" s="67">
        <v>0.3</v>
      </c>
      <c r="AU368" s="70">
        <v>0.23</v>
      </c>
      <c r="AV368" s="13"/>
      <c r="AW368" s="13"/>
      <c r="AX368" s="73"/>
      <c r="AY368" s="73"/>
      <c r="AZ368" s="68" t="s">
        <v>812</v>
      </c>
      <c r="BA368" s="68" t="s">
        <v>821</v>
      </c>
      <c r="BB368" s="68">
        <v>-166.81</v>
      </c>
      <c r="BC368" s="68">
        <v>26.6</v>
      </c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2"/>
      <c r="DK368" s="12"/>
      <c r="DL368" s="12"/>
      <c r="DM368" s="69"/>
      <c r="DN368" s="69"/>
      <c r="DO368" s="69"/>
      <c r="DP368" s="69"/>
      <c r="DQ368" s="11"/>
      <c r="DR368" s="69"/>
      <c r="DS368" s="69"/>
      <c r="DT368" s="69"/>
      <c r="DU368" s="69"/>
      <c r="DV368" s="97"/>
      <c r="DW368" s="98"/>
      <c r="DX368" s="71">
        <v>1.26E-9</v>
      </c>
      <c r="DY368" s="114">
        <v>1.74E-9</v>
      </c>
      <c r="DZ368" s="64" t="s">
        <v>762</v>
      </c>
      <c r="EA368" s="72" t="s">
        <v>822</v>
      </c>
      <c r="EB368" s="82"/>
    </row>
    <row r="369">
      <c r="A369" s="167" t="s">
        <v>897</v>
      </c>
      <c r="B369" s="56" t="s">
        <v>898</v>
      </c>
      <c r="C369" s="3"/>
      <c r="D369" s="4"/>
      <c r="E369" s="4"/>
      <c r="F369" s="57" t="s">
        <v>168</v>
      </c>
      <c r="G369" s="61">
        <v>270.78867</v>
      </c>
      <c r="H369" s="61">
        <v>-24.49437</v>
      </c>
      <c r="I369" s="60" t="s">
        <v>819</v>
      </c>
      <c r="J369" s="60" t="s">
        <v>169</v>
      </c>
      <c r="K369" s="61">
        <v>5.4</v>
      </c>
      <c r="L369" s="60">
        <v>1.35</v>
      </c>
      <c r="M369" s="5"/>
      <c r="N369" s="61"/>
      <c r="O369" s="61"/>
      <c r="P369" s="61"/>
      <c r="Q369" s="61"/>
      <c r="R369" s="61"/>
      <c r="S369" s="60"/>
      <c r="T369" s="60"/>
      <c r="U369" s="58"/>
      <c r="V369" s="5"/>
      <c r="W369" s="5"/>
      <c r="X369" s="5"/>
      <c r="Y369" s="166"/>
      <c r="Z369" s="60">
        <v>18.85</v>
      </c>
      <c r="AA369" s="60">
        <v>0.025</v>
      </c>
      <c r="AB369" s="60"/>
      <c r="AC369" s="60"/>
      <c r="AD369" s="60"/>
      <c r="AE369" s="60"/>
      <c r="AF369" s="60"/>
      <c r="AG369" s="60"/>
      <c r="AH369" s="60">
        <v>17.92</v>
      </c>
      <c r="AI369" s="60">
        <v>0.08000624976</v>
      </c>
      <c r="AJ369" s="76" t="s">
        <v>759</v>
      </c>
      <c r="AK369" s="64" t="s">
        <v>820</v>
      </c>
      <c r="AL369" s="168"/>
      <c r="AM369" s="7"/>
      <c r="AN369" s="77">
        <v>1250.0</v>
      </c>
      <c r="AO369" s="64">
        <v>50.0</v>
      </c>
      <c r="AP369" s="13"/>
      <c r="AQ369" s="13"/>
      <c r="AR369" s="78"/>
      <c r="AS369" s="97"/>
      <c r="AT369" s="67">
        <v>0.3</v>
      </c>
      <c r="AU369" s="70">
        <v>0.1</v>
      </c>
      <c r="AV369" s="13"/>
      <c r="AW369" s="13"/>
      <c r="AX369" s="73"/>
      <c r="AY369" s="73"/>
      <c r="AZ369" s="68" t="s">
        <v>812</v>
      </c>
      <c r="BA369" s="68" t="s">
        <v>821</v>
      </c>
      <c r="BB369" s="68">
        <v>-34.32</v>
      </c>
      <c r="BC369" s="68">
        <v>1.75</v>
      </c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2"/>
      <c r="DK369" s="12"/>
      <c r="DL369" s="12"/>
      <c r="DM369" s="69"/>
      <c r="DN369" s="69"/>
      <c r="DO369" s="69"/>
      <c r="DP369" s="69"/>
      <c r="DQ369" s="11"/>
      <c r="DR369" s="69"/>
      <c r="DS369" s="69"/>
      <c r="DT369" s="69"/>
      <c r="DU369" s="69"/>
      <c r="DV369" s="97"/>
      <c r="DW369" s="98"/>
      <c r="DX369" s="71">
        <v>1.26E-9</v>
      </c>
      <c r="DY369" s="114">
        <v>1.74E-9</v>
      </c>
      <c r="DZ369" s="64" t="s">
        <v>762</v>
      </c>
      <c r="EA369" s="72" t="s">
        <v>822</v>
      </c>
      <c r="EB369" s="82"/>
    </row>
    <row r="370">
      <c r="A370" s="167" t="s">
        <v>899</v>
      </c>
      <c r="B370" s="56" t="s">
        <v>900</v>
      </c>
      <c r="C370" s="3"/>
      <c r="D370" s="4"/>
      <c r="E370" s="4"/>
      <c r="F370" s="57" t="s">
        <v>168</v>
      </c>
      <c r="G370" s="61">
        <v>270.8558</v>
      </c>
      <c r="H370" s="61">
        <v>-24.52007</v>
      </c>
      <c r="I370" s="60" t="s">
        <v>819</v>
      </c>
      <c r="J370" s="60" t="s">
        <v>169</v>
      </c>
      <c r="K370" s="61">
        <v>6.1</v>
      </c>
      <c r="L370" s="60">
        <v>1.19</v>
      </c>
      <c r="M370" s="60">
        <v>2.0</v>
      </c>
      <c r="N370" s="61">
        <v>20202.0202020202</v>
      </c>
      <c r="O370" s="61">
        <v>2.654</v>
      </c>
      <c r="P370" s="61">
        <v>0.52</v>
      </c>
      <c r="Q370" s="61">
        <v>1.519</v>
      </c>
      <c r="R370" s="61">
        <v>0.429</v>
      </c>
      <c r="S370" s="60"/>
      <c r="T370" s="60"/>
      <c r="U370" s="58"/>
      <c r="V370" s="5"/>
      <c r="W370" s="5"/>
      <c r="X370" s="5"/>
      <c r="Y370" s="166"/>
      <c r="Z370" s="60">
        <v>18.98</v>
      </c>
      <c r="AA370" s="60">
        <v>0.021</v>
      </c>
      <c r="AB370" s="60"/>
      <c r="AC370" s="60"/>
      <c r="AD370" s="60"/>
      <c r="AE370" s="60"/>
      <c r="AF370" s="60"/>
      <c r="AG370" s="60"/>
      <c r="AH370" s="60">
        <v>17.99</v>
      </c>
      <c r="AI370" s="60">
        <v>0.04341658669</v>
      </c>
      <c r="AJ370" s="76" t="s">
        <v>759</v>
      </c>
      <c r="AK370" s="64" t="s">
        <v>820</v>
      </c>
      <c r="AL370" s="168"/>
      <c r="AM370" s="7"/>
      <c r="AN370" s="77">
        <v>1250.0</v>
      </c>
      <c r="AO370" s="64">
        <v>50.0</v>
      </c>
      <c r="AP370" s="13"/>
      <c r="AQ370" s="13"/>
      <c r="AR370" s="78"/>
      <c r="AS370" s="97"/>
      <c r="AT370" s="67">
        <v>0.3</v>
      </c>
      <c r="AU370" s="70">
        <v>0.09</v>
      </c>
      <c r="AV370" s="13"/>
      <c r="AW370" s="13"/>
      <c r="AX370" s="73"/>
      <c r="AY370" s="73"/>
      <c r="AZ370" s="68" t="s">
        <v>812</v>
      </c>
      <c r="BA370" s="68" t="s">
        <v>821</v>
      </c>
      <c r="BB370" s="68">
        <v>-47.87</v>
      </c>
      <c r="BC370" s="68">
        <v>6.56</v>
      </c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2"/>
      <c r="DK370" s="12"/>
      <c r="DL370" s="12"/>
      <c r="DM370" s="69"/>
      <c r="DN370" s="69"/>
      <c r="DO370" s="69"/>
      <c r="DP370" s="69"/>
      <c r="DQ370" s="11"/>
      <c r="DR370" s="69"/>
      <c r="DS370" s="69"/>
      <c r="DT370" s="69"/>
      <c r="DU370" s="69"/>
      <c r="DV370" s="97"/>
      <c r="DW370" s="98"/>
      <c r="DX370" s="71">
        <v>1.26E-9</v>
      </c>
      <c r="DY370" s="114">
        <v>1.74E-9</v>
      </c>
      <c r="DZ370" s="64" t="s">
        <v>762</v>
      </c>
      <c r="EA370" s="72" t="s">
        <v>822</v>
      </c>
      <c r="EB370" s="82"/>
    </row>
    <row r="371">
      <c r="A371" s="167" t="s">
        <v>901</v>
      </c>
      <c r="B371" s="56" t="s">
        <v>902</v>
      </c>
      <c r="C371" s="3"/>
      <c r="D371" s="4"/>
      <c r="E371" s="4"/>
      <c r="F371" s="57" t="s">
        <v>168</v>
      </c>
      <c r="G371" s="61">
        <v>271.1147</v>
      </c>
      <c r="H371" s="61">
        <v>-24.46704</v>
      </c>
      <c r="I371" s="60" t="s">
        <v>819</v>
      </c>
      <c r="J371" s="60" t="s">
        <v>169</v>
      </c>
      <c r="K371" s="61">
        <v>6.0</v>
      </c>
      <c r="L371" s="60">
        <v>3.11</v>
      </c>
      <c r="M371" s="60">
        <v>2.0</v>
      </c>
      <c r="N371" s="61">
        <v>1903.31176246669</v>
      </c>
      <c r="O371" s="61">
        <v>-0.076</v>
      </c>
      <c r="P371" s="61">
        <v>1.158</v>
      </c>
      <c r="Q371" s="61">
        <v>-3.138</v>
      </c>
      <c r="R371" s="61">
        <v>1.02</v>
      </c>
      <c r="S371" s="60"/>
      <c r="T371" s="60"/>
      <c r="U371" s="58"/>
      <c r="V371" s="5"/>
      <c r="W371" s="5"/>
      <c r="X371" s="5"/>
      <c r="Y371" s="166"/>
      <c r="Z371" s="60">
        <v>19.82</v>
      </c>
      <c r="AA371" s="60">
        <v>0.06</v>
      </c>
      <c r="AB371" s="60"/>
      <c r="AC371" s="60"/>
      <c r="AD371" s="60"/>
      <c r="AE371" s="60"/>
      <c r="AF371" s="60"/>
      <c r="AG371" s="60"/>
      <c r="AH371" s="60">
        <v>18.66</v>
      </c>
      <c r="AI371" s="60">
        <v>0.1226743657</v>
      </c>
      <c r="AJ371" s="76" t="s">
        <v>759</v>
      </c>
      <c r="AK371" s="64" t="s">
        <v>820</v>
      </c>
      <c r="AL371" s="168"/>
      <c r="AM371" s="7"/>
      <c r="AN371" s="77">
        <v>1250.0</v>
      </c>
      <c r="AO371" s="64">
        <v>50.0</v>
      </c>
      <c r="AP371" s="13"/>
      <c r="AQ371" s="13"/>
      <c r="AR371" s="78"/>
      <c r="AS371" s="97"/>
      <c r="AT371" s="67">
        <v>0.3</v>
      </c>
      <c r="AU371" s="70">
        <v>0.24</v>
      </c>
      <c r="AV371" s="13"/>
      <c r="AW371" s="13"/>
      <c r="AX371" s="73"/>
      <c r="AY371" s="73"/>
      <c r="AZ371" s="68" t="s">
        <v>812</v>
      </c>
      <c r="BA371" s="68" t="s">
        <v>821</v>
      </c>
      <c r="BB371" s="68">
        <v>-47.52</v>
      </c>
      <c r="BC371" s="68">
        <v>1.11</v>
      </c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2"/>
      <c r="DK371" s="12"/>
      <c r="DL371" s="12"/>
      <c r="DM371" s="69"/>
      <c r="DN371" s="69"/>
      <c r="DO371" s="69"/>
      <c r="DP371" s="69"/>
      <c r="DQ371" s="11"/>
      <c r="DR371" s="69"/>
      <c r="DS371" s="69"/>
      <c r="DT371" s="69"/>
      <c r="DU371" s="69"/>
      <c r="DV371" s="97"/>
      <c r="DW371" s="98"/>
      <c r="DX371" s="71">
        <v>1.26E-9</v>
      </c>
      <c r="DY371" s="114">
        <v>1.74E-9</v>
      </c>
      <c r="DZ371" s="64" t="s">
        <v>762</v>
      </c>
      <c r="EA371" s="72" t="s">
        <v>822</v>
      </c>
      <c r="EB371" s="82"/>
    </row>
    <row r="372">
      <c r="A372" s="167" t="s">
        <v>903</v>
      </c>
      <c r="B372" s="56" t="s">
        <v>904</v>
      </c>
      <c r="C372" s="3"/>
      <c r="D372" s="4"/>
      <c r="E372" s="4"/>
      <c r="F372" s="57" t="s">
        <v>168</v>
      </c>
      <c r="G372" s="61">
        <v>270.7166</v>
      </c>
      <c r="H372" s="61">
        <v>-24.22156</v>
      </c>
      <c r="I372" s="60" t="s">
        <v>819</v>
      </c>
      <c r="J372" s="60" t="s">
        <v>169</v>
      </c>
      <c r="K372" s="61">
        <v>6.0</v>
      </c>
      <c r="L372" s="60">
        <v>1.74</v>
      </c>
      <c r="M372" s="5"/>
      <c r="N372" s="61"/>
      <c r="O372" s="61"/>
      <c r="P372" s="61"/>
      <c r="Q372" s="61"/>
      <c r="R372" s="61"/>
      <c r="S372" s="60"/>
      <c r="T372" s="60"/>
      <c r="U372" s="58"/>
      <c r="V372" s="5"/>
      <c r="W372" s="5"/>
      <c r="X372" s="5"/>
      <c r="Y372" s="166"/>
      <c r="Z372" s="60">
        <v>19.23</v>
      </c>
      <c r="AA372" s="60">
        <v>0.032</v>
      </c>
      <c r="AB372" s="60"/>
      <c r="AC372" s="60"/>
      <c r="AD372" s="60"/>
      <c r="AE372" s="60"/>
      <c r="AF372" s="60"/>
      <c r="AG372" s="60"/>
      <c r="AH372" s="60">
        <v>18.07</v>
      </c>
      <c r="AI372" s="60">
        <v>0.07515317691</v>
      </c>
      <c r="AJ372" s="76" t="s">
        <v>759</v>
      </c>
      <c r="AK372" s="64" t="s">
        <v>820</v>
      </c>
      <c r="AL372" s="168"/>
      <c r="AM372" s="7"/>
      <c r="AN372" s="77">
        <v>1250.0</v>
      </c>
      <c r="AO372" s="64">
        <v>50.0</v>
      </c>
      <c r="AP372" s="13"/>
      <c r="AQ372" s="13"/>
      <c r="AR372" s="78"/>
      <c r="AS372" s="97"/>
      <c r="AT372" s="67">
        <v>0.3</v>
      </c>
      <c r="AU372" s="70">
        <v>0.13</v>
      </c>
      <c r="AV372" s="13"/>
      <c r="AW372" s="13"/>
      <c r="AX372" s="73"/>
      <c r="AY372" s="73"/>
      <c r="AZ372" s="68" t="s">
        <v>812</v>
      </c>
      <c r="BA372" s="68" t="s">
        <v>821</v>
      </c>
      <c r="BB372" s="68">
        <v>-66.94</v>
      </c>
      <c r="BC372" s="68">
        <v>8.33</v>
      </c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2"/>
      <c r="DK372" s="12"/>
      <c r="DL372" s="12"/>
      <c r="DM372" s="69"/>
      <c r="DN372" s="69"/>
      <c r="DO372" s="69"/>
      <c r="DP372" s="69"/>
      <c r="DQ372" s="11"/>
      <c r="DR372" s="69"/>
      <c r="DS372" s="69"/>
      <c r="DT372" s="69"/>
      <c r="DU372" s="69"/>
      <c r="DV372" s="97"/>
      <c r="DW372" s="98"/>
      <c r="DX372" s="71">
        <v>1.58E-9</v>
      </c>
      <c r="DY372" s="114">
        <v>2.19E-9</v>
      </c>
      <c r="DZ372" s="64" t="s">
        <v>762</v>
      </c>
      <c r="EA372" s="72" t="s">
        <v>822</v>
      </c>
      <c r="EB372" s="82"/>
    </row>
    <row r="373">
      <c r="A373" s="167" t="s">
        <v>905</v>
      </c>
      <c r="B373" s="56" t="s">
        <v>906</v>
      </c>
      <c r="C373" s="3"/>
      <c r="D373" s="4"/>
      <c r="E373" s="4"/>
      <c r="F373" s="57" t="s">
        <v>168</v>
      </c>
      <c r="G373" s="61">
        <v>270.7414</v>
      </c>
      <c r="H373" s="61">
        <v>-24.28954</v>
      </c>
      <c r="I373" s="60" t="s">
        <v>819</v>
      </c>
      <c r="J373" s="60" t="s">
        <v>169</v>
      </c>
      <c r="K373" s="61">
        <v>6.0</v>
      </c>
      <c r="L373" s="60">
        <v>1.69</v>
      </c>
      <c r="M373" s="5"/>
      <c r="N373" s="61"/>
      <c r="O373" s="61"/>
      <c r="P373" s="61"/>
      <c r="Q373" s="61"/>
      <c r="R373" s="61"/>
      <c r="S373" s="60"/>
      <c r="T373" s="60"/>
      <c r="U373" s="58"/>
      <c r="V373" s="5"/>
      <c r="W373" s="5"/>
      <c r="X373" s="5"/>
      <c r="Y373" s="166"/>
      <c r="Z373" s="60">
        <v>19.33</v>
      </c>
      <c r="AA373" s="60">
        <v>0.032</v>
      </c>
      <c r="AB373" s="60"/>
      <c r="AC373" s="60"/>
      <c r="AD373" s="60"/>
      <c r="AE373" s="60"/>
      <c r="AF373" s="60"/>
      <c r="AG373" s="60"/>
      <c r="AH373" s="60">
        <v>18.23</v>
      </c>
      <c r="AI373" s="60">
        <v>0.06977105417</v>
      </c>
      <c r="AJ373" s="76" t="s">
        <v>759</v>
      </c>
      <c r="AK373" s="64" t="s">
        <v>820</v>
      </c>
      <c r="AL373" s="168"/>
      <c r="AM373" s="7"/>
      <c r="AN373" s="77">
        <v>1250.0</v>
      </c>
      <c r="AO373" s="64">
        <v>50.0</v>
      </c>
      <c r="AP373" s="13"/>
      <c r="AQ373" s="13"/>
      <c r="AR373" s="78"/>
      <c r="AS373" s="97"/>
      <c r="AT373" s="67">
        <v>0.3</v>
      </c>
      <c r="AU373" s="70">
        <v>0.13</v>
      </c>
      <c r="AV373" s="13"/>
      <c r="AW373" s="13"/>
      <c r="AX373" s="73"/>
      <c r="AY373" s="73"/>
      <c r="AZ373" s="68" t="s">
        <v>812</v>
      </c>
      <c r="BA373" s="68" t="s">
        <v>821</v>
      </c>
      <c r="BB373" s="68">
        <v>-47.02</v>
      </c>
      <c r="BC373" s="68">
        <v>4.64</v>
      </c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2"/>
      <c r="DK373" s="12"/>
      <c r="DL373" s="12"/>
      <c r="DM373" s="69"/>
      <c r="DN373" s="69"/>
      <c r="DO373" s="69"/>
      <c r="DP373" s="69"/>
      <c r="DQ373" s="11"/>
      <c r="DR373" s="69"/>
      <c r="DS373" s="69"/>
      <c r="DT373" s="69"/>
      <c r="DU373" s="69"/>
      <c r="DV373" s="97"/>
      <c r="DW373" s="98"/>
      <c r="DX373" s="71">
        <v>1.58E-9</v>
      </c>
      <c r="DY373" s="114">
        <v>2.19E-9</v>
      </c>
      <c r="DZ373" s="64" t="s">
        <v>762</v>
      </c>
      <c r="EA373" s="72" t="s">
        <v>822</v>
      </c>
      <c r="EB373" s="82"/>
    </row>
    <row r="374">
      <c r="A374" s="167" t="s">
        <v>907</v>
      </c>
      <c r="B374" s="56" t="s">
        <v>908</v>
      </c>
      <c r="C374" s="3"/>
      <c r="D374" s="4"/>
      <c r="E374" s="4"/>
      <c r="F374" s="57" t="s">
        <v>168</v>
      </c>
      <c r="G374" s="61">
        <v>271.1677</v>
      </c>
      <c r="H374" s="61">
        <v>-24.404</v>
      </c>
      <c r="I374" s="60" t="s">
        <v>819</v>
      </c>
      <c r="J374" s="60" t="s">
        <v>169</v>
      </c>
      <c r="K374" s="61">
        <v>5.6</v>
      </c>
      <c r="L374" s="60">
        <v>3.04</v>
      </c>
      <c r="M374" s="60">
        <v>2.0</v>
      </c>
      <c r="N374" s="61">
        <v>1489.2032762472</v>
      </c>
      <c r="O374" s="61">
        <v>0.2</v>
      </c>
      <c r="P374" s="61">
        <v>0.816</v>
      </c>
      <c r="Q374" s="61">
        <v>-2.169</v>
      </c>
      <c r="R374" s="61">
        <v>0.683</v>
      </c>
      <c r="S374" s="60"/>
      <c r="T374" s="60"/>
      <c r="U374" s="58"/>
      <c r="V374" s="5"/>
      <c r="W374" s="5"/>
      <c r="X374" s="5"/>
      <c r="Y374" s="166"/>
      <c r="Z374" s="60">
        <v>19.56</v>
      </c>
      <c r="AA374" s="60">
        <v>0.059</v>
      </c>
      <c r="AB374" s="60"/>
      <c r="AC374" s="60"/>
      <c r="AD374" s="60"/>
      <c r="AE374" s="60"/>
      <c r="AF374" s="60"/>
      <c r="AG374" s="60"/>
      <c r="AH374" s="60">
        <v>18.47</v>
      </c>
      <c r="AI374" s="60">
        <v>0.1639817063</v>
      </c>
      <c r="AJ374" s="76" t="s">
        <v>759</v>
      </c>
      <c r="AK374" s="64" t="s">
        <v>820</v>
      </c>
      <c r="AL374" s="168"/>
      <c r="AM374" s="7"/>
      <c r="AN374" s="77">
        <v>1250.0</v>
      </c>
      <c r="AO374" s="64">
        <v>50.0</v>
      </c>
      <c r="AP374" s="13"/>
      <c r="AQ374" s="13"/>
      <c r="AR374" s="78"/>
      <c r="AS374" s="97"/>
      <c r="AT374" s="67">
        <v>0.3</v>
      </c>
      <c r="AU374" s="70">
        <v>0.24</v>
      </c>
      <c r="AV374" s="13"/>
      <c r="AW374" s="13"/>
      <c r="AX374" s="73"/>
      <c r="AY374" s="73"/>
      <c r="AZ374" s="68" t="s">
        <v>812</v>
      </c>
      <c r="BA374" s="68" t="s">
        <v>821</v>
      </c>
      <c r="BB374" s="68">
        <v>-37.7</v>
      </c>
      <c r="BC374" s="68">
        <v>3.09</v>
      </c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2"/>
      <c r="DK374" s="12"/>
      <c r="DL374" s="12"/>
      <c r="DM374" s="69"/>
      <c r="DN374" s="69"/>
      <c r="DO374" s="69"/>
      <c r="DP374" s="69"/>
      <c r="DQ374" s="11"/>
      <c r="DR374" s="69"/>
      <c r="DS374" s="69"/>
      <c r="DT374" s="69"/>
      <c r="DU374" s="69"/>
      <c r="DV374" s="97"/>
      <c r="DW374" s="98"/>
      <c r="DX374" s="71">
        <v>1.58E-9</v>
      </c>
      <c r="DY374" s="114">
        <v>2.19E-9</v>
      </c>
      <c r="DZ374" s="64" t="s">
        <v>762</v>
      </c>
      <c r="EA374" s="72" t="s">
        <v>822</v>
      </c>
      <c r="EB374" s="82"/>
    </row>
    <row r="375">
      <c r="A375" s="167" t="s">
        <v>909</v>
      </c>
      <c r="B375" s="56" t="s">
        <v>910</v>
      </c>
      <c r="C375" s="3"/>
      <c r="D375" s="4"/>
      <c r="E375" s="4"/>
      <c r="F375" s="57" t="s">
        <v>168</v>
      </c>
      <c r="G375" s="61">
        <v>271.20554</v>
      </c>
      <c r="H375" s="61">
        <v>-24.06798</v>
      </c>
      <c r="I375" s="60" t="s">
        <v>819</v>
      </c>
      <c r="J375" s="60" t="s">
        <v>169</v>
      </c>
      <c r="K375" s="61">
        <v>5.0</v>
      </c>
      <c r="L375" s="60">
        <v>1.41</v>
      </c>
      <c r="M375" s="60">
        <v>2.0</v>
      </c>
      <c r="N375" s="61">
        <v>1205.83624743759</v>
      </c>
      <c r="O375" s="61">
        <v>0.194</v>
      </c>
      <c r="P375" s="61">
        <v>0.742</v>
      </c>
      <c r="Q375" s="61">
        <v>-1.514</v>
      </c>
      <c r="R375" s="61">
        <v>0.62</v>
      </c>
      <c r="S375" s="60"/>
      <c r="T375" s="60"/>
      <c r="U375" s="58"/>
      <c r="V375" s="5"/>
      <c r="W375" s="5"/>
      <c r="X375" s="5"/>
      <c r="Y375" s="166"/>
      <c r="Z375" s="60">
        <v>19.0</v>
      </c>
      <c r="AA375" s="60">
        <v>0.026</v>
      </c>
      <c r="AB375" s="60"/>
      <c r="AC375" s="60"/>
      <c r="AD375" s="60"/>
      <c r="AE375" s="60"/>
      <c r="AF375" s="60"/>
      <c r="AG375" s="60"/>
      <c r="AH375" s="60">
        <v>18.02</v>
      </c>
      <c r="AI375" s="60">
        <v>0.05993329626</v>
      </c>
      <c r="AJ375" s="76" t="s">
        <v>759</v>
      </c>
      <c r="AK375" s="64" t="s">
        <v>820</v>
      </c>
      <c r="AL375" s="168"/>
      <c r="AM375" s="7"/>
      <c r="AN375" s="77">
        <v>1250.0</v>
      </c>
      <c r="AO375" s="64">
        <v>50.0</v>
      </c>
      <c r="AP375" s="13"/>
      <c r="AQ375" s="13"/>
      <c r="AR375" s="78"/>
      <c r="AS375" s="97"/>
      <c r="AT375" s="67">
        <v>0.3</v>
      </c>
      <c r="AU375" s="70">
        <v>0.11</v>
      </c>
      <c r="AV375" s="13"/>
      <c r="AW375" s="13"/>
      <c r="AX375" s="73"/>
      <c r="AY375" s="73"/>
      <c r="AZ375" s="68" t="s">
        <v>812</v>
      </c>
      <c r="BA375" s="68" t="s">
        <v>821</v>
      </c>
      <c r="BB375" s="68">
        <v>-38.82</v>
      </c>
      <c r="BC375" s="68">
        <v>3.73</v>
      </c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2"/>
      <c r="DK375" s="12"/>
      <c r="DL375" s="12"/>
      <c r="DM375" s="69"/>
      <c r="DN375" s="69"/>
      <c r="DO375" s="69"/>
      <c r="DP375" s="69"/>
      <c r="DQ375" s="11"/>
      <c r="DR375" s="69"/>
      <c r="DS375" s="69"/>
      <c r="DT375" s="69"/>
      <c r="DU375" s="69"/>
      <c r="DV375" s="97"/>
      <c r="DW375" s="98"/>
      <c r="DX375" s="71">
        <v>1.58E-9</v>
      </c>
      <c r="DY375" s="114">
        <v>2.19E-9</v>
      </c>
      <c r="DZ375" s="64" t="s">
        <v>762</v>
      </c>
      <c r="EA375" s="72" t="s">
        <v>822</v>
      </c>
      <c r="EB375" s="82"/>
    </row>
    <row r="376">
      <c r="A376" s="167" t="s">
        <v>911</v>
      </c>
      <c r="B376" s="56" t="s">
        <v>912</v>
      </c>
      <c r="C376" s="3"/>
      <c r="D376" s="4"/>
      <c r="E376" s="4"/>
      <c r="F376" s="57" t="s">
        <v>168</v>
      </c>
      <c r="G376" s="61">
        <v>270.71222</v>
      </c>
      <c r="H376" s="61">
        <v>-24.37218</v>
      </c>
      <c r="I376" s="60" t="s">
        <v>819</v>
      </c>
      <c r="J376" s="60" t="s">
        <v>169</v>
      </c>
      <c r="K376" s="61">
        <v>6.1</v>
      </c>
      <c r="L376" s="60">
        <v>3.33</v>
      </c>
      <c r="M376" s="60">
        <v>2.0</v>
      </c>
      <c r="N376" s="61">
        <v>1009.89699050696</v>
      </c>
      <c r="O376" s="61">
        <v>1.038</v>
      </c>
      <c r="P376" s="61">
        <v>1.497</v>
      </c>
      <c r="Q376" s="61">
        <v>-1.931</v>
      </c>
      <c r="R376" s="61">
        <v>1.134</v>
      </c>
      <c r="S376" s="60"/>
      <c r="T376" s="60"/>
      <c r="U376" s="58"/>
      <c r="V376" s="5"/>
      <c r="W376" s="5"/>
      <c r="X376" s="5"/>
      <c r="Y376" s="166"/>
      <c r="Z376" s="60">
        <v>20.13</v>
      </c>
      <c r="AA376" s="60">
        <v>0.063</v>
      </c>
      <c r="AB376" s="60"/>
      <c r="AC376" s="60"/>
      <c r="AD376" s="60"/>
      <c r="AE376" s="60"/>
      <c r="AF376" s="60">
        <v>12.58</v>
      </c>
      <c r="AG376" s="60">
        <v>0.04</v>
      </c>
      <c r="AH376" s="60">
        <v>18.6</v>
      </c>
      <c r="AI376" s="60">
        <v>0.1148259553</v>
      </c>
      <c r="AJ376" s="76" t="s">
        <v>759</v>
      </c>
      <c r="AK376" s="64" t="s">
        <v>820</v>
      </c>
      <c r="AL376" s="168"/>
      <c r="AM376" s="7"/>
      <c r="AN376" s="77">
        <v>1250.0</v>
      </c>
      <c r="AO376" s="64">
        <v>50.0</v>
      </c>
      <c r="AP376" s="13"/>
      <c r="AQ376" s="13"/>
      <c r="AR376" s="78"/>
      <c r="AS376" s="97"/>
      <c r="AT376" s="67">
        <v>0.3</v>
      </c>
      <c r="AU376" s="70">
        <v>0.26</v>
      </c>
      <c r="AV376" s="13"/>
      <c r="AW376" s="13"/>
      <c r="AX376" s="73"/>
      <c r="AY376" s="73"/>
      <c r="AZ376" s="68" t="s">
        <v>812</v>
      </c>
      <c r="BA376" s="68" t="s">
        <v>821</v>
      </c>
      <c r="BB376" s="68">
        <v>-114.05</v>
      </c>
      <c r="BC376" s="68">
        <v>14.7</v>
      </c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2"/>
      <c r="DK376" s="12"/>
      <c r="DL376" s="12"/>
      <c r="DM376" s="69"/>
      <c r="DN376" s="69"/>
      <c r="DO376" s="69"/>
      <c r="DP376" s="69"/>
      <c r="DQ376" s="11"/>
      <c r="DR376" s="69"/>
      <c r="DS376" s="69"/>
      <c r="DT376" s="69"/>
      <c r="DU376" s="69"/>
      <c r="DV376" s="97"/>
      <c r="DW376" s="98"/>
      <c r="DX376" s="71">
        <v>2.0E-9</v>
      </c>
      <c r="DY376" s="114">
        <v>2.76E-9</v>
      </c>
      <c r="DZ376" s="64" t="s">
        <v>762</v>
      </c>
      <c r="EA376" s="72" t="s">
        <v>822</v>
      </c>
      <c r="EB376" s="82"/>
    </row>
    <row r="377">
      <c r="A377" s="167" t="s">
        <v>913</v>
      </c>
      <c r="B377" s="56" t="s">
        <v>914</v>
      </c>
      <c r="C377" s="3"/>
      <c r="D377" s="4"/>
      <c r="E377" s="4"/>
      <c r="F377" s="57" t="s">
        <v>168</v>
      </c>
      <c r="G377" s="61">
        <v>270.75626</v>
      </c>
      <c r="H377" s="61">
        <v>-24.33654</v>
      </c>
      <c r="I377" s="60" t="s">
        <v>819</v>
      </c>
      <c r="J377" s="60" t="s">
        <v>169</v>
      </c>
      <c r="K377" s="61">
        <v>5.7</v>
      </c>
      <c r="L377" s="60">
        <v>1.4</v>
      </c>
      <c r="M377" s="5"/>
      <c r="N377" s="61"/>
      <c r="O377" s="61"/>
      <c r="P377" s="61"/>
      <c r="Q377" s="61"/>
      <c r="R377" s="61"/>
      <c r="S377" s="60"/>
      <c r="T377" s="60"/>
      <c r="U377" s="58"/>
      <c r="V377" s="5"/>
      <c r="W377" s="5"/>
      <c r="X377" s="5"/>
      <c r="Y377" s="166"/>
      <c r="Z377" s="60">
        <v>19.11</v>
      </c>
      <c r="AA377" s="60">
        <v>0.026</v>
      </c>
      <c r="AB377" s="60"/>
      <c r="AC377" s="60"/>
      <c r="AD377" s="60"/>
      <c r="AE377" s="60"/>
      <c r="AF377" s="60"/>
      <c r="AG377" s="60"/>
      <c r="AH377" s="60">
        <v>18.04</v>
      </c>
      <c r="AI377" s="60">
        <v>0.07467261881</v>
      </c>
      <c r="AJ377" s="76" t="s">
        <v>759</v>
      </c>
      <c r="AK377" s="64" t="s">
        <v>820</v>
      </c>
      <c r="AL377" s="168"/>
      <c r="AM377" s="7"/>
      <c r="AN377" s="77">
        <v>1250.0</v>
      </c>
      <c r="AO377" s="64">
        <v>50.0</v>
      </c>
      <c r="AP377" s="13"/>
      <c r="AQ377" s="13"/>
      <c r="AR377" s="78"/>
      <c r="AS377" s="97"/>
      <c r="AT377" s="67">
        <v>0.3</v>
      </c>
      <c r="AU377" s="70">
        <v>0.11</v>
      </c>
      <c r="AV377" s="13"/>
      <c r="AW377" s="13"/>
      <c r="AX377" s="73"/>
      <c r="AY377" s="73"/>
      <c r="AZ377" s="68" t="s">
        <v>812</v>
      </c>
      <c r="BA377" s="68" t="s">
        <v>821</v>
      </c>
      <c r="BB377" s="68">
        <v>-44.9</v>
      </c>
      <c r="BC377" s="68">
        <v>4.14</v>
      </c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2"/>
      <c r="DK377" s="12"/>
      <c r="DL377" s="12"/>
      <c r="DM377" s="69"/>
      <c r="DN377" s="69"/>
      <c r="DO377" s="69"/>
      <c r="DP377" s="69"/>
      <c r="DQ377" s="11"/>
      <c r="DR377" s="69"/>
      <c r="DS377" s="69"/>
      <c r="DT377" s="69"/>
      <c r="DU377" s="69"/>
      <c r="DV377" s="97"/>
      <c r="DW377" s="98"/>
      <c r="DX377" s="71">
        <v>2.0E-9</v>
      </c>
      <c r="DY377" s="114">
        <v>2.76E-9</v>
      </c>
      <c r="DZ377" s="64" t="s">
        <v>762</v>
      </c>
      <c r="EA377" s="72" t="s">
        <v>822</v>
      </c>
      <c r="EB377" s="82"/>
    </row>
    <row r="378">
      <c r="A378" s="167" t="s">
        <v>915</v>
      </c>
      <c r="B378" s="56" t="s">
        <v>916</v>
      </c>
      <c r="C378" s="3"/>
      <c r="D378" s="4"/>
      <c r="E378" s="4"/>
      <c r="F378" s="57" t="s">
        <v>168</v>
      </c>
      <c r="G378" s="61">
        <v>270.7567</v>
      </c>
      <c r="H378" s="61">
        <v>-24.3285</v>
      </c>
      <c r="I378" s="60" t="s">
        <v>819</v>
      </c>
      <c r="J378" s="60" t="s">
        <v>169</v>
      </c>
      <c r="K378" s="61">
        <v>4.7</v>
      </c>
      <c r="L378" s="60">
        <v>0.68</v>
      </c>
      <c r="M378" s="5"/>
      <c r="N378" s="61"/>
      <c r="O378" s="61"/>
      <c r="P378" s="61"/>
      <c r="Q378" s="61"/>
      <c r="R378" s="61"/>
      <c r="S378" s="60"/>
      <c r="T378" s="60"/>
      <c r="U378" s="58"/>
      <c r="V378" s="5"/>
      <c r="W378" s="5"/>
      <c r="X378" s="5"/>
      <c r="Y378" s="166"/>
      <c r="Z378" s="60">
        <v>18.08</v>
      </c>
      <c r="AA378" s="60">
        <v>0.012</v>
      </c>
      <c r="AB378" s="60"/>
      <c r="AC378" s="60"/>
      <c r="AD378" s="60"/>
      <c r="AE378" s="60"/>
      <c r="AF378" s="60"/>
      <c r="AG378" s="60"/>
      <c r="AH378" s="60">
        <v>17.31</v>
      </c>
      <c r="AI378" s="60">
        <v>0.03605551275</v>
      </c>
      <c r="AJ378" s="76" t="s">
        <v>759</v>
      </c>
      <c r="AK378" s="64" t="s">
        <v>820</v>
      </c>
      <c r="AL378" s="168"/>
      <c r="AM378" s="7"/>
      <c r="AN378" s="77">
        <v>1250.0</v>
      </c>
      <c r="AO378" s="64">
        <v>50.0</v>
      </c>
      <c r="AP378" s="13"/>
      <c r="AQ378" s="13"/>
      <c r="AR378" s="78"/>
      <c r="AS378" s="97"/>
      <c r="AT378" s="67">
        <v>0.3</v>
      </c>
      <c r="AU378" s="70">
        <v>0.05</v>
      </c>
      <c r="AV378" s="13"/>
      <c r="AW378" s="13"/>
      <c r="AX378" s="73"/>
      <c r="AY378" s="73"/>
      <c r="AZ378" s="68" t="s">
        <v>812</v>
      </c>
      <c r="BA378" s="68" t="s">
        <v>821</v>
      </c>
      <c r="BB378" s="68">
        <v>-19.02</v>
      </c>
      <c r="BC378" s="68">
        <v>1.44</v>
      </c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2"/>
      <c r="DK378" s="12"/>
      <c r="DL378" s="12"/>
      <c r="DM378" s="69"/>
      <c r="DN378" s="69"/>
      <c r="DO378" s="69"/>
      <c r="DP378" s="69"/>
      <c r="DQ378" s="11"/>
      <c r="DR378" s="69"/>
      <c r="DS378" s="69"/>
      <c r="DT378" s="69"/>
      <c r="DU378" s="69"/>
      <c r="DV378" s="97"/>
      <c r="DW378" s="98"/>
      <c r="DX378" s="71">
        <v>2.0E-9</v>
      </c>
      <c r="DY378" s="114">
        <v>2.76E-9</v>
      </c>
      <c r="DZ378" s="64" t="s">
        <v>762</v>
      </c>
      <c r="EA378" s="72" t="s">
        <v>822</v>
      </c>
      <c r="EB378" s="82"/>
    </row>
    <row r="379">
      <c r="A379" s="167" t="s">
        <v>917</v>
      </c>
      <c r="B379" s="56" t="s">
        <v>918</v>
      </c>
      <c r="C379" s="3"/>
      <c r="D379" s="4"/>
      <c r="E379" s="4"/>
      <c r="F379" s="57" t="s">
        <v>168</v>
      </c>
      <c r="G379" s="61">
        <v>271.03436</v>
      </c>
      <c r="H379" s="61">
        <v>-24.48942</v>
      </c>
      <c r="I379" s="60" t="s">
        <v>819</v>
      </c>
      <c r="J379" s="60" t="s">
        <v>169</v>
      </c>
      <c r="K379" s="61">
        <v>5.6</v>
      </c>
      <c r="L379" s="60">
        <v>1.87</v>
      </c>
      <c r="M379" s="60">
        <v>2.0</v>
      </c>
      <c r="N379" s="61">
        <v>973.520249221183</v>
      </c>
      <c r="O379" s="61">
        <v>0.925</v>
      </c>
      <c r="P379" s="61">
        <v>0.649</v>
      </c>
      <c r="Q379" s="61">
        <v>-2.346</v>
      </c>
      <c r="R379" s="61">
        <v>0.515</v>
      </c>
      <c r="S379" s="60"/>
      <c r="T379" s="60"/>
      <c r="U379" s="58"/>
      <c r="V379" s="5"/>
      <c r="W379" s="5"/>
      <c r="X379" s="5"/>
      <c r="Y379" s="166"/>
      <c r="Z379" s="60">
        <v>19.51</v>
      </c>
      <c r="AA379" s="60">
        <v>0.036</v>
      </c>
      <c r="AB379" s="60"/>
      <c r="AC379" s="60"/>
      <c r="AD379" s="60"/>
      <c r="AE379" s="60"/>
      <c r="AF379" s="60"/>
      <c r="AG379" s="60"/>
      <c r="AH379" s="60">
        <v>18.36</v>
      </c>
      <c r="AI379" s="60">
        <v>0.07256031973</v>
      </c>
      <c r="AJ379" s="76" t="s">
        <v>759</v>
      </c>
      <c r="AK379" s="64" t="s">
        <v>820</v>
      </c>
      <c r="AL379" s="168"/>
      <c r="AM379" s="7"/>
      <c r="AN379" s="77">
        <v>1250.0</v>
      </c>
      <c r="AO379" s="64">
        <v>50.0</v>
      </c>
      <c r="AP379" s="13"/>
      <c r="AQ379" s="13"/>
      <c r="AR379" s="78"/>
      <c r="AS379" s="97"/>
      <c r="AT379" s="67">
        <v>0.3</v>
      </c>
      <c r="AU379" s="70">
        <v>0.14</v>
      </c>
      <c r="AV379" s="13"/>
      <c r="AW379" s="13"/>
      <c r="AX379" s="73"/>
      <c r="AY379" s="73"/>
      <c r="AZ379" s="68" t="s">
        <v>812</v>
      </c>
      <c r="BA379" s="68" t="s">
        <v>821</v>
      </c>
      <c r="BB379" s="68">
        <v>-47.33</v>
      </c>
      <c r="BC379" s="68">
        <v>4.51</v>
      </c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2"/>
      <c r="DK379" s="12"/>
      <c r="DL379" s="12"/>
      <c r="DM379" s="69"/>
      <c r="DN379" s="69"/>
      <c r="DO379" s="69"/>
      <c r="DP379" s="69"/>
      <c r="DQ379" s="11"/>
      <c r="DR379" s="69"/>
      <c r="DS379" s="69"/>
      <c r="DT379" s="69"/>
      <c r="DU379" s="69"/>
      <c r="DV379" s="97"/>
      <c r="DW379" s="98"/>
      <c r="DX379" s="71">
        <v>2.0E-9</v>
      </c>
      <c r="DY379" s="114">
        <v>2.76E-9</v>
      </c>
      <c r="DZ379" s="64" t="s">
        <v>762</v>
      </c>
      <c r="EA379" s="72" t="s">
        <v>822</v>
      </c>
      <c r="EB379" s="82"/>
    </row>
    <row r="380">
      <c r="A380" s="167" t="s">
        <v>919</v>
      </c>
      <c r="B380" s="56" t="s">
        <v>920</v>
      </c>
      <c r="C380" s="3"/>
      <c r="D380" s="4"/>
      <c r="E380" s="4"/>
      <c r="F380" s="57" t="s">
        <v>168</v>
      </c>
      <c r="G380" s="61">
        <v>271.10114</v>
      </c>
      <c r="H380" s="61">
        <v>-24.54057</v>
      </c>
      <c r="I380" s="60" t="s">
        <v>819</v>
      </c>
      <c r="J380" s="60" t="s">
        <v>169</v>
      </c>
      <c r="K380" s="61">
        <v>5.6</v>
      </c>
      <c r="L380" s="60">
        <v>1.6</v>
      </c>
      <c r="M380" s="5"/>
      <c r="N380" s="61"/>
      <c r="O380" s="61"/>
      <c r="P380" s="61"/>
      <c r="Q380" s="61"/>
      <c r="R380" s="61"/>
      <c r="S380" s="60"/>
      <c r="T380" s="60"/>
      <c r="U380" s="58"/>
      <c r="V380" s="5"/>
      <c r="W380" s="5"/>
      <c r="X380" s="5"/>
      <c r="Y380" s="166"/>
      <c r="Z380" s="60">
        <v>19.0</v>
      </c>
      <c r="AA380" s="60">
        <v>0.03</v>
      </c>
      <c r="AB380" s="60"/>
      <c r="AC380" s="60"/>
      <c r="AD380" s="60"/>
      <c r="AE380" s="60"/>
      <c r="AF380" s="60"/>
      <c r="AG380" s="60"/>
      <c r="AH380" s="60">
        <v>17.95</v>
      </c>
      <c r="AI380" s="60">
        <v>0.0635295207</v>
      </c>
      <c r="AJ380" s="76" t="s">
        <v>759</v>
      </c>
      <c r="AK380" s="64" t="s">
        <v>820</v>
      </c>
      <c r="AL380" s="168"/>
      <c r="AM380" s="7"/>
      <c r="AN380" s="77">
        <v>1250.0</v>
      </c>
      <c r="AO380" s="64">
        <v>50.0</v>
      </c>
      <c r="AP380" s="13"/>
      <c r="AQ380" s="13"/>
      <c r="AR380" s="78"/>
      <c r="AS380" s="97"/>
      <c r="AT380" s="67">
        <v>0.3</v>
      </c>
      <c r="AU380" s="70">
        <v>0.12</v>
      </c>
      <c r="AV380" s="13"/>
      <c r="AW380" s="13"/>
      <c r="AX380" s="73"/>
      <c r="AY380" s="73"/>
      <c r="AZ380" s="68" t="s">
        <v>812</v>
      </c>
      <c r="BA380" s="68" t="s">
        <v>821</v>
      </c>
      <c r="BB380" s="68">
        <v>-51.94</v>
      </c>
      <c r="BC380" s="68">
        <v>6.03</v>
      </c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2"/>
      <c r="DK380" s="12"/>
      <c r="DL380" s="12"/>
      <c r="DM380" s="69"/>
      <c r="DN380" s="69"/>
      <c r="DO380" s="69"/>
      <c r="DP380" s="69"/>
      <c r="DQ380" s="11"/>
      <c r="DR380" s="69"/>
      <c r="DS380" s="69"/>
      <c r="DT380" s="69"/>
      <c r="DU380" s="69"/>
      <c r="DV380" s="97"/>
      <c r="DW380" s="98"/>
      <c r="DX380" s="71">
        <v>2.0E-9</v>
      </c>
      <c r="DY380" s="114">
        <v>2.76E-9</v>
      </c>
      <c r="DZ380" s="64" t="s">
        <v>762</v>
      </c>
      <c r="EA380" s="72" t="s">
        <v>822</v>
      </c>
      <c r="EB380" s="82"/>
    </row>
    <row r="381">
      <c r="A381" s="167" t="s">
        <v>921</v>
      </c>
      <c r="B381" s="56" t="s">
        <v>922</v>
      </c>
      <c r="C381" s="3"/>
      <c r="D381" s="4"/>
      <c r="E381" s="4"/>
      <c r="F381" s="57" t="s">
        <v>168</v>
      </c>
      <c r="G381" s="61">
        <v>271.2819</v>
      </c>
      <c r="H381" s="61">
        <v>-24.22566</v>
      </c>
      <c r="I381" s="60" t="s">
        <v>819</v>
      </c>
      <c r="J381" s="60" t="s">
        <v>169</v>
      </c>
      <c r="K381" s="61">
        <v>5.5</v>
      </c>
      <c r="L381" s="60">
        <v>1.06</v>
      </c>
      <c r="M381" s="60">
        <v>2.0</v>
      </c>
      <c r="N381" s="61">
        <v>770.712909441233</v>
      </c>
      <c r="O381" s="61">
        <v>1.351</v>
      </c>
      <c r="P381" s="61">
        <v>0.511</v>
      </c>
      <c r="Q381" s="61">
        <v>-0.863</v>
      </c>
      <c r="R381" s="61">
        <v>0.429</v>
      </c>
      <c r="S381" s="60"/>
      <c r="T381" s="60"/>
      <c r="U381" s="58"/>
      <c r="V381" s="5"/>
      <c r="W381" s="5"/>
      <c r="X381" s="5"/>
      <c r="Y381" s="166"/>
      <c r="Z381" s="60">
        <v>18.73</v>
      </c>
      <c r="AA381" s="60">
        <v>0.019</v>
      </c>
      <c r="AB381" s="60"/>
      <c r="AC381" s="60"/>
      <c r="AD381" s="60"/>
      <c r="AE381" s="60"/>
      <c r="AF381" s="60"/>
      <c r="AG381" s="60"/>
      <c r="AH381" s="60">
        <v>17.78</v>
      </c>
      <c r="AI381" s="60">
        <v>0.04518849411</v>
      </c>
      <c r="AJ381" s="76" t="s">
        <v>759</v>
      </c>
      <c r="AK381" s="64" t="s">
        <v>820</v>
      </c>
      <c r="AL381" s="168"/>
      <c r="AM381" s="7"/>
      <c r="AN381" s="77">
        <v>1250.0</v>
      </c>
      <c r="AO381" s="64">
        <v>50.0</v>
      </c>
      <c r="AP381" s="13"/>
      <c r="AQ381" s="13"/>
      <c r="AR381" s="78"/>
      <c r="AS381" s="97"/>
      <c r="AT381" s="67">
        <v>0.3</v>
      </c>
      <c r="AU381" s="70">
        <v>0.08</v>
      </c>
      <c r="AV381" s="13"/>
      <c r="AW381" s="13"/>
      <c r="AX381" s="73"/>
      <c r="AY381" s="73"/>
      <c r="AZ381" s="68" t="s">
        <v>812</v>
      </c>
      <c r="BA381" s="68" t="s">
        <v>821</v>
      </c>
      <c r="BB381" s="68">
        <v>-29.84</v>
      </c>
      <c r="BC381" s="68">
        <v>2.89</v>
      </c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2"/>
      <c r="DK381" s="12"/>
      <c r="DL381" s="12"/>
      <c r="DM381" s="69"/>
      <c r="DN381" s="69"/>
      <c r="DO381" s="69"/>
      <c r="DP381" s="69"/>
      <c r="DQ381" s="11"/>
      <c r="DR381" s="69"/>
      <c r="DS381" s="69"/>
      <c r="DT381" s="69"/>
      <c r="DU381" s="69"/>
      <c r="DV381" s="97"/>
      <c r="DW381" s="98"/>
      <c r="DX381" s="71">
        <v>2.0E-9</v>
      </c>
      <c r="DY381" s="114">
        <v>2.76E-9</v>
      </c>
      <c r="DZ381" s="64" t="s">
        <v>762</v>
      </c>
      <c r="EA381" s="72" t="s">
        <v>822</v>
      </c>
      <c r="EB381" s="82"/>
    </row>
    <row r="382">
      <c r="A382" s="167" t="s">
        <v>923</v>
      </c>
      <c r="B382" s="56" t="s">
        <v>924</v>
      </c>
      <c r="C382" s="3"/>
      <c r="D382" s="4"/>
      <c r="E382" s="4"/>
      <c r="F382" s="57" t="s">
        <v>168</v>
      </c>
      <c r="G382" s="61">
        <v>270.6655</v>
      </c>
      <c r="H382" s="61">
        <v>-24.32527</v>
      </c>
      <c r="I382" s="60" t="s">
        <v>819</v>
      </c>
      <c r="J382" s="60" t="s">
        <v>169</v>
      </c>
      <c r="K382" s="61">
        <v>5.6</v>
      </c>
      <c r="L382" s="60">
        <v>0.77</v>
      </c>
      <c r="M382" s="60">
        <v>2.0</v>
      </c>
      <c r="N382" s="61">
        <v>1766.47235470764</v>
      </c>
      <c r="O382" s="61">
        <v>2.358</v>
      </c>
      <c r="P382" s="61">
        <v>0.427</v>
      </c>
      <c r="Q382" s="61">
        <v>-1.417</v>
      </c>
      <c r="R382" s="61">
        <v>0.345</v>
      </c>
      <c r="S382" s="60"/>
      <c r="T382" s="60"/>
      <c r="U382" s="58"/>
      <c r="V382" s="5"/>
      <c r="W382" s="5"/>
      <c r="X382" s="5"/>
      <c r="Y382" s="166"/>
      <c r="Z382" s="60">
        <v>18.45</v>
      </c>
      <c r="AA382" s="60">
        <v>0.014</v>
      </c>
      <c r="AB382" s="60"/>
      <c r="AC382" s="60"/>
      <c r="AD382" s="60"/>
      <c r="AE382" s="60"/>
      <c r="AF382" s="60"/>
      <c r="AG382" s="60"/>
      <c r="AH382" s="60">
        <v>17.53</v>
      </c>
      <c r="AI382" s="60">
        <v>0.03041381265</v>
      </c>
      <c r="AJ382" s="76" t="s">
        <v>759</v>
      </c>
      <c r="AK382" s="64" t="s">
        <v>820</v>
      </c>
      <c r="AL382" s="168"/>
      <c r="AM382" s="7"/>
      <c r="AN382" s="77">
        <v>1250.0</v>
      </c>
      <c r="AO382" s="64">
        <v>50.0</v>
      </c>
      <c r="AP382" s="13"/>
      <c r="AQ382" s="13"/>
      <c r="AR382" s="78"/>
      <c r="AS382" s="97"/>
      <c r="AT382" s="67">
        <v>0.3</v>
      </c>
      <c r="AU382" s="70">
        <v>0.06</v>
      </c>
      <c r="AV382" s="13"/>
      <c r="AW382" s="13"/>
      <c r="AX382" s="73"/>
      <c r="AY382" s="73"/>
      <c r="AZ382" s="68" t="s">
        <v>812</v>
      </c>
      <c r="BA382" s="68" t="s">
        <v>821</v>
      </c>
      <c r="BB382" s="68">
        <v>-33.25</v>
      </c>
      <c r="BC382" s="68">
        <v>4.58</v>
      </c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2"/>
      <c r="DK382" s="12"/>
      <c r="DL382" s="12"/>
      <c r="DM382" s="69"/>
      <c r="DN382" s="69"/>
      <c r="DO382" s="69"/>
      <c r="DP382" s="69"/>
      <c r="DQ382" s="11"/>
      <c r="DR382" s="69"/>
      <c r="DS382" s="69"/>
      <c r="DT382" s="69"/>
      <c r="DU382" s="69"/>
      <c r="DV382" s="97"/>
      <c r="DW382" s="98"/>
      <c r="DX382" s="71">
        <v>2.51E-9</v>
      </c>
      <c r="DY382" s="114">
        <v>3.47E-9</v>
      </c>
      <c r="DZ382" s="64" t="s">
        <v>762</v>
      </c>
      <c r="EA382" s="72" t="s">
        <v>822</v>
      </c>
      <c r="EB382" s="82"/>
    </row>
    <row r="383">
      <c r="A383" s="167" t="s">
        <v>925</v>
      </c>
      <c r="B383" s="56" t="s">
        <v>926</v>
      </c>
      <c r="C383" s="3"/>
      <c r="D383" s="4"/>
      <c r="E383" s="4"/>
      <c r="F383" s="57" t="s">
        <v>168</v>
      </c>
      <c r="G383" s="61">
        <v>270.7187</v>
      </c>
      <c r="H383" s="61">
        <v>-24.21731</v>
      </c>
      <c r="I383" s="60" t="s">
        <v>819</v>
      </c>
      <c r="J383" s="60" t="s">
        <v>169</v>
      </c>
      <c r="K383" s="61">
        <v>4.4</v>
      </c>
      <c r="L383" s="60">
        <v>1.4</v>
      </c>
      <c r="M383" s="60">
        <v>2.0</v>
      </c>
      <c r="N383" s="61">
        <v>26737.9679144385</v>
      </c>
      <c r="O383" s="61">
        <v>3.282</v>
      </c>
      <c r="P383" s="61">
        <v>0.583</v>
      </c>
      <c r="Q383" s="61">
        <v>-0.986</v>
      </c>
      <c r="R383" s="61">
        <v>0.479</v>
      </c>
      <c r="S383" s="60"/>
      <c r="T383" s="60"/>
      <c r="U383" s="58"/>
      <c r="V383" s="5"/>
      <c r="W383" s="5"/>
      <c r="X383" s="5"/>
      <c r="Y383" s="166"/>
      <c r="Z383" s="60">
        <v>19.0</v>
      </c>
      <c r="AA383" s="60">
        <v>0.026</v>
      </c>
      <c r="AB383" s="60"/>
      <c r="AC383" s="60"/>
      <c r="AD383" s="60"/>
      <c r="AE383" s="60"/>
      <c r="AF383" s="60"/>
      <c r="AG383" s="60"/>
      <c r="AH383" s="60">
        <v>17.99</v>
      </c>
      <c r="AI383" s="60">
        <v>0.06723094526</v>
      </c>
      <c r="AJ383" s="76" t="s">
        <v>759</v>
      </c>
      <c r="AK383" s="64" t="s">
        <v>820</v>
      </c>
      <c r="AL383" s="168"/>
      <c r="AM383" s="7"/>
      <c r="AN383" s="77">
        <v>1250.0</v>
      </c>
      <c r="AO383" s="64">
        <v>50.0</v>
      </c>
      <c r="AP383" s="13"/>
      <c r="AQ383" s="13"/>
      <c r="AR383" s="78"/>
      <c r="AS383" s="97"/>
      <c r="AT383" s="67">
        <v>0.3</v>
      </c>
      <c r="AU383" s="70">
        <v>0.11</v>
      </c>
      <c r="AV383" s="13"/>
      <c r="AW383" s="13"/>
      <c r="AX383" s="73"/>
      <c r="AY383" s="73"/>
      <c r="AZ383" s="68" t="s">
        <v>812</v>
      </c>
      <c r="BA383" s="68" t="s">
        <v>821</v>
      </c>
      <c r="BB383" s="68">
        <v>-31.71</v>
      </c>
      <c r="BC383" s="68">
        <v>1.89</v>
      </c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2"/>
      <c r="DK383" s="12"/>
      <c r="DL383" s="12"/>
      <c r="DM383" s="69"/>
      <c r="DN383" s="69"/>
      <c r="DO383" s="69"/>
      <c r="DP383" s="69"/>
      <c r="DQ383" s="11"/>
      <c r="DR383" s="69"/>
      <c r="DS383" s="69"/>
      <c r="DT383" s="69"/>
      <c r="DU383" s="69"/>
      <c r="DV383" s="97"/>
      <c r="DW383" s="98"/>
      <c r="DX383" s="71">
        <v>2.51E-9</v>
      </c>
      <c r="DY383" s="114">
        <v>3.47E-9</v>
      </c>
      <c r="DZ383" s="64" t="s">
        <v>762</v>
      </c>
      <c r="EA383" s="72" t="s">
        <v>822</v>
      </c>
      <c r="EB383" s="82"/>
    </row>
    <row r="384">
      <c r="A384" s="167" t="s">
        <v>927</v>
      </c>
      <c r="B384" s="56" t="s">
        <v>928</v>
      </c>
      <c r="C384" s="3"/>
      <c r="D384" s="4"/>
      <c r="E384" s="4"/>
      <c r="F384" s="57" t="s">
        <v>168</v>
      </c>
      <c r="G384" s="61">
        <v>270.73682</v>
      </c>
      <c r="H384" s="61">
        <v>-24.11864</v>
      </c>
      <c r="I384" s="60" t="s">
        <v>819</v>
      </c>
      <c r="J384" s="60" t="s">
        <v>169</v>
      </c>
      <c r="K384" s="61">
        <v>5.9</v>
      </c>
      <c r="L384" s="60">
        <v>0.79</v>
      </c>
      <c r="M384" s="60">
        <v>2.0</v>
      </c>
      <c r="N384" s="61">
        <v>940.556809631301</v>
      </c>
      <c r="O384" s="61">
        <v>2.72</v>
      </c>
      <c r="P384" s="61">
        <v>0.65</v>
      </c>
      <c r="Q384" s="61">
        <v>-0.189</v>
      </c>
      <c r="R384" s="61">
        <v>0.542</v>
      </c>
      <c r="S384" s="60"/>
      <c r="T384" s="60"/>
      <c r="U384" s="58"/>
      <c r="V384" s="5"/>
      <c r="W384" s="5"/>
      <c r="X384" s="5"/>
      <c r="Y384" s="166"/>
      <c r="Z384" s="60">
        <v>18.54</v>
      </c>
      <c r="AA384" s="60">
        <v>0.014</v>
      </c>
      <c r="AB384" s="60"/>
      <c r="AC384" s="60"/>
      <c r="AD384" s="60"/>
      <c r="AE384" s="60"/>
      <c r="AF384" s="60"/>
      <c r="AG384" s="60"/>
      <c r="AH384" s="60">
        <v>17.59</v>
      </c>
      <c r="AI384" s="60">
        <v>0.03041381265</v>
      </c>
      <c r="AJ384" s="76" t="s">
        <v>759</v>
      </c>
      <c r="AK384" s="64" t="s">
        <v>820</v>
      </c>
      <c r="AL384" s="168"/>
      <c r="AM384" s="7"/>
      <c r="AN384" s="77">
        <v>1250.0</v>
      </c>
      <c r="AO384" s="64">
        <v>50.0</v>
      </c>
      <c r="AP384" s="13"/>
      <c r="AQ384" s="13"/>
      <c r="AR384" s="78"/>
      <c r="AS384" s="97"/>
      <c r="AT384" s="67">
        <v>0.3</v>
      </c>
      <c r="AU384" s="70">
        <v>0.06</v>
      </c>
      <c r="AV384" s="13"/>
      <c r="AW384" s="13"/>
      <c r="AX384" s="73"/>
      <c r="AY384" s="73"/>
      <c r="AZ384" s="68" t="s">
        <v>812</v>
      </c>
      <c r="BA384" s="68" t="s">
        <v>821</v>
      </c>
      <c r="BB384" s="68">
        <v>-29.22</v>
      </c>
      <c r="BC384" s="68">
        <v>3.75</v>
      </c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2"/>
      <c r="DK384" s="12"/>
      <c r="DL384" s="12"/>
      <c r="DM384" s="69"/>
      <c r="DN384" s="69"/>
      <c r="DO384" s="69"/>
      <c r="DP384" s="69"/>
      <c r="DQ384" s="11"/>
      <c r="DR384" s="69"/>
      <c r="DS384" s="69"/>
      <c r="DT384" s="69"/>
      <c r="DU384" s="69"/>
      <c r="DV384" s="97"/>
      <c r="DW384" s="98"/>
      <c r="DX384" s="71">
        <v>2.51E-9</v>
      </c>
      <c r="DY384" s="114">
        <v>3.47E-9</v>
      </c>
      <c r="DZ384" s="64" t="s">
        <v>762</v>
      </c>
      <c r="EA384" s="72" t="s">
        <v>822</v>
      </c>
      <c r="EB384" s="82"/>
    </row>
    <row r="385">
      <c r="A385" s="167" t="s">
        <v>929</v>
      </c>
      <c r="B385" s="56" t="s">
        <v>930</v>
      </c>
      <c r="C385" s="3"/>
      <c r="D385" s="4"/>
      <c r="E385" s="4"/>
      <c r="F385" s="57" t="s">
        <v>168</v>
      </c>
      <c r="G385" s="61">
        <v>271.0556</v>
      </c>
      <c r="H385" s="61">
        <v>-24.2481</v>
      </c>
      <c r="I385" s="60" t="s">
        <v>819</v>
      </c>
      <c r="J385" s="60" t="s">
        <v>169</v>
      </c>
      <c r="K385" s="61">
        <v>4.5</v>
      </c>
      <c r="L385" s="60">
        <v>1.51</v>
      </c>
      <c r="M385" s="5"/>
      <c r="N385" s="61"/>
      <c r="O385" s="61"/>
      <c r="P385" s="61"/>
      <c r="Q385" s="61"/>
      <c r="R385" s="61"/>
      <c r="S385" s="60"/>
      <c r="T385" s="60"/>
      <c r="U385" s="58"/>
      <c r="V385" s="5"/>
      <c r="W385" s="5"/>
      <c r="X385" s="5"/>
      <c r="Y385" s="166"/>
      <c r="Z385" s="60">
        <v>18.85</v>
      </c>
      <c r="AA385" s="60">
        <v>0.029</v>
      </c>
      <c r="AB385" s="60"/>
      <c r="AC385" s="60"/>
      <c r="AD385" s="60"/>
      <c r="AE385" s="60"/>
      <c r="AF385" s="60"/>
      <c r="AG385" s="60"/>
      <c r="AH385" s="60">
        <v>17.84</v>
      </c>
      <c r="AI385" s="60">
        <v>0.0841546196</v>
      </c>
      <c r="AJ385" s="76" t="s">
        <v>759</v>
      </c>
      <c r="AK385" s="64" t="s">
        <v>820</v>
      </c>
      <c r="AL385" s="168"/>
      <c r="AM385" s="7"/>
      <c r="AN385" s="77">
        <v>1250.0</v>
      </c>
      <c r="AO385" s="64">
        <v>50.0</v>
      </c>
      <c r="AP385" s="13"/>
      <c r="AQ385" s="13"/>
      <c r="AR385" s="78"/>
      <c r="AS385" s="97"/>
      <c r="AT385" s="67">
        <v>0.3</v>
      </c>
      <c r="AU385" s="70">
        <v>0.12</v>
      </c>
      <c r="AV385" s="13"/>
      <c r="AW385" s="13"/>
      <c r="AX385" s="73"/>
      <c r="AY385" s="73"/>
      <c r="AZ385" s="68" t="s">
        <v>812</v>
      </c>
      <c r="BA385" s="68" t="s">
        <v>821</v>
      </c>
      <c r="BB385" s="68">
        <v>-34.94</v>
      </c>
      <c r="BC385" s="68">
        <v>1.55</v>
      </c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2"/>
      <c r="DK385" s="12"/>
      <c r="DL385" s="12"/>
      <c r="DM385" s="69"/>
      <c r="DN385" s="69"/>
      <c r="DO385" s="69"/>
      <c r="DP385" s="69"/>
      <c r="DQ385" s="11"/>
      <c r="DR385" s="69"/>
      <c r="DS385" s="69"/>
      <c r="DT385" s="69"/>
      <c r="DU385" s="69"/>
      <c r="DV385" s="97"/>
      <c r="DW385" s="98"/>
      <c r="DX385" s="71">
        <v>2.51E-9</v>
      </c>
      <c r="DY385" s="114">
        <v>3.47E-9</v>
      </c>
      <c r="DZ385" s="64" t="s">
        <v>762</v>
      </c>
      <c r="EA385" s="72" t="s">
        <v>822</v>
      </c>
      <c r="EB385" s="82"/>
    </row>
    <row r="386">
      <c r="A386" s="167" t="s">
        <v>931</v>
      </c>
      <c r="B386" s="56" t="s">
        <v>932</v>
      </c>
      <c r="C386" s="3"/>
      <c r="D386" s="4"/>
      <c r="E386" s="4"/>
      <c r="F386" s="57" t="s">
        <v>168</v>
      </c>
      <c r="G386" s="61">
        <v>271.06845</v>
      </c>
      <c r="H386" s="61">
        <v>-24.54784</v>
      </c>
      <c r="I386" s="60" t="s">
        <v>819</v>
      </c>
      <c r="J386" s="60" t="s">
        <v>169</v>
      </c>
      <c r="K386" s="61">
        <v>5.6</v>
      </c>
      <c r="L386" s="60">
        <v>0.93</v>
      </c>
      <c r="M386" s="60">
        <v>2.0</v>
      </c>
      <c r="N386" s="61">
        <v>1457.30107840279</v>
      </c>
      <c r="O386" s="61">
        <v>-2.339</v>
      </c>
      <c r="P386" s="61">
        <v>0.537</v>
      </c>
      <c r="Q386" s="61">
        <v>-3.425</v>
      </c>
      <c r="R386" s="61">
        <v>0.429</v>
      </c>
      <c r="S386" s="60"/>
      <c r="T386" s="60"/>
      <c r="U386" s="58"/>
      <c r="V386" s="5"/>
      <c r="W386" s="5"/>
      <c r="X386" s="5"/>
      <c r="Y386" s="166"/>
      <c r="Z386" s="60">
        <v>18.66</v>
      </c>
      <c r="AA386" s="60">
        <v>0.017</v>
      </c>
      <c r="AB386" s="60"/>
      <c r="AC386" s="60"/>
      <c r="AD386" s="60"/>
      <c r="AE386" s="60"/>
      <c r="AF386" s="60"/>
      <c r="AG386" s="60"/>
      <c r="AH386" s="60">
        <v>17.63</v>
      </c>
      <c r="AI386" s="60">
        <v>0.03535533906</v>
      </c>
      <c r="AJ386" s="76" t="s">
        <v>759</v>
      </c>
      <c r="AK386" s="64" t="s">
        <v>820</v>
      </c>
      <c r="AL386" s="168"/>
      <c r="AM386" s="7"/>
      <c r="AN386" s="77">
        <v>1250.0</v>
      </c>
      <c r="AO386" s="64">
        <v>50.0</v>
      </c>
      <c r="AP386" s="13"/>
      <c r="AQ386" s="13"/>
      <c r="AR386" s="78"/>
      <c r="AS386" s="97"/>
      <c r="AT386" s="67">
        <v>0.3</v>
      </c>
      <c r="AU386" s="70">
        <v>0.07</v>
      </c>
      <c r="AV386" s="13"/>
      <c r="AW386" s="13"/>
      <c r="AX386" s="73"/>
      <c r="AY386" s="73"/>
      <c r="AZ386" s="68" t="s">
        <v>812</v>
      </c>
      <c r="BA386" s="68" t="s">
        <v>821</v>
      </c>
      <c r="BB386" s="68">
        <v>-47.02</v>
      </c>
      <c r="BC386" s="68">
        <v>6.97</v>
      </c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2"/>
      <c r="DK386" s="12"/>
      <c r="DL386" s="12"/>
      <c r="DM386" s="69"/>
      <c r="DN386" s="69"/>
      <c r="DO386" s="69"/>
      <c r="DP386" s="69"/>
      <c r="DQ386" s="11"/>
      <c r="DR386" s="69"/>
      <c r="DS386" s="69"/>
      <c r="DT386" s="69"/>
      <c r="DU386" s="69"/>
      <c r="DV386" s="97"/>
      <c r="DW386" s="98"/>
      <c r="DX386" s="71">
        <v>2.51E-9</v>
      </c>
      <c r="DY386" s="114">
        <v>3.47E-9</v>
      </c>
      <c r="DZ386" s="64" t="s">
        <v>762</v>
      </c>
      <c r="EA386" s="72" t="s">
        <v>822</v>
      </c>
      <c r="EB386" s="82"/>
    </row>
    <row r="387">
      <c r="A387" s="167" t="s">
        <v>933</v>
      </c>
      <c r="B387" s="56" t="s">
        <v>934</v>
      </c>
      <c r="C387" s="3"/>
      <c r="D387" s="4"/>
      <c r="E387" s="4"/>
      <c r="F387" s="57" t="s">
        <v>168</v>
      </c>
      <c r="G387" s="61">
        <v>271.09198</v>
      </c>
      <c r="H387" s="61">
        <v>-24.21972</v>
      </c>
      <c r="I387" s="60" t="s">
        <v>819</v>
      </c>
      <c r="J387" s="60" t="s">
        <v>169</v>
      </c>
      <c r="K387" s="61">
        <v>5.2</v>
      </c>
      <c r="L387" s="60">
        <v>2.3</v>
      </c>
      <c r="M387" s="60">
        <v>2.0</v>
      </c>
      <c r="N387" s="61">
        <v>1216.10117961814</v>
      </c>
      <c r="O387" s="61">
        <v>1.571</v>
      </c>
      <c r="P387" s="61">
        <v>0.556</v>
      </c>
      <c r="Q387" s="61">
        <v>-2.117</v>
      </c>
      <c r="R387" s="61">
        <v>0.464</v>
      </c>
      <c r="S387" s="60"/>
      <c r="T387" s="60"/>
      <c r="U387" s="58"/>
      <c r="V387" s="5"/>
      <c r="W387" s="5"/>
      <c r="X387" s="5"/>
      <c r="Y387" s="166"/>
      <c r="Z387" s="60">
        <v>19.55</v>
      </c>
      <c r="AA387" s="60">
        <v>0.044</v>
      </c>
      <c r="AB387" s="60"/>
      <c r="AC387" s="60"/>
      <c r="AD387" s="60"/>
      <c r="AE387" s="60"/>
      <c r="AF387" s="60"/>
      <c r="AG387" s="60"/>
      <c r="AH387" s="60">
        <v>18.38</v>
      </c>
      <c r="AI387" s="60">
        <v>0.09928242543</v>
      </c>
      <c r="AJ387" s="76" t="s">
        <v>759</v>
      </c>
      <c r="AK387" s="64" t="s">
        <v>820</v>
      </c>
      <c r="AL387" s="168"/>
      <c r="AM387" s="7"/>
      <c r="AN387" s="77">
        <v>1250.0</v>
      </c>
      <c r="AO387" s="64">
        <v>50.0</v>
      </c>
      <c r="AP387" s="13"/>
      <c r="AQ387" s="13"/>
      <c r="AR387" s="78"/>
      <c r="AS387" s="97"/>
      <c r="AT387" s="67">
        <v>0.3</v>
      </c>
      <c r="AU387" s="70">
        <v>0.18</v>
      </c>
      <c r="AV387" s="13"/>
      <c r="AW387" s="13"/>
      <c r="AX387" s="73"/>
      <c r="AY387" s="73"/>
      <c r="AZ387" s="68" t="s">
        <v>812</v>
      </c>
      <c r="BA387" s="68" t="s">
        <v>821</v>
      </c>
      <c r="BB387" s="68">
        <v>-47.86</v>
      </c>
      <c r="BC387" s="68">
        <v>2.89</v>
      </c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2"/>
      <c r="DK387" s="12"/>
      <c r="DL387" s="12"/>
      <c r="DM387" s="69"/>
      <c r="DN387" s="69"/>
      <c r="DO387" s="69"/>
      <c r="DP387" s="69"/>
      <c r="DQ387" s="11"/>
      <c r="DR387" s="69"/>
      <c r="DS387" s="69"/>
      <c r="DT387" s="69"/>
      <c r="DU387" s="69"/>
      <c r="DV387" s="97"/>
      <c r="DW387" s="98"/>
      <c r="DX387" s="71">
        <v>2.51E-9</v>
      </c>
      <c r="DY387" s="114">
        <v>3.47E-9</v>
      </c>
      <c r="DZ387" s="64" t="s">
        <v>762</v>
      </c>
      <c r="EA387" s="72" t="s">
        <v>822</v>
      </c>
      <c r="EB387" s="82"/>
    </row>
    <row r="388">
      <c r="A388" s="167" t="s">
        <v>935</v>
      </c>
      <c r="B388" s="56" t="s">
        <v>936</v>
      </c>
      <c r="C388" s="3"/>
      <c r="D388" s="4"/>
      <c r="E388" s="4"/>
      <c r="F388" s="57" t="s">
        <v>168</v>
      </c>
      <c r="G388" s="61">
        <v>271.1643</v>
      </c>
      <c r="H388" s="61">
        <v>-24.2988</v>
      </c>
      <c r="I388" s="60" t="s">
        <v>819</v>
      </c>
      <c r="J388" s="60" t="s">
        <v>169</v>
      </c>
      <c r="K388" s="61">
        <v>5.4</v>
      </c>
      <c r="L388" s="60">
        <v>0.94</v>
      </c>
      <c r="M388" s="5"/>
      <c r="N388" s="61"/>
      <c r="O388" s="61"/>
      <c r="P388" s="61"/>
      <c r="Q388" s="61"/>
      <c r="R388" s="61"/>
      <c r="S388" s="60"/>
      <c r="T388" s="60"/>
      <c r="U388" s="58"/>
      <c r="V388" s="5"/>
      <c r="W388" s="5"/>
      <c r="X388" s="5"/>
      <c r="Y388" s="166"/>
      <c r="Z388" s="60">
        <v>18.3</v>
      </c>
      <c r="AA388" s="60">
        <v>0.017</v>
      </c>
      <c r="AB388" s="60"/>
      <c r="AC388" s="60"/>
      <c r="AD388" s="60"/>
      <c r="AE388" s="60"/>
      <c r="AF388" s="60"/>
      <c r="AG388" s="60"/>
      <c r="AH388" s="60">
        <v>17.4</v>
      </c>
      <c r="AI388" s="60">
        <v>0.04810405388</v>
      </c>
      <c r="AJ388" s="76" t="s">
        <v>759</v>
      </c>
      <c r="AK388" s="64" t="s">
        <v>820</v>
      </c>
      <c r="AL388" s="168"/>
      <c r="AM388" s="7"/>
      <c r="AN388" s="77">
        <v>1250.0</v>
      </c>
      <c r="AO388" s="64">
        <v>50.0</v>
      </c>
      <c r="AP388" s="13"/>
      <c r="AQ388" s="13"/>
      <c r="AR388" s="78"/>
      <c r="AS388" s="97"/>
      <c r="AT388" s="67">
        <v>0.3</v>
      </c>
      <c r="AU388" s="70">
        <v>0.07</v>
      </c>
      <c r="AV388" s="13"/>
      <c r="AW388" s="13"/>
      <c r="AX388" s="73"/>
      <c r="AY388" s="73"/>
      <c r="AZ388" s="68" t="s">
        <v>812</v>
      </c>
      <c r="BA388" s="68" t="s">
        <v>821</v>
      </c>
      <c r="BB388" s="68">
        <v>-30.0</v>
      </c>
      <c r="BC388" s="68">
        <v>2.86</v>
      </c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2"/>
      <c r="DK388" s="12"/>
      <c r="DL388" s="12"/>
      <c r="DM388" s="69"/>
      <c r="DN388" s="69"/>
      <c r="DO388" s="69"/>
      <c r="DP388" s="69"/>
      <c r="DQ388" s="11"/>
      <c r="DR388" s="69"/>
      <c r="DS388" s="69"/>
      <c r="DT388" s="69"/>
      <c r="DU388" s="69"/>
      <c r="DV388" s="97"/>
      <c r="DW388" s="98"/>
      <c r="DX388" s="71">
        <v>2.51E-9</v>
      </c>
      <c r="DY388" s="114">
        <v>3.47E-9</v>
      </c>
      <c r="DZ388" s="64" t="s">
        <v>762</v>
      </c>
      <c r="EA388" s="72" t="s">
        <v>822</v>
      </c>
      <c r="EB388" s="82"/>
    </row>
    <row r="389">
      <c r="A389" s="167" t="s">
        <v>937</v>
      </c>
      <c r="B389" s="56" t="s">
        <v>938</v>
      </c>
      <c r="C389" s="3"/>
      <c r="D389" s="4"/>
      <c r="E389" s="4"/>
      <c r="F389" s="57" t="s">
        <v>168</v>
      </c>
      <c r="G389" s="61">
        <v>270.68173</v>
      </c>
      <c r="H389" s="61">
        <v>-24.205</v>
      </c>
      <c r="I389" s="60" t="s">
        <v>819</v>
      </c>
      <c r="J389" s="60" t="s">
        <v>169</v>
      </c>
      <c r="K389" s="61">
        <v>5.8</v>
      </c>
      <c r="L389" s="60">
        <v>1.91</v>
      </c>
      <c r="M389" s="60">
        <v>2.0</v>
      </c>
      <c r="N389" s="61">
        <v>1188.49536486807</v>
      </c>
      <c r="O389" s="61">
        <v>1.462</v>
      </c>
      <c r="P389" s="61">
        <v>0.431</v>
      </c>
      <c r="Q389" s="61">
        <v>-0.981</v>
      </c>
      <c r="R389" s="61">
        <v>0.335</v>
      </c>
      <c r="S389" s="60"/>
      <c r="T389" s="60"/>
      <c r="U389" s="58"/>
      <c r="V389" s="5"/>
      <c r="W389" s="5"/>
      <c r="X389" s="5"/>
      <c r="Y389" s="166"/>
      <c r="Z389" s="60">
        <v>19.41</v>
      </c>
      <c r="AA389" s="60">
        <v>0.036</v>
      </c>
      <c r="AB389" s="60"/>
      <c r="AC389" s="60"/>
      <c r="AD389" s="60"/>
      <c r="AE389" s="60"/>
      <c r="AF389" s="60"/>
      <c r="AG389" s="60"/>
      <c r="AH389" s="60">
        <v>18.1</v>
      </c>
      <c r="AI389" s="60">
        <v>0.08049844719</v>
      </c>
      <c r="AJ389" s="76" t="s">
        <v>759</v>
      </c>
      <c r="AK389" s="64" t="s">
        <v>820</v>
      </c>
      <c r="AL389" s="168"/>
      <c r="AM389" s="7"/>
      <c r="AN389" s="77">
        <v>1250.0</v>
      </c>
      <c r="AO389" s="64">
        <v>50.0</v>
      </c>
      <c r="AP389" s="13"/>
      <c r="AQ389" s="13"/>
      <c r="AR389" s="78"/>
      <c r="AS389" s="97"/>
      <c r="AT389" s="67">
        <v>0.3</v>
      </c>
      <c r="AU389" s="70">
        <v>0.15</v>
      </c>
      <c r="AV389" s="13"/>
      <c r="AW389" s="13"/>
      <c r="AX389" s="73"/>
      <c r="AY389" s="73"/>
      <c r="AZ389" s="68" t="s">
        <v>812</v>
      </c>
      <c r="BA389" s="68" t="s">
        <v>821</v>
      </c>
      <c r="BB389" s="68">
        <v>-76.71</v>
      </c>
      <c r="BC389" s="68">
        <v>9.91</v>
      </c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2"/>
      <c r="DK389" s="12"/>
      <c r="DL389" s="12"/>
      <c r="DM389" s="69"/>
      <c r="DN389" s="69"/>
      <c r="DO389" s="69"/>
      <c r="DP389" s="69"/>
      <c r="DQ389" s="11"/>
      <c r="DR389" s="69"/>
      <c r="DS389" s="69"/>
      <c r="DT389" s="69"/>
      <c r="DU389" s="69"/>
      <c r="DV389" s="97"/>
      <c r="DW389" s="98"/>
      <c r="DX389" s="71">
        <v>3.16E-9</v>
      </c>
      <c r="DY389" s="114">
        <v>4.37E-9</v>
      </c>
      <c r="DZ389" s="64" t="s">
        <v>762</v>
      </c>
      <c r="EA389" s="72" t="s">
        <v>822</v>
      </c>
      <c r="EB389" s="82"/>
    </row>
    <row r="390">
      <c r="A390" s="167" t="s">
        <v>939</v>
      </c>
      <c r="B390" s="56" t="s">
        <v>940</v>
      </c>
      <c r="C390" s="3"/>
      <c r="D390" s="4"/>
      <c r="E390" s="4"/>
      <c r="F390" s="57" t="s">
        <v>168</v>
      </c>
      <c r="G390" s="61">
        <v>270.7035</v>
      </c>
      <c r="H390" s="61">
        <v>-24.26321</v>
      </c>
      <c r="I390" s="60" t="s">
        <v>819</v>
      </c>
      <c r="J390" s="60" t="s">
        <v>169</v>
      </c>
      <c r="K390" s="61">
        <v>5.3</v>
      </c>
      <c r="L390" s="60">
        <v>0.77</v>
      </c>
      <c r="M390" s="60">
        <v>2.0</v>
      </c>
      <c r="N390" s="61">
        <v>1421.86833499217</v>
      </c>
      <c r="O390" s="61">
        <v>2.761</v>
      </c>
      <c r="P390" s="61">
        <v>0.775</v>
      </c>
      <c r="Q390" s="61">
        <v>-1.231</v>
      </c>
      <c r="R390" s="61">
        <v>0.671</v>
      </c>
      <c r="S390" s="60"/>
      <c r="T390" s="60"/>
      <c r="U390" s="58"/>
      <c r="V390" s="5"/>
      <c r="W390" s="5"/>
      <c r="X390" s="5"/>
      <c r="Y390" s="166"/>
      <c r="Z390" s="60">
        <v>18.27</v>
      </c>
      <c r="AA390" s="60">
        <v>0.014</v>
      </c>
      <c r="AB390" s="60"/>
      <c r="AC390" s="60"/>
      <c r="AD390" s="60"/>
      <c r="AE390" s="60"/>
      <c r="AF390" s="60"/>
      <c r="AG390" s="60"/>
      <c r="AH390" s="60">
        <v>17.33</v>
      </c>
      <c r="AI390" s="60">
        <v>0.03310589071</v>
      </c>
      <c r="AJ390" s="76" t="s">
        <v>759</v>
      </c>
      <c r="AK390" s="64" t="s">
        <v>820</v>
      </c>
      <c r="AL390" s="168"/>
      <c r="AM390" s="7"/>
      <c r="AN390" s="77">
        <v>1250.0</v>
      </c>
      <c r="AO390" s="64">
        <v>50.0</v>
      </c>
      <c r="AP390" s="13"/>
      <c r="AQ390" s="13"/>
      <c r="AR390" s="78"/>
      <c r="AS390" s="97"/>
      <c r="AT390" s="67">
        <v>0.3</v>
      </c>
      <c r="AU390" s="70">
        <v>0.06</v>
      </c>
      <c r="AV390" s="13"/>
      <c r="AW390" s="13"/>
      <c r="AX390" s="73"/>
      <c r="AY390" s="73"/>
      <c r="AZ390" s="68" t="s">
        <v>812</v>
      </c>
      <c r="BA390" s="68" t="s">
        <v>821</v>
      </c>
      <c r="BB390" s="68">
        <v>-33.49</v>
      </c>
      <c r="BC390" s="68">
        <v>4.46</v>
      </c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2"/>
      <c r="DK390" s="12"/>
      <c r="DL390" s="12"/>
      <c r="DM390" s="69"/>
      <c r="DN390" s="69"/>
      <c r="DO390" s="69"/>
      <c r="DP390" s="69"/>
      <c r="DQ390" s="11"/>
      <c r="DR390" s="69"/>
      <c r="DS390" s="69"/>
      <c r="DT390" s="69"/>
      <c r="DU390" s="69"/>
      <c r="DV390" s="97"/>
      <c r="DW390" s="98"/>
      <c r="DX390" s="71">
        <v>3.16E-9</v>
      </c>
      <c r="DY390" s="114">
        <v>4.37E-9</v>
      </c>
      <c r="DZ390" s="64" t="s">
        <v>762</v>
      </c>
      <c r="EA390" s="72" t="s">
        <v>822</v>
      </c>
      <c r="EB390" s="82"/>
    </row>
    <row r="391">
      <c r="A391" s="167" t="s">
        <v>941</v>
      </c>
      <c r="B391" s="56" t="s">
        <v>942</v>
      </c>
      <c r="C391" s="3"/>
      <c r="D391" s="4"/>
      <c r="E391" s="4"/>
      <c r="F391" s="57" t="s">
        <v>168</v>
      </c>
      <c r="G391" s="61">
        <v>271.03967</v>
      </c>
      <c r="H391" s="61">
        <v>-24.27513</v>
      </c>
      <c r="I391" s="60" t="s">
        <v>819</v>
      </c>
      <c r="J391" s="60" t="s">
        <v>169</v>
      </c>
      <c r="K391" s="61">
        <v>5.9</v>
      </c>
      <c r="L391" s="60">
        <v>2.29</v>
      </c>
      <c r="M391" s="60">
        <v>2.0</v>
      </c>
      <c r="N391" s="61">
        <v>13531.799729364</v>
      </c>
      <c r="O391" s="61">
        <v>1.274</v>
      </c>
      <c r="P391" s="61">
        <v>0.754</v>
      </c>
      <c r="Q391" s="61">
        <v>-0.905</v>
      </c>
      <c r="R391" s="61">
        <v>0.638</v>
      </c>
      <c r="S391" s="60"/>
      <c r="T391" s="60"/>
      <c r="U391" s="58"/>
      <c r="V391" s="5"/>
      <c r="W391" s="5"/>
      <c r="X391" s="5"/>
      <c r="Y391" s="166"/>
      <c r="Z391" s="60">
        <v>19.22</v>
      </c>
      <c r="AA391" s="60">
        <v>0.044</v>
      </c>
      <c r="AB391" s="60"/>
      <c r="AC391" s="60"/>
      <c r="AD391" s="60"/>
      <c r="AE391" s="60"/>
      <c r="AF391" s="60"/>
      <c r="AG391" s="60"/>
      <c r="AH391" s="60">
        <v>18.02</v>
      </c>
      <c r="AI391" s="60">
        <v>0.1110855526</v>
      </c>
      <c r="AJ391" s="76" t="s">
        <v>759</v>
      </c>
      <c r="AK391" s="64" t="s">
        <v>820</v>
      </c>
      <c r="AL391" s="168"/>
      <c r="AM391" s="7"/>
      <c r="AN391" s="77">
        <v>1250.0</v>
      </c>
      <c r="AO391" s="64">
        <v>50.0</v>
      </c>
      <c r="AP391" s="13"/>
      <c r="AQ391" s="13"/>
      <c r="AR391" s="78"/>
      <c r="AS391" s="97"/>
      <c r="AT391" s="67">
        <v>0.3</v>
      </c>
      <c r="AU391" s="70">
        <v>0.18</v>
      </c>
      <c r="AV391" s="13"/>
      <c r="AW391" s="13"/>
      <c r="AX391" s="73"/>
      <c r="AY391" s="73"/>
      <c r="AZ391" s="68" t="s">
        <v>812</v>
      </c>
      <c r="BA391" s="68" t="s">
        <v>821</v>
      </c>
      <c r="BB391" s="68">
        <v>-60.98</v>
      </c>
      <c r="BC391" s="68">
        <v>4.83</v>
      </c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2"/>
      <c r="DK391" s="12"/>
      <c r="DL391" s="12"/>
      <c r="DM391" s="69"/>
      <c r="DN391" s="69"/>
      <c r="DO391" s="69"/>
      <c r="DP391" s="69"/>
      <c r="DQ391" s="11"/>
      <c r="DR391" s="69"/>
      <c r="DS391" s="69"/>
      <c r="DT391" s="69"/>
      <c r="DU391" s="69"/>
      <c r="DV391" s="97"/>
      <c r="DW391" s="98"/>
      <c r="DX391" s="71">
        <v>3.16E-9</v>
      </c>
      <c r="DY391" s="114">
        <v>4.37E-9</v>
      </c>
      <c r="DZ391" s="64" t="s">
        <v>762</v>
      </c>
      <c r="EA391" s="72" t="s">
        <v>822</v>
      </c>
      <c r="EB391" s="82"/>
    </row>
    <row r="392">
      <c r="A392" s="167" t="s">
        <v>941</v>
      </c>
      <c r="B392" s="56" t="s">
        <v>943</v>
      </c>
      <c r="C392" s="3"/>
      <c r="D392" s="4"/>
      <c r="E392" s="4"/>
      <c r="F392" s="57" t="s">
        <v>168</v>
      </c>
      <c r="G392" s="61">
        <v>271.0397</v>
      </c>
      <c r="H392" s="61">
        <v>-24.27513</v>
      </c>
      <c r="I392" s="60" t="s">
        <v>819</v>
      </c>
      <c r="J392" s="60" t="s">
        <v>169</v>
      </c>
      <c r="K392" s="61">
        <v>5.9</v>
      </c>
      <c r="L392" s="60">
        <v>2.74</v>
      </c>
      <c r="M392" s="60">
        <v>2.0</v>
      </c>
      <c r="N392" s="61">
        <v>13531.799729364</v>
      </c>
      <c r="O392" s="61">
        <v>1.274</v>
      </c>
      <c r="P392" s="61">
        <v>0.754</v>
      </c>
      <c r="Q392" s="61">
        <v>-0.905</v>
      </c>
      <c r="R392" s="61">
        <v>0.638</v>
      </c>
      <c r="S392" s="60"/>
      <c r="T392" s="60"/>
      <c r="U392" s="58"/>
      <c r="V392" s="5"/>
      <c r="W392" s="5"/>
      <c r="X392" s="5"/>
      <c r="Y392" s="166"/>
      <c r="Z392" s="60">
        <v>19.53</v>
      </c>
      <c r="AA392" s="60">
        <v>0.053</v>
      </c>
      <c r="AB392" s="60"/>
      <c r="AC392" s="60"/>
      <c r="AD392" s="60"/>
      <c r="AE392" s="60"/>
      <c r="AF392" s="60"/>
      <c r="AG392" s="60"/>
      <c r="AH392" s="60">
        <v>18.16</v>
      </c>
      <c r="AI392" s="60">
        <v>0.1239072234</v>
      </c>
      <c r="AJ392" s="76" t="s">
        <v>759</v>
      </c>
      <c r="AK392" s="64" t="s">
        <v>820</v>
      </c>
      <c r="AL392" s="168"/>
      <c r="AM392" s="7"/>
      <c r="AN392" s="77">
        <v>1250.0</v>
      </c>
      <c r="AO392" s="64">
        <v>50.0</v>
      </c>
      <c r="AP392" s="13"/>
      <c r="AQ392" s="13"/>
      <c r="AR392" s="78"/>
      <c r="AS392" s="97"/>
      <c r="AT392" s="67">
        <v>0.3</v>
      </c>
      <c r="AU392" s="70">
        <v>0.21</v>
      </c>
      <c r="AV392" s="13"/>
      <c r="AW392" s="13"/>
      <c r="AX392" s="73"/>
      <c r="AY392" s="73"/>
      <c r="AZ392" s="68" t="s">
        <v>812</v>
      </c>
      <c r="BA392" s="68" t="s">
        <v>821</v>
      </c>
      <c r="BB392" s="68">
        <v>-85.01</v>
      </c>
      <c r="BC392" s="68">
        <v>8.69</v>
      </c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2"/>
      <c r="DK392" s="12"/>
      <c r="DL392" s="12"/>
      <c r="DM392" s="69"/>
      <c r="DN392" s="69"/>
      <c r="DO392" s="69"/>
      <c r="DP392" s="69"/>
      <c r="DQ392" s="11"/>
      <c r="DR392" s="69"/>
      <c r="DS392" s="69"/>
      <c r="DT392" s="69"/>
      <c r="DU392" s="69"/>
      <c r="DV392" s="97"/>
      <c r="DW392" s="98"/>
      <c r="DX392" s="71">
        <v>3.16E-9</v>
      </c>
      <c r="DY392" s="114">
        <v>4.37E-9</v>
      </c>
      <c r="DZ392" s="64" t="s">
        <v>762</v>
      </c>
      <c r="EA392" s="72" t="s">
        <v>822</v>
      </c>
      <c r="EB392" s="82"/>
    </row>
    <row r="393">
      <c r="A393" s="167" t="s">
        <v>944</v>
      </c>
      <c r="B393" s="56" t="s">
        <v>945</v>
      </c>
      <c r="C393" s="3"/>
      <c r="D393" s="4"/>
      <c r="E393" s="4"/>
      <c r="F393" s="57" t="s">
        <v>168</v>
      </c>
      <c r="G393" s="61">
        <v>271.17416</v>
      </c>
      <c r="H393" s="61">
        <v>-24.44238</v>
      </c>
      <c r="I393" s="60" t="s">
        <v>819</v>
      </c>
      <c r="J393" s="60" t="s">
        <v>169</v>
      </c>
      <c r="K393" s="61">
        <v>5.7</v>
      </c>
      <c r="L393" s="60">
        <v>1.93</v>
      </c>
      <c r="M393" s="5"/>
      <c r="N393" s="61"/>
      <c r="O393" s="61"/>
      <c r="P393" s="61"/>
      <c r="Q393" s="61"/>
      <c r="R393" s="61"/>
      <c r="S393" s="60"/>
      <c r="T393" s="60"/>
      <c r="U393" s="58"/>
      <c r="V393" s="5"/>
      <c r="W393" s="5"/>
      <c r="X393" s="5"/>
      <c r="Y393" s="166"/>
      <c r="Z393" s="60">
        <v>19.19</v>
      </c>
      <c r="AA393" s="60">
        <v>0.037</v>
      </c>
      <c r="AB393" s="60"/>
      <c r="AC393" s="60"/>
      <c r="AD393" s="60"/>
      <c r="AE393" s="60"/>
      <c r="AF393" s="60"/>
      <c r="AG393" s="60"/>
      <c r="AH393" s="60">
        <v>18.03</v>
      </c>
      <c r="AI393" s="60">
        <v>0.088141931</v>
      </c>
      <c r="AJ393" s="76" t="s">
        <v>759</v>
      </c>
      <c r="AK393" s="64" t="s">
        <v>820</v>
      </c>
      <c r="AL393" s="168"/>
      <c r="AM393" s="7"/>
      <c r="AN393" s="77">
        <v>1250.0</v>
      </c>
      <c r="AO393" s="64">
        <v>50.0</v>
      </c>
      <c r="AP393" s="13"/>
      <c r="AQ393" s="13"/>
      <c r="AR393" s="78"/>
      <c r="AS393" s="97"/>
      <c r="AT393" s="67">
        <v>0.3</v>
      </c>
      <c r="AU393" s="70">
        <v>0.15</v>
      </c>
      <c r="AV393" s="13"/>
      <c r="AW393" s="13"/>
      <c r="AX393" s="73"/>
      <c r="AY393" s="73"/>
      <c r="AZ393" s="68" t="s">
        <v>812</v>
      </c>
      <c r="BA393" s="68" t="s">
        <v>821</v>
      </c>
      <c r="BB393" s="68">
        <v>-53.34</v>
      </c>
      <c r="BC393" s="68">
        <v>4.76</v>
      </c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2"/>
      <c r="DK393" s="12"/>
      <c r="DL393" s="12"/>
      <c r="DM393" s="69"/>
      <c r="DN393" s="69"/>
      <c r="DO393" s="69"/>
      <c r="DP393" s="69"/>
      <c r="DQ393" s="11"/>
      <c r="DR393" s="69"/>
      <c r="DS393" s="69"/>
      <c r="DT393" s="69"/>
      <c r="DU393" s="69"/>
      <c r="DV393" s="97"/>
      <c r="DW393" s="98"/>
      <c r="DX393" s="71">
        <v>3.16E-9</v>
      </c>
      <c r="DY393" s="114">
        <v>4.37E-9</v>
      </c>
      <c r="DZ393" s="64" t="s">
        <v>762</v>
      </c>
      <c r="EA393" s="72" t="s">
        <v>822</v>
      </c>
      <c r="EB393" s="82"/>
    </row>
    <row r="394">
      <c r="A394" s="167" t="s">
        <v>946</v>
      </c>
      <c r="B394" s="56" t="s">
        <v>947</v>
      </c>
      <c r="C394" s="3"/>
      <c r="D394" s="4"/>
      <c r="E394" s="4"/>
      <c r="F394" s="57" t="s">
        <v>168</v>
      </c>
      <c r="G394" s="61">
        <v>270.6972</v>
      </c>
      <c r="H394" s="61">
        <v>-24.3057</v>
      </c>
      <c r="I394" s="60" t="s">
        <v>819</v>
      </c>
      <c r="J394" s="60" t="s">
        <v>169</v>
      </c>
      <c r="K394" s="61">
        <v>5.2</v>
      </c>
      <c r="L394" s="60">
        <v>0.75</v>
      </c>
      <c r="M394" s="60">
        <v>2.0</v>
      </c>
      <c r="N394" s="61">
        <v>1048.6577181208</v>
      </c>
      <c r="O394" s="61">
        <v>1.453</v>
      </c>
      <c r="P394" s="61">
        <v>0.427</v>
      </c>
      <c r="Q394" s="61">
        <v>-1.773</v>
      </c>
      <c r="R394" s="61">
        <v>0.387</v>
      </c>
      <c r="S394" s="60"/>
      <c r="T394" s="60"/>
      <c r="U394" s="58"/>
      <c r="V394" s="5"/>
      <c r="W394" s="5"/>
      <c r="X394" s="5"/>
      <c r="Y394" s="166"/>
      <c r="Z394" s="60">
        <v>18.24</v>
      </c>
      <c r="AA394" s="60">
        <v>0.013</v>
      </c>
      <c r="AB394" s="60"/>
      <c r="AC394" s="60"/>
      <c r="AD394" s="60"/>
      <c r="AE394" s="60"/>
      <c r="AF394" s="60"/>
      <c r="AG394" s="60"/>
      <c r="AH394" s="60">
        <v>17.25</v>
      </c>
      <c r="AI394" s="60">
        <v>0.03087069808</v>
      </c>
      <c r="AJ394" s="76" t="s">
        <v>759</v>
      </c>
      <c r="AK394" s="64" t="s">
        <v>820</v>
      </c>
      <c r="AL394" s="168"/>
      <c r="AM394" s="7"/>
      <c r="AN394" s="77">
        <v>1250.0</v>
      </c>
      <c r="AO394" s="64">
        <v>50.0</v>
      </c>
      <c r="AP394" s="13"/>
      <c r="AQ394" s="13"/>
      <c r="AR394" s="78"/>
      <c r="AS394" s="97"/>
      <c r="AT394" s="67">
        <v>0.3</v>
      </c>
      <c r="AU394" s="70">
        <v>0.05</v>
      </c>
      <c r="AV394" s="13"/>
      <c r="AW394" s="13"/>
      <c r="AX394" s="73"/>
      <c r="AY394" s="73"/>
      <c r="AZ394" s="68" t="s">
        <v>812</v>
      </c>
      <c r="BA394" s="68" t="s">
        <v>821</v>
      </c>
      <c r="BB394" s="68">
        <v>-40.93</v>
      </c>
      <c r="BC394" s="68">
        <v>6.05</v>
      </c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2"/>
      <c r="DK394" s="12"/>
      <c r="DL394" s="12"/>
      <c r="DM394" s="69"/>
      <c r="DN394" s="69"/>
      <c r="DO394" s="69"/>
      <c r="DP394" s="69"/>
      <c r="DQ394" s="11"/>
      <c r="DR394" s="69"/>
      <c r="DS394" s="69"/>
      <c r="DT394" s="69"/>
      <c r="DU394" s="69"/>
      <c r="DV394" s="97"/>
      <c r="DW394" s="98"/>
      <c r="DX394" s="71">
        <v>3.98E-9</v>
      </c>
      <c r="DY394" s="114">
        <v>5.5E-9</v>
      </c>
      <c r="DZ394" s="64" t="s">
        <v>762</v>
      </c>
      <c r="EA394" s="72" t="s">
        <v>822</v>
      </c>
      <c r="EB394" s="82"/>
    </row>
    <row r="395">
      <c r="A395" s="167" t="s">
        <v>948</v>
      </c>
      <c r="B395" s="56" t="s">
        <v>949</v>
      </c>
      <c r="C395" s="3"/>
      <c r="D395" s="4"/>
      <c r="E395" s="4"/>
      <c r="F395" s="57" t="s">
        <v>168</v>
      </c>
      <c r="G395" s="61">
        <v>270.72894</v>
      </c>
      <c r="H395" s="61">
        <v>-24.26484</v>
      </c>
      <c r="I395" s="60" t="s">
        <v>819</v>
      </c>
      <c r="J395" s="60" t="s">
        <v>169</v>
      </c>
      <c r="K395" s="61">
        <v>4.9</v>
      </c>
      <c r="L395" s="60">
        <v>1.27</v>
      </c>
      <c r="M395" s="5"/>
      <c r="N395" s="61"/>
      <c r="O395" s="61"/>
      <c r="P395" s="61"/>
      <c r="Q395" s="61"/>
      <c r="R395" s="61"/>
      <c r="S395" s="60"/>
      <c r="T395" s="60"/>
      <c r="U395" s="58"/>
      <c r="V395" s="5"/>
      <c r="W395" s="5"/>
      <c r="X395" s="5"/>
      <c r="Y395" s="166"/>
      <c r="Z395" s="60">
        <v>18.9</v>
      </c>
      <c r="AA395" s="60">
        <v>0.023</v>
      </c>
      <c r="AB395" s="60"/>
      <c r="AC395" s="60"/>
      <c r="AD395" s="60"/>
      <c r="AE395" s="60"/>
      <c r="AF395" s="60"/>
      <c r="AG395" s="60"/>
      <c r="AH395" s="60">
        <v>17.69</v>
      </c>
      <c r="AI395" s="60">
        <v>0.04876474136</v>
      </c>
      <c r="AJ395" s="76" t="s">
        <v>759</v>
      </c>
      <c r="AK395" s="64" t="s">
        <v>820</v>
      </c>
      <c r="AL395" s="168"/>
      <c r="AM395" s="7"/>
      <c r="AN395" s="77">
        <v>1250.0</v>
      </c>
      <c r="AO395" s="64">
        <v>50.0</v>
      </c>
      <c r="AP395" s="13"/>
      <c r="AQ395" s="13"/>
      <c r="AR395" s="78"/>
      <c r="AS395" s="97"/>
      <c r="AT395" s="67">
        <v>0.3</v>
      </c>
      <c r="AU395" s="70">
        <v>0.1</v>
      </c>
      <c r="AV395" s="13"/>
      <c r="AW395" s="13"/>
      <c r="AX395" s="73"/>
      <c r="AY395" s="73"/>
      <c r="AZ395" s="68" t="s">
        <v>812</v>
      </c>
      <c r="BA395" s="68" t="s">
        <v>821</v>
      </c>
      <c r="BB395" s="68">
        <v>-68.17</v>
      </c>
      <c r="BC395" s="68">
        <v>10.2</v>
      </c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2"/>
      <c r="DK395" s="12"/>
      <c r="DL395" s="12"/>
      <c r="DM395" s="69"/>
      <c r="DN395" s="69"/>
      <c r="DO395" s="69"/>
      <c r="DP395" s="69"/>
      <c r="DQ395" s="11"/>
      <c r="DR395" s="69"/>
      <c r="DS395" s="69"/>
      <c r="DT395" s="69"/>
      <c r="DU395" s="69"/>
      <c r="DV395" s="97"/>
      <c r="DW395" s="98"/>
      <c r="DX395" s="71">
        <v>3.98E-9</v>
      </c>
      <c r="DY395" s="114">
        <v>5.5E-9</v>
      </c>
      <c r="DZ395" s="64" t="s">
        <v>762</v>
      </c>
      <c r="EA395" s="72" t="s">
        <v>822</v>
      </c>
      <c r="EB395" s="82"/>
    </row>
    <row r="396">
      <c r="A396" s="167" t="s">
        <v>929</v>
      </c>
      <c r="B396" s="56" t="s">
        <v>950</v>
      </c>
      <c r="C396" s="3"/>
      <c r="D396" s="4"/>
      <c r="E396" s="4"/>
      <c r="F396" s="57" t="s">
        <v>168</v>
      </c>
      <c r="G396" s="61">
        <v>271.05557</v>
      </c>
      <c r="H396" s="61">
        <v>-24.2481</v>
      </c>
      <c r="I396" s="60" t="s">
        <v>819</v>
      </c>
      <c r="J396" s="60" t="s">
        <v>169</v>
      </c>
      <c r="K396" s="61">
        <v>5.2</v>
      </c>
      <c r="L396" s="60">
        <v>1.47</v>
      </c>
      <c r="M396" s="5"/>
      <c r="N396" s="61"/>
      <c r="O396" s="61"/>
      <c r="P396" s="61"/>
      <c r="Q396" s="61"/>
      <c r="R396" s="61"/>
      <c r="S396" s="60"/>
      <c r="T396" s="60"/>
      <c r="U396" s="58"/>
      <c r="V396" s="5"/>
      <c r="W396" s="5"/>
      <c r="X396" s="5"/>
      <c r="Y396" s="166"/>
      <c r="Z396" s="60">
        <v>19.05</v>
      </c>
      <c r="AA396" s="60">
        <v>0.027</v>
      </c>
      <c r="AB396" s="60"/>
      <c r="AC396" s="60"/>
      <c r="AD396" s="60"/>
      <c r="AE396" s="60"/>
      <c r="AF396" s="60"/>
      <c r="AG396" s="60"/>
      <c r="AH396" s="60">
        <v>17.78</v>
      </c>
      <c r="AI396" s="60">
        <v>0.0585918083</v>
      </c>
      <c r="AJ396" s="76" t="s">
        <v>759</v>
      </c>
      <c r="AK396" s="64" t="s">
        <v>820</v>
      </c>
      <c r="AL396" s="168"/>
      <c r="AM396" s="7"/>
      <c r="AN396" s="77">
        <v>1250.0</v>
      </c>
      <c r="AO396" s="64">
        <v>50.0</v>
      </c>
      <c r="AP396" s="13"/>
      <c r="AQ396" s="13"/>
      <c r="AR396" s="78"/>
      <c r="AS396" s="97"/>
      <c r="AT396" s="67">
        <v>0.3</v>
      </c>
      <c r="AU396" s="70">
        <v>0.11</v>
      </c>
      <c r="AV396" s="13"/>
      <c r="AW396" s="13"/>
      <c r="AX396" s="73"/>
      <c r="AY396" s="73"/>
      <c r="AZ396" s="68" t="s">
        <v>812</v>
      </c>
      <c r="BA396" s="68" t="s">
        <v>821</v>
      </c>
      <c r="BB396" s="68">
        <v>-74.4</v>
      </c>
      <c r="BC396" s="68">
        <v>10.8</v>
      </c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2"/>
      <c r="DK396" s="12"/>
      <c r="DL396" s="12"/>
      <c r="DM396" s="69"/>
      <c r="DN396" s="69"/>
      <c r="DO396" s="69"/>
      <c r="DP396" s="69"/>
      <c r="DQ396" s="11"/>
      <c r="DR396" s="69"/>
      <c r="DS396" s="69"/>
      <c r="DT396" s="69"/>
      <c r="DU396" s="69"/>
      <c r="DV396" s="97"/>
      <c r="DW396" s="98"/>
      <c r="DX396" s="71">
        <v>3.98E-9</v>
      </c>
      <c r="DY396" s="114">
        <v>5.5E-9</v>
      </c>
      <c r="DZ396" s="64" t="s">
        <v>762</v>
      </c>
      <c r="EA396" s="72" t="s">
        <v>822</v>
      </c>
      <c r="EB396" s="82"/>
    </row>
    <row r="397">
      <c r="A397" s="167" t="s">
        <v>951</v>
      </c>
      <c r="B397" s="56" t="s">
        <v>952</v>
      </c>
      <c r="C397" s="3"/>
      <c r="D397" s="4"/>
      <c r="E397" s="4"/>
      <c r="F397" s="57" t="s">
        <v>168</v>
      </c>
      <c r="G397" s="61">
        <v>271.03067</v>
      </c>
      <c r="H397" s="61">
        <v>-24.37937</v>
      </c>
      <c r="I397" s="60" t="s">
        <v>819</v>
      </c>
      <c r="J397" s="60" t="s">
        <v>169</v>
      </c>
      <c r="K397" s="61">
        <v>5.9</v>
      </c>
      <c r="L397" s="60">
        <v>1.11</v>
      </c>
      <c r="M397" s="5"/>
      <c r="N397" s="61"/>
      <c r="O397" s="61"/>
      <c r="P397" s="61"/>
      <c r="Q397" s="61"/>
      <c r="R397" s="61"/>
      <c r="S397" s="60"/>
      <c r="T397" s="60"/>
      <c r="U397" s="58"/>
      <c r="V397" s="5"/>
      <c r="W397" s="5"/>
      <c r="X397" s="5"/>
      <c r="Y397" s="166"/>
      <c r="Z397" s="60">
        <v>18.49</v>
      </c>
      <c r="AA397" s="60">
        <v>0.021</v>
      </c>
      <c r="AB397" s="60"/>
      <c r="AC397" s="60"/>
      <c r="AD397" s="60"/>
      <c r="AE397" s="60"/>
      <c r="AF397" s="60"/>
      <c r="AG397" s="60"/>
      <c r="AH397" s="60">
        <v>17.39</v>
      </c>
      <c r="AI397" s="60">
        <v>0.05887274412</v>
      </c>
      <c r="AJ397" s="76" t="s">
        <v>759</v>
      </c>
      <c r="AK397" s="64" t="s">
        <v>820</v>
      </c>
      <c r="AL397" s="168"/>
      <c r="AM397" s="7"/>
      <c r="AN397" s="77">
        <v>1250.0</v>
      </c>
      <c r="AO397" s="64">
        <v>50.0</v>
      </c>
      <c r="AP397" s="13"/>
      <c r="AQ397" s="13"/>
      <c r="AR397" s="78"/>
      <c r="AS397" s="97"/>
      <c r="AT397" s="67">
        <v>0.3</v>
      </c>
      <c r="AU397" s="70">
        <v>0.08</v>
      </c>
      <c r="AV397" s="13"/>
      <c r="AW397" s="13"/>
      <c r="AX397" s="73"/>
      <c r="AY397" s="73"/>
      <c r="AZ397" s="68" t="s">
        <v>812</v>
      </c>
      <c r="BA397" s="68" t="s">
        <v>821</v>
      </c>
      <c r="BB397" s="68">
        <v>-48.18</v>
      </c>
      <c r="BC397" s="68">
        <v>5.8</v>
      </c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2"/>
      <c r="DK397" s="12"/>
      <c r="DL397" s="12"/>
      <c r="DM397" s="69"/>
      <c r="DN397" s="69"/>
      <c r="DO397" s="69"/>
      <c r="DP397" s="69"/>
      <c r="DQ397" s="11"/>
      <c r="DR397" s="69"/>
      <c r="DS397" s="69"/>
      <c r="DT397" s="69"/>
      <c r="DU397" s="69"/>
      <c r="DV397" s="97"/>
      <c r="DW397" s="98"/>
      <c r="DX397" s="71">
        <v>5.01E-9</v>
      </c>
      <c r="DY397" s="114">
        <v>6.93E-9</v>
      </c>
      <c r="DZ397" s="64" t="s">
        <v>762</v>
      </c>
      <c r="EA397" s="72" t="s">
        <v>822</v>
      </c>
      <c r="EB397" s="82"/>
    </row>
    <row r="398">
      <c r="A398" s="167" t="s">
        <v>953</v>
      </c>
      <c r="B398" s="56" t="s">
        <v>954</v>
      </c>
      <c r="C398" s="3"/>
      <c r="D398" s="4"/>
      <c r="E398" s="4"/>
      <c r="F398" s="57" t="s">
        <v>168</v>
      </c>
      <c r="G398" s="61">
        <v>271.12274</v>
      </c>
      <c r="H398" s="61">
        <v>-24.27743</v>
      </c>
      <c r="I398" s="60" t="s">
        <v>819</v>
      </c>
      <c r="J398" s="60" t="s">
        <v>169</v>
      </c>
      <c r="K398" s="61">
        <v>5.5</v>
      </c>
      <c r="L398" s="60">
        <v>1.54</v>
      </c>
      <c r="M398" s="5"/>
      <c r="N398" s="61"/>
      <c r="O398" s="61"/>
      <c r="P398" s="61"/>
      <c r="Q398" s="61"/>
      <c r="R398" s="61"/>
      <c r="S398" s="60"/>
      <c r="T398" s="60"/>
      <c r="U398" s="58"/>
      <c r="V398" s="5"/>
      <c r="W398" s="5"/>
      <c r="X398" s="5"/>
      <c r="Y398" s="166"/>
      <c r="Z398" s="60">
        <v>18.7</v>
      </c>
      <c r="AA398" s="60">
        <v>0.029</v>
      </c>
      <c r="AB398" s="60"/>
      <c r="AC398" s="60"/>
      <c r="AD398" s="60"/>
      <c r="AE398" s="60"/>
      <c r="AF398" s="60"/>
      <c r="AG398" s="60"/>
      <c r="AH398" s="60">
        <v>17.49</v>
      </c>
      <c r="AI398" s="60">
        <v>0.07209022125</v>
      </c>
      <c r="AJ398" s="76" t="s">
        <v>759</v>
      </c>
      <c r="AK398" s="64" t="s">
        <v>820</v>
      </c>
      <c r="AL398" s="168"/>
      <c r="AM398" s="7"/>
      <c r="AN398" s="77">
        <v>1250.0</v>
      </c>
      <c r="AO398" s="64">
        <v>50.0</v>
      </c>
      <c r="AP398" s="13"/>
      <c r="AQ398" s="13"/>
      <c r="AR398" s="78"/>
      <c r="AS398" s="97"/>
      <c r="AT398" s="67">
        <v>0.3</v>
      </c>
      <c r="AU398" s="70">
        <v>0.12</v>
      </c>
      <c r="AV398" s="13"/>
      <c r="AW398" s="13"/>
      <c r="AX398" s="73"/>
      <c r="AY398" s="73"/>
      <c r="AZ398" s="68" t="s">
        <v>812</v>
      </c>
      <c r="BA398" s="68" t="s">
        <v>821</v>
      </c>
      <c r="BB398" s="68">
        <v>-72.63</v>
      </c>
      <c r="BC398" s="68">
        <v>9.71</v>
      </c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2"/>
      <c r="DK398" s="12"/>
      <c r="DL398" s="12"/>
      <c r="DM398" s="69"/>
      <c r="DN398" s="69"/>
      <c r="DO398" s="69"/>
      <c r="DP398" s="69"/>
      <c r="DQ398" s="11"/>
      <c r="DR398" s="69"/>
      <c r="DS398" s="69"/>
      <c r="DT398" s="69"/>
      <c r="DU398" s="69"/>
      <c r="DV398" s="97"/>
      <c r="DW398" s="98"/>
      <c r="DX398" s="71">
        <v>5.01E-9</v>
      </c>
      <c r="DY398" s="114">
        <v>6.93E-9</v>
      </c>
      <c r="DZ398" s="64" t="s">
        <v>762</v>
      </c>
      <c r="EA398" s="72" t="s">
        <v>822</v>
      </c>
      <c r="EB398" s="82"/>
    </row>
    <row r="399">
      <c r="A399" s="167" t="s">
        <v>955</v>
      </c>
      <c r="B399" s="56" t="s">
        <v>956</v>
      </c>
      <c r="C399" s="3"/>
      <c r="D399" s="4"/>
      <c r="E399" s="4"/>
      <c r="F399" s="57" t="s">
        <v>168</v>
      </c>
      <c r="G399" s="61">
        <v>271.27917</v>
      </c>
      <c r="H399" s="61">
        <v>-24.30683</v>
      </c>
      <c r="I399" s="60" t="s">
        <v>819</v>
      </c>
      <c r="J399" s="60" t="s">
        <v>169</v>
      </c>
      <c r="K399" s="61">
        <v>4.9</v>
      </c>
      <c r="L399" s="60">
        <v>0.75</v>
      </c>
      <c r="M399" s="60">
        <v>2.0</v>
      </c>
      <c r="N399" s="61">
        <v>1535.86238673014</v>
      </c>
      <c r="O399" s="61">
        <v>1.97</v>
      </c>
      <c r="P399" s="61">
        <v>0.369</v>
      </c>
      <c r="Q399" s="61">
        <v>-1.4</v>
      </c>
      <c r="R399" s="61">
        <v>0.32</v>
      </c>
      <c r="S399" s="60"/>
      <c r="T399" s="60"/>
      <c r="U399" s="58"/>
      <c r="V399" s="5"/>
      <c r="W399" s="5"/>
      <c r="X399" s="5"/>
      <c r="Y399" s="166"/>
      <c r="Z399" s="60">
        <v>18.13</v>
      </c>
      <c r="AA399" s="60">
        <v>0.013</v>
      </c>
      <c r="AB399" s="60"/>
      <c r="AC399" s="60"/>
      <c r="AD399" s="60"/>
      <c r="AE399" s="60"/>
      <c r="AF399" s="60"/>
      <c r="AG399" s="60"/>
      <c r="AH399" s="60">
        <v>17.13</v>
      </c>
      <c r="AI399" s="60">
        <v>0.03269556545</v>
      </c>
      <c r="AJ399" s="76" t="s">
        <v>759</v>
      </c>
      <c r="AK399" s="64" t="s">
        <v>820</v>
      </c>
      <c r="AL399" s="168"/>
      <c r="AM399" s="7"/>
      <c r="AN399" s="77">
        <v>1250.0</v>
      </c>
      <c r="AO399" s="64">
        <v>50.0</v>
      </c>
      <c r="AP399" s="13"/>
      <c r="AQ399" s="13"/>
      <c r="AR399" s="78"/>
      <c r="AS399" s="97"/>
      <c r="AT399" s="67">
        <v>0.3</v>
      </c>
      <c r="AU399" s="70">
        <v>0.05</v>
      </c>
      <c r="AV399" s="13"/>
      <c r="AW399" s="13"/>
      <c r="AX399" s="73"/>
      <c r="AY399" s="73"/>
      <c r="AZ399" s="68" t="s">
        <v>812</v>
      </c>
      <c r="BA399" s="68" t="s">
        <v>821</v>
      </c>
      <c r="BB399" s="68">
        <v>-45.09</v>
      </c>
      <c r="BC399" s="68">
        <v>6.78</v>
      </c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2"/>
      <c r="DK399" s="12"/>
      <c r="DL399" s="12"/>
      <c r="DM399" s="69"/>
      <c r="DN399" s="69"/>
      <c r="DO399" s="69"/>
      <c r="DP399" s="69"/>
      <c r="DQ399" s="11"/>
      <c r="DR399" s="69"/>
      <c r="DS399" s="69"/>
      <c r="DT399" s="69"/>
      <c r="DU399" s="69"/>
      <c r="DV399" s="97"/>
      <c r="DW399" s="98"/>
      <c r="DX399" s="71">
        <v>5.01E-9</v>
      </c>
      <c r="DY399" s="114">
        <v>6.93E-9</v>
      </c>
      <c r="DZ399" s="64" t="s">
        <v>762</v>
      </c>
      <c r="EA399" s="72" t="s">
        <v>822</v>
      </c>
      <c r="EB399" s="82"/>
    </row>
    <row r="400">
      <c r="A400" s="167" t="s">
        <v>957</v>
      </c>
      <c r="B400" s="56" t="s">
        <v>958</v>
      </c>
      <c r="C400" s="3"/>
      <c r="D400" s="4"/>
      <c r="E400" s="4"/>
      <c r="F400" s="57" t="s">
        <v>168</v>
      </c>
      <c r="G400" s="61">
        <v>270.78043</v>
      </c>
      <c r="H400" s="61">
        <v>-24.3261</v>
      </c>
      <c r="I400" s="60" t="s">
        <v>819</v>
      </c>
      <c r="J400" s="60" t="s">
        <v>169</v>
      </c>
      <c r="K400" s="61">
        <v>5.5</v>
      </c>
      <c r="L400" s="60">
        <v>0.77</v>
      </c>
      <c r="M400" s="5"/>
      <c r="N400" s="61"/>
      <c r="O400" s="61"/>
      <c r="P400" s="61"/>
      <c r="Q400" s="61"/>
      <c r="R400" s="61"/>
      <c r="S400" s="60"/>
      <c r="T400" s="60"/>
      <c r="U400" s="58"/>
      <c r="V400" s="5"/>
      <c r="W400" s="5"/>
      <c r="X400" s="5"/>
      <c r="Y400" s="166"/>
      <c r="Z400" s="60">
        <v>18.32</v>
      </c>
      <c r="AA400" s="60">
        <v>0.014</v>
      </c>
      <c r="AB400" s="60"/>
      <c r="AC400" s="60"/>
      <c r="AD400" s="60"/>
      <c r="AE400" s="60"/>
      <c r="AF400" s="60"/>
      <c r="AG400" s="60"/>
      <c r="AH400" s="60">
        <v>17.24</v>
      </c>
      <c r="AI400" s="60">
        <v>0.03130495168</v>
      </c>
      <c r="AJ400" s="76" t="s">
        <v>759</v>
      </c>
      <c r="AK400" s="64" t="s">
        <v>820</v>
      </c>
      <c r="AL400" s="168"/>
      <c r="AM400" s="7"/>
      <c r="AN400" s="77">
        <v>1250.0</v>
      </c>
      <c r="AO400" s="64">
        <v>50.0</v>
      </c>
      <c r="AP400" s="13"/>
      <c r="AQ400" s="13"/>
      <c r="AR400" s="78"/>
      <c r="AS400" s="97"/>
      <c r="AT400" s="67">
        <v>0.3</v>
      </c>
      <c r="AU400" s="70">
        <v>0.06</v>
      </c>
      <c r="AV400" s="13"/>
      <c r="AW400" s="13"/>
      <c r="AX400" s="73"/>
      <c r="AY400" s="73"/>
      <c r="AZ400" s="68" t="s">
        <v>812</v>
      </c>
      <c r="BA400" s="68" t="s">
        <v>821</v>
      </c>
      <c r="BB400" s="68">
        <v>-49.85</v>
      </c>
      <c r="BC400" s="68">
        <v>7.82</v>
      </c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2"/>
      <c r="DK400" s="12"/>
      <c r="DL400" s="12"/>
      <c r="DM400" s="69"/>
      <c r="DN400" s="69"/>
      <c r="DO400" s="69"/>
      <c r="DP400" s="69"/>
      <c r="DQ400" s="11"/>
      <c r="DR400" s="69"/>
      <c r="DS400" s="69"/>
      <c r="DT400" s="69"/>
      <c r="DU400" s="69"/>
      <c r="DV400" s="97"/>
      <c r="DW400" s="98"/>
      <c r="DX400" s="71">
        <v>6.31E-9</v>
      </c>
      <c r="DY400" s="114">
        <v>8.72E-9</v>
      </c>
      <c r="DZ400" s="64" t="s">
        <v>762</v>
      </c>
      <c r="EA400" s="72" t="s">
        <v>822</v>
      </c>
      <c r="EB400" s="82"/>
    </row>
    <row r="401">
      <c r="A401" s="167" t="s">
        <v>959</v>
      </c>
      <c r="B401" s="56" t="s">
        <v>960</v>
      </c>
      <c r="C401" s="3"/>
      <c r="D401" s="4"/>
      <c r="E401" s="4"/>
      <c r="F401" s="57" t="s">
        <v>168</v>
      </c>
      <c r="G401" s="61">
        <v>270.94965</v>
      </c>
      <c r="H401" s="61">
        <v>-24.1491</v>
      </c>
      <c r="I401" s="60" t="s">
        <v>819</v>
      </c>
      <c r="J401" s="60" t="s">
        <v>169</v>
      </c>
      <c r="K401" s="61">
        <v>4.9</v>
      </c>
      <c r="L401" s="60">
        <v>0.58</v>
      </c>
      <c r="M401" s="60">
        <v>2.0</v>
      </c>
      <c r="N401" s="61">
        <v>2245.17287831163</v>
      </c>
      <c r="O401" s="61">
        <v>1.311</v>
      </c>
      <c r="P401" s="61">
        <v>0.471</v>
      </c>
      <c r="Q401" s="61">
        <v>-2.277</v>
      </c>
      <c r="R401" s="61">
        <v>0.414</v>
      </c>
      <c r="S401" s="60"/>
      <c r="T401" s="60"/>
      <c r="U401" s="58"/>
      <c r="V401" s="5"/>
      <c r="W401" s="5"/>
      <c r="X401" s="5"/>
      <c r="Y401" s="166"/>
      <c r="Z401" s="60">
        <v>18.1</v>
      </c>
      <c r="AA401" s="60">
        <v>0.01</v>
      </c>
      <c r="AB401" s="60"/>
      <c r="AC401" s="60"/>
      <c r="AD401" s="60"/>
      <c r="AE401" s="60"/>
      <c r="AF401" s="60"/>
      <c r="AG401" s="60"/>
      <c r="AH401" s="60">
        <v>17.02</v>
      </c>
      <c r="AI401" s="60">
        <v>0.01972308292</v>
      </c>
      <c r="AJ401" s="76" t="s">
        <v>759</v>
      </c>
      <c r="AK401" s="64" t="s">
        <v>820</v>
      </c>
      <c r="AL401" s="168"/>
      <c r="AM401" s="7"/>
      <c r="AN401" s="77">
        <v>1250.0</v>
      </c>
      <c r="AO401" s="64">
        <v>50.0</v>
      </c>
      <c r="AP401" s="13"/>
      <c r="AQ401" s="13"/>
      <c r="AR401" s="78"/>
      <c r="AS401" s="97"/>
      <c r="AT401" s="67">
        <v>0.3</v>
      </c>
      <c r="AU401" s="70">
        <v>0.04</v>
      </c>
      <c r="AV401" s="13"/>
      <c r="AW401" s="13"/>
      <c r="AX401" s="73"/>
      <c r="AY401" s="73"/>
      <c r="AZ401" s="68" t="s">
        <v>812</v>
      </c>
      <c r="BA401" s="68" t="s">
        <v>821</v>
      </c>
      <c r="BB401" s="68">
        <v>-58.07</v>
      </c>
      <c r="BC401" s="68">
        <v>10.1</v>
      </c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2"/>
      <c r="DK401" s="12"/>
      <c r="DL401" s="12"/>
      <c r="DM401" s="69"/>
      <c r="DN401" s="69"/>
      <c r="DO401" s="69"/>
      <c r="DP401" s="69"/>
      <c r="DQ401" s="11"/>
      <c r="DR401" s="69"/>
      <c r="DS401" s="69"/>
      <c r="DT401" s="69"/>
      <c r="DU401" s="69"/>
      <c r="DV401" s="97"/>
      <c r="DW401" s="98"/>
      <c r="DX401" s="71">
        <v>6.31E-9</v>
      </c>
      <c r="DY401" s="114">
        <v>8.72E-9</v>
      </c>
      <c r="DZ401" s="64" t="s">
        <v>762</v>
      </c>
      <c r="EA401" s="72" t="s">
        <v>822</v>
      </c>
      <c r="EB401" s="82"/>
    </row>
    <row r="402">
      <c r="A402" s="167" t="s">
        <v>961</v>
      </c>
      <c r="B402" s="56" t="s">
        <v>962</v>
      </c>
      <c r="C402" s="3"/>
      <c r="D402" s="4"/>
      <c r="E402" s="4"/>
      <c r="F402" s="57" t="s">
        <v>168</v>
      </c>
      <c r="G402" s="61">
        <v>271.07758</v>
      </c>
      <c r="H402" s="61">
        <v>-24.25272</v>
      </c>
      <c r="I402" s="60" t="s">
        <v>819</v>
      </c>
      <c r="J402" s="60" t="s">
        <v>169</v>
      </c>
      <c r="K402" s="61">
        <v>6.0</v>
      </c>
      <c r="L402" s="60">
        <v>2.29</v>
      </c>
      <c r="M402" s="60">
        <v>2.0</v>
      </c>
      <c r="N402" s="61">
        <v>908.430232558139</v>
      </c>
      <c r="O402" s="61">
        <v>2.062</v>
      </c>
      <c r="P402" s="61">
        <v>1.268</v>
      </c>
      <c r="Q402" s="61">
        <v>-0.798</v>
      </c>
      <c r="R402" s="61">
        <v>1.171</v>
      </c>
      <c r="S402" s="60"/>
      <c r="T402" s="60"/>
      <c r="U402" s="58"/>
      <c r="V402" s="5"/>
      <c r="W402" s="5"/>
      <c r="X402" s="5"/>
      <c r="Y402" s="166"/>
      <c r="Z402" s="60">
        <v>19.34</v>
      </c>
      <c r="AA402" s="60">
        <v>0.044</v>
      </c>
      <c r="AB402" s="60"/>
      <c r="AC402" s="60"/>
      <c r="AD402" s="60"/>
      <c r="AE402" s="60"/>
      <c r="AF402" s="60"/>
      <c r="AG402" s="60"/>
      <c r="AH402" s="60">
        <v>17.56</v>
      </c>
      <c r="AI402" s="60">
        <v>0.08352843827</v>
      </c>
      <c r="AJ402" s="76" t="s">
        <v>759</v>
      </c>
      <c r="AK402" s="64" t="s">
        <v>820</v>
      </c>
      <c r="AL402" s="168"/>
      <c r="AM402" s="7"/>
      <c r="AN402" s="77">
        <v>1250.0</v>
      </c>
      <c r="AO402" s="64">
        <v>50.0</v>
      </c>
      <c r="AP402" s="13"/>
      <c r="AQ402" s="13"/>
      <c r="AR402" s="78"/>
      <c r="AS402" s="97"/>
      <c r="AT402" s="67">
        <v>0.3</v>
      </c>
      <c r="AU402" s="70">
        <v>0.18</v>
      </c>
      <c r="AV402" s="13"/>
      <c r="AW402" s="13"/>
      <c r="AX402" s="73"/>
      <c r="AY402" s="73"/>
      <c r="AZ402" s="68" t="s">
        <v>812</v>
      </c>
      <c r="BA402" s="68" t="s">
        <v>821</v>
      </c>
      <c r="BB402" s="68">
        <v>-187.77</v>
      </c>
      <c r="BC402" s="68">
        <v>31.7</v>
      </c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2"/>
      <c r="DK402" s="12"/>
      <c r="DL402" s="12"/>
      <c r="DM402" s="69"/>
      <c r="DN402" s="69"/>
      <c r="DO402" s="69"/>
      <c r="DP402" s="69"/>
      <c r="DQ402" s="11"/>
      <c r="DR402" s="69"/>
      <c r="DS402" s="69"/>
      <c r="DT402" s="69"/>
      <c r="DU402" s="69"/>
      <c r="DV402" s="97"/>
      <c r="DW402" s="98"/>
      <c r="DX402" s="71">
        <v>6.31E-9</v>
      </c>
      <c r="DY402" s="114">
        <v>8.72E-9</v>
      </c>
      <c r="DZ402" s="64" t="s">
        <v>762</v>
      </c>
      <c r="EA402" s="72" t="s">
        <v>822</v>
      </c>
      <c r="EB402" s="82"/>
    </row>
    <row r="403">
      <c r="A403" s="167" t="s">
        <v>963</v>
      </c>
      <c r="B403" s="56" t="s">
        <v>964</v>
      </c>
      <c r="C403" s="3"/>
      <c r="D403" s="4"/>
      <c r="E403" s="4"/>
      <c r="F403" s="57" t="s">
        <v>168</v>
      </c>
      <c r="G403" s="61">
        <v>271.08994</v>
      </c>
      <c r="H403" s="61">
        <v>-24.32426</v>
      </c>
      <c r="I403" s="60" t="s">
        <v>819</v>
      </c>
      <c r="J403" s="60" t="s">
        <v>169</v>
      </c>
      <c r="K403" s="61">
        <v>5.5</v>
      </c>
      <c r="L403" s="60">
        <v>1.48</v>
      </c>
      <c r="M403" s="60">
        <v>2.0</v>
      </c>
      <c r="N403" s="61">
        <v>2023.88180530257</v>
      </c>
      <c r="O403" s="61">
        <v>1.668</v>
      </c>
      <c r="P403" s="61">
        <v>0.984</v>
      </c>
      <c r="Q403" s="61">
        <v>-1.029</v>
      </c>
      <c r="R403" s="61">
        <v>0.895</v>
      </c>
      <c r="S403" s="60"/>
      <c r="T403" s="60"/>
      <c r="U403" s="58"/>
      <c r="V403" s="5"/>
      <c r="W403" s="5"/>
      <c r="X403" s="5"/>
      <c r="Y403" s="166"/>
      <c r="Z403" s="60">
        <v>18.72</v>
      </c>
      <c r="AA403" s="60">
        <v>0.028</v>
      </c>
      <c r="AB403" s="60"/>
      <c r="AC403" s="60"/>
      <c r="AD403" s="60"/>
      <c r="AE403" s="60"/>
      <c r="AF403" s="60"/>
      <c r="AG403" s="60"/>
      <c r="AH403" s="60">
        <v>17.31</v>
      </c>
      <c r="AI403" s="60">
        <v>0.07261542536</v>
      </c>
      <c r="AJ403" s="76" t="s">
        <v>759</v>
      </c>
      <c r="AK403" s="64" t="s">
        <v>820</v>
      </c>
      <c r="AL403" s="168"/>
      <c r="AM403" s="7"/>
      <c r="AN403" s="77">
        <v>1250.0</v>
      </c>
      <c r="AO403" s="64">
        <v>50.0</v>
      </c>
      <c r="AP403" s="13"/>
      <c r="AQ403" s="13"/>
      <c r="AR403" s="78"/>
      <c r="AS403" s="97"/>
      <c r="AT403" s="67">
        <v>0.3</v>
      </c>
      <c r="AU403" s="70">
        <v>0.11</v>
      </c>
      <c r="AV403" s="13"/>
      <c r="AW403" s="13"/>
      <c r="AX403" s="73"/>
      <c r="AY403" s="73"/>
      <c r="AZ403" s="68" t="s">
        <v>812</v>
      </c>
      <c r="BA403" s="68" t="s">
        <v>821</v>
      </c>
      <c r="BB403" s="68">
        <v>-112.48</v>
      </c>
      <c r="BC403" s="68">
        <v>17.7</v>
      </c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2"/>
      <c r="DK403" s="12"/>
      <c r="DL403" s="12"/>
      <c r="DM403" s="69"/>
      <c r="DN403" s="69"/>
      <c r="DO403" s="69"/>
      <c r="DP403" s="69"/>
      <c r="DQ403" s="11"/>
      <c r="DR403" s="69"/>
      <c r="DS403" s="69"/>
      <c r="DT403" s="69"/>
      <c r="DU403" s="69"/>
      <c r="DV403" s="97"/>
      <c r="DW403" s="98"/>
      <c r="DX403" s="71">
        <v>6.31E-9</v>
      </c>
      <c r="DY403" s="114">
        <v>8.72E-9</v>
      </c>
      <c r="DZ403" s="64" t="s">
        <v>762</v>
      </c>
      <c r="EA403" s="72" t="s">
        <v>822</v>
      </c>
      <c r="EB403" s="82"/>
    </row>
    <row r="404">
      <c r="A404" s="167" t="s">
        <v>965</v>
      </c>
      <c r="B404" s="56" t="s">
        <v>966</v>
      </c>
      <c r="C404" s="3"/>
      <c r="D404" s="4"/>
      <c r="E404" s="4"/>
      <c r="F404" s="57" t="s">
        <v>168</v>
      </c>
      <c r="G404" s="61">
        <v>271.32727</v>
      </c>
      <c r="H404" s="61">
        <v>-24.26457</v>
      </c>
      <c r="I404" s="60" t="s">
        <v>819</v>
      </c>
      <c r="J404" s="60" t="s">
        <v>169</v>
      </c>
      <c r="K404" s="61">
        <v>5.7</v>
      </c>
      <c r="L404" s="60">
        <v>0.97</v>
      </c>
      <c r="M404" s="5"/>
      <c r="N404" s="61"/>
      <c r="O404" s="61"/>
      <c r="P404" s="61"/>
      <c r="Q404" s="61"/>
      <c r="R404" s="61"/>
      <c r="S404" s="60"/>
      <c r="T404" s="60"/>
      <c r="U404" s="58"/>
      <c r="V404" s="5"/>
      <c r="W404" s="5"/>
      <c r="X404" s="5"/>
      <c r="Y404" s="166"/>
      <c r="Z404" s="60">
        <v>18.45</v>
      </c>
      <c r="AA404" s="60">
        <v>0.018</v>
      </c>
      <c r="AB404" s="60"/>
      <c r="AC404" s="60"/>
      <c r="AD404" s="60"/>
      <c r="AE404" s="60"/>
      <c r="AF404" s="60"/>
      <c r="AG404" s="60"/>
      <c r="AH404" s="60">
        <v>17.28</v>
      </c>
      <c r="AI404" s="60">
        <v>0.03847076812</v>
      </c>
      <c r="AJ404" s="76" t="s">
        <v>759</v>
      </c>
      <c r="AK404" s="64" t="s">
        <v>820</v>
      </c>
      <c r="AL404" s="168"/>
      <c r="AM404" s="7"/>
      <c r="AN404" s="77">
        <v>1250.0</v>
      </c>
      <c r="AO404" s="64">
        <v>50.0</v>
      </c>
      <c r="AP404" s="13"/>
      <c r="AQ404" s="13"/>
      <c r="AR404" s="78"/>
      <c r="AS404" s="97"/>
      <c r="AT404" s="67">
        <v>0.3</v>
      </c>
      <c r="AU404" s="70">
        <v>0.07</v>
      </c>
      <c r="AV404" s="13"/>
      <c r="AW404" s="13"/>
      <c r="AX404" s="73"/>
      <c r="AY404" s="73"/>
      <c r="AZ404" s="68" t="s">
        <v>812</v>
      </c>
      <c r="BA404" s="68" t="s">
        <v>821</v>
      </c>
      <c r="BB404" s="68">
        <v>-65.9</v>
      </c>
      <c r="BC404" s="68">
        <v>10.5</v>
      </c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2"/>
      <c r="DK404" s="12"/>
      <c r="DL404" s="12"/>
      <c r="DM404" s="69"/>
      <c r="DN404" s="69"/>
      <c r="DO404" s="69"/>
      <c r="DP404" s="69"/>
      <c r="DQ404" s="11"/>
      <c r="DR404" s="69"/>
      <c r="DS404" s="69"/>
      <c r="DT404" s="69"/>
      <c r="DU404" s="69"/>
      <c r="DV404" s="97"/>
      <c r="DW404" s="98"/>
      <c r="DX404" s="71">
        <v>6.31E-9</v>
      </c>
      <c r="DY404" s="114">
        <v>8.72E-9</v>
      </c>
      <c r="DZ404" s="64" t="s">
        <v>762</v>
      </c>
      <c r="EA404" s="72" t="s">
        <v>822</v>
      </c>
      <c r="EB404" s="82"/>
    </row>
    <row r="405">
      <c r="A405" s="167" t="s">
        <v>967</v>
      </c>
      <c r="B405" s="56" t="s">
        <v>968</v>
      </c>
      <c r="C405" s="3"/>
      <c r="D405" s="4"/>
      <c r="E405" s="4"/>
      <c r="F405" s="57" t="s">
        <v>168</v>
      </c>
      <c r="G405" s="61">
        <v>270.64832</v>
      </c>
      <c r="H405" s="61">
        <v>-24.21733</v>
      </c>
      <c r="I405" s="60" t="s">
        <v>819</v>
      </c>
      <c r="J405" s="60" t="s">
        <v>169</v>
      </c>
      <c r="K405" s="61">
        <v>5.4</v>
      </c>
      <c r="L405" s="60">
        <v>0.69</v>
      </c>
      <c r="M405" s="60">
        <v>2.0</v>
      </c>
      <c r="N405" s="61">
        <v>2534.2118601115</v>
      </c>
      <c r="O405" s="61">
        <v>1.897</v>
      </c>
      <c r="P405" s="61">
        <v>0.645</v>
      </c>
      <c r="Q405" s="61">
        <v>-1.596</v>
      </c>
      <c r="R405" s="61">
        <v>0.522</v>
      </c>
      <c r="S405" s="60"/>
      <c r="T405" s="60"/>
      <c r="U405" s="58"/>
      <c r="V405" s="5"/>
      <c r="W405" s="5"/>
      <c r="X405" s="5"/>
      <c r="Y405" s="166"/>
      <c r="Z405" s="60">
        <v>18.29</v>
      </c>
      <c r="AA405" s="60">
        <v>0.012</v>
      </c>
      <c r="AB405" s="60"/>
      <c r="AC405" s="60"/>
      <c r="AD405" s="60"/>
      <c r="AE405" s="60"/>
      <c r="AF405" s="60"/>
      <c r="AG405" s="60"/>
      <c r="AH405" s="60">
        <v>17.12</v>
      </c>
      <c r="AI405" s="60">
        <v>0.02594224354</v>
      </c>
      <c r="AJ405" s="76" t="s">
        <v>759</v>
      </c>
      <c r="AK405" s="64" t="s">
        <v>820</v>
      </c>
      <c r="AL405" s="168"/>
      <c r="AM405" s="7"/>
      <c r="AN405" s="77">
        <v>1250.0</v>
      </c>
      <c r="AO405" s="64">
        <v>50.0</v>
      </c>
      <c r="AP405" s="13"/>
      <c r="AQ405" s="13"/>
      <c r="AR405" s="78"/>
      <c r="AS405" s="97"/>
      <c r="AT405" s="67">
        <v>0.3</v>
      </c>
      <c r="AU405" s="70">
        <v>0.05</v>
      </c>
      <c r="AV405" s="13"/>
      <c r="AW405" s="13"/>
      <c r="AX405" s="73"/>
      <c r="AY405" s="73"/>
      <c r="AZ405" s="68" t="s">
        <v>812</v>
      </c>
      <c r="BA405" s="68" t="s">
        <v>821</v>
      </c>
      <c r="BB405" s="68">
        <v>-63.16</v>
      </c>
      <c r="BC405" s="68">
        <v>10.8</v>
      </c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2"/>
      <c r="DK405" s="12"/>
      <c r="DL405" s="12"/>
      <c r="DM405" s="69"/>
      <c r="DN405" s="69"/>
      <c r="DO405" s="69"/>
      <c r="DP405" s="69"/>
      <c r="DQ405" s="11"/>
      <c r="DR405" s="69"/>
      <c r="DS405" s="69"/>
      <c r="DT405" s="69"/>
      <c r="DU405" s="69"/>
      <c r="DV405" s="97"/>
      <c r="DW405" s="98"/>
      <c r="DX405" s="71">
        <v>7.94E-9</v>
      </c>
      <c r="DY405" s="114">
        <v>1.1E-8</v>
      </c>
      <c r="DZ405" s="64" t="s">
        <v>762</v>
      </c>
      <c r="EA405" s="72" t="s">
        <v>822</v>
      </c>
      <c r="EB405" s="82"/>
    </row>
    <row r="406">
      <c r="A406" s="167" t="s">
        <v>969</v>
      </c>
      <c r="B406" s="56" t="s">
        <v>970</v>
      </c>
      <c r="C406" s="3"/>
      <c r="D406" s="4"/>
      <c r="E406" s="4"/>
      <c r="F406" s="57" t="s">
        <v>168</v>
      </c>
      <c r="G406" s="61">
        <v>270.9851</v>
      </c>
      <c r="H406" s="61">
        <v>-24.30402</v>
      </c>
      <c r="I406" s="60" t="s">
        <v>819</v>
      </c>
      <c r="J406" s="60" t="s">
        <v>169</v>
      </c>
      <c r="K406" s="61">
        <v>5.7</v>
      </c>
      <c r="L406" s="60">
        <v>1.27</v>
      </c>
      <c r="M406" s="60">
        <v>2.0</v>
      </c>
      <c r="N406" s="61">
        <v>894.534394847482</v>
      </c>
      <c r="O406" s="61">
        <v>1.837</v>
      </c>
      <c r="P406" s="61">
        <v>0.683</v>
      </c>
      <c r="Q406" s="61">
        <v>-2.869</v>
      </c>
      <c r="R406" s="61">
        <v>0.561</v>
      </c>
      <c r="S406" s="60"/>
      <c r="T406" s="60"/>
      <c r="U406" s="58"/>
      <c r="V406" s="5"/>
      <c r="W406" s="5"/>
      <c r="X406" s="5"/>
      <c r="Y406" s="166"/>
      <c r="Z406" s="60">
        <v>18.61</v>
      </c>
      <c r="AA406" s="60">
        <v>0.024</v>
      </c>
      <c r="AB406" s="60"/>
      <c r="AC406" s="60"/>
      <c r="AD406" s="60"/>
      <c r="AE406" s="60"/>
      <c r="AF406" s="60"/>
      <c r="AG406" s="60"/>
      <c r="AH406" s="60">
        <v>17.13</v>
      </c>
      <c r="AI406" s="60">
        <v>0.05277309921</v>
      </c>
      <c r="AJ406" s="76" t="s">
        <v>759</v>
      </c>
      <c r="AK406" s="64" t="s">
        <v>820</v>
      </c>
      <c r="AL406" s="168"/>
      <c r="AM406" s="7"/>
      <c r="AN406" s="77">
        <v>1250.0</v>
      </c>
      <c r="AO406" s="64">
        <v>50.0</v>
      </c>
      <c r="AP406" s="13"/>
      <c r="AQ406" s="13"/>
      <c r="AR406" s="78"/>
      <c r="AS406" s="97"/>
      <c r="AT406" s="67">
        <v>0.3</v>
      </c>
      <c r="AU406" s="70">
        <v>0.1</v>
      </c>
      <c r="AV406" s="13"/>
      <c r="AW406" s="13"/>
      <c r="AX406" s="73"/>
      <c r="AY406" s="73"/>
      <c r="AZ406" s="68" t="s">
        <v>812</v>
      </c>
      <c r="BA406" s="68" t="s">
        <v>821</v>
      </c>
      <c r="BB406" s="68">
        <v>-132.8</v>
      </c>
      <c r="BC406" s="68">
        <v>22.9</v>
      </c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2"/>
      <c r="DK406" s="12"/>
      <c r="DL406" s="12"/>
      <c r="DM406" s="69"/>
      <c r="DN406" s="69"/>
      <c r="DO406" s="69"/>
      <c r="DP406" s="69"/>
      <c r="DQ406" s="11"/>
      <c r="DR406" s="69"/>
      <c r="DS406" s="69"/>
      <c r="DT406" s="69"/>
      <c r="DU406" s="69"/>
      <c r="DV406" s="97"/>
      <c r="DW406" s="98"/>
      <c r="DX406" s="71">
        <v>7.94E-9</v>
      </c>
      <c r="DY406" s="114">
        <v>1.1E-8</v>
      </c>
      <c r="DZ406" s="64" t="s">
        <v>762</v>
      </c>
      <c r="EA406" s="72" t="s">
        <v>822</v>
      </c>
      <c r="EB406" s="82"/>
    </row>
    <row r="407">
      <c r="A407" s="167" t="s">
        <v>971</v>
      </c>
      <c r="B407" s="56" t="s">
        <v>972</v>
      </c>
      <c r="C407" s="3"/>
      <c r="D407" s="4"/>
      <c r="E407" s="4"/>
      <c r="F407" s="57" t="s">
        <v>168</v>
      </c>
      <c r="G407" s="61">
        <v>271.1145</v>
      </c>
      <c r="H407" s="61">
        <v>-24.35186</v>
      </c>
      <c r="I407" s="60" t="s">
        <v>819</v>
      </c>
      <c r="J407" s="60" t="s">
        <v>169</v>
      </c>
      <c r="K407" s="61">
        <v>5.8</v>
      </c>
      <c r="L407" s="60">
        <v>3.22</v>
      </c>
      <c r="M407" s="5"/>
      <c r="N407" s="61"/>
      <c r="O407" s="61"/>
      <c r="P407" s="61"/>
      <c r="Q407" s="61"/>
      <c r="R407" s="61"/>
      <c r="S407" s="60"/>
      <c r="T407" s="60"/>
      <c r="U407" s="58"/>
      <c r="V407" s="5"/>
      <c r="W407" s="5"/>
      <c r="X407" s="5"/>
      <c r="Y407" s="166"/>
      <c r="Z407" s="60">
        <v>19.51</v>
      </c>
      <c r="AA407" s="60">
        <v>0.062</v>
      </c>
      <c r="AB407" s="60"/>
      <c r="AC407" s="60"/>
      <c r="AD407" s="60"/>
      <c r="AE407" s="60"/>
      <c r="AF407" s="60"/>
      <c r="AG407" s="60"/>
      <c r="AH407" s="60">
        <v>17.69</v>
      </c>
      <c r="AI407" s="60">
        <v>0.1176605286</v>
      </c>
      <c r="AJ407" s="76" t="s">
        <v>759</v>
      </c>
      <c r="AK407" s="64" t="s">
        <v>820</v>
      </c>
      <c r="AL407" s="168"/>
      <c r="AM407" s="7"/>
      <c r="AN407" s="77">
        <v>1250.0</v>
      </c>
      <c r="AO407" s="64">
        <v>50.0</v>
      </c>
      <c r="AP407" s="13"/>
      <c r="AQ407" s="13"/>
      <c r="AR407" s="78"/>
      <c r="AS407" s="97"/>
      <c r="AT407" s="67">
        <v>0.3</v>
      </c>
      <c r="AU407" s="70">
        <v>0.25</v>
      </c>
      <c r="AV407" s="13"/>
      <c r="AW407" s="13"/>
      <c r="AX407" s="73"/>
      <c r="AY407" s="73"/>
      <c r="AZ407" s="68" t="s">
        <v>812</v>
      </c>
      <c r="BA407" s="68" t="s">
        <v>821</v>
      </c>
      <c r="BB407" s="68">
        <v>-185.6</v>
      </c>
      <c r="BC407" s="68">
        <v>28.9</v>
      </c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2"/>
      <c r="DK407" s="12"/>
      <c r="DL407" s="12"/>
      <c r="DM407" s="69"/>
      <c r="DN407" s="69"/>
      <c r="DO407" s="69"/>
      <c r="DP407" s="69"/>
      <c r="DQ407" s="11"/>
      <c r="DR407" s="69"/>
      <c r="DS407" s="69"/>
      <c r="DT407" s="69"/>
      <c r="DU407" s="69"/>
      <c r="DV407" s="97"/>
      <c r="DW407" s="98"/>
      <c r="DX407" s="71">
        <v>7.94E-9</v>
      </c>
      <c r="DY407" s="114">
        <v>1.1E-8</v>
      </c>
      <c r="DZ407" s="64" t="s">
        <v>762</v>
      </c>
      <c r="EA407" s="72" t="s">
        <v>822</v>
      </c>
      <c r="EB407" s="82"/>
    </row>
    <row r="408">
      <c r="A408" s="167" t="s">
        <v>973</v>
      </c>
      <c r="B408" s="56" t="s">
        <v>974</v>
      </c>
      <c r="C408" s="3"/>
      <c r="D408" s="4"/>
      <c r="E408" s="4"/>
      <c r="F408" s="57" t="s">
        <v>168</v>
      </c>
      <c r="G408" s="61">
        <v>271.01773</v>
      </c>
      <c r="H408" s="61">
        <v>-24.48366</v>
      </c>
      <c r="I408" s="60" t="s">
        <v>819</v>
      </c>
      <c r="J408" s="60" t="s">
        <v>169</v>
      </c>
      <c r="K408" s="61">
        <v>4.9</v>
      </c>
      <c r="L408" s="60">
        <v>0.67</v>
      </c>
      <c r="M408" s="60">
        <v>2.0</v>
      </c>
      <c r="N408" s="61">
        <v>686.059275521405</v>
      </c>
      <c r="O408" s="61">
        <v>0.494</v>
      </c>
      <c r="P408" s="61">
        <v>0.461</v>
      </c>
      <c r="Q408" s="61">
        <v>-1.822</v>
      </c>
      <c r="R408" s="61">
        <v>0.375</v>
      </c>
      <c r="S408" s="60"/>
      <c r="T408" s="60"/>
      <c r="U408" s="58"/>
      <c r="V408" s="5"/>
      <c r="W408" s="5"/>
      <c r="X408" s="5"/>
      <c r="Y408" s="166"/>
      <c r="Z408" s="60">
        <v>18.13</v>
      </c>
      <c r="AA408" s="60">
        <v>0.012</v>
      </c>
      <c r="AB408" s="60"/>
      <c r="AC408" s="60"/>
      <c r="AD408" s="60"/>
      <c r="AE408" s="60"/>
      <c r="AF408" s="60"/>
      <c r="AG408" s="60"/>
      <c r="AH408" s="60">
        <v>16.97</v>
      </c>
      <c r="AI408" s="60">
        <v>0.02418677324</v>
      </c>
      <c r="AJ408" s="76" t="s">
        <v>759</v>
      </c>
      <c r="AK408" s="64" t="s">
        <v>820</v>
      </c>
      <c r="AL408" s="168"/>
      <c r="AM408" s="7"/>
      <c r="AN408" s="77">
        <v>1250.0</v>
      </c>
      <c r="AO408" s="64">
        <v>50.0</v>
      </c>
      <c r="AP408" s="13"/>
      <c r="AQ408" s="13"/>
      <c r="AR408" s="78"/>
      <c r="AS408" s="97"/>
      <c r="AT408" s="67">
        <v>0.3</v>
      </c>
      <c r="AU408" s="70">
        <v>0.05</v>
      </c>
      <c r="AV408" s="13"/>
      <c r="AW408" s="13"/>
      <c r="AX408" s="73"/>
      <c r="AY408" s="73"/>
      <c r="AZ408" s="68" t="s">
        <v>812</v>
      </c>
      <c r="BA408" s="68" t="s">
        <v>821</v>
      </c>
      <c r="BB408" s="68">
        <v>-60.21</v>
      </c>
      <c r="BC408" s="68">
        <v>10.3</v>
      </c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2"/>
      <c r="DK408" s="12"/>
      <c r="DL408" s="12"/>
      <c r="DM408" s="69"/>
      <c r="DN408" s="69"/>
      <c r="DO408" s="69"/>
      <c r="DP408" s="69"/>
      <c r="DQ408" s="11"/>
      <c r="DR408" s="69"/>
      <c r="DS408" s="69"/>
      <c r="DT408" s="69"/>
      <c r="DU408" s="69"/>
      <c r="DV408" s="97"/>
      <c r="DW408" s="98"/>
      <c r="DX408" s="71">
        <v>1.0E-8</v>
      </c>
      <c r="DY408" s="114">
        <v>1.38E-8</v>
      </c>
      <c r="DZ408" s="64" t="s">
        <v>762</v>
      </c>
      <c r="EA408" s="72" t="s">
        <v>822</v>
      </c>
      <c r="EB408" s="82"/>
    </row>
    <row r="409">
      <c r="A409" s="167" t="s">
        <v>975</v>
      </c>
      <c r="B409" s="56" t="s">
        <v>976</v>
      </c>
      <c r="C409" s="3"/>
      <c r="D409" s="4"/>
      <c r="E409" s="4"/>
      <c r="F409" s="57" t="s">
        <v>168</v>
      </c>
      <c r="G409" s="61">
        <v>271.1103</v>
      </c>
      <c r="H409" s="61">
        <v>-24.35231</v>
      </c>
      <c r="I409" s="60" t="s">
        <v>819</v>
      </c>
      <c r="J409" s="60" t="s">
        <v>169</v>
      </c>
      <c r="K409" s="61">
        <v>4.5</v>
      </c>
      <c r="L409" s="60">
        <v>0.96</v>
      </c>
      <c r="M409" s="60">
        <v>2.0</v>
      </c>
      <c r="N409" s="61">
        <v>1267.42712294043</v>
      </c>
      <c r="O409" s="61">
        <v>0.96</v>
      </c>
      <c r="P409" s="61">
        <v>0.486</v>
      </c>
      <c r="Q409" s="61">
        <v>0.22</v>
      </c>
      <c r="R409" s="61">
        <v>0.41</v>
      </c>
      <c r="S409" s="60"/>
      <c r="T409" s="60"/>
      <c r="U409" s="58"/>
      <c r="V409" s="5"/>
      <c r="W409" s="5"/>
      <c r="X409" s="5"/>
      <c r="Y409" s="166"/>
      <c r="Z409" s="60">
        <v>18.13</v>
      </c>
      <c r="AA409" s="60">
        <v>0.018</v>
      </c>
      <c r="AB409" s="60"/>
      <c r="AC409" s="60"/>
      <c r="AD409" s="60"/>
      <c r="AE409" s="60"/>
      <c r="AF409" s="60"/>
      <c r="AG409" s="60"/>
      <c r="AH409" s="60">
        <v>17.04</v>
      </c>
      <c r="AI409" s="60">
        <v>0.05032891813</v>
      </c>
      <c r="AJ409" s="76" t="s">
        <v>759</v>
      </c>
      <c r="AK409" s="64" t="s">
        <v>820</v>
      </c>
      <c r="AL409" s="168"/>
      <c r="AM409" s="7"/>
      <c r="AN409" s="77">
        <v>1250.0</v>
      </c>
      <c r="AO409" s="64">
        <v>50.0</v>
      </c>
      <c r="AP409" s="13"/>
      <c r="AQ409" s="13"/>
      <c r="AR409" s="78"/>
      <c r="AS409" s="97"/>
      <c r="AT409" s="67">
        <v>0.3</v>
      </c>
      <c r="AU409" s="70">
        <v>0.07</v>
      </c>
      <c r="AV409" s="13"/>
      <c r="AW409" s="13"/>
      <c r="AX409" s="73"/>
      <c r="AY409" s="73"/>
      <c r="AZ409" s="68" t="s">
        <v>812</v>
      </c>
      <c r="BA409" s="68" t="s">
        <v>821</v>
      </c>
      <c r="BB409" s="68">
        <v>-45.34</v>
      </c>
      <c r="BC409" s="68">
        <v>5.75</v>
      </c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2"/>
      <c r="DK409" s="12"/>
      <c r="DL409" s="12"/>
      <c r="DM409" s="69"/>
      <c r="DN409" s="69"/>
      <c r="DO409" s="69"/>
      <c r="DP409" s="69"/>
      <c r="DQ409" s="11"/>
      <c r="DR409" s="69"/>
      <c r="DS409" s="69"/>
      <c r="DT409" s="69"/>
      <c r="DU409" s="69"/>
      <c r="DV409" s="97"/>
      <c r="DW409" s="98"/>
      <c r="DX409" s="71">
        <v>1.0E-8</v>
      </c>
      <c r="DY409" s="114">
        <v>1.38E-8</v>
      </c>
      <c r="DZ409" s="64" t="s">
        <v>762</v>
      </c>
      <c r="EA409" s="72" t="s">
        <v>822</v>
      </c>
      <c r="EB409" s="82"/>
    </row>
    <row r="410">
      <c r="A410" s="167" t="s">
        <v>977</v>
      </c>
      <c r="B410" s="56" t="s">
        <v>978</v>
      </c>
      <c r="C410" s="3"/>
      <c r="D410" s="4"/>
      <c r="E410" s="4"/>
      <c r="F410" s="57" t="s">
        <v>168</v>
      </c>
      <c r="G410" s="61">
        <v>271.26065</v>
      </c>
      <c r="H410" s="61">
        <v>-24.41214</v>
      </c>
      <c r="I410" s="60" t="s">
        <v>819</v>
      </c>
      <c r="J410" s="60" t="s">
        <v>169</v>
      </c>
      <c r="K410" s="61">
        <v>4.5</v>
      </c>
      <c r="L410" s="60">
        <v>0.59</v>
      </c>
      <c r="M410" s="60">
        <v>2.0</v>
      </c>
      <c r="N410" s="61">
        <v>1426.12664004563</v>
      </c>
      <c r="O410" s="61">
        <v>2.304</v>
      </c>
      <c r="P410" s="61">
        <v>0.265</v>
      </c>
      <c r="Q410" s="61">
        <v>-2.0</v>
      </c>
      <c r="R410" s="61">
        <v>0.208</v>
      </c>
      <c r="S410" s="60"/>
      <c r="T410" s="60"/>
      <c r="U410" s="58"/>
      <c r="V410" s="5"/>
      <c r="W410" s="5"/>
      <c r="X410" s="5"/>
      <c r="Y410" s="166"/>
      <c r="Z410" s="60">
        <v>17.76</v>
      </c>
      <c r="AA410" s="60">
        <v>0.011</v>
      </c>
      <c r="AB410" s="60"/>
      <c r="AC410" s="60"/>
      <c r="AD410" s="60"/>
      <c r="AE410" s="60"/>
      <c r="AF410" s="60"/>
      <c r="AG410" s="60"/>
      <c r="AH410" s="60">
        <v>16.74</v>
      </c>
      <c r="AI410" s="60">
        <v>0.02549509757</v>
      </c>
      <c r="AJ410" s="76" t="s">
        <v>759</v>
      </c>
      <c r="AK410" s="64" t="s">
        <v>820</v>
      </c>
      <c r="AL410" s="168"/>
      <c r="AM410" s="7"/>
      <c r="AN410" s="77">
        <v>1250.0</v>
      </c>
      <c r="AO410" s="64">
        <v>50.0</v>
      </c>
      <c r="AP410" s="13"/>
      <c r="AQ410" s="13"/>
      <c r="AR410" s="78"/>
      <c r="AS410" s="97"/>
      <c r="AT410" s="67">
        <v>0.3</v>
      </c>
      <c r="AU410" s="70">
        <v>0.04</v>
      </c>
      <c r="AV410" s="13"/>
      <c r="AW410" s="13"/>
      <c r="AX410" s="73"/>
      <c r="AY410" s="73"/>
      <c r="AZ410" s="68" t="s">
        <v>812</v>
      </c>
      <c r="BA410" s="68" t="s">
        <v>821</v>
      </c>
      <c r="BB410" s="68">
        <v>-49.34</v>
      </c>
      <c r="BC410" s="68">
        <v>8.12</v>
      </c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2"/>
      <c r="DK410" s="12"/>
      <c r="DL410" s="12"/>
      <c r="DM410" s="69"/>
      <c r="DN410" s="69"/>
      <c r="DO410" s="69"/>
      <c r="DP410" s="69"/>
      <c r="DQ410" s="11"/>
      <c r="DR410" s="69"/>
      <c r="DS410" s="69"/>
      <c r="DT410" s="69"/>
      <c r="DU410" s="69"/>
      <c r="DV410" s="97"/>
      <c r="DW410" s="98"/>
      <c r="DX410" s="71">
        <v>1.0E-8</v>
      </c>
      <c r="DY410" s="114">
        <v>1.38E-8</v>
      </c>
      <c r="DZ410" s="64" t="s">
        <v>762</v>
      </c>
      <c r="EA410" s="72" t="s">
        <v>822</v>
      </c>
      <c r="EB410" s="82"/>
    </row>
    <row r="411">
      <c r="A411" s="167" t="s">
        <v>979</v>
      </c>
      <c r="B411" s="56" t="s">
        <v>980</v>
      </c>
      <c r="C411" s="3"/>
      <c r="D411" s="4"/>
      <c r="E411" s="4"/>
      <c r="F411" s="57" t="s">
        <v>168</v>
      </c>
      <c r="G411" s="61">
        <v>271.03546</v>
      </c>
      <c r="H411" s="61">
        <v>-24.35707</v>
      </c>
      <c r="I411" s="60" t="s">
        <v>819</v>
      </c>
      <c r="J411" s="60" t="s">
        <v>169</v>
      </c>
      <c r="K411" s="61">
        <v>5.6</v>
      </c>
      <c r="L411" s="60">
        <v>0.99</v>
      </c>
      <c r="M411" s="60">
        <v>2.0</v>
      </c>
      <c r="N411" s="61">
        <v>927.38569971251</v>
      </c>
      <c r="O411" s="61">
        <v>0.855</v>
      </c>
      <c r="P411" s="61">
        <v>0.422</v>
      </c>
      <c r="Q411" s="61">
        <v>-2.114</v>
      </c>
      <c r="R411" s="61">
        <v>0.367</v>
      </c>
      <c r="S411" s="60"/>
      <c r="T411" s="60"/>
      <c r="U411" s="58"/>
      <c r="V411" s="5"/>
      <c r="W411" s="5"/>
      <c r="X411" s="5"/>
      <c r="Y411" s="166"/>
      <c r="Z411" s="60">
        <v>18.34</v>
      </c>
      <c r="AA411" s="60">
        <v>0.018</v>
      </c>
      <c r="AB411" s="60"/>
      <c r="AC411" s="60"/>
      <c r="AD411" s="60"/>
      <c r="AE411" s="60"/>
      <c r="AF411" s="60"/>
      <c r="AG411" s="60"/>
      <c r="AH411" s="60">
        <v>16.75</v>
      </c>
      <c r="AI411" s="60">
        <v>0.03847076812</v>
      </c>
      <c r="AJ411" s="76" t="s">
        <v>759</v>
      </c>
      <c r="AK411" s="64" t="s">
        <v>820</v>
      </c>
      <c r="AL411" s="168"/>
      <c r="AM411" s="7"/>
      <c r="AN411" s="77">
        <v>1250.0</v>
      </c>
      <c r="AO411" s="64">
        <v>50.0</v>
      </c>
      <c r="AP411" s="13"/>
      <c r="AQ411" s="13"/>
      <c r="AR411" s="78"/>
      <c r="AS411" s="97"/>
      <c r="AT411" s="67">
        <v>0.3</v>
      </c>
      <c r="AU411" s="70">
        <v>0.07</v>
      </c>
      <c r="AV411" s="13"/>
      <c r="AW411" s="13"/>
      <c r="AX411" s="73"/>
      <c r="AY411" s="73"/>
      <c r="AZ411" s="68" t="s">
        <v>812</v>
      </c>
      <c r="BA411" s="68" t="s">
        <v>821</v>
      </c>
      <c r="BB411" s="68">
        <v>-160.85</v>
      </c>
      <c r="BC411" s="68">
        <v>29.5</v>
      </c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2"/>
      <c r="DK411" s="12"/>
      <c r="DL411" s="12"/>
      <c r="DM411" s="69"/>
      <c r="DN411" s="69"/>
      <c r="DO411" s="69"/>
      <c r="DP411" s="69"/>
      <c r="DQ411" s="11"/>
      <c r="DR411" s="69"/>
      <c r="DS411" s="69"/>
      <c r="DT411" s="69"/>
      <c r="DU411" s="69"/>
      <c r="DV411" s="97"/>
      <c r="DW411" s="98"/>
      <c r="DX411" s="71">
        <v>1.26E-8</v>
      </c>
      <c r="DY411" s="114">
        <v>1.74E-8</v>
      </c>
      <c r="DZ411" s="64" t="s">
        <v>762</v>
      </c>
      <c r="EA411" s="72" t="s">
        <v>822</v>
      </c>
      <c r="EB411" s="82"/>
    </row>
    <row r="412">
      <c r="A412" s="167" t="s">
        <v>981</v>
      </c>
      <c r="B412" s="56" t="s">
        <v>982</v>
      </c>
      <c r="C412" s="3"/>
      <c r="D412" s="4"/>
      <c r="E412" s="4"/>
      <c r="F412" s="57" t="s">
        <v>168</v>
      </c>
      <c r="G412" s="61">
        <v>271.06128</v>
      </c>
      <c r="H412" s="61">
        <v>-24.37207</v>
      </c>
      <c r="I412" s="60" t="s">
        <v>819</v>
      </c>
      <c r="J412" s="60" t="s">
        <v>169</v>
      </c>
      <c r="K412" s="61">
        <v>4.8</v>
      </c>
      <c r="L412" s="60">
        <v>0.96</v>
      </c>
      <c r="M412" s="5"/>
      <c r="N412" s="61"/>
      <c r="O412" s="61"/>
      <c r="P412" s="61"/>
      <c r="Q412" s="61"/>
      <c r="R412" s="61"/>
      <c r="S412" s="60"/>
      <c r="T412" s="60"/>
      <c r="U412" s="58"/>
      <c r="V412" s="5"/>
      <c r="W412" s="5"/>
      <c r="X412" s="5"/>
      <c r="Y412" s="166"/>
      <c r="Z412" s="60">
        <v>18.34</v>
      </c>
      <c r="AA412" s="60">
        <v>0.018</v>
      </c>
      <c r="AB412" s="60"/>
      <c r="AC412" s="60"/>
      <c r="AD412" s="60"/>
      <c r="AE412" s="60"/>
      <c r="AF412" s="60"/>
      <c r="AG412" s="60"/>
      <c r="AH412" s="60">
        <v>17.05</v>
      </c>
      <c r="AI412" s="60">
        <v>0.04477722635</v>
      </c>
      <c r="AJ412" s="76" t="s">
        <v>759</v>
      </c>
      <c r="AK412" s="64" t="s">
        <v>820</v>
      </c>
      <c r="AL412" s="168"/>
      <c r="AM412" s="7"/>
      <c r="AN412" s="77">
        <v>1250.0</v>
      </c>
      <c r="AO412" s="64">
        <v>50.0</v>
      </c>
      <c r="AP412" s="13"/>
      <c r="AQ412" s="13"/>
      <c r="AR412" s="78"/>
      <c r="AS412" s="97"/>
      <c r="AT412" s="67">
        <v>0.3</v>
      </c>
      <c r="AU412" s="70">
        <v>0.07</v>
      </c>
      <c r="AV412" s="13"/>
      <c r="AW412" s="13"/>
      <c r="AX412" s="73"/>
      <c r="AY412" s="73"/>
      <c r="AZ412" s="68" t="s">
        <v>812</v>
      </c>
      <c r="BA412" s="68" t="s">
        <v>821</v>
      </c>
      <c r="BB412" s="68">
        <v>-74.91</v>
      </c>
      <c r="BC412" s="68">
        <v>11.9</v>
      </c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2"/>
      <c r="DK412" s="12"/>
      <c r="DL412" s="12"/>
      <c r="DM412" s="69"/>
      <c r="DN412" s="69"/>
      <c r="DO412" s="69"/>
      <c r="DP412" s="69"/>
      <c r="DQ412" s="11"/>
      <c r="DR412" s="69"/>
      <c r="DS412" s="69"/>
      <c r="DT412" s="69"/>
      <c r="DU412" s="69"/>
      <c r="DV412" s="97"/>
      <c r="DW412" s="98"/>
      <c r="DX412" s="71">
        <v>1.26E-8</v>
      </c>
      <c r="DY412" s="114">
        <v>1.74E-8</v>
      </c>
      <c r="DZ412" s="64" t="s">
        <v>762</v>
      </c>
      <c r="EA412" s="72" t="s">
        <v>822</v>
      </c>
      <c r="EB412" s="82"/>
    </row>
    <row r="413">
      <c r="A413" s="167" t="s">
        <v>983</v>
      </c>
      <c r="B413" s="56" t="s">
        <v>984</v>
      </c>
      <c r="C413" s="3"/>
      <c r="D413" s="4"/>
      <c r="E413" s="4"/>
      <c r="F413" s="57" t="s">
        <v>168</v>
      </c>
      <c r="G413" s="61">
        <v>270.7099</v>
      </c>
      <c r="H413" s="61">
        <v>-24.3062</v>
      </c>
      <c r="I413" s="60" t="s">
        <v>819</v>
      </c>
      <c r="J413" s="60" t="s">
        <v>169</v>
      </c>
      <c r="K413" s="61">
        <v>5.3</v>
      </c>
      <c r="L413" s="60">
        <v>0.31</v>
      </c>
      <c r="M413" s="5"/>
      <c r="N413" s="61"/>
      <c r="O413" s="61"/>
      <c r="P413" s="61"/>
      <c r="Q413" s="61"/>
      <c r="R413" s="61"/>
      <c r="S413" s="60"/>
      <c r="T413" s="60"/>
      <c r="U413" s="58"/>
      <c r="V413" s="5"/>
      <c r="W413" s="5"/>
      <c r="X413" s="5"/>
      <c r="Y413" s="166"/>
      <c r="Z413" s="60">
        <v>17.26</v>
      </c>
      <c r="AA413" s="60">
        <v>0.005</v>
      </c>
      <c r="AB413" s="60"/>
      <c r="AC413" s="60"/>
      <c r="AD413" s="60"/>
      <c r="AE413" s="60"/>
      <c r="AF413" s="60"/>
      <c r="AG413" s="60"/>
      <c r="AH413" s="60">
        <v>16.32</v>
      </c>
      <c r="AI413" s="60">
        <v>0.01118033989</v>
      </c>
      <c r="AJ413" s="76" t="s">
        <v>759</v>
      </c>
      <c r="AK413" s="64" t="s">
        <v>820</v>
      </c>
      <c r="AL413" s="168"/>
      <c r="AM413" s="7"/>
      <c r="AN413" s="77">
        <v>1250.0</v>
      </c>
      <c r="AO413" s="64">
        <v>50.0</v>
      </c>
      <c r="AP413" s="13"/>
      <c r="AQ413" s="13"/>
      <c r="AR413" s="78"/>
      <c r="AS413" s="97"/>
      <c r="AT413" s="67">
        <v>0.3</v>
      </c>
      <c r="AU413" s="70">
        <v>0.02</v>
      </c>
      <c r="AV413" s="13"/>
      <c r="AW413" s="13"/>
      <c r="AX413" s="73"/>
      <c r="AY413" s="73"/>
      <c r="AZ413" s="68" t="s">
        <v>812</v>
      </c>
      <c r="BA413" s="68" t="s">
        <v>821</v>
      </c>
      <c r="BB413" s="68">
        <v>-39.07</v>
      </c>
      <c r="BC413" s="68">
        <v>7.02</v>
      </c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2"/>
      <c r="DK413" s="12"/>
      <c r="DL413" s="12"/>
      <c r="DM413" s="69"/>
      <c r="DN413" s="69"/>
      <c r="DO413" s="69"/>
      <c r="DP413" s="69"/>
      <c r="DQ413" s="11"/>
      <c r="DR413" s="69"/>
      <c r="DS413" s="69"/>
      <c r="DT413" s="69"/>
      <c r="DU413" s="69"/>
      <c r="DV413" s="97"/>
      <c r="DW413" s="98"/>
      <c r="DX413" s="71">
        <v>1.58E-8</v>
      </c>
      <c r="DY413" s="114">
        <v>2.19E-8</v>
      </c>
      <c r="DZ413" s="64" t="s">
        <v>762</v>
      </c>
      <c r="EA413" s="72" t="s">
        <v>822</v>
      </c>
      <c r="EB413" s="82"/>
    </row>
    <row r="414">
      <c r="A414" s="167" t="s">
        <v>985</v>
      </c>
      <c r="B414" s="56" t="s">
        <v>986</v>
      </c>
      <c r="C414" s="3"/>
      <c r="D414" s="4"/>
      <c r="E414" s="4"/>
      <c r="F414" s="57" t="s">
        <v>168</v>
      </c>
      <c r="G414" s="61">
        <v>271.0563</v>
      </c>
      <c r="H414" s="61">
        <v>-24.29369</v>
      </c>
      <c r="I414" s="60" t="s">
        <v>819</v>
      </c>
      <c r="J414" s="60" t="s">
        <v>169</v>
      </c>
      <c r="K414" s="61">
        <v>5.8</v>
      </c>
      <c r="L414" s="60">
        <v>1.16</v>
      </c>
      <c r="M414" s="60">
        <v>2.0</v>
      </c>
      <c r="N414" s="61">
        <v>2418.37968561064</v>
      </c>
      <c r="O414" s="61">
        <v>1.208</v>
      </c>
      <c r="P414" s="61">
        <v>0.509</v>
      </c>
      <c r="Q414" s="61">
        <v>-2.533</v>
      </c>
      <c r="R414" s="61">
        <v>0.43</v>
      </c>
      <c r="S414" s="60"/>
      <c r="T414" s="60"/>
      <c r="U414" s="58"/>
      <c r="V414" s="5"/>
      <c r="W414" s="5"/>
      <c r="X414" s="5"/>
      <c r="Y414" s="166"/>
      <c r="Z414" s="60">
        <v>18.54</v>
      </c>
      <c r="AA414" s="60">
        <v>0.022</v>
      </c>
      <c r="AB414" s="60"/>
      <c r="AC414" s="60"/>
      <c r="AD414" s="60"/>
      <c r="AE414" s="60"/>
      <c r="AF414" s="60"/>
      <c r="AG414" s="60"/>
      <c r="AH414" s="60">
        <v>16.9</v>
      </c>
      <c r="AI414" s="60">
        <v>0.04477722635</v>
      </c>
      <c r="AJ414" s="76" t="s">
        <v>759</v>
      </c>
      <c r="AK414" s="64" t="s">
        <v>820</v>
      </c>
      <c r="AL414" s="168"/>
      <c r="AM414" s="7"/>
      <c r="AN414" s="77">
        <v>1250.0</v>
      </c>
      <c r="AO414" s="64">
        <v>50.0</v>
      </c>
      <c r="AP414" s="13"/>
      <c r="AQ414" s="13"/>
      <c r="AR414" s="78"/>
      <c r="AS414" s="97"/>
      <c r="AT414" s="67">
        <v>0.3</v>
      </c>
      <c r="AU414" s="70">
        <v>0.09</v>
      </c>
      <c r="AV414" s="13"/>
      <c r="AW414" s="13"/>
      <c r="AX414" s="73"/>
      <c r="AY414" s="73"/>
      <c r="AZ414" s="68" t="s">
        <v>812</v>
      </c>
      <c r="BA414" s="68" t="s">
        <v>821</v>
      </c>
      <c r="BB414" s="68">
        <v>-160.71</v>
      </c>
      <c r="BC414" s="68">
        <v>29.0</v>
      </c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2"/>
      <c r="DK414" s="12"/>
      <c r="DL414" s="12"/>
      <c r="DM414" s="69"/>
      <c r="DN414" s="69"/>
      <c r="DO414" s="69"/>
      <c r="DP414" s="69"/>
      <c r="DQ414" s="11"/>
      <c r="DR414" s="69"/>
      <c r="DS414" s="69"/>
      <c r="DT414" s="69"/>
      <c r="DU414" s="69"/>
      <c r="DV414" s="97"/>
      <c r="DW414" s="98"/>
      <c r="DX414" s="71">
        <v>1.58E-8</v>
      </c>
      <c r="DY414" s="114">
        <v>2.19E-8</v>
      </c>
      <c r="DZ414" s="64" t="s">
        <v>762</v>
      </c>
      <c r="EA414" s="72" t="s">
        <v>822</v>
      </c>
      <c r="EB414" s="82"/>
    </row>
    <row r="415">
      <c r="A415" s="167" t="s">
        <v>987</v>
      </c>
      <c r="B415" s="56" t="s">
        <v>988</v>
      </c>
      <c r="C415" s="3"/>
      <c r="D415" s="4"/>
      <c r="E415" s="4"/>
      <c r="F415" s="57" t="s">
        <v>168</v>
      </c>
      <c r="G415" s="61">
        <v>271.0828</v>
      </c>
      <c r="H415" s="61">
        <v>-24.47325</v>
      </c>
      <c r="I415" s="60" t="s">
        <v>819</v>
      </c>
      <c r="J415" s="60" t="s">
        <v>169</v>
      </c>
      <c r="K415" s="61">
        <v>4.0</v>
      </c>
      <c r="L415" s="60">
        <v>0.3</v>
      </c>
      <c r="M415" s="60">
        <v>2.0</v>
      </c>
      <c r="N415" s="61">
        <v>1134.55865668255</v>
      </c>
      <c r="O415" s="61">
        <v>1.303</v>
      </c>
      <c r="P415" s="61">
        <v>0.164</v>
      </c>
      <c r="Q415" s="61">
        <v>-2.603</v>
      </c>
      <c r="R415" s="61">
        <v>0.14</v>
      </c>
      <c r="S415" s="60"/>
      <c r="T415" s="60"/>
      <c r="U415" s="58"/>
      <c r="V415" s="5"/>
      <c r="W415" s="5"/>
      <c r="X415" s="5"/>
      <c r="Y415" s="166"/>
      <c r="Z415" s="60">
        <v>16.66</v>
      </c>
      <c r="AA415" s="60">
        <v>0.005</v>
      </c>
      <c r="AB415" s="60"/>
      <c r="AC415" s="60"/>
      <c r="AD415" s="60"/>
      <c r="AE415" s="60"/>
      <c r="AF415" s="60"/>
      <c r="AG415" s="60"/>
      <c r="AH415" s="60">
        <v>15.3</v>
      </c>
      <c r="AI415" s="60">
        <v>0.01208304597</v>
      </c>
      <c r="AJ415" s="76" t="s">
        <v>759</v>
      </c>
      <c r="AK415" s="64" t="s">
        <v>820</v>
      </c>
      <c r="AL415" s="168"/>
      <c r="AM415" s="7"/>
      <c r="AN415" s="77">
        <v>1250.0</v>
      </c>
      <c r="AO415" s="64">
        <v>50.0</v>
      </c>
      <c r="AP415" s="13"/>
      <c r="AQ415" s="13"/>
      <c r="AR415" s="78"/>
      <c r="AS415" s="97"/>
      <c r="AT415" s="67">
        <v>0.3</v>
      </c>
      <c r="AU415" s="70">
        <v>0.02</v>
      </c>
      <c r="AV415" s="13"/>
      <c r="AW415" s="13"/>
      <c r="AX415" s="73"/>
      <c r="AY415" s="73"/>
      <c r="AZ415" s="68" t="s">
        <v>812</v>
      </c>
      <c r="BA415" s="68" t="s">
        <v>821</v>
      </c>
      <c r="BB415" s="68">
        <v>-106.84</v>
      </c>
      <c r="BC415" s="68">
        <v>20.4</v>
      </c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2"/>
      <c r="DK415" s="12"/>
      <c r="DL415" s="12"/>
      <c r="DM415" s="69"/>
      <c r="DN415" s="69"/>
      <c r="DO415" s="69"/>
      <c r="DP415" s="69"/>
      <c r="DQ415" s="11"/>
      <c r="DR415" s="69"/>
      <c r="DS415" s="69"/>
      <c r="DT415" s="69"/>
      <c r="DU415" s="69"/>
      <c r="DV415" s="97"/>
      <c r="DW415" s="98"/>
      <c r="DX415" s="71">
        <v>1.26E-7</v>
      </c>
      <c r="DY415" s="114">
        <v>1.74E-7</v>
      </c>
      <c r="DZ415" s="64" t="s">
        <v>762</v>
      </c>
      <c r="EA415" s="72" t="s">
        <v>822</v>
      </c>
      <c r="EB415" s="82"/>
    </row>
    <row r="416">
      <c r="A416" s="167" t="s">
        <v>989</v>
      </c>
      <c r="B416" s="56" t="s">
        <v>990</v>
      </c>
      <c r="C416" s="3"/>
      <c r="D416" s="4"/>
      <c r="E416" s="4"/>
      <c r="F416" s="57" t="s">
        <v>168</v>
      </c>
      <c r="G416" s="61">
        <v>271.0866</v>
      </c>
      <c r="H416" s="61">
        <v>-24.46737</v>
      </c>
      <c r="I416" s="60" t="s">
        <v>819</v>
      </c>
      <c r="J416" s="60" t="s">
        <v>169</v>
      </c>
      <c r="K416" s="61">
        <v>4.3</v>
      </c>
      <c r="L416" s="60">
        <v>0.07</v>
      </c>
      <c r="M416" s="5"/>
      <c r="N416" s="61"/>
      <c r="O416" s="61"/>
      <c r="P416" s="61"/>
      <c r="Q416" s="61"/>
      <c r="R416" s="61"/>
      <c r="S416" s="60">
        <v>3.65</v>
      </c>
      <c r="T416" s="60">
        <v>3.44</v>
      </c>
      <c r="U416" s="58"/>
      <c r="V416" s="5"/>
      <c r="W416" s="5"/>
      <c r="X416" s="5"/>
      <c r="Y416" s="166"/>
      <c r="Z416" s="60">
        <v>14.55</v>
      </c>
      <c r="AA416" s="60">
        <v>0.001</v>
      </c>
      <c r="AB416" s="60">
        <v>11.732</v>
      </c>
      <c r="AC416" s="60">
        <v>0.035</v>
      </c>
      <c r="AD416" s="60">
        <v>10.838</v>
      </c>
      <c r="AE416" s="60">
        <v>0.043</v>
      </c>
      <c r="AF416" s="60">
        <v>10.186</v>
      </c>
      <c r="AG416" s="60">
        <v>0.038</v>
      </c>
      <c r="AH416" s="60">
        <v>13.84</v>
      </c>
      <c r="AI416" s="60">
        <v>0.002236067977</v>
      </c>
      <c r="AJ416" s="76" t="s">
        <v>759</v>
      </c>
      <c r="AK416" s="64" t="s">
        <v>820</v>
      </c>
      <c r="AL416" s="168"/>
      <c r="AM416" s="7"/>
      <c r="AN416" s="77">
        <v>1250.0</v>
      </c>
      <c r="AO416" s="64">
        <v>50.0</v>
      </c>
      <c r="AP416" s="13"/>
      <c r="AQ416" s="13"/>
      <c r="AR416" s="78"/>
      <c r="AS416" s="97"/>
      <c r="AT416" s="67">
        <v>0.4</v>
      </c>
      <c r="AU416" s="70">
        <v>0.0</v>
      </c>
      <c r="AV416" s="13"/>
      <c r="AW416" s="13"/>
      <c r="AX416" s="73"/>
      <c r="AY416" s="73"/>
      <c r="AZ416" s="68" t="s">
        <v>812</v>
      </c>
      <c r="BA416" s="68" t="s">
        <v>821</v>
      </c>
      <c r="BB416" s="68">
        <v>-49.73</v>
      </c>
      <c r="BC416" s="68">
        <v>7.46</v>
      </c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2"/>
      <c r="DK416" s="12"/>
      <c r="DL416" s="12"/>
      <c r="DM416" s="69"/>
      <c r="DN416" s="69"/>
      <c r="DO416" s="69"/>
      <c r="DP416" s="69"/>
      <c r="DQ416" s="11"/>
      <c r="DR416" s="69"/>
      <c r="DS416" s="69"/>
      <c r="DT416" s="69"/>
      <c r="DU416" s="69"/>
      <c r="DV416" s="97"/>
      <c r="DW416" s="98"/>
      <c r="DX416" s="71">
        <v>2.51E-7</v>
      </c>
      <c r="DY416" s="114">
        <v>3.47E-7</v>
      </c>
      <c r="DZ416" s="64" t="s">
        <v>762</v>
      </c>
      <c r="EA416" s="72" t="s">
        <v>822</v>
      </c>
      <c r="EB416" s="82"/>
    </row>
    <row r="417">
      <c r="A417" s="167" t="s">
        <v>991</v>
      </c>
      <c r="B417" s="56" t="s">
        <v>992</v>
      </c>
      <c r="C417" s="3"/>
      <c r="D417" s="4"/>
      <c r="E417" s="4"/>
      <c r="F417" s="57" t="s">
        <v>168</v>
      </c>
      <c r="G417" s="61">
        <v>271.18137</v>
      </c>
      <c r="H417" s="61">
        <v>-24.46068</v>
      </c>
      <c r="I417" s="60" t="s">
        <v>819</v>
      </c>
      <c r="J417" s="60" t="s">
        <v>169</v>
      </c>
      <c r="K417" s="61">
        <v>4.3</v>
      </c>
      <c r="L417" s="60">
        <v>0.11</v>
      </c>
      <c r="M417" s="5"/>
      <c r="N417" s="61"/>
      <c r="O417" s="61"/>
      <c r="P417" s="61"/>
      <c r="Q417" s="61"/>
      <c r="R417" s="61"/>
      <c r="S417" s="60"/>
      <c r="T417" s="60"/>
      <c r="U417" s="58"/>
      <c r="V417" s="5"/>
      <c r="W417" s="5"/>
      <c r="X417" s="5"/>
      <c r="Y417" s="166"/>
      <c r="Z417" s="60">
        <v>15.21</v>
      </c>
      <c r="AA417" s="60">
        <v>0.001</v>
      </c>
      <c r="AB417" s="60">
        <v>11.996</v>
      </c>
      <c r="AC417" s="60">
        <v>0.04</v>
      </c>
      <c r="AD417" s="60">
        <v>10.782</v>
      </c>
      <c r="AE417" s="60">
        <v>0.057</v>
      </c>
      <c r="AF417" s="60">
        <v>10.023</v>
      </c>
      <c r="AG417" s="60">
        <v>0.046</v>
      </c>
      <c r="AH417" s="60">
        <v>14.45</v>
      </c>
      <c r="AI417" s="60">
        <v>0.004123105626</v>
      </c>
      <c r="AJ417" s="76" t="s">
        <v>759</v>
      </c>
      <c r="AK417" s="64" t="s">
        <v>820</v>
      </c>
      <c r="AL417" s="168"/>
      <c r="AM417" s="7"/>
      <c r="AN417" s="77">
        <v>1250.0</v>
      </c>
      <c r="AO417" s="64">
        <v>50.0</v>
      </c>
      <c r="AP417" s="13"/>
      <c r="AQ417" s="13"/>
      <c r="AR417" s="78"/>
      <c r="AS417" s="97"/>
      <c r="AT417" s="67">
        <v>0.4</v>
      </c>
      <c r="AU417" s="70">
        <v>0.0</v>
      </c>
      <c r="AV417" s="13"/>
      <c r="AW417" s="13"/>
      <c r="AX417" s="73"/>
      <c r="AY417" s="73"/>
      <c r="AZ417" s="68" t="s">
        <v>812</v>
      </c>
      <c r="BA417" s="68" t="s">
        <v>821</v>
      </c>
      <c r="BB417" s="68">
        <v>-22.25</v>
      </c>
      <c r="BC417" s="68">
        <v>2.09</v>
      </c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2"/>
      <c r="DK417" s="12"/>
      <c r="DL417" s="12"/>
      <c r="DM417" s="69"/>
      <c r="DN417" s="69"/>
      <c r="DO417" s="69"/>
      <c r="DP417" s="69"/>
      <c r="DQ417" s="11"/>
      <c r="DR417" s="69"/>
      <c r="DS417" s="69"/>
      <c r="DT417" s="69"/>
      <c r="DU417" s="69"/>
      <c r="DV417" s="97"/>
      <c r="DW417" s="98"/>
      <c r="DX417" s="71">
        <v>1.26E-7</v>
      </c>
      <c r="DY417" s="114">
        <v>1.74E-7</v>
      </c>
      <c r="DZ417" s="64" t="s">
        <v>762</v>
      </c>
      <c r="EA417" s="72" t="s">
        <v>822</v>
      </c>
      <c r="EB417" s="82"/>
    </row>
    <row r="418">
      <c r="A418" s="167" t="s">
        <v>993</v>
      </c>
      <c r="B418" s="56" t="s">
        <v>994</v>
      </c>
      <c r="C418" s="3"/>
      <c r="D418" s="4"/>
      <c r="E418" s="4"/>
      <c r="F418" s="57" t="s">
        <v>168</v>
      </c>
      <c r="G418" s="61">
        <v>271.08047</v>
      </c>
      <c r="H418" s="61">
        <v>-24.38183</v>
      </c>
      <c r="I418" s="60" t="s">
        <v>819</v>
      </c>
      <c r="J418" s="60" t="s">
        <v>169</v>
      </c>
      <c r="K418" s="61">
        <v>4.0</v>
      </c>
      <c r="L418" s="60">
        <v>0.12</v>
      </c>
      <c r="M418" s="5"/>
      <c r="N418" s="61"/>
      <c r="O418" s="61"/>
      <c r="P418" s="61"/>
      <c r="Q418" s="61"/>
      <c r="R418" s="61"/>
      <c r="S418" s="60"/>
      <c r="T418" s="60"/>
      <c r="U418" s="58"/>
      <c r="V418" s="5"/>
      <c r="W418" s="5"/>
      <c r="X418" s="5"/>
      <c r="Y418" s="166"/>
      <c r="Z418" s="60">
        <v>15.21</v>
      </c>
      <c r="AA418" s="60">
        <v>0.002</v>
      </c>
      <c r="AB418" s="60">
        <v>12.436</v>
      </c>
      <c r="AC418" s="60">
        <v>0.024</v>
      </c>
      <c r="AD418" s="60">
        <v>11.497</v>
      </c>
      <c r="AE418" s="60">
        <v>0.031</v>
      </c>
      <c r="AF418" s="60">
        <v>11.027</v>
      </c>
      <c r="AG418" s="60">
        <v>0.029</v>
      </c>
      <c r="AH418" s="60">
        <v>14.57</v>
      </c>
      <c r="AI418" s="60">
        <v>0.005385164807</v>
      </c>
      <c r="AJ418" s="76" t="s">
        <v>759</v>
      </c>
      <c r="AK418" s="64" t="s">
        <v>820</v>
      </c>
      <c r="AL418" s="168"/>
      <c r="AM418" s="7"/>
      <c r="AN418" s="77">
        <v>1250.0</v>
      </c>
      <c r="AO418" s="64">
        <v>50.0</v>
      </c>
      <c r="AP418" s="13"/>
      <c r="AQ418" s="13"/>
      <c r="AR418" s="78"/>
      <c r="AS418" s="97"/>
      <c r="AT418" s="67">
        <v>0.4</v>
      </c>
      <c r="AU418" s="70">
        <v>0.0</v>
      </c>
      <c r="AV418" s="13"/>
      <c r="AW418" s="13"/>
      <c r="AX418" s="73"/>
      <c r="AY418" s="73"/>
      <c r="AZ418" s="68" t="s">
        <v>812</v>
      </c>
      <c r="BA418" s="68" t="s">
        <v>821</v>
      </c>
      <c r="BB418" s="68">
        <v>-13.1</v>
      </c>
      <c r="BC418" s="68">
        <v>2.66</v>
      </c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2"/>
      <c r="DK418" s="12"/>
      <c r="DL418" s="12"/>
      <c r="DM418" s="69"/>
      <c r="DN418" s="69"/>
      <c r="DO418" s="69"/>
      <c r="DP418" s="69"/>
      <c r="DQ418" s="11"/>
      <c r="DR418" s="69"/>
      <c r="DS418" s="69"/>
      <c r="DT418" s="69"/>
      <c r="DU418" s="69"/>
      <c r="DV418" s="97"/>
      <c r="DW418" s="98"/>
      <c r="DX418" s="71">
        <v>6.31E-8</v>
      </c>
      <c r="DY418" s="114">
        <v>8.72E-8</v>
      </c>
      <c r="DZ418" s="64" t="s">
        <v>762</v>
      </c>
      <c r="EA418" s="72" t="s">
        <v>822</v>
      </c>
      <c r="EB418" s="82"/>
    </row>
    <row r="419">
      <c r="A419" s="167" t="s">
        <v>995</v>
      </c>
      <c r="B419" s="56" t="s">
        <v>996</v>
      </c>
      <c r="C419" s="3"/>
      <c r="D419" s="4"/>
      <c r="E419" s="4"/>
      <c r="F419" s="57" t="s">
        <v>168</v>
      </c>
      <c r="G419" s="61">
        <v>270.94583</v>
      </c>
      <c r="H419" s="61">
        <v>-24.36791</v>
      </c>
      <c r="I419" s="60" t="s">
        <v>819</v>
      </c>
      <c r="J419" s="60" t="s">
        <v>169</v>
      </c>
      <c r="K419" s="61">
        <v>4.2</v>
      </c>
      <c r="L419" s="60">
        <v>0.16</v>
      </c>
      <c r="M419" s="60">
        <v>2.0</v>
      </c>
      <c r="N419" s="61">
        <v>2242.15246636771</v>
      </c>
      <c r="O419" s="61">
        <v>2.059</v>
      </c>
      <c r="P419" s="61">
        <v>0.226</v>
      </c>
      <c r="Q419" s="61">
        <v>-2.638</v>
      </c>
      <c r="R419" s="61">
        <v>0.183</v>
      </c>
      <c r="S419" s="60"/>
      <c r="T419" s="60"/>
      <c r="U419" s="58"/>
      <c r="V419" s="5"/>
      <c r="W419" s="5"/>
      <c r="X419" s="5"/>
      <c r="Y419" s="166"/>
      <c r="Z419" s="60">
        <v>15.56</v>
      </c>
      <c r="AA419" s="60">
        <v>0.002</v>
      </c>
      <c r="AB419" s="60">
        <v>12.568</v>
      </c>
      <c r="AC419" s="60">
        <v>0.024</v>
      </c>
      <c r="AD419" s="60">
        <v>11.6</v>
      </c>
      <c r="AE419" s="60">
        <v>0.022</v>
      </c>
      <c r="AF419" s="60">
        <v>11.061</v>
      </c>
      <c r="AG419" s="60">
        <v>0.021</v>
      </c>
      <c r="AH419" s="60">
        <v>14.21</v>
      </c>
      <c r="AI419" s="60">
        <v>0.005385164807</v>
      </c>
      <c r="AJ419" s="76" t="s">
        <v>759</v>
      </c>
      <c r="AK419" s="64" t="s">
        <v>820</v>
      </c>
      <c r="AL419" s="168"/>
      <c r="AM419" s="7"/>
      <c r="AN419" s="77">
        <v>1250.0</v>
      </c>
      <c r="AO419" s="64">
        <v>50.0</v>
      </c>
      <c r="AP419" s="13"/>
      <c r="AQ419" s="13"/>
      <c r="AR419" s="78"/>
      <c r="AS419" s="97"/>
      <c r="AT419" s="67">
        <v>0.4</v>
      </c>
      <c r="AU419" s="70">
        <v>0.01</v>
      </c>
      <c r="AV419" s="13"/>
      <c r="AW419" s="13"/>
      <c r="AX419" s="73"/>
      <c r="AY419" s="73"/>
      <c r="AZ419" s="68" t="s">
        <v>812</v>
      </c>
      <c r="BA419" s="68" t="s">
        <v>821</v>
      </c>
      <c r="BB419" s="68">
        <v>-127.69</v>
      </c>
      <c r="BC419" s="68">
        <v>25.0</v>
      </c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2"/>
      <c r="DK419" s="12"/>
      <c r="DL419" s="12"/>
      <c r="DM419" s="69"/>
      <c r="DN419" s="69"/>
      <c r="DO419" s="69"/>
      <c r="DP419" s="69"/>
      <c r="DQ419" s="11"/>
      <c r="DR419" s="69"/>
      <c r="DS419" s="69"/>
      <c r="DT419" s="69"/>
      <c r="DU419" s="69"/>
      <c r="DV419" s="97"/>
      <c r="DW419" s="98"/>
      <c r="DX419" s="71">
        <v>3.98E-7</v>
      </c>
      <c r="DY419" s="114">
        <v>5.5E-7</v>
      </c>
      <c r="DZ419" s="64" t="s">
        <v>762</v>
      </c>
      <c r="EA419" s="72" t="s">
        <v>822</v>
      </c>
      <c r="EB419" s="82"/>
    </row>
    <row r="420">
      <c r="A420" s="167" t="s">
        <v>997</v>
      </c>
      <c r="B420" s="56" t="s">
        <v>998</v>
      </c>
      <c r="C420" s="3"/>
      <c r="D420" s="4"/>
      <c r="E420" s="4"/>
      <c r="F420" s="57" t="s">
        <v>168</v>
      </c>
      <c r="G420" s="61">
        <v>271.2022</v>
      </c>
      <c r="H420" s="61">
        <v>-24.44454</v>
      </c>
      <c r="I420" s="60" t="s">
        <v>819</v>
      </c>
      <c r="J420" s="60" t="s">
        <v>169</v>
      </c>
      <c r="K420" s="61">
        <v>4.2</v>
      </c>
      <c r="L420" s="60">
        <v>0.2</v>
      </c>
      <c r="M420" s="5"/>
      <c r="N420" s="61"/>
      <c r="O420" s="61"/>
      <c r="P420" s="61"/>
      <c r="Q420" s="61"/>
      <c r="R420" s="61"/>
      <c r="S420" s="60"/>
      <c r="T420" s="60"/>
      <c r="U420" s="58"/>
      <c r="V420" s="5"/>
      <c r="W420" s="5"/>
      <c r="X420" s="5"/>
      <c r="Y420" s="166"/>
      <c r="Z420" s="60">
        <v>16.26</v>
      </c>
      <c r="AA420" s="60">
        <v>0.003</v>
      </c>
      <c r="AB420" s="60">
        <v>12.596</v>
      </c>
      <c r="AC420" s="60">
        <v>0.051</v>
      </c>
      <c r="AD420" s="60">
        <v>11.018</v>
      </c>
      <c r="AE420" s="60">
        <v>0.049</v>
      </c>
      <c r="AF420" s="60">
        <v>10.064</v>
      </c>
      <c r="AG420" s="60">
        <v>0.026</v>
      </c>
      <c r="AH420" s="60">
        <v>15.45</v>
      </c>
      <c r="AI420" s="60">
        <v>0.007615773106</v>
      </c>
      <c r="AJ420" s="76" t="s">
        <v>759</v>
      </c>
      <c r="AK420" s="64" t="s">
        <v>820</v>
      </c>
      <c r="AL420" s="168"/>
      <c r="AM420" s="7"/>
      <c r="AN420" s="77">
        <v>1250.0</v>
      </c>
      <c r="AO420" s="64">
        <v>50.0</v>
      </c>
      <c r="AP420" s="13"/>
      <c r="AQ420" s="13"/>
      <c r="AR420" s="78"/>
      <c r="AS420" s="97"/>
      <c r="AT420" s="67">
        <v>0.4</v>
      </c>
      <c r="AU420" s="70">
        <v>0.01</v>
      </c>
      <c r="AV420" s="13"/>
      <c r="AW420" s="13"/>
      <c r="AX420" s="73"/>
      <c r="AY420" s="73"/>
      <c r="AZ420" s="68" t="s">
        <v>812</v>
      </c>
      <c r="BA420" s="68" t="s">
        <v>821</v>
      </c>
      <c r="BB420" s="68">
        <v>-34.05</v>
      </c>
      <c r="BC420" s="68">
        <v>6.26</v>
      </c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2"/>
      <c r="DK420" s="12"/>
      <c r="DL420" s="12"/>
      <c r="DM420" s="69"/>
      <c r="DN420" s="69"/>
      <c r="DO420" s="69"/>
      <c r="DP420" s="69"/>
      <c r="DQ420" s="11"/>
      <c r="DR420" s="69"/>
      <c r="DS420" s="69"/>
      <c r="DT420" s="69"/>
      <c r="DU420" s="69"/>
      <c r="DV420" s="97"/>
      <c r="DW420" s="98"/>
      <c r="DX420" s="71">
        <v>3.16E-8</v>
      </c>
      <c r="DY420" s="114">
        <v>4.37E-8</v>
      </c>
      <c r="DZ420" s="64" t="s">
        <v>762</v>
      </c>
      <c r="EA420" s="72" t="s">
        <v>822</v>
      </c>
      <c r="EB420" s="82"/>
    </row>
    <row r="421">
      <c r="A421" s="167" t="s">
        <v>999</v>
      </c>
      <c r="B421" s="56" t="s">
        <v>1000</v>
      </c>
      <c r="C421" s="3"/>
      <c r="D421" s="4"/>
      <c r="E421" s="4"/>
      <c r="F421" s="57" t="s">
        <v>168</v>
      </c>
      <c r="G421" s="61">
        <v>271.04248</v>
      </c>
      <c r="H421" s="61">
        <v>-24.38964</v>
      </c>
      <c r="I421" s="60" t="s">
        <v>819</v>
      </c>
      <c r="J421" s="60" t="s">
        <v>169</v>
      </c>
      <c r="K421" s="61">
        <v>4.3</v>
      </c>
      <c r="L421" s="60">
        <v>0.15</v>
      </c>
      <c r="M421" s="60">
        <v>2.0</v>
      </c>
      <c r="N421" s="61">
        <v>2475.86036147561</v>
      </c>
      <c r="O421" s="61">
        <v>0.802</v>
      </c>
      <c r="P421" s="61">
        <v>0.128</v>
      </c>
      <c r="Q421" s="61">
        <v>-1.167</v>
      </c>
      <c r="R421" s="61">
        <v>0.1</v>
      </c>
      <c r="S421" s="60">
        <v>-31.97</v>
      </c>
      <c r="T421" s="60">
        <v>1.43</v>
      </c>
      <c r="U421" s="58"/>
      <c r="V421" s="5"/>
      <c r="W421" s="5"/>
      <c r="X421" s="5"/>
      <c r="Y421" s="166"/>
      <c r="Z421" s="60">
        <v>15.72</v>
      </c>
      <c r="AA421" s="60">
        <v>0.002</v>
      </c>
      <c r="AB421" s="60">
        <v>12.687</v>
      </c>
      <c r="AC421" s="60">
        <v>0.037</v>
      </c>
      <c r="AD421" s="60">
        <v>11.928</v>
      </c>
      <c r="AE421" s="60">
        <v>0.053</v>
      </c>
      <c r="AF421" s="60">
        <v>11.584</v>
      </c>
      <c r="AG421" s="60">
        <v>0.034</v>
      </c>
      <c r="AH421" s="60">
        <v>14.95</v>
      </c>
      <c r="AI421" s="60">
        <v>0.008246211251</v>
      </c>
      <c r="AJ421" s="76" t="s">
        <v>759</v>
      </c>
      <c r="AK421" s="64" t="s">
        <v>820</v>
      </c>
      <c r="AL421" s="168"/>
      <c r="AM421" s="7"/>
      <c r="AN421" s="77">
        <v>1250.0</v>
      </c>
      <c r="AO421" s="64">
        <v>50.0</v>
      </c>
      <c r="AP421" s="13"/>
      <c r="AQ421" s="13"/>
      <c r="AR421" s="78"/>
      <c r="AS421" s="97"/>
      <c r="AT421" s="67">
        <v>0.4</v>
      </c>
      <c r="AU421" s="70">
        <v>0.01</v>
      </c>
      <c r="AV421" s="13"/>
      <c r="AW421" s="13"/>
      <c r="AX421" s="73"/>
      <c r="AY421" s="73"/>
      <c r="AZ421" s="68" t="s">
        <v>812</v>
      </c>
      <c r="BA421" s="68" t="s">
        <v>821</v>
      </c>
      <c r="BB421" s="68">
        <v>-13.36</v>
      </c>
      <c r="BC421" s="68">
        <v>1.38</v>
      </c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2"/>
      <c r="DK421" s="12"/>
      <c r="DL421" s="12"/>
      <c r="DM421" s="69"/>
      <c r="DN421" s="69"/>
      <c r="DO421" s="69"/>
      <c r="DP421" s="69"/>
      <c r="DQ421" s="11"/>
      <c r="DR421" s="69"/>
      <c r="DS421" s="69"/>
      <c r="DT421" s="69"/>
      <c r="DU421" s="69"/>
      <c r="DV421" s="97"/>
      <c r="DW421" s="98"/>
      <c r="DX421" s="71">
        <v>6.31E-8</v>
      </c>
      <c r="DY421" s="114">
        <v>8.72E-8</v>
      </c>
      <c r="DZ421" s="64" t="s">
        <v>762</v>
      </c>
      <c r="EA421" s="72" t="s">
        <v>822</v>
      </c>
      <c r="EB421" s="82"/>
    </row>
    <row r="422">
      <c r="A422" s="167" t="s">
        <v>1001</v>
      </c>
      <c r="B422" s="56" t="s">
        <v>1002</v>
      </c>
      <c r="C422" s="3"/>
      <c r="D422" s="4"/>
      <c r="E422" s="4"/>
      <c r="F422" s="57" t="s">
        <v>168</v>
      </c>
      <c r="G422" s="61">
        <v>271.24432</v>
      </c>
      <c r="H422" s="61">
        <v>-24.41009</v>
      </c>
      <c r="I422" s="60" t="s">
        <v>819</v>
      </c>
      <c r="J422" s="60" t="s">
        <v>169</v>
      </c>
      <c r="K422" s="61">
        <v>4.5</v>
      </c>
      <c r="L422" s="60">
        <v>0.13</v>
      </c>
      <c r="M422" s="60">
        <v>2.0</v>
      </c>
      <c r="N422" s="61">
        <v>1168.77045348293</v>
      </c>
      <c r="O422" s="61">
        <v>1.669</v>
      </c>
      <c r="P422" s="61">
        <v>0.109</v>
      </c>
      <c r="Q422" s="61">
        <v>-1.559</v>
      </c>
      <c r="R422" s="61">
        <v>0.086</v>
      </c>
      <c r="S422" s="60"/>
      <c r="T422" s="60"/>
      <c r="U422" s="58"/>
      <c r="V422" s="5"/>
      <c r="W422" s="5"/>
      <c r="X422" s="5"/>
      <c r="Y422" s="166"/>
      <c r="Z422" s="60">
        <v>15.6</v>
      </c>
      <c r="AA422" s="60">
        <v>0.002</v>
      </c>
      <c r="AB422" s="60">
        <v>12.819</v>
      </c>
      <c r="AC422" s="60">
        <v>0.022</v>
      </c>
      <c r="AD422" s="60">
        <v>11.461</v>
      </c>
      <c r="AE422" s="60">
        <v>0.022</v>
      </c>
      <c r="AF422" s="60">
        <v>10.517</v>
      </c>
      <c r="AG422" s="60">
        <v>0.021</v>
      </c>
      <c r="AH422" s="60">
        <v>14.51</v>
      </c>
      <c r="AI422" s="60">
        <v>0.004472135955</v>
      </c>
      <c r="AJ422" s="76" t="s">
        <v>759</v>
      </c>
      <c r="AK422" s="64" t="s">
        <v>820</v>
      </c>
      <c r="AL422" s="168"/>
      <c r="AM422" s="7"/>
      <c r="AN422" s="77">
        <v>1250.0</v>
      </c>
      <c r="AO422" s="64">
        <v>50.0</v>
      </c>
      <c r="AP422" s="13"/>
      <c r="AQ422" s="13"/>
      <c r="AR422" s="78"/>
      <c r="AS422" s="97"/>
      <c r="AT422" s="67">
        <v>0.4</v>
      </c>
      <c r="AU422" s="70">
        <v>0.01</v>
      </c>
      <c r="AV422" s="13"/>
      <c r="AW422" s="13"/>
      <c r="AX422" s="73"/>
      <c r="AY422" s="73"/>
      <c r="AZ422" s="68" t="s">
        <v>812</v>
      </c>
      <c r="BA422" s="68" t="s">
        <v>821</v>
      </c>
      <c r="BB422" s="68">
        <v>-76.88</v>
      </c>
      <c r="BC422" s="68">
        <v>15.0</v>
      </c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2"/>
      <c r="DK422" s="12"/>
      <c r="DL422" s="12"/>
      <c r="DM422" s="69"/>
      <c r="DN422" s="69"/>
      <c r="DO422" s="69"/>
      <c r="DP422" s="69"/>
      <c r="DQ422" s="11"/>
      <c r="DR422" s="69"/>
      <c r="DS422" s="69"/>
      <c r="DT422" s="69"/>
      <c r="DU422" s="69"/>
      <c r="DV422" s="97"/>
      <c r="DW422" s="98"/>
      <c r="DX422" s="71">
        <v>2.0E-7</v>
      </c>
      <c r="DY422" s="114">
        <v>2.76E-7</v>
      </c>
      <c r="DZ422" s="64" t="s">
        <v>762</v>
      </c>
      <c r="EA422" s="72" t="s">
        <v>822</v>
      </c>
      <c r="EB422" s="82"/>
    </row>
    <row r="423">
      <c r="A423" s="167" t="s">
        <v>1003</v>
      </c>
      <c r="B423" s="56" t="s">
        <v>1004</v>
      </c>
      <c r="C423" s="3"/>
      <c r="D423" s="4"/>
      <c r="E423" s="4"/>
      <c r="F423" s="57" t="s">
        <v>168</v>
      </c>
      <c r="G423" s="61">
        <v>271.08786</v>
      </c>
      <c r="H423" s="61">
        <v>-24.39037</v>
      </c>
      <c r="I423" s="60" t="s">
        <v>819</v>
      </c>
      <c r="J423" s="60" t="s">
        <v>169</v>
      </c>
      <c r="K423" s="61">
        <v>4.8</v>
      </c>
      <c r="L423" s="60">
        <v>0.21</v>
      </c>
      <c r="M423" s="60">
        <v>2.0</v>
      </c>
      <c r="N423" s="61">
        <v>1050.75128717032</v>
      </c>
      <c r="O423" s="61">
        <v>1.252</v>
      </c>
      <c r="P423" s="61">
        <v>0.152</v>
      </c>
      <c r="Q423" s="61">
        <v>-1.526</v>
      </c>
      <c r="R423" s="61">
        <v>0.132</v>
      </c>
      <c r="S423" s="60">
        <v>1.23</v>
      </c>
      <c r="T423" s="60">
        <v>1.63</v>
      </c>
      <c r="U423" s="58"/>
      <c r="V423" s="5"/>
      <c r="W423" s="5"/>
      <c r="X423" s="5"/>
      <c r="Y423" s="166"/>
      <c r="Z423" s="60">
        <v>16.15</v>
      </c>
      <c r="AA423" s="60">
        <v>0.003</v>
      </c>
      <c r="AB423" s="60">
        <v>12.894</v>
      </c>
      <c r="AC423" s="60">
        <v>0.061</v>
      </c>
      <c r="AD423" s="60">
        <v>11.9</v>
      </c>
      <c r="AE423" s="60">
        <v>0.073</v>
      </c>
      <c r="AF423" s="60">
        <v>11.239</v>
      </c>
      <c r="AG423" s="60">
        <v>0.049</v>
      </c>
      <c r="AH423" s="60">
        <v>15.27</v>
      </c>
      <c r="AI423" s="60">
        <v>0.01044030651</v>
      </c>
      <c r="AJ423" s="76" t="s">
        <v>759</v>
      </c>
      <c r="AK423" s="64" t="s">
        <v>820</v>
      </c>
      <c r="AL423" s="168"/>
      <c r="AM423" s="7"/>
      <c r="AN423" s="77">
        <v>1250.0</v>
      </c>
      <c r="AO423" s="64">
        <v>50.0</v>
      </c>
      <c r="AP423" s="13"/>
      <c r="AQ423" s="13"/>
      <c r="AR423" s="78"/>
      <c r="AS423" s="97"/>
      <c r="AT423" s="67">
        <v>0.4</v>
      </c>
      <c r="AU423" s="70">
        <v>0.01</v>
      </c>
      <c r="AV423" s="13"/>
      <c r="AW423" s="13"/>
      <c r="AX423" s="73"/>
      <c r="AY423" s="73"/>
      <c r="AZ423" s="68" t="s">
        <v>812</v>
      </c>
      <c r="BA423" s="68" t="s">
        <v>821</v>
      </c>
      <c r="BB423" s="68">
        <v>-40.32</v>
      </c>
      <c r="BC423" s="68">
        <v>7.37</v>
      </c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2"/>
      <c r="DK423" s="12"/>
      <c r="DL423" s="12"/>
      <c r="DM423" s="69"/>
      <c r="DN423" s="69"/>
      <c r="DO423" s="69"/>
      <c r="DP423" s="69"/>
      <c r="DQ423" s="11"/>
      <c r="DR423" s="69"/>
      <c r="DS423" s="69"/>
      <c r="DT423" s="69"/>
      <c r="DU423" s="69"/>
      <c r="DV423" s="97"/>
      <c r="DW423" s="98"/>
      <c r="DX423" s="71">
        <v>5.01E-8</v>
      </c>
      <c r="DY423" s="114">
        <v>6.93E-8</v>
      </c>
      <c r="DZ423" s="64" t="s">
        <v>762</v>
      </c>
      <c r="EA423" s="72" t="s">
        <v>822</v>
      </c>
      <c r="EB423" s="82"/>
    </row>
    <row r="424">
      <c r="A424" s="167" t="s">
        <v>1005</v>
      </c>
      <c r="B424" s="56" t="s">
        <v>1006</v>
      </c>
      <c r="C424" s="3"/>
      <c r="D424" s="4"/>
      <c r="E424" s="4"/>
      <c r="F424" s="57" t="s">
        <v>168</v>
      </c>
      <c r="G424" s="61">
        <v>271.07254</v>
      </c>
      <c r="H424" s="61">
        <v>-24.31931</v>
      </c>
      <c r="I424" s="60" t="s">
        <v>819</v>
      </c>
      <c r="J424" s="60" t="s">
        <v>169</v>
      </c>
      <c r="K424" s="61">
        <v>5.7</v>
      </c>
      <c r="L424" s="60">
        <v>0.52</v>
      </c>
      <c r="M424" s="5"/>
      <c r="N424" s="61"/>
      <c r="O424" s="61"/>
      <c r="P424" s="61"/>
      <c r="Q424" s="61"/>
      <c r="R424" s="61"/>
      <c r="S424" s="60">
        <v>2.13</v>
      </c>
      <c r="T424" s="60">
        <v>3.33</v>
      </c>
      <c r="U424" s="58"/>
      <c r="V424" s="5"/>
      <c r="W424" s="5"/>
      <c r="X424" s="5"/>
      <c r="Y424" s="166"/>
      <c r="Z424" s="60">
        <v>17.36</v>
      </c>
      <c r="AA424" s="60">
        <v>0.009</v>
      </c>
      <c r="AB424" s="60">
        <v>12.934</v>
      </c>
      <c r="AC424" s="60">
        <v>0.044</v>
      </c>
      <c r="AD424" s="60">
        <v>11.367</v>
      </c>
      <c r="AE424" s="60">
        <v>0.055</v>
      </c>
      <c r="AF424" s="60">
        <v>10.385</v>
      </c>
      <c r="AG424" s="60">
        <v>0.027</v>
      </c>
      <c r="AH424" s="60">
        <v>15.84</v>
      </c>
      <c r="AI424" s="60">
        <v>0.01923538406</v>
      </c>
      <c r="AJ424" s="76" t="s">
        <v>759</v>
      </c>
      <c r="AK424" s="64" t="s">
        <v>820</v>
      </c>
      <c r="AL424" s="168"/>
      <c r="AM424" s="7"/>
      <c r="AN424" s="77">
        <v>1250.0</v>
      </c>
      <c r="AO424" s="64">
        <v>50.0</v>
      </c>
      <c r="AP424" s="13"/>
      <c r="AQ424" s="13"/>
      <c r="AR424" s="78"/>
      <c r="AS424" s="97"/>
      <c r="AT424" s="67">
        <v>0.4</v>
      </c>
      <c r="AU424" s="70">
        <v>0.04</v>
      </c>
      <c r="AV424" s="13"/>
      <c r="AW424" s="13"/>
      <c r="AX424" s="73"/>
      <c r="AY424" s="73"/>
      <c r="AZ424" s="68" t="s">
        <v>812</v>
      </c>
      <c r="BA424" s="68" t="s">
        <v>821</v>
      </c>
      <c r="BB424" s="68">
        <v>-155.67</v>
      </c>
      <c r="BC424" s="68">
        <v>33.1</v>
      </c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2"/>
      <c r="DK424" s="12"/>
      <c r="DL424" s="12"/>
      <c r="DM424" s="69"/>
      <c r="DN424" s="69"/>
      <c r="DO424" s="69"/>
      <c r="DP424" s="69"/>
      <c r="DQ424" s="11"/>
      <c r="DR424" s="69"/>
      <c r="DS424" s="69"/>
      <c r="DT424" s="69"/>
      <c r="DU424" s="69"/>
      <c r="DV424" s="97"/>
      <c r="DW424" s="98"/>
      <c r="DX424" s="71">
        <v>5.01E-8</v>
      </c>
      <c r="DY424" s="114">
        <v>6.93E-8</v>
      </c>
      <c r="DZ424" s="64" t="s">
        <v>762</v>
      </c>
      <c r="EA424" s="72" t="s">
        <v>822</v>
      </c>
      <c r="EB424" s="82"/>
    </row>
    <row r="425">
      <c r="A425" s="167" t="s">
        <v>1007</v>
      </c>
      <c r="B425" s="56" t="s">
        <v>1008</v>
      </c>
      <c r="C425" s="3"/>
      <c r="D425" s="4"/>
      <c r="E425" s="4"/>
      <c r="F425" s="57" t="s">
        <v>168</v>
      </c>
      <c r="G425" s="61">
        <v>271.0683</v>
      </c>
      <c r="H425" s="61">
        <v>-24.41085</v>
      </c>
      <c r="I425" s="60" t="s">
        <v>819</v>
      </c>
      <c r="J425" s="60" t="s">
        <v>169</v>
      </c>
      <c r="K425" s="61">
        <v>4.0</v>
      </c>
      <c r="L425" s="60">
        <v>0.16</v>
      </c>
      <c r="M425" s="5"/>
      <c r="N425" s="61"/>
      <c r="O425" s="61">
        <v>-7.027</v>
      </c>
      <c r="P425" s="61">
        <v>0.5</v>
      </c>
      <c r="Q425" s="61">
        <v>-10.505</v>
      </c>
      <c r="R425" s="61">
        <v>0.397</v>
      </c>
      <c r="S425" s="60"/>
      <c r="T425" s="60"/>
      <c r="U425" s="58"/>
      <c r="V425" s="5"/>
      <c r="W425" s="5"/>
      <c r="X425" s="5"/>
      <c r="Y425" s="166"/>
      <c r="Z425" s="60">
        <v>15.89</v>
      </c>
      <c r="AA425" s="60">
        <v>0.002</v>
      </c>
      <c r="AB425" s="60">
        <v>12.977</v>
      </c>
      <c r="AC425" s="60">
        <v>0.023</v>
      </c>
      <c r="AD425" s="60">
        <v>11.881</v>
      </c>
      <c r="AE425" s="60">
        <v>0.028</v>
      </c>
      <c r="AF425" s="60">
        <v>11.1</v>
      </c>
      <c r="AG425" s="60">
        <v>0.026</v>
      </c>
      <c r="AH425" s="60">
        <v>15.17</v>
      </c>
      <c r="AI425" s="60">
        <v>0.008246211251</v>
      </c>
      <c r="AJ425" s="76" t="s">
        <v>759</v>
      </c>
      <c r="AK425" s="64" t="s">
        <v>820</v>
      </c>
      <c r="AL425" s="168"/>
      <c r="AM425" s="7"/>
      <c r="AN425" s="77">
        <v>1250.0</v>
      </c>
      <c r="AO425" s="64">
        <v>50.0</v>
      </c>
      <c r="AP425" s="13"/>
      <c r="AQ425" s="13"/>
      <c r="AR425" s="78"/>
      <c r="AS425" s="97"/>
      <c r="AT425" s="67">
        <v>0.4</v>
      </c>
      <c r="AU425" s="70">
        <v>0.01</v>
      </c>
      <c r="AV425" s="13"/>
      <c r="AW425" s="13"/>
      <c r="AX425" s="73"/>
      <c r="AY425" s="73"/>
      <c r="AZ425" s="68" t="s">
        <v>812</v>
      </c>
      <c r="BA425" s="68" t="s">
        <v>821</v>
      </c>
      <c r="BB425" s="68">
        <v>-22.45</v>
      </c>
      <c r="BC425" s="68">
        <v>3.93</v>
      </c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2"/>
      <c r="DK425" s="12"/>
      <c r="DL425" s="12"/>
      <c r="DM425" s="69"/>
      <c r="DN425" s="69"/>
      <c r="DO425" s="69"/>
      <c r="DP425" s="69"/>
      <c r="DQ425" s="11"/>
      <c r="DR425" s="69"/>
      <c r="DS425" s="69"/>
      <c r="DT425" s="69"/>
      <c r="DU425" s="69"/>
      <c r="DV425" s="97"/>
      <c r="DW425" s="98"/>
      <c r="DX425" s="71">
        <v>3.98E-8</v>
      </c>
      <c r="DY425" s="114">
        <v>5.5E-8</v>
      </c>
      <c r="DZ425" s="64" t="s">
        <v>762</v>
      </c>
      <c r="EA425" s="72" t="s">
        <v>822</v>
      </c>
      <c r="EB425" s="82"/>
    </row>
    <row r="426">
      <c r="A426" s="167" t="s">
        <v>1009</v>
      </c>
      <c r="B426" s="56" t="s">
        <v>1010</v>
      </c>
      <c r="C426" s="3"/>
      <c r="D426" s="4"/>
      <c r="E426" s="4"/>
      <c r="F426" s="57" t="s">
        <v>168</v>
      </c>
      <c r="G426" s="61">
        <v>270.91394</v>
      </c>
      <c r="H426" s="61">
        <v>-24.42332</v>
      </c>
      <c r="I426" s="60" t="s">
        <v>819</v>
      </c>
      <c r="J426" s="60" t="s">
        <v>169</v>
      </c>
      <c r="K426" s="61">
        <v>4.2</v>
      </c>
      <c r="L426" s="60">
        <v>0.19</v>
      </c>
      <c r="M426" s="60">
        <v>2.0</v>
      </c>
      <c r="N426" s="61">
        <v>1139.60113960113</v>
      </c>
      <c r="O426" s="61">
        <v>1.656</v>
      </c>
      <c r="P426" s="61">
        <v>0.156</v>
      </c>
      <c r="Q426" s="61">
        <v>-2.002</v>
      </c>
      <c r="R426" s="61">
        <v>0.137</v>
      </c>
      <c r="S426" s="60"/>
      <c r="T426" s="60"/>
      <c r="U426" s="58"/>
      <c r="V426" s="5"/>
      <c r="W426" s="5"/>
      <c r="X426" s="5"/>
      <c r="Y426" s="166"/>
      <c r="Z426" s="60">
        <v>16.29</v>
      </c>
      <c r="AA426" s="60">
        <v>0.003</v>
      </c>
      <c r="AB426" s="60">
        <v>12.994</v>
      </c>
      <c r="AC426" s="60">
        <v>0.024</v>
      </c>
      <c r="AD426" s="60">
        <v>11.851</v>
      </c>
      <c r="AE426" s="60">
        <v>0.029</v>
      </c>
      <c r="AF426" s="60">
        <v>11.165</v>
      </c>
      <c r="AG426" s="60">
        <v>0.029</v>
      </c>
      <c r="AH426" s="60">
        <v>15.12</v>
      </c>
      <c r="AI426" s="60">
        <v>0.007615773106</v>
      </c>
      <c r="AJ426" s="76" t="s">
        <v>759</v>
      </c>
      <c r="AK426" s="64" t="s">
        <v>820</v>
      </c>
      <c r="AL426" s="168"/>
      <c r="AM426" s="7"/>
      <c r="AN426" s="77">
        <v>1250.0</v>
      </c>
      <c r="AO426" s="64">
        <v>50.0</v>
      </c>
      <c r="AP426" s="13"/>
      <c r="AQ426" s="13"/>
      <c r="AR426" s="78"/>
      <c r="AS426" s="97"/>
      <c r="AT426" s="67">
        <v>0.4</v>
      </c>
      <c r="AU426" s="70">
        <v>0.01</v>
      </c>
      <c r="AV426" s="13"/>
      <c r="AW426" s="13"/>
      <c r="AX426" s="73"/>
      <c r="AY426" s="73"/>
      <c r="AZ426" s="68" t="s">
        <v>812</v>
      </c>
      <c r="BA426" s="68" t="s">
        <v>821</v>
      </c>
      <c r="BB426" s="68">
        <v>-84.12</v>
      </c>
      <c r="BC426" s="68">
        <v>16.2</v>
      </c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2"/>
      <c r="DK426" s="12"/>
      <c r="DL426" s="12"/>
      <c r="DM426" s="69"/>
      <c r="DN426" s="69"/>
      <c r="DO426" s="69"/>
      <c r="DP426" s="69"/>
      <c r="DQ426" s="11"/>
      <c r="DR426" s="69"/>
      <c r="DS426" s="69"/>
      <c r="DT426" s="69"/>
      <c r="DU426" s="69"/>
      <c r="DV426" s="97"/>
      <c r="DW426" s="98"/>
      <c r="DX426" s="71">
        <v>1.0E-7</v>
      </c>
      <c r="DY426" s="114">
        <v>1.38E-7</v>
      </c>
      <c r="DZ426" s="64" t="s">
        <v>762</v>
      </c>
      <c r="EA426" s="72" t="s">
        <v>822</v>
      </c>
      <c r="EB426" s="82"/>
    </row>
    <row r="427">
      <c r="A427" s="167" t="s">
        <v>1011</v>
      </c>
      <c r="B427" s="56" t="s">
        <v>1012</v>
      </c>
      <c r="C427" s="3"/>
      <c r="D427" s="4"/>
      <c r="E427" s="4"/>
      <c r="F427" s="57" t="s">
        <v>168</v>
      </c>
      <c r="G427" s="61">
        <v>271.08542</v>
      </c>
      <c r="H427" s="61">
        <v>-24.38444</v>
      </c>
      <c r="I427" s="60" t="s">
        <v>819</v>
      </c>
      <c r="J427" s="60" t="s">
        <v>169</v>
      </c>
      <c r="K427" s="61">
        <v>4.2</v>
      </c>
      <c r="L427" s="60">
        <v>0.31</v>
      </c>
      <c r="M427" s="5"/>
      <c r="N427" s="61"/>
      <c r="O427" s="61"/>
      <c r="P427" s="61"/>
      <c r="Q427" s="61"/>
      <c r="R427" s="61"/>
      <c r="S427" s="60">
        <v>-2.2</v>
      </c>
      <c r="T427" s="60">
        <v>4.21</v>
      </c>
      <c r="U427" s="58"/>
      <c r="V427" s="5"/>
      <c r="W427" s="5"/>
      <c r="X427" s="5"/>
      <c r="Y427" s="166"/>
      <c r="Z427" s="60">
        <v>16.7</v>
      </c>
      <c r="AA427" s="60">
        <v>0.005</v>
      </c>
      <c r="AB427" s="60">
        <v>13.358</v>
      </c>
      <c r="AC427" s="60"/>
      <c r="AD427" s="60">
        <v>12.362</v>
      </c>
      <c r="AE427" s="60">
        <v>0.056</v>
      </c>
      <c r="AF427" s="60">
        <v>11.759</v>
      </c>
      <c r="AG427" s="60">
        <v>0.038</v>
      </c>
      <c r="AH427" s="60">
        <v>15.75</v>
      </c>
      <c r="AI427" s="60">
        <v>0.0158113883</v>
      </c>
      <c r="AJ427" s="76" t="s">
        <v>759</v>
      </c>
      <c r="AK427" s="64" t="s">
        <v>820</v>
      </c>
      <c r="AL427" s="168"/>
      <c r="AM427" s="7"/>
      <c r="AN427" s="77">
        <v>1250.0</v>
      </c>
      <c r="AO427" s="64">
        <v>50.0</v>
      </c>
      <c r="AP427" s="13"/>
      <c r="AQ427" s="13"/>
      <c r="AR427" s="78"/>
      <c r="AS427" s="97"/>
      <c r="AT427" s="67">
        <v>0.4</v>
      </c>
      <c r="AU427" s="70">
        <v>0.02</v>
      </c>
      <c r="AV427" s="13"/>
      <c r="AW427" s="13"/>
      <c r="AX427" s="73"/>
      <c r="AY427" s="73"/>
      <c r="AZ427" s="68" t="s">
        <v>812</v>
      </c>
      <c r="BA427" s="68" t="s">
        <v>821</v>
      </c>
      <c r="BB427" s="68">
        <v>-42.93</v>
      </c>
      <c r="BC427" s="68">
        <v>7.54</v>
      </c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2"/>
      <c r="DK427" s="12"/>
      <c r="DL427" s="12"/>
      <c r="DM427" s="69"/>
      <c r="DN427" s="69"/>
      <c r="DO427" s="69"/>
      <c r="DP427" s="69"/>
      <c r="DQ427" s="11"/>
      <c r="DR427" s="69"/>
      <c r="DS427" s="69"/>
      <c r="DT427" s="69"/>
      <c r="DU427" s="69"/>
      <c r="DV427" s="97"/>
      <c r="DW427" s="98"/>
      <c r="DX427" s="71">
        <v>3.16E-8</v>
      </c>
      <c r="DY427" s="114">
        <v>4.37E-8</v>
      </c>
      <c r="DZ427" s="64" t="s">
        <v>762</v>
      </c>
      <c r="EA427" s="72" t="s">
        <v>822</v>
      </c>
      <c r="EB427" s="82"/>
    </row>
    <row r="428">
      <c r="A428" s="167" t="s">
        <v>1013</v>
      </c>
      <c r="B428" s="56" t="s">
        <v>1014</v>
      </c>
      <c r="C428" s="3"/>
      <c r="D428" s="4"/>
      <c r="E428" s="4"/>
      <c r="F428" s="57" t="s">
        <v>168</v>
      </c>
      <c r="G428" s="61">
        <v>270.65543</v>
      </c>
      <c r="H428" s="61">
        <v>-24.27338</v>
      </c>
      <c r="I428" s="60" t="s">
        <v>819</v>
      </c>
      <c r="J428" s="60" t="s">
        <v>169</v>
      </c>
      <c r="K428" s="61">
        <v>4.6</v>
      </c>
      <c r="L428" s="60">
        <v>0.2</v>
      </c>
      <c r="M428" s="5"/>
      <c r="N428" s="61"/>
      <c r="O428" s="61"/>
      <c r="P428" s="61"/>
      <c r="Q428" s="61"/>
      <c r="R428" s="61"/>
      <c r="S428" s="60"/>
      <c r="T428" s="60"/>
      <c r="U428" s="58"/>
      <c r="V428" s="5"/>
      <c r="W428" s="5"/>
      <c r="X428" s="5"/>
      <c r="Y428" s="166"/>
      <c r="Z428" s="60">
        <v>16.51</v>
      </c>
      <c r="AA428" s="60">
        <v>0.003</v>
      </c>
      <c r="AB428" s="60">
        <v>13.384</v>
      </c>
      <c r="AC428" s="60">
        <v>0.033</v>
      </c>
      <c r="AD428" s="60">
        <v>12.469</v>
      </c>
      <c r="AE428" s="60">
        <v>0.047</v>
      </c>
      <c r="AF428" s="60">
        <v>11.91</v>
      </c>
      <c r="AG428" s="60">
        <v>0.033</v>
      </c>
      <c r="AH428" s="60">
        <v>15.7</v>
      </c>
      <c r="AI428" s="60">
        <v>0.006708203932</v>
      </c>
      <c r="AJ428" s="76" t="s">
        <v>759</v>
      </c>
      <c r="AK428" s="64" t="s">
        <v>820</v>
      </c>
      <c r="AL428" s="168"/>
      <c r="AM428" s="7"/>
      <c r="AN428" s="77">
        <v>1250.0</v>
      </c>
      <c r="AO428" s="64">
        <v>50.0</v>
      </c>
      <c r="AP428" s="13"/>
      <c r="AQ428" s="13"/>
      <c r="AR428" s="78"/>
      <c r="AS428" s="97"/>
      <c r="AT428" s="67">
        <v>0.4</v>
      </c>
      <c r="AU428" s="70">
        <v>0.01</v>
      </c>
      <c r="AV428" s="13"/>
      <c r="AW428" s="13"/>
      <c r="AX428" s="73"/>
      <c r="AY428" s="73"/>
      <c r="AZ428" s="68" t="s">
        <v>812</v>
      </c>
      <c r="BA428" s="68" t="s">
        <v>821</v>
      </c>
      <c r="BB428" s="68">
        <v>-28.39</v>
      </c>
      <c r="BC428" s="68">
        <v>5.15</v>
      </c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2"/>
      <c r="DK428" s="12"/>
      <c r="DL428" s="12"/>
      <c r="DM428" s="69"/>
      <c r="DN428" s="69"/>
      <c r="DO428" s="69"/>
      <c r="DP428" s="69"/>
      <c r="DQ428" s="11"/>
      <c r="DR428" s="69"/>
      <c r="DS428" s="69"/>
      <c r="DT428" s="69"/>
      <c r="DU428" s="69"/>
      <c r="DV428" s="97"/>
      <c r="DW428" s="98"/>
      <c r="DX428" s="71">
        <v>2.51E-8</v>
      </c>
      <c r="DY428" s="114">
        <v>3.47E-8</v>
      </c>
      <c r="DZ428" s="64" t="s">
        <v>762</v>
      </c>
      <c r="EA428" s="72" t="s">
        <v>822</v>
      </c>
      <c r="EB428" s="82"/>
    </row>
    <row r="429">
      <c r="A429" s="167" t="s">
        <v>1015</v>
      </c>
      <c r="B429" s="56" t="s">
        <v>1016</v>
      </c>
      <c r="C429" s="3"/>
      <c r="D429" s="4"/>
      <c r="E429" s="4"/>
      <c r="F429" s="57" t="s">
        <v>168</v>
      </c>
      <c r="G429" s="61">
        <v>271.1114</v>
      </c>
      <c r="H429" s="61">
        <v>-24.37049</v>
      </c>
      <c r="I429" s="60" t="s">
        <v>819</v>
      </c>
      <c r="J429" s="60" t="s">
        <v>169</v>
      </c>
      <c r="K429" s="61">
        <v>4.8</v>
      </c>
      <c r="L429" s="60">
        <v>0.23</v>
      </c>
      <c r="M429" s="60">
        <v>2.0</v>
      </c>
      <c r="N429" s="61">
        <v>1311.64742917103</v>
      </c>
      <c r="O429" s="61">
        <v>1.138</v>
      </c>
      <c r="P429" s="61">
        <v>0.148</v>
      </c>
      <c r="Q429" s="61">
        <v>-1.977</v>
      </c>
      <c r="R429" s="61">
        <v>0.127</v>
      </c>
      <c r="S429" s="60"/>
      <c r="T429" s="60"/>
      <c r="U429" s="58"/>
      <c r="V429" s="5"/>
      <c r="W429" s="5"/>
      <c r="X429" s="5"/>
      <c r="Y429" s="166"/>
      <c r="Z429" s="60">
        <v>16.3</v>
      </c>
      <c r="AA429" s="60">
        <v>0.004</v>
      </c>
      <c r="AB429" s="60">
        <v>13.401</v>
      </c>
      <c r="AC429" s="60">
        <v>0.049</v>
      </c>
      <c r="AD429" s="60">
        <v>12.426</v>
      </c>
      <c r="AE429" s="60">
        <v>0.063</v>
      </c>
      <c r="AF429" s="60">
        <v>11.787</v>
      </c>
      <c r="AG429" s="60">
        <v>0.044</v>
      </c>
      <c r="AH429" s="60">
        <v>15.53</v>
      </c>
      <c r="AI429" s="60">
        <v>0.01264911064</v>
      </c>
      <c r="AJ429" s="76" t="s">
        <v>759</v>
      </c>
      <c r="AK429" s="64" t="s">
        <v>820</v>
      </c>
      <c r="AL429" s="168"/>
      <c r="AM429" s="7"/>
      <c r="AN429" s="77">
        <v>1250.0</v>
      </c>
      <c r="AO429" s="64">
        <v>50.0</v>
      </c>
      <c r="AP429" s="13"/>
      <c r="AQ429" s="13"/>
      <c r="AR429" s="78"/>
      <c r="AS429" s="97"/>
      <c r="AT429" s="67">
        <v>0.4</v>
      </c>
      <c r="AU429" s="70">
        <v>0.01</v>
      </c>
      <c r="AV429" s="13"/>
      <c r="AW429" s="13"/>
      <c r="AX429" s="73"/>
      <c r="AY429" s="73"/>
      <c r="AZ429" s="68" t="s">
        <v>812</v>
      </c>
      <c r="BA429" s="68" t="s">
        <v>821</v>
      </c>
      <c r="BB429" s="68">
        <v>-28.94</v>
      </c>
      <c r="BC429" s="68">
        <v>4.96</v>
      </c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2"/>
      <c r="DK429" s="12"/>
      <c r="DL429" s="12"/>
      <c r="DM429" s="69"/>
      <c r="DN429" s="69"/>
      <c r="DO429" s="69"/>
      <c r="DP429" s="69"/>
      <c r="DQ429" s="11"/>
      <c r="DR429" s="69"/>
      <c r="DS429" s="69"/>
      <c r="DT429" s="69"/>
      <c r="DU429" s="69"/>
      <c r="DV429" s="97"/>
      <c r="DW429" s="98"/>
      <c r="DX429" s="71">
        <v>2.51E-8</v>
      </c>
      <c r="DY429" s="114">
        <v>3.47E-8</v>
      </c>
      <c r="DZ429" s="64" t="s">
        <v>762</v>
      </c>
      <c r="EA429" s="72" t="s">
        <v>822</v>
      </c>
      <c r="EB429" s="82"/>
    </row>
    <row r="430">
      <c r="A430" s="167" t="s">
        <v>1017</v>
      </c>
      <c r="B430" s="56" t="s">
        <v>1018</v>
      </c>
      <c r="C430" s="3"/>
      <c r="D430" s="4"/>
      <c r="E430" s="4"/>
      <c r="F430" s="57" t="s">
        <v>168</v>
      </c>
      <c r="G430" s="61">
        <v>271.06625</v>
      </c>
      <c r="H430" s="61">
        <v>-24.31287</v>
      </c>
      <c r="I430" s="60" t="s">
        <v>819</v>
      </c>
      <c r="J430" s="60" t="s">
        <v>169</v>
      </c>
      <c r="K430" s="61">
        <v>5.7</v>
      </c>
      <c r="L430" s="60">
        <v>0.29</v>
      </c>
      <c r="M430" s="60">
        <v>2.0</v>
      </c>
      <c r="N430" s="61">
        <v>1393.14572304263</v>
      </c>
      <c r="O430" s="61">
        <v>2.126</v>
      </c>
      <c r="P430" s="61">
        <v>0.165</v>
      </c>
      <c r="Q430" s="61">
        <v>-1.873</v>
      </c>
      <c r="R430" s="61">
        <v>0.142</v>
      </c>
      <c r="S430" s="60"/>
      <c r="T430" s="60"/>
      <c r="U430" s="58"/>
      <c r="V430" s="5"/>
      <c r="W430" s="5"/>
      <c r="X430" s="5"/>
      <c r="Y430" s="166"/>
      <c r="Z430" s="60">
        <v>16.79</v>
      </c>
      <c r="AA430" s="60">
        <v>0.005</v>
      </c>
      <c r="AB430" s="60">
        <v>13.55</v>
      </c>
      <c r="AC430" s="60">
        <v>0.068</v>
      </c>
      <c r="AD430" s="60">
        <v>12.444</v>
      </c>
      <c r="AE430" s="60">
        <v>0.075</v>
      </c>
      <c r="AF430" s="60">
        <v>11.638</v>
      </c>
      <c r="AG430" s="60">
        <v>0.046</v>
      </c>
      <c r="AH430" s="60">
        <v>15.65</v>
      </c>
      <c r="AI430" s="60">
        <v>0.01208304597</v>
      </c>
      <c r="AJ430" s="76" t="s">
        <v>759</v>
      </c>
      <c r="AK430" s="64" t="s">
        <v>820</v>
      </c>
      <c r="AL430" s="168"/>
      <c r="AM430" s="7"/>
      <c r="AN430" s="77">
        <v>1250.0</v>
      </c>
      <c r="AO430" s="64">
        <v>50.0</v>
      </c>
      <c r="AP430" s="13"/>
      <c r="AQ430" s="13"/>
      <c r="AR430" s="78"/>
      <c r="AS430" s="97"/>
      <c r="AT430" s="67">
        <v>0.4</v>
      </c>
      <c r="AU430" s="70">
        <v>0.02</v>
      </c>
      <c r="AV430" s="13"/>
      <c r="AW430" s="13"/>
      <c r="AX430" s="73"/>
      <c r="AY430" s="73"/>
      <c r="AZ430" s="68" t="s">
        <v>812</v>
      </c>
      <c r="BA430" s="68" t="s">
        <v>821</v>
      </c>
      <c r="BB430" s="68">
        <v>-82.01</v>
      </c>
      <c r="BC430" s="68">
        <v>16.7</v>
      </c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2"/>
      <c r="DK430" s="12"/>
      <c r="DL430" s="12"/>
      <c r="DM430" s="69"/>
      <c r="DN430" s="69"/>
      <c r="DO430" s="69"/>
      <c r="DP430" s="69"/>
      <c r="DQ430" s="11"/>
      <c r="DR430" s="69"/>
      <c r="DS430" s="69"/>
      <c r="DT430" s="69"/>
      <c r="DU430" s="69"/>
      <c r="DV430" s="97"/>
      <c r="DW430" s="98"/>
      <c r="DX430" s="71">
        <v>3.98E-8</v>
      </c>
      <c r="DY430" s="114">
        <v>5.5E-8</v>
      </c>
      <c r="DZ430" s="64" t="s">
        <v>762</v>
      </c>
      <c r="EA430" s="72" t="s">
        <v>822</v>
      </c>
      <c r="EB430" s="82"/>
    </row>
    <row r="431">
      <c r="A431" s="167" t="s">
        <v>1019</v>
      </c>
      <c r="B431" s="56" t="s">
        <v>1020</v>
      </c>
      <c r="C431" s="3"/>
      <c r="D431" s="4"/>
      <c r="E431" s="4"/>
      <c r="F431" s="57" t="s">
        <v>168</v>
      </c>
      <c r="G431" s="61">
        <v>271.09454</v>
      </c>
      <c r="H431" s="61">
        <v>-24.2681</v>
      </c>
      <c r="I431" s="60" t="s">
        <v>819</v>
      </c>
      <c r="J431" s="60" t="s">
        <v>169</v>
      </c>
      <c r="K431" s="61">
        <v>4.5</v>
      </c>
      <c r="L431" s="60">
        <v>0.27</v>
      </c>
      <c r="M431" s="5"/>
      <c r="N431" s="61"/>
      <c r="O431" s="61">
        <v>0.617</v>
      </c>
      <c r="P431" s="61">
        <v>0.719</v>
      </c>
      <c r="Q431" s="61">
        <v>-3.458</v>
      </c>
      <c r="R431" s="61">
        <v>0.614</v>
      </c>
      <c r="S431" s="60">
        <v>-0.47</v>
      </c>
      <c r="T431" s="60">
        <v>3.02</v>
      </c>
      <c r="U431" s="58"/>
      <c r="V431" s="5"/>
      <c r="W431" s="5"/>
      <c r="X431" s="5"/>
      <c r="Y431" s="166"/>
      <c r="Z431" s="60">
        <v>16.52</v>
      </c>
      <c r="AA431" s="60">
        <v>0.004</v>
      </c>
      <c r="AB431" s="60">
        <v>13.568</v>
      </c>
      <c r="AC431" s="60">
        <v>0.032</v>
      </c>
      <c r="AD431" s="60">
        <v>12.637</v>
      </c>
      <c r="AE431" s="60">
        <v>0.044</v>
      </c>
      <c r="AF431" s="60">
        <v>12.165</v>
      </c>
      <c r="AG431" s="60">
        <v>0.04</v>
      </c>
      <c r="AH431" s="60">
        <v>15.5</v>
      </c>
      <c r="AI431" s="60">
        <v>0.01170469991</v>
      </c>
      <c r="AJ431" s="76" t="s">
        <v>759</v>
      </c>
      <c r="AK431" s="64" t="s">
        <v>820</v>
      </c>
      <c r="AL431" s="168"/>
      <c r="AM431" s="7"/>
      <c r="AN431" s="77">
        <v>1250.0</v>
      </c>
      <c r="AO431" s="64">
        <v>50.0</v>
      </c>
      <c r="AP431" s="13"/>
      <c r="AQ431" s="13"/>
      <c r="AR431" s="78"/>
      <c r="AS431" s="97"/>
      <c r="AT431" s="67">
        <v>0.4</v>
      </c>
      <c r="AU431" s="70">
        <v>0.02</v>
      </c>
      <c r="AV431" s="13"/>
      <c r="AW431" s="13"/>
      <c r="AX431" s="73"/>
      <c r="AY431" s="73"/>
      <c r="AZ431" s="68" t="s">
        <v>812</v>
      </c>
      <c r="BA431" s="68" t="s">
        <v>821</v>
      </c>
      <c r="BB431" s="68">
        <v>-58.09</v>
      </c>
      <c r="BC431" s="68">
        <v>10.7</v>
      </c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2"/>
      <c r="DK431" s="12"/>
      <c r="DL431" s="12"/>
      <c r="DM431" s="69"/>
      <c r="DN431" s="69"/>
      <c r="DO431" s="69"/>
      <c r="DP431" s="69"/>
      <c r="DQ431" s="11"/>
      <c r="DR431" s="69"/>
      <c r="DS431" s="69"/>
      <c r="DT431" s="69"/>
      <c r="DU431" s="69"/>
      <c r="DV431" s="97"/>
      <c r="DW431" s="98"/>
      <c r="DX431" s="71">
        <v>5.01E-8</v>
      </c>
      <c r="DY431" s="114">
        <v>6.93E-8</v>
      </c>
      <c r="DZ431" s="64" t="s">
        <v>762</v>
      </c>
      <c r="EA431" s="72" t="s">
        <v>822</v>
      </c>
      <c r="EB431" s="82"/>
    </row>
    <row r="432">
      <c r="A432" s="167" t="s">
        <v>1021</v>
      </c>
      <c r="B432" s="56" t="s">
        <v>1022</v>
      </c>
      <c r="C432" s="3"/>
      <c r="D432" s="4"/>
      <c r="E432" s="4"/>
      <c r="F432" s="57" t="s">
        <v>168</v>
      </c>
      <c r="G432" s="61">
        <v>271.12357</v>
      </c>
      <c r="H432" s="61">
        <v>-24.35383</v>
      </c>
      <c r="I432" s="60" t="s">
        <v>819</v>
      </c>
      <c r="J432" s="60" t="s">
        <v>169</v>
      </c>
      <c r="K432" s="61">
        <v>5.5</v>
      </c>
      <c r="L432" s="60">
        <v>0.3</v>
      </c>
      <c r="M432" s="60">
        <v>2.0</v>
      </c>
      <c r="N432" s="61">
        <v>1381.40627158447</v>
      </c>
      <c r="O432" s="61">
        <v>1.326</v>
      </c>
      <c r="P432" s="61">
        <v>0.172</v>
      </c>
      <c r="Q432" s="61">
        <v>-1.718</v>
      </c>
      <c r="R432" s="61">
        <v>0.149</v>
      </c>
      <c r="S432" s="60"/>
      <c r="T432" s="60"/>
      <c r="U432" s="58"/>
      <c r="V432" s="5"/>
      <c r="W432" s="5"/>
      <c r="X432" s="5"/>
      <c r="Y432" s="166"/>
      <c r="Z432" s="60">
        <v>16.69</v>
      </c>
      <c r="AA432" s="60">
        <v>0.005</v>
      </c>
      <c r="AB432" s="60">
        <v>13.606</v>
      </c>
      <c r="AC432" s="60">
        <v>0.03</v>
      </c>
      <c r="AD432" s="60">
        <v>12.621</v>
      </c>
      <c r="AE432" s="60">
        <v>0.027</v>
      </c>
      <c r="AF432" s="60">
        <v>12.061</v>
      </c>
      <c r="AG432" s="60">
        <v>0.023</v>
      </c>
      <c r="AH432" s="60">
        <v>15.92</v>
      </c>
      <c r="AI432" s="60">
        <v>0.0158113883</v>
      </c>
      <c r="AJ432" s="76" t="s">
        <v>759</v>
      </c>
      <c r="AK432" s="64" t="s">
        <v>820</v>
      </c>
      <c r="AL432" s="168"/>
      <c r="AM432" s="7"/>
      <c r="AN432" s="77">
        <v>1250.0</v>
      </c>
      <c r="AO432" s="64">
        <v>50.0</v>
      </c>
      <c r="AP432" s="13"/>
      <c r="AQ432" s="13"/>
      <c r="AR432" s="78"/>
      <c r="AS432" s="97"/>
      <c r="AT432" s="67">
        <v>0.4</v>
      </c>
      <c r="AU432" s="70">
        <v>0.02</v>
      </c>
      <c r="AV432" s="13"/>
      <c r="AW432" s="13"/>
      <c r="AX432" s="73"/>
      <c r="AY432" s="73"/>
      <c r="AZ432" s="68" t="s">
        <v>812</v>
      </c>
      <c r="BA432" s="68" t="s">
        <v>821</v>
      </c>
      <c r="BB432" s="68">
        <v>-28.58</v>
      </c>
      <c r="BC432" s="68">
        <v>4.63</v>
      </c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2"/>
      <c r="DK432" s="12"/>
      <c r="DL432" s="12"/>
      <c r="DM432" s="69"/>
      <c r="DN432" s="69"/>
      <c r="DO432" s="69"/>
      <c r="DP432" s="69"/>
      <c r="DQ432" s="11"/>
      <c r="DR432" s="69"/>
      <c r="DS432" s="69"/>
      <c r="DT432" s="69"/>
      <c r="DU432" s="69"/>
      <c r="DV432" s="97"/>
      <c r="DW432" s="98"/>
      <c r="DX432" s="71">
        <v>1.58E-8</v>
      </c>
      <c r="DY432" s="114">
        <v>2.19E-8</v>
      </c>
      <c r="DZ432" s="64" t="s">
        <v>762</v>
      </c>
      <c r="EA432" s="72" t="s">
        <v>822</v>
      </c>
      <c r="EB432" s="82"/>
    </row>
    <row r="433">
      <c r="A433" s="167" t="s">
        <v>1023</v>
      </c>
      <c r="B433" s="56" t="s">
        <v>1024</v>
      </c>
      <c r="C433" s="3"/>
      <c r="D433" s="4"/>
      <c r="E433" s="4"/>
      <c r="F433" s="57" t="s">
        <v>168</v>
      </c>
      <c r="G433" s="61">
        <v>271.105</v>
      </c>
      <c r="H433" s="61">
        <v>-24.22613</v>
      </c>
      <c r="I433" s="60" t="s">
        <v>819</v>
      </c>
      <c r="J433" s="60" t="s">
        <v>169</v>
      </c>
      <c r="K433" s="61">
        <v>4.9</v>
      </c>
      <c r="L433" s="60">
        <v>0.21</v>
      </c>
      <c r="M433" s="60">
        <v>2.0</v>
      </c>
      <c r="N433" s="61">
        <v>1378.92995035852</v>
      </c>
      <c r="O433" s="61">
        <v>1.237</v>
      </c>
      <c r="P433" s="61">
        <v>0.139</v>
      </c>
      <c r="Q433" s="61">
        <v>-1.603</v>
      </c>
      <c r="R433" s="61">
        <v>0.121</v>
      </c>
      <c r="S433" s="60">
        <v>2.55</v>
      </c>
      <c r="T433" s="60">
        <v>2.99</v>
      </c>
      <c r="U433" s="58"/>
      <c r="V433" s="5"/>
      <c r="W433" s="5"/>
      <c r="X433" s="5"/>
      <c r="Y433" s="166"/>
      <c r="Z433" s="60">
        <v>16.33</v>
      </c>
      <c r="AA433" s="60">
        <v>0.003</v>
      </c>
      <c r="AB433" s="60">
        <v>13.651</v>
      </c>
      <c r="AC433" s="60">
        <v>0.04</v>
      </c>
      <c r="AD433" s="60">
        <v>12.715</v>
      </c>
      <c r="AE433" s="60">
        <v>0.058</v>
      </c>
      <c r="AF433" s="60">
        <v>12.325</v>
      </c>
      <c r="AG433" s="60">
        <v>0.053</v>
      </c>
      <c r="AH433" s="60">
        <v>15.57</v>
      </c>
      <c r="AI433" s="60">
        <v>0.008544003745</v>
      </c>
      <c r="AJ433" s="76" t="s">
        <v>759</v>
      </c>
      <c r="AK433" s="64" t="s">
        <v>820</v>
      </c>
      <c r="AL433" s="168"/>
      <c r="AM433" s="7"/>
      <c r="AN433" s="77">
        <v>1250.0</v>
      </c>
      <c r="AO433" s="64">
        <v>50.0</v>
      </c>
      <c r="AP433" s="13"/>
      <c r="AQ433" s="13"/>
      <c r="AR433" s="78"/>
      <c r="AS433" s="97"/>
      <c r="AT433" s="67">
        <v>0.4</v>
      </c>
      <c r="AU433" s="70">
        <v>0.01</v>
      </c>
      <c r="AV433" s="13"/>
      <c r="AW433" s="13"/>
      <c r="AX433" s="73"/>
      <c r="AY433" s="73"/>
      <c r="AZ433" s="68" t="s">
        <v>812</v>
      </c>
      <c r="BA433" s="68" t="s">
        <v>821</v>
      </c>
      <c r="BB433" s="68">
        <v>-29.87</v>
      </c>
      <c r="BC433" s="68">
        <v>5.38</v>
      </c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2"/>
      <c r="DK433" s="12"/>
      <c r="DL433" s="12"/>
      <c r="DM433" s="69"/>
      <c r="DN433" s="69"/>
      <c r="DO433" s="69"/>
      <c r="DP433" s="69"/>
      <c r="DQ433" s="11"/>
      <c r="DR433" s="69"/>
      <c r="DS433" s="69"/>
      <c r="DT433" s="69"/>
      <c r="DU433" s="69"/>
      <c r="DV433" s="97"/>
      <c r="DW433" s="98"/>
      <c r="DX433" s="71">
        <v>2.51E-8</v>
      </c>
      <c r="DY433" s="114">
        <v>3.47E-8</v>
      </c>
      <c r="DZ433" s="64" t="s">
        <v>762</v>
      </c>
      <c r="EA433" s="72" t="s">
        <v>822</v>
      </c>
      <c r="EB433" s="82"/>
    </row>
    <row r="434">
      <c r="A434" s="167" t="s">
        <v>1025</v>
      </c>
      <c r="B434" s="56" t="s">
        <v>1026</v>
      </c>
      <c r="C434" s="3"/>
      <c r="D434" s="4"/>
      <c r="E434" s="4"/>
      <c r="F434" s="57" t="s">
        <v>168</v>
      </c>
      <c r="G434" s="61">
        <v>271.074</v>
      </c>
      <c r="H434" s="61">
        <v>-24.28598</v>
      </c>
      <c r="I434" s="60" t="s">
        <v>819</v>
      </c>
      <c r="J434" s="60" t="s">
        <v>169</v>
      </c>
      <c r="K434" s="61">
        <v>5.4</v>
      </c>
      <c r="L434" s="60">
        <v>0.26</v>
      </c>
      <c r="M434" s="60">
        <v>2.0</v>
      </c>
      <c r="N434" s="61">
        <v>560.821042005496</v>
      </c>
      <c r="O434" s="61">
        <v>1.821</v>
      </c>
      <c r="P434" s="61">
        <v>0.239</v>
      </c>
      <c r="Q434" s="61">
        <v>-2.216</v>
      </c>
      <c r="R434" s="61">
        <v>0.208</v>
      </c>
      <c r="S434" s="60">
        <v>1.82</v>
      </c>
      <c r="T434" s="60">
        <v>2.83</v>
      </c>
      <c r="U434" s="58"/>
      <c r="V434" s="5"/>
      <c r="W434" s="5"/>
      <c r="X434" s="5"/>
      <c r="Y434" s="166"/>
      <c r="Z434" s="60">
        <v>16.69</v>
      </c>
      <c r="AA434" s="60">
        <v>0.004</v>
      </c>
      <c r="AB434" s="60">
        <v>13.665</v>
      </c>
      <c r="AC434" s="60">
        <v>0.056</v>
      </c>
      <c r="AD434" s="60">
        <v>12.568</v>
      </c>
      <c r="AE434" s="60">
        <v>0.049</v>
      </c>
      <c r="AF434" s="60">
        <v>12.122</v>
      </c>
      <c r="AG434" s="60">
        <v>0.044</v>
      </c>
      <c r="AH434" s="60">
        <v>15.89</v>
      </c>
      <c r="AI434" s="60">
        <v>0.01360147051</v>
      </c>
      <c r="AJ434" s="76" t="s">
        <v>759</v>
      </c>
      <c r="AK434" s="64" t="s">
        <v>820</v>
      </c>
      <c r="AL434" s="168"/>
      <c r="AM434" s="7"/>
      <c r="AN434" s="77">
        <v>1250.0</v>
      </c>
      <c r="AO434" s="64">
        <v>50.0</v>
      </c>
      <c r="AP434" s="13"/>
      <c r="AQ434" s="13"/>
      <c r="AR434" s="78"/>
      <c r="AS434" s="97"/>
      <c r="AT434" s="67">
        <v>0.4</v>
      </c>
      <c r="AU434" s="70">
        <v>0.02</v>
      </c>
      <c r="AV434" s="13"/>
      <c r="AW434" s="13"/>
      <c r="AX434" s="73"/>
      <c r="AY434" s="73"/>
      <c r="AZ434" s="68" t="s">
        <v>812</v>
      </c>
      <c r="BA434" s="68" t="s">
        <v>821</v>
      </c>
      <c r="BB434" s="68">
        <v>-31.57</v>
      </c>
      <c r="BC434" s="68">
        <v>5.38</v>
      </c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2"/>
      <c r="DK434" s="12"/>
      <c r="DL434" s="12"/>
      <c r="DM434" s="69"/>
      <c r="DN434" s="69"/>
      <c r="DO434" s="69"/>
      <c r="DP434" s="69"/>
      <c r="DQ434" s="11"/>
      <c r="DR434" s="69"/>
      <c r="DS434" s="69"/>
      <c r="DT434" s="69"/>
      <c r="DU434" s="69"/>
      <c r="DV434" s="97"/>
      <c r="DW434" s="98"/>
      <c r="DX434" s="71">
        <v>2.0E-8</v>
      </c>
      <c r="DY434" s="114">
        <v>2.76E-8</v>
      </c>
      <c r="DZ434" s="64" t="s">
        <v>762</v>
      </c>
      <c r="EA434" s="72" t="s">
        <v>822</v>
      </c>
      <c r="EB434" s="82"/>
    </row>
    <row r="435">
      <c r="A435" s="167" t="s">
        <v>1027</v>
      </c>
      <c r="B435" s="56" t="s">
        <v>1028</v>
      </c>
      <c r="C435" s="3"/>
      <c r="D435" s="4"/>
      <c r="E435" s="4"/>
      <c r="F435" s="57" t="s">
        <v>168</v>
      </c>
      <c r="G435" s="61">
        <v>271.1543</v>
      </c>
      <c r="H435" s="61">
        <v>-24.40887</v>
      </c>
      <c r="I435" s="60" t="s">
        <v>819</v>
      </c>
      <c r="J435" s="60" t="s">
        <v>169</v>
      </c>
      <c r="K435" s="61">
        <v>5.8</v>
      </c>
      <c r="L435" s="60">
        <v>0.33</v>
      </c>
      <c r="M435" s="60">
        <v>2.0</v>
      </c>
      <c r="N435" s="61">
        <v>1295.67245400362</v>
      </c>
      <c r="O435" s="61">
        <v>1.516</v>
      </c>
      <c r="P435" s="61">
        <v>0.178</v>
      </c>
      <c r="Q435" s="61">
        <v>-2.126</v>
      </c>
      <c r="R435" s="61">
        <v>0.153</v>
      </c>
      <c r="S435" s="60">
        <v>1.26</v>
      </c>
      <c r="T435" s="60">
        <v>1.98</v>
      </c>
      <c r="U435" s="58"/>
      <c r="V435" s="5"/>
      <c r="W435" s="5"/>
      <c r="X435" s="5"/>
      <c r="Y435" s="166"/>
      <c r="Z435" s="60">
        <v>16.95</v>
      </c>
      <c r="AA435" s="60">
        <v>0.005</v>
      </c>
      <c r="AB435" s="60">
        <v>13.707</v>
      </c>
      <c r="AC435" s="60">
        <v>0.032</v>
      </c>
      <c r="AD435" s="60">
        <v>12.579</v>
      </c>
      <c r="AE435" s="60">
        <v>0.038</v>
      </c>
      <c r="AF435" s="60">
        <v>12.048</v>
      </c>
      <c r="AG435" s="60">
        <v>0.031</v>
      </c>
      <c r="AH435" s="60">
        <v>16.15</v>
      </c>
      <c r="AI435" s="60">
        <v>0.0158113883</v>
      </c>
      <c r="AJ435" s="76" t="s">
        <v>759</v>
      </c>
      <c r="AK435" s="64" t="s">
        <v>820</v>
      </c>
      <c r="AL435" s="168"/>
      <c r="AM435" s="7"/>
      <c r="AN435" s="77">
        <v>1250.0</v>
      </c>
      <c r="AO435" s="64">
        <v>50.0</v>
      </c>
      <c r="AP435" s="13"/>
      <c r="AQ435" s="13"/>
      <c r="AR435" s="78"/>
      <c r="AS435" s="97"/>
      <c r="AT435" s="67">
        <v>0.4</v>
      </c>
      <c r="AU435" s="70">
        <v>0.02</v>
      </c>
      <c r="AV435" s="13"/>
      <c r="AW435" s="13"/>
      <c r="AX435" s="73"/>
      <c r="AY435" s="73"/>
      <c r="AZ435" s="68" t="s">
        <v>812</v>
      </c>
      <c r="BA435" s="68" t="s">
        <v>821</v>
      </c>
      <c r="BB435" s="68">
        <v>-29.1</v>
      </c>
      <c r="BC435" s="68">
        <v>4.76</v>
      </c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2"/>
      <c r="DK435" s="12"/>
      <c r="DL435" s="12"/>
      <c r="DM435" s="69"/>
      <c r="DN435" s="69"/>
      <c r="DO435" s="69"/>
      <c r="DP435" s="69"/>
      <c r="DQ435" s="11"/>
      <c r="DR435" s="69"/>
      <c r="DS435" s="69"/>
      <c r="DT435" s="69"/>
      <c r="DU435" s="69"/>
      <c r="DV435" s="97"/>
      <c r="DW435" s="98"/>
      <c r="DX435" s="71">
        <v>1.26E-8</v>
      </c>
      <c r="DY435" s="114">
        <v>1.74E-8</v>
      </c>
      <c r="DZ435" s="64" t="s">
        <v>762</v>
      </c>
      <c r="EA435" s="72" t="s">
        <v>822</v>
      </c>
      <c r="EB435" s="82"/>
    </row>
    <row r="436">
      <c r="A436" s="167" t="s">
        <v>1029</v>
      </c>
      <c r="B436" s="56" t="s">
        <v>1030</v>
      </c>
      <c r="C436" s="3"/>
      <c r="D436" s="4"/>
      <c r="E436" s="4"/>
      <c r="F436" s="57" t="s">
        <v>168</v>
      </c>
      <c r="G436" s="61">
        <v>271.02652</v>
      </c>
      <c r="H436" s="61">
        <v>-24.27115</v>
      </c>
      <c r="I436" s="60" t="s">
        <v>819</v>
      </c>
      <c r="J436" s="60" t="s">
        <v>169</v>
      </c>
      <c r="K436" s="61">
        <v>5.8</v>
      </c>
      <c r="L436" s="60">
        <v>0.39</v>
      </c>
      <c r="M436" s="5"/>
      <c r="N436" s="61"/>
      <c r="O436" s="61">
        <v>3.32</v>
      </c>
      <c r="P436" s="61">
        <v>1.026</v>
      </c>
      <c r="Q436" s="61">
        <v>-8.472</v>
      </c>
      <c r="R436" s="61">
        <v>0.843</v>
      </c>
      <c r="S436" s="60">
        <v>-0.54</v>
      </c>
      <c r="T436" s="60">
        <v>5.8</v>
      </c>
      <c r="U436" s="58"/>
      <c r="V436" s="5"/>
      <c r="W436" s="5"/>
      <c r="X436" s="5"/>
      <c r="Y436" s="166"/>
      <c r="Z436" s="60">
        <v>17.16</v>
      </c>
      <c r="AA436" s="60">
        <v>0.007</v>
      </c>
      <c r="AB436" s="60">
        <v>13.747</v>
      </c>
      <c r="AC436" s="60">
        <v>0.045</v>
      </c>
      <c r="AD436" s="60">
        <v>12.729</v>
      </c>
      <c r="AE436" s="60">
        <v>0.04</v>
      </c>
      <c r="AF436" s="60">
        <v>12.205</v>
      </c>
      <c r="AG436" s="60">
        <v>0.034</v>
      </c>
      <c r="AH436" s="60">
        <v>15.68</v>
      </c>
      <c r="AI436" s="60">
        <v>0.01476482306</v>
      </c>
      <c r="AJ436" s="76" t="s">
        <v>759</v>
      </c>
      <c r="AK436" s="64" t="s">
        <v>820</v>
      </c>
      <c r="AL436" s="168"/>
      <c r="AM436" s="7"/>
      <c r="AN436" s="77">
        <v>1250.0</v>
      </c>
      <c r="AO436" s="64">
        <v>50.0</v>
      </c>
      <c r="AP436" s="13"/>
      <c r="AQ436" s="13"/>
      <c r="AR436" s="78"/>
      <c r="AS436" s="97"/>
      <c r="AT436" s="67">
        <v>0.4</v>
      </c>
      <c r="AU436" s="70">
        <v>0.03</v>
      </c>
      <c r="AV436" s="13"/>
      <c r="AW436" s="13"/>
      <c r="AX436" s="73"/>
      <c r="AY436" s="73"/>
      <c r="AZ436" s="68" t="s">
        <v>812</v>
      </c>
      <c r="BA436" s="68" t="s">
        <v>821</v>
      </c>
      <c r="BB436" s="68">
        <v>-162.63</v>
      </c>
      <c r="BC436" s="68">
        <v>31.5</v>
      </c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2"/>
      <c r="DK436" s="12"/>
      <c r="DL436" s="12"/>
      <c r="DM436" s="69"/>
      <c r="DN436" s="69"/>
      <c r="DO436" s="69"/>
      <c r="DP436" s="69"/>
      <c r="DQ436" s="11"/>
      <c r="DR436" s="69"/>
      <c r="DS436" s="69"/>
      <c r="DT436" s="69"/>
      <c r="DU436" s="69"/>
      <c r="DV436" s="97"/>
      <c r="DW436" s="98"/>
      <c r="DX436" s="71">
        <v>3.98E-8</v>
      </c>
      <c r="DY436" s="114">
        <v>5.5E-8</v>
      </c>
      <c r="DZ436" s="64" t="s">
        <v>762</v>
      </c>
      <c r="EA436" s="72" t="s">
        <v>822</v>
      </c>
      <c r="EB436" s="82"/>
    </row>
    <row r="437">
      <c r="A437" s="167" t="s">
        <v>1031</v>
      </c>
      <c r="B437" s="56" t="s">
        <v>1032</v>
      </c>
      <c r="C437" s="3"/>
      <c r="D437" s="4"/>
      <c r="E437" s="4"/>
      <c r="F437" s="57" t="s">
        <v>168</v>
      </c>
      <c r="G437" s="61">
        <v>271.1246</v>
      </c>
      <c r="H437" s="61">
        <v>-24.24155</v>
      </c>
      <c r="I437" s="60" t="s">
        <v>819</v>
      </c>
      <c r="J437" s="60" t="s">
        <v>169</v>
      </c>
      <c r="K437" s="61">
        <v>5.6</v>
      </c>
      <c r="L437" s="60">
        <v>0.34</v>
      </c>
      <c r="M437" s="60">
        <v>2.0</v>
      </c>
      <c r="N437" s="61">
        <v>1350.4388926401</v>
      </c>
      <c r="O437" s="61">
        <v>1.282</v>
      </c>
      <c r="P437" s="61">
        <v>0.199</v>
      </c>
      <c r="Q437" s="61">
        <v>-2.004</v>
      </c>
      <c r="R437" s="61">
        <v>0.158</v>
      </c>
      <c r="S437" s="60"/>
      <c r="T437" s="60"/>
      <c r="U437" s="58"/>
      <c r="V437" s="5"/>
      <c r="W437" s="5"/>
      <c r="X437" s="5"/>
      <c r="Y437" s="166"/>
      <c r="Z437" s="60">
        <v>16.85</v>
      </c>
      <c r="AA437" s="60">
        <v>0.006</v>
      </c>
      <c r="AB437" s="60">
        <v>13.801</v>
      </c>
      <c r="AC437" s="60">
        <v>0.052</v>
      </c>
      <c r="AD437" s="60">
        <v>12.669</v>
      </c>
      <c r="AE437" s="60">
        <v>0.051</v>
      </c>
      <c r="AF437" s="60">
        <v>12.041</v>
      </c>
      <c r="AG437" s="60">
        <v>0.038</v>
      </c>
      <c r="AH437" s="60">
        <v>15.74</v>
      </c>
      <c r="AI437" s="60">
        <v>0.01523154621</v>
      </c>
      <c r="AJ437" s="76" t="s">
        <v>759</v>
      </c>
      <c r="AK437" s="64" t="s">
        <v>820</v>
      </c>
      <c r="AL437" s="168"/>
      <c r="AM437" s="7"/>
      <c r="AN437" s="77">
        <v>1250.0</v>
      </c>
      <c r="AO437" s="64">
        <v>50.0</v>
      </c>
      <c r="AP437" s="13"/>
      <c r="AQ437" s="13"/>
      <c r="AR437" s="78"/>
      <c r="AS437" s="97"/>
      <c r="AT437" s="67">
        <v>0.4</v>
      </c>
      <c r="AU437" s="70">
        <v>0.02</v>
      </c>
      <c r="AV437" s="13"/>
      <c r="AW437" s="13"/>
      <c r="AX437" s="73"/>
      <c r="AY437" s="73"/>
      <c r="AZ437" s="68" t="s">
        <v>812</v>
      </c>
      <c r="BA437" s="68" t="s">
        <v>821</v>
      </c>
      <c r="BB437" s="68">
        <v>-73.45</v>
      </c>
      <c r="BC437" s="68">
        <v>13.6</v>
      </c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2"/>
      <c r="DK437" s="12"/>
      <c r="DL437" s="12"/>
      <c r="DM437" s="69"/>
      <c r="DN437" s="69"/>
      <c r="DO437" s="69"/>
      <c r="DP437" s="69"/>
      <c r="DQ437" s="11"/>
      <c r="DR437" s="69"/>
      <c r="DS437" s="69"/>
      <c r="DT437" s="69"/>
      <c r="DU437" s="69"/>
      <c r="DV437" s="97"/>
      <c r="DW437" s="98"/>
      <c r="DX437" s="71">
        <v>3.98E-8</v>
      </c>
      <c r="DY437" s="114">
        <v>5.5E-8</v>
      </c>
      <c r="DZ437" s="64" t="s">
        <v>762</v>
      </c>
      <c r="EA437" s="72" t="s">
        <v>822</v>
      </c>
      <c r="EB437" s="82"/>
    </row>
    <row r="438">
      <c r="A438" s="167" t="s">
        <v>1033</v>
      </c>
      <c r="B438" s="56" t="s">
        <v>1034</v>
      </c>
      <c r="C438" s="3"/>
      <c r="D438" s="4"/>
      <c r="E438" s="4"/>
      <c r="F438" s="57" t="s">
        <v>168</v>
      </c>
      <c r="G438" s="61">
        <v>271.08142</v>
      </c>
      <c r="H438" s="61">
        <v>-24.35276</v>
      </c>
      <c r="I438" s="60" t="s">
        <v>819</v>
      </c>
      <c r="J438" s="60" t="s">
        <v>169</v>
      </c>
      <c r="K438" s="61">
        <v>5.7</v>
      </c>
      <c r="L438" s="60">
        <v>0.28</v>
      </c>
      <c r="M438" s="5"/>
      <c r="N438" s="61"/>
      <c r="O438" s="61"/>
      <c r="P438" s="61"/>
      <c r="Q438" s="61"/>
      <c r="R438" s="61"/>
      <c r="S438" s="60"/>
      <c r="T438" s="60"/>
      <c r="U438" s="58"/>
      <c r="V438" s="5"/>
      <c r="W438" s="5"/>
      <c r="X438" s="5"/>
      <c r="Y438" s="166"/>
      <c r="Z438" s="60">
        <v>16.78</v>
      </c>
      <c r="AA438" s="60">
        <v>0.005</v>
      </c>
      <c r="AB438" s="60">
        <v>13.806</v>
      </c>
      <c r="AC438" s="60"/>
      <c r="AD438" s="60">
        <v>12.877</v>
      </c>
      <c r="AE438" s="60"/>
      <c r="AF438" s="60">
        <v>12.281</v>
      </c>
      <c r="AG438" s="60"/>
      <c r="AH438" s="60">
        <v>15.92</v>
      </c>
      <c r="AI438" s="60">
        <v>0.01486606875</v>
      </c>
      <c r="AJ438" s="76" t="s">
        <v>759</v>
      </c>
      <c r="AK438" s="64" t="s">
        <v>820</v>
      </c>
      <c r="AL438" s="168"/>
      <c r="AM438" s="7"/>
      <c r="AN438" s="77">
        <v>1250.0</v>
      </c>
      <c r="AO438" s="64">
        <v>50.0</v>
      </c>
      <c r="AP438" s="13"/>
      <c r="AQ438" s="13"/>
      <c r="AR438" s="78"/>
      <c r="AS438" s="97"/>
      <c r="AT438" s="67">
        <v>0.4</v>
      </c>
      <c r="AU438" s="70">
        <v>0.02</v>
      </c>
      <c r="AV438" s="13"/>
      <c r="AW438" s="13"/>
      <c r="AX438" s="73"/>
      <c r="AY438" s="73"/>
      <c r="AZ438" s="68" t="s">
        <v>812</v>
      </c>
      <c r="BA438" s="68" t="s">
        <v>821</v>
      </c>
      <c r="BB438" s="68">
        <v>-41.68</v>
      </c>
      <c r="BC438" s="68">
        <v>7.35</v>
      </c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2"/>
      <c r="DK438" s="12"/>
      <c r="DL438" s="12"/>
      <c r="DM438" s="69"/>
      <c r="DN438" s="69"/>
      <c r="DO438" s="69"/>
      <c r="DP438" s="69"/>
      <c r="DQ438" s="11"/>
      <c r="DR438" s="69"/>
      <c r="DS438" s="69"/>
      <c r="DT438" s="69"/>
      <c r="DU438" s="69"/>
      <c r="DV438" s="97"/>
      <c r="DW438" s="98"/>
      <c r="DX438" s="71">
        <v>2.0E-8</v>
      </c>
      <c r="DY438" s="114">
        <v>2.76E-8</v>
      </c>
      <c r="DZ438" s="64" t="s">
        <v>762</v>
      </c>
      <c r="EA438" s="72" t="s">
        <v>822</v>
      </c>
      <c r="EB438" s="82"/>
    </row>
    <row r="439">
      <c r="A439" s="167" t="s">
        <v>1035</v>
      </c>
      <c r="B439" s="56" t="s">
        <v>1036</v>
      </c>
      <c r="C439" s="3"/>
      <c r="D439" s="4"/>
      <c r="E439" s="4"/>
      <c r="F439" s="57" t="s">
        <v>168</v>
      </c>
      <c r="G439" s="61">
        <v>271.0714</v>
      </c>
      <c r="H439" s="61">
        <v>-24.27432</v>
      </c>
      <c r="I439" s="60" t="s">
        <v>819</v>
      </c>
      <c r="J439" s="60" t="s">
        <v>169</v>
      </c>
      <c r="K439" s="61">
        <v>4.6</v>
      </c>
      <c r="L439" s="60">
        <v>0.26</v>
      </c>
      <c r="M439" s="60">
        <v>2.0</v>
      </c>
      <c r="N439" s="61">
        <v>1494.54491107457</v>
      </c>
      <c r="O439" s="61">
        <v>1.079</v>
      </c>
      <c r="P439" s="61">
        <v>0.196</v>
      </c>
      <c r="Q439" s="61">
        <v>-1.539</v>
      </c>
      <c r="R439" s="61">
        <v>0.164</v>
      </c>
      <c r="S439" s="60">
        <v>2.01</v>
      </c>
      <c r="T439" s="60">
        <v>2.7</v>
      </c>
      <c r="U439" s="58"/>
      <c r="V439" s="5"/>
      <c r="W439" s="5"/>
      <c r="X439" s="5"/>
      <c r="Y439" s="166"/>
      <c r="Z439" s="60">
        <v>16.71</v>
      </c>
      <c r="AA439" s="60">
        <v>0.004</v>
      </c>
      <c r="AB439" s="60">
        <v>13.87</v>
      </c>
      <c r="AC439" s="60">
        <v>0.041</v>
      </c>
      <c r="AD439" s="60">
        <v>12.771</v>
      </c>
      <c r="AE439" s="60"/>
      <c r="AF439" s="60">
        <v>12.224</v>
      </c>
      <c r="AG439" s="60"/>
      <c r="AH439" s="60">
        <v>15.88</v>
      </c>
      <c r="AI439" s="60">
        <v>0.01360147051</v>
      </c>
      <c r="AJ439" s="76" t="s">
        <v>759</v>
      </c>
      <c r="AK439" s="64" t="s">
        <v>820</v>
      </c>
      <c r="AL439" s="168"/>
      <c r="AM439" s="7"/>
      <c r="AN439" s="77">
        <v>1250.0</v>
      </c>
      <c r="AO439" s="64">
        <v>50.0</v>
      </c>
      <c r="AP439" s="13"/>
      <c r="AQ439" s="13"/>
      <c r="AR439" s="78"/>
      <c r="AS439" s="97"/>
      <c r="AT439" s="67">
        <v>0.4</v>
      </c>
      <c r="AU439" s="70">
        <v>0.02</v>
      </c>
      <c r="AV439" s="13"/>
      <c r="AW439" s="13"/>
      <c r="AX439" s="73"/>
      <c r="AY439" s="73"/>
      <c r="AZ439" s="68" t="s">
        <v>812</v>
      </c>
      <c r="BA439" s="68" t="s">
        <v>821</v>
      </c>
      <c r="BB439" s="68">
        <v>-30.31</v>
      </c>
      <c r="BC439" s="68">
        <v>5.12</v>
      </c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2"/>
      <c r="DK439" s="12"/>
      <c r="DL439" s="12"/>
      <c r="DM439" s="69"/>
      <c r="DN439" s="69"/>
      <c r="DO439" s="69"/>
      <c r="DP439" s="69"/>
      <c r="DQ439" s="11"/>
      <c r="DR439" s="69"/>
      <c r="DS439" s="69"/>
      <c r="DT439" s="69"/>
      <c r="DU439" s="69"/>
      <c r="DV439" s="97"/>
      <c r="DW439" s="98"/>
      <c r="DX439" s="71">
        <v>2.0E-8</v>
      </c>
      <c r="DY439" s="114">
        <v>2.76E-8</v>
      </c>
      <c r="DZ439" s="64" t="s">
        <v>762</v>
      </c>
      <c r="EA439" s="72" t="s">
        <v>822</v>
      </c>
      <c r="EB439" s="82"/>
    </row>
    <row r="440">
      <c r="A440" s="167" t="s">
        <v>1037</v>
      </c>
      <c r="B440" s="56" t="s">
        <v>1038</v>
      </c>
      <c r="C440" s="3"/>
      <c r="D440" s="4"/>
      <c r="E440" s="4"/>
      <c r="F440" s="57" t="s">
        <v>168</v>
      </c>
      <c r="G440" s="61">
        <v>270.68048</v>
      </c>
      <c r="H440" s="61">
        <v>-24.29535</v>
      </c>
      <c r="I440" s="60" t="s">
        <v>819</v>
      </c>
      <c r="J440" s="60" t="s">
        <v>169</v>
      </c>
      <c r="K440" s="61">
        <v>5.8</v>
      </c>
      <c r="L440" s="60">
        <v>0.28</v>
      </c>
      <c r="M440" s="60">
        <v>2.0</v>
      </c>
      <c r="N440" s="61">
        <v>1182.31260345235</v>
      </c>
      <c r="O440" s="61">
        <v>1.651</v>
      </c>
      <c r="P440" s="61">
        <v>0.167</v>
      </c>
      <c r="Q440" s="61">
        <v>-1.897</v>
      </c>
      <c r="R440" s="61">
        <v>0.15</v>
      </c>
      <c r="S440" s="60"/>
      <c r="T440" s="60"/>
      <c r="U440" s="58"/>
      <c r="V440" s="5"/>
      <c r="W440" s="5"/>
      <c r="X440" s="5"/>
      <c r="Y440" s="166"/>
      <c r="Z440" s="60">
        <v>16.89</v>
      </c>
      <c r="AA440" s="60">
        <v>0.004</v>
      </c>
      <c r="AB440" s="60">
        <v>13.873</v>
      </c>
      <c r="AC440" s="60">
        <v>0.002</v>
      </c>
      <c r="AD440" s="60">
        <v>12.911</v>
      </c>
      <c r="AE440" s="60">
        <v>0.002</v>
      </c>
      <c r="AF440" s="60">
        <v>12.181</v>
      </c>
      <c r="AG440" s="60">
        <v>0.002</v>
      </c>
      <c r="AH440" s="60">
        <v>16.08</v>
      </c>
      <c r="AI440" s="60">
        <v>0.009848857802</v>
      </c>
      <c r="AJ440" s="76" t="s">
        <v>759</v>
      </c>
      <c r="AK440" s="64" t="s">
        <v>820</v>
      </c>
      <c r="AL440" s="168"/>
      <c r="AM440" s="7"/>
      <c r="AN440" s="77">
        <v>1250.0</v>
      </c>
      <c r="AO440" s="64">
        <v>50.0</v>
      </c>
      <c r="AP440" s="13"/>
      <c r="AQ440" s="13"/>
      <c r="AR440" s="78"/>
      <c r="AS440" s="97"/>
      <c r="AT440" s="67">
        <v>0.4</v>
      </c>
      <c r="AU440" s="70">
        <v>0.02</v>
      </c>
      <c r="AV440" s="13"/>
      <c r="AW440" s="13"/>
      <c r="AX440" s="73"/>
      <c r="AY440" s="73"/>
      <c r="AZ440" s="68" t="s">
        <v>812</v>
      </c>
      <c r="BA440" s="68" t="s">
        <v>821</v>
      </c>
      <c r="BB440" s="68">
        <v>-34.86</v>
      </c>
      <c r="BC440" s="68">
        <v>6.23</v>
      </c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2"/>
      <c r="DK440" s="12"/>
      <c r="DL440" s="12"/>
      <c r="DM440" s="69"/>
      <c r="DN440" s="69"/>
      <c r="DO440" s="69"/>
      <c r="DP440" s="69"/>
      <c r="DQ440" s="11"/>
      <c r="DR440" s="69"/>
      <c r="DS440" s="69"/>
      <c r="DT440" s="69"/>
      <c r="DU440" s="69"/>
      <c r="DV440" s="97"/>
      <c r="DW440" s="98"/>
      <c r="DX440" s="71">
        <v>1.26E-8</v>
      </c>
      <c r="DY440" s="114">
        <v>1.74E-8</v>
      </c>
      <c r="DZ440" s="64" t="s">
        <v>762</v>
      </c>
      <c r="EA440" s="72" t="s">
        <v>822</v>
      </c>
      <c r="EB440" s="82"/>
    </row>
    <row r="441">
      <c r="A441" s="167" t="s">
        <v>1039</v>
      </c>
      <c r="B441" s="56" t="s">
        <v>1040</v>
      </c>
      <c r="C441" s="3"/>
      <c r="D441" s="4"/>
      <c r="E441" s="4"/>
      <c r="F441" s="57" t="s">
        <v>168</v>
      </c>
      <c r="G441" s="61">
        <v>270.99576</v>
      </c>
      <c r="H441" s="61">
        <v>-24.30492</v>
      </c>
      <c r="I441" s="60" t="s">
        <v>819</v>
      </c>
      <c r="J441" s="60" t="s">
        <v>169</v>
      </c>
      <c r="K441" s="61">
        <v>5.7</v>
      </c>
      <c r="L441" s="60">
        <v>0.31</v>
      </c>
      <c r="M441" s="60">
        <v>2.0</v>
      </c>
      <c r="N441" s="61">
        <v>1020.61645233721</v>
      </c>
      <c r="O441" s="61">
        <v>0.276</v>
      </c>
      <c r="P441" s="61">
        <v>0.305</v>
      </c>
      <c r="Q441" s="61">
        <v>-2.774</v>
      </c>
      <c r="R441" s="61">
        <v>0.228</v>
      </c>
      <c r="S441" s="60">
        <v>-1.73</v>
      </c>
      <c r="T441" s="60">
        <v>2.88</v>
      </c>
      <c r="U441" s="58"/>
      <c r="V441" s="5"/>
      <c r="W441" s="5"/>
      <c r="X441" s="5"/>
      <c r="Y441" s="166"/>
      <c r="Z441" s="60">
        <v>16.89</v>
      </c>
      <c r="AA441" s="60">
        <v>0.005</v>
      </c>
      <c r="AB441" s="60">
        <v>14.022</v>
      </c>
      <c r="AC441" s="60">
        <v>0.054</v>
      </c>
      <c r="AD441" s="60">
        <v>12.996</v>
      </c>
      <c r="AE441" s="60">
        <v>0.06</v>
      </c>
      <c r="AF441" s="60">
        <v>12.409</v>
      </c>
      <c r="AG441" s="60">
        <v>0.041</v>
      </c>
      <c r="AH441" s="60">
        <v>15.95</v>
      </c>
      <c r="AI441" s="60">
        <v>0.0158113883</v>
      </c>
      <c r="AJ441" s="76" t="s">
        <v>759</v>
      </c>
      <c r="AK441" s="64" t="s">
        <v>820</v>
      </c>
      <c r="AL441" s="168"/>
      <c r="AM441" s="7"/>
      <c r="AN441" s="77">
        <v>1250.0</v>
      </c>
      <c r="AO441" s="64">
        <v>50.0</v>
      </c>
      <c r="AP441" s="13"/>
      <c r="AQ441" s="13"/>
      <c r="AR441" s="78"/>
      <c r="AS441" s="97"/>
      <c r="AT441" s="67">
        <v>0.4</v>
      </c>
      <c r="AU441" s="70">
        <v>0.02</v>
      </c>
      <c r="AV441" s="13"/>
      <c r="AW441" s="13"/>
      <c r="AX441" s="73"/>
      <c r="AY441" s="73"/>
      <c r="AZ441" s="68" t="s">
        <v>812</v>
      </c>
      <c r="BA441" s="68" t="s">
        <v>821</v>
      </c>
      <c r="BB441" s="68">
        <v>-48.29</v>
      </c>
      <c r="BC441" s="68">
        <v>8.61</v>
      </c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2"/>
      <c r="DK441" s="12"/>
      <c r="DL441" s="12"/>
      <c r="DM441" s="69"/>
      <c r="DN441" s="69"/>
      <c r="DO441" s="69"/>
      <c r="DP441" s="69"/>
      <c r="DQ441" s="11"/>
      <c r="DR441" s="69"/>
      <c r="DS441" s="69"/>
      <c r="DT441" s="69"/>
      <c r="DU441" s="69"/>
      <c r="DV441" s="97"/>
      <c r="DW441" s="98"/>
      <c r="DX441" s="71">
        <v>2.51E-8</v>
      </c>
      <c r="DY441" s="114">
        <v>3.47E-8</v>
      </c>
      <c r="DZ441" s="64" t="s">
        <v>762</v>
      </c>
      <c r="EA441" s="72" t="s">
        <v>822</v>
      </c>
      <c r="EB441" s="82"/>
    </row>
    <row r="442">
      <c r="A442" s="167" t="s">
        <v>1041</v>
      </c>
      <c r="B442" s="56" t="s">
        <v>1042</v>
      </c>
      <c r="C442" s="3"/>
      <c r="D442" s="4"/>
      <c r="E442" s="4"/>
      <c r="F442" s="57" t="s">
        <v>168</v>
      </c>
      <c r="G442" s="61">
        <v>271.08087</v>
      </c>
      <c r="H442" s="61">
        <v>-24.43534</v>
      </c>
      <c r="I442" s="60" t="s">
        <v>819</v>
      </c>
      <c r="J442" s="60" t="s">
        <v>169</v>
      </c>
      <c r="K442" s="61">
        <v>5.8</v>
      </c>
      <c r="L442" s="60">
        <v>0.51</v>
      </c>
      <c r="M442" s="60">
        <v>2.0</v>
      </c>
      <c r="N442" s="61">
        <v>1364.25648021828</v>
      </c>
      <c r="O442" s="61">
        <v>0.622</v>
      </c>
      <c r="P442" s="61">
        <v>0.193</v>
      </c>
      <c r="Q442" s="61">
        <v>-2.32</v>
      </c>
      <c r="R442" s="61">
        <v>0.156</v>
      </c>
      <c r="S442" s="60">
        <v>2.84</v>
      </c>
      <c r="T442" s="60">
        <v>1.63</v>
      </c>
      <c r="U442" s="58"/>
      <c r="V442" s="5"/>
      <c r="W442" s="5"/>
      <c r="X442" s="5"/>
      <c r="Y442" s="166"/>
      <c r="Z442" s="60">
        <v>17.36</v>
      </c>
      <c r="AA442" s="60">
        <v>0.009</v>
      </c>
      <c r="AB442" s="60">
        <v>14.098</v>
      </c>
      <c r="AC442" s="60">
        <v>0.047</v>
      </c>
      <c r="AD442" s="60">
        <v>13.039</v>
      </c>
      <c r="AE442" s="60">
        <v>0.06</v>
      </c>
      <c r="AF442" s="60">
        <v>12.373</v>
      </c>
      <c r="AG442" s="60">
        <v>0.049</v>
      </c>
      <c r="AH442" s="60">
        <v>16.59</v>
      </c>
      <c r="AI442" s="60">
        <v>0.03420526275</v>
      </c>
      <c r="AJ442" s="76" t="s">
        <v>759</v>
      </c>
      <c r="AK442" s="64" t="s">
        <v>820</v>
      </c>
      <c r="AL442" s="168"/>
      <c r="AM442" s="7"/>
      <c r="AN442" s="77">
        <v>1250.0</v>
      </c>
      <c r="AO442" s="64">
        <v>50.0</v>
      </c>
      <c r="AP442" s="13"/>
      <c r="AQ442" s="13"/>
      <c r="AR442" s="78"/>
      <c r="AS442" s="97"/>
      <c r="AT442" s="67">
        <v>0.4</v>
      </c>
      <c r="AU442" s="70">
        <v>0.04</v>
      </c>
      <c r="AV442" s="13"/>
      <c r="AW442" s="13"/>
      <c r="AX442" s="73"/>
      <c r="AY442" s="73"/>
      <c r="AZ442" s="68" t="s">
        <v>812</v>
      </c>
      <c r="BA442" s="68" t="s">
        <v>821</v>
      </c>
      <c r="BB442" s="68">
        <v>-22.61</v>
      </c>
      <c r="BC442" s="68">
        <v>2.38</v>
      </c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2"/>
      <c r="DK442" s="12"/>
      <c r="DL442" s="12"/>
      <c r="DM442" s="69"/>
      <c r="DN442" s="69"/>
      <c r="DO442" s="69"/>
      <c r="DP442" s="69"/>
      <c r="DQ442" s="11"/>
      <c r="DR442" s="69"/>
      <c r="DS442" s="69"/>
      <c r="DT442" s="69"/>
      <c r="DU442" s="69"/>
      <c r="DV442" s="97"/>
      <c r="DW442" s="98"/>
      <c r="DX442" s="71">
        <v>5.01E-9</v>
      </c>
      <c r="DY442" s="114">
        <v>6.93E-9</v>
      </c>
      <c r="DZ442" s="64" t="s">
        <v>762</v>
      </c>
      <c r="EA442" s="72" t="s">
        <v>822</v>
      </c>
      <c r="EB442" s="82"/>
    </row>
    <row r="443">
      <c r="A443" s="167" t="s">
        <v>1043</v>
      </c>
      <c r="B443" s="56" t="s">
        <v>1044</v>
      </c>
      <c r="C443" s="3"/>
      <c r="D443" s="4"/>
      <c r="E443" s="4"/>
      <c r="F443" s="57" t="s">
        <v>168</v>
      </c>
      <c r="G443" s="61">
        <v>271.10083</v>
      </c>
      <c r="H443" s="61">
        <v>-24.27363</v>
      </c>
      <c r="I443" s="60" t="s">
        <v>819</v>
      </c>
      <c r="J443" s="60" t="s">
        <v>169</v>
      </c>
      <c r="K443" s="61">
        <v>6.7</v>
      </c>
      <c r="L443" s="60">
        <v>2.22</v>
      </c>
      <c r="M443" s="60">
        <v>2.0</v>
      </c>
      <c r="N443" s="61">
        <v>2270.14755959137</v>
      </c>
      <c r="O443" s="61">
        <v>1.876</v>
      </c>
      <c r="P443" s="61">
        <v>0.656</v>
      </c>
      <c r="Q443" s="61">
        <v>-1.996</v>
      </c>
      <c r="R443" s="61">
        <v>0.503</v>
      </c>
      <c r="S443" s="60"/>
      <c r="T443" s="60"/>
      <c r="U443" s="58"/>
      <c r="V443" s="5"/>
      <c r="W443" s="5"/>
      <c r="X443" s="5"/>
      <c r="Y443" s="166"/>
      <c r="Z443" s="60">
        <v>19.1</v>
      </c>
      <c r="AA443" s="60">
        <v>0.041</v>
      </c>
      <c r="AB443" s="60">
        <v>14.18</v>
      </c>
      <c r="AC443" s="60">
        <v>0.03</v>
      </c>
      <c r="AD443" s="60">
        <v>12.71</v>
      </c>
      <c r="AE443" s="60">
        <v>0.04</v>
      </c>
      <c r="AF443" s="60">
        <v>11.7</v>
      </c>
      <c r="AG443" s="60">
        <v>0.04</v>
      </c>
      <c r="AH443" s="60">
        <v>17.9</v>
      </c>
      <c r="AI443" s="60">
        <v>0.1025524256</v>
      </c>
      <c r="AJ443" s="76" t="s">
        <v>759</v>
      </c>
      <c r="AK443" s="64" t="s">
        <v>820</v>
      </c>
      <c r="AL443" s="168"/>
      <c r="AM443" s="7"/>
      <c r="AN443" s="77">
        <v>1250.0</v>
      </c>
      <c r="AO443" s="64">
        <v>50.0</v>
      </c>
      <c r="AP443" s="13"/>
      <c r="AQ443" s="13"/>
      <c r="AR443" s="78"/>
      <c r="AS443" s="97"/>
      <c r="AT443" s="67">
        <v>0.4</v>
      </c>
      <c r="AU443" s="70">
        <v>0.17</v>
      </c>
      <c r="AV443" s="13"/>
      <c r="AW443" s="13"/>
      <c r="AX443" s="73"/>
      <c r="AY443" s="73"/>
      <c r="AZ443" s="68" t="s">
        <v>812</v>
      </c>
      <c r="BA443" s="68" t="s">
        <v>821</v>
      </c>
      <c r="BB443" s="68">
        <v>-95.45</v>
      </c>
      <c r="BC443" s="68">
        <v>12.2</v>
      </c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2"/>
      <c r="DK443" s="12"/>
      <c r="DL443" s="12"/>
      <c r="DM443" s="69"/>
      <c r="DN443" s="69"/>
      <c r="DO443" s="69"/>
      <c r="DP443" s="69"/>
      <c r="DQ443" s="11"/>
      <c r="DR443" s="69"/>
      <c r="DS443" s="69"/>
      <c r="DT443" s="69"/>
      <c r="DU443" s="69"/>
      <c r="DV443" s="97"/>
      <c r="DW443" s="98"/>
      <c r="DX443" s="71">
        <v>1.58E-9</v>
      </c>
      <c r="DY443" s="114">
        <v>2.19E-9</v>
      </c>
      <c r="DZ443" s="64" t="s">
        <v>762</v>
      </c>
      <c r="EA443" s="72" t="s">
        <v>822</v>
      </c>
      <c r="EB443" s="82"/>
    </row>
    <row r="444">
      <c r="A444" s="167" t="s">
        <v>1045</v>
      </c>
      <c r="B444" s="56" t="s">
        <v>1046</v>
      </c>
      <c r="C444" s="3"/>
      <c r="D444" s="4"/>
      <c r="E444" s="4"/>
      <c r="F444" s="57" t="s">
        <v>168</v>
      </c>
      <c r="G444" s="61">
        <v>271.04422</v>
      </c>
      <c r="H444" s="61">
        <v>-24.42999</v>
      </c>
      <c r="I444" s="60" t="s">
        <v>819</v>
      </c>
      <c r="J444" s="60" t="s">
        <v>169</v>
      </c>
      <c r="K444" s="61">
        <v>5.9</v>
      </c>
      <c r="L444" s="60">
        <v>0.49</v>
      </c>
      <c r="M444" s="60">
        <v>2.0</v>
      </c>
      <c r="N444" s="61">
        <v>1165.22955022139</v>
      </c>
      <c r="O444" s="61">
        <v>1.849</v>
      </c>
      <c r="P444" s="61">
        <v>0.293</v>
      </c>
      <c r="Q444" s="61">
        <v>-2.168</v>
      </c>
      <c r="R444" s="61">
        <v>0.241</v>
      </c>
      <c r="S444" s="60"/>
      <c r="T444" s="60"/>
      <c r="U444" s="58"/>
      <c r="V444" s="5"/>
      <c r="W444" s="5"/>
      <c r="X444" s="5"/>
      <c r="Y444" s="166"/>
      <c r="Z444" s="60">
        <v>17.51</v>
      </c>
      <c r="AA444" s="60">
        <v>0.009</v>
      </c>
      <c r="AB444" s="60">
        <v>14.229</v>
      </c>
      <c r="AC444" s="60">
        <v>0.044</v>
      </c>
      <c r="AD444" s="60">
        <v>13.155</v>
      </c>
      <c r="AE444" s="60">
        <v>0.057</v>
      </c>
      <c r="AF444" s="60">
        <v>12.551</v>
      </c>
      <c r="AG444" s="60">
        <v>0.051</v>
      </c>
      <c r="AH444" s="60">
        <v>16.17</v>
      </c>
      <c r="AI444" s="60">
        <v>0.02102379604</v>
      </c>
      <c r="AJ444" s="76" t="s">
        <v>759</v>
      </c>
      <c r="AK444" s="64" t="s">
        <v>820</v>
      </c>
      <c r="AL444" s="168"/>
      <c r="AM444" s="7"/>
      <c r="AN444" s="77">
        <v>1250.0</v>
      </c>
      <c r="AO444" s="64">
        <v>50.0</v>
      </c>
      <c r="AP444" s="13"/>
      <c r="AQ444" s="13"/>
      <c r="AR444" s="78"/>
      <c r="AS444" s="97"/>
      <c r="AT444" s="67">
        <v>0.4</v>
      </c>
      <c r="AU444" s="70">
        <v>0.03</v>
      </c>
      <c r="AV444" s="13"/>
      <c r="AW444" s="13"/>
      <c r="AX444" s="73"/>
      <c r="AY444" s="73"/>
      <c r="AZ444" s="68" t="s">
        <v>812</v>
      </c>
      <c r="BA444" s="68" t="s">
        <v>821</v>
      </c>
      <c r="BB444" s="68">
        <v>-120.07</v>
      </c>
      <c r="BC444" s="68">
        <v>22.6</v>
      </c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2"/>
      <c r="DK444" s="12"/>
      <c r="DL444" s="12"/>
      <c r="DM444" s="69"/>
      <c r="DN444" s="69"/>
      <c r="DO444" s="69"/>
      <c r="DP444" s="69"/>
      <c r="DQ444" s="11"/>
      <c r="DR444" s="69"/>
      <c r="DS444" s="69"/>
      <c r="DT444" s="69"/>
      <c r="DU444" s="69"/>
      <c r="DV444" s="97"/>
      <c r="DW444" s="98"/>
      <c r="DX444" s="71">
        <v>2.51E-8</v>
      </c>
      <c r="DY444" s="114">
        <v>3.47E-8</v>
      </c>
      <c r="DZ444" s="64" t="s">
        <v>762</v>
      </c>
      <c r="EA444" s="72" t="s">
        <v>822</v>
      </c>
      <c r="EB444" s="82"/>
    </row>
    <row r="445">
      <c r="A445" s="167" t="s">
        <v>1047</v>
      </c>
      <c r="B445" s="56" t="s">
        <v>1048</v>
      </c>
      <c r="C445" s="3"/>
      <c r="D445" s="4"/>
      <c r="E445" s="4"/>
      <c r="F445" s="57" t="s">
        <v>168</v>
      </c>
      <c r="G445" s="61">
        <v>271.02295</v>
      </c>
      <c r="H445" s="61">
        <v>-24.28422</v>
      </c>
      <c r="I445" s="60" t="s">
        <v>819</v>
      </c>
      <c r="J445" s="60" t="s">
        <v>169</v>
      </c>
      <c r="K445" s="61">
        <v>5.8</v>
      </c>
      <c r="L445" s="60">
        <v>0.33</v>
      </c>
      <c r="M445" s="60">
        <v>2.0</v>
      </c>
      <c r="N445" s="61">
        <v>1231.22383649347</v>
      </c>
      <c r="O445" s="61">
        <v>1.131</v>
      </c>
      <c r="P445" s="61">
        <v>0.173</v>
      </c>
      <c r="Q445" s="61">
        <v>-2.095</v>
      </c>
      <c r="R445" s="61">
        <v>0.147</v>
      </c>
      <c r="S445" s="60"/>
      <c r="T445" s="60"/>
      <c r="U445" s="58"/>
      <c r="V445" s="5"/>
      <c r="W445" s="5"/>
      <c r="X445" s="5"/>
      <c r="Y445" s="166"/>
      <c r="Z445" s="60">
        <v>16.97</v>
      </c>
      <c r="AA445" s="60">
        <v>0.006</v>
      </c>
      <c r="AB445" s="60">
        <v>14.254</v>
      </c>
      <c r="AC445" s="60"/>
      <c r="AD445" s="60">
        <v>13.426</v>
      </c>
      <c r="AE445" s="60"/>
      <c r="AF445" s="60">
        <v>12.99</v>
      </c>
      <c r="AG445" s="60"/>
      <c r="AH445" s="60">
        <v>15.75</v>
      </c>
      <c r="AI445" s="60">
        <v>0.01431782106</v>
      </c>
      <c r="AJ445" s="76" t="s">
        <v>759</v>
      </c>
      <c r="AK445" s="64" t="s">
        <v>820</v>
      </c>
      <c r="AL445" s="168"/>
      <c r="AM445" s="7"/>
      <c r="AN445" s="77">
        <v>1250.0</v>
      </c>
      <c r="AO445" s="64">
        <v>50.0</v>
      </c>
      <c r="AP445" s="13"/>
      <c r="AQ445" s="13"/>
      <c r="AR445" s="78"/>
      <c r="AS445" s="97"/>
      <c r="AT445" s="67">
        <v>0.4</v>
      </c>
      <c r="AU445" s="70">
        <v>0.02</v>
      </c>
      <c r="AV445" s="13"/>
      <c r="AW445" s="13"/>
      <c r="AX445" s="73"/>
      <c r="AY445" s="73"/>
      <c r="AZ445" s="68" t="s">
        <v>812</v>
      </c>
      <c r="BA445" s="68" t="s">
        <v>821</v>
      </c>
      <c r="BB445" s="68">
        <v>-103.91</v>
      </c>
      <c r="BC445" s="68">
        <v>19.8</v>
      </c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2"/>
      <c r="DK445" s="12"/>
      <c r="DL445" s="12"/>
      <c r="DM445" s="69"/>
      <c r="DN445" s="69"/>
      <c r="DO445" s="69"/>
      <c r="DP445" s="69"/>
      <c r="DQ445" s="11"/>
      <c r="DR445" s="69"/>
      <c r="DS445" s="69"/>
      <c r="DT445" s="69"/>
      <c r="DU445" s="69"/>
      <c r="DV445" s="97"/>
      <c r="DW445" s="98"/>
      <c r="DX445" s="71">
        <v>3.16E-8</v>
      </c>
      <c r="DY445" s="114">
        <v>4.37E-8</v>
      </c>
      <c r="DZ445" s="64" t="s">
        <v>762</v>
      </c>
      <c r="EA445" s="72" t="s">
        <v>822</v>
      </c>
      <c r="EB445" s="82"/>
    </row>
    <row r="446">
      <c r="A446" s="167" t="s">
        <v>1049</v>
      </c>
      <c r="B446" s="56" t="s">
        <v>1050</v>
      </c>
      <c r="C446" s="3"/>
      <c r="D446" s="4"/>
      <c r="E446" s="4"/>
      <c r="F446" s="57" t="s">
        <v>168</v>
      </c>
      <c r="G446" s="61">
        <v>271.10385</v>
      </c>
      <c r="H446" s="61">
        <v>-24.37502</v>
      </c>
      <c r="I446" s="60" t="s">
        <v>819</v>
      </c>
      <c r="J446" s="60" t="s">
        <v>169</v>
      </c>
      <c r="K446" s="61">
        <v>5.8</v>
      </c>
      <c r="L446" s="60">
        <v>0.35</v>
      </c>
      <c r="M446" s="60">
        <v>2.0</v>
      </c>
      <c r="N446" s="61">
        <v>1098.78035380727</v>
      </c>
      <c r="O446" s="61">
        <v>1.721</v>
      </c>
      <c r="P446" s="61">
        <v>0.228</v>
      </c>
      <c r="Q446" s="61">
        <v>-1.902</v>
      </c>
      <c r="R446" s="61">
        <v>0.198</v>
      </c>
      <c r="S446" s="60">
        <v>4.28</v>
      </c>
      <c r="T446" s="60">
        <v>38.9</v>
      </c>
      <c r="U446" s="58"/>
      <c r="V446" s="5"/>
      <c r="W446" s="5"/>
      <c r="X446" s="5"/>
      <c r="Y446" s="166"/>
      <c r="Z446" s="60">
        <v>16.84</v>
      </c>
      <c r="AA446" s="60">
        <v>0.006</v>
      </c>
      <c r="AB446" s="60">
        <v>14.267</v>
      </c>
      <c r="AC446" s="60">
        <v>0.065</v>
      </c>
      <c r="AD446" s="60">
        <v>13.538</v>
      </c>
      <c r="AE446" s="60"/>
      <c r="AF446" s="60">
        <v>13.263</v>
      </c>
      <c r="AG446" s="60"/>
      <c r="AH446" s="60">
        <v>16.04</v>
      </c>
      <c r="AI446" s="60">
        <v>0.0228035085</v>
      </c>
      <c r="AJ446" s="76" t="s">
        <v>759</v>
      </c>
      <c r="AK446" s="64" t="s">
        <v>820</v>
      </c>
      <c r="AL446" s="168"/>
      <c r="AM446" s="7"/>
      <c r="AN446" s="77">
        <v>1250.0</v>
      </c>
      <c r="AO446" s="64">
        <v>50.0</v>
      </c>
      <c r="AP446" s="13"/>
      <c r="AQ446" s="13"/>
      <c r="AR446" s="78"/>
      <c r="AS446" s="97"/>
      <c r="AT446" s="67">
        <v>0.4</v>
      </c>
      <c r="AU446" s="70">
        <v>0.02</v>
      </c>
      <c r="AV446" s="13"/>
      <c r="AW446" s="13"/>
      <c r="AX446" s="73"/>
      <c r="AY446" s="73"/>
      <c r="AZ446" s="68" t="s">
        <v>812</v>
      </c>
      <c r="BA446" s="68" t="s">
        <v>821</v>
      </c>
      <c r="BB446" s="68">
        <v>-35.48</v>
      </c>
      <c r="BC446" s="68">
        <v>5.64</v>
      </c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2"/>
      <c r="DK446" s="12"/>
      <c r="DL446" s="12"/>
      <c r="DM446" s="69"/>
      <c r="DN446" s="69"/>
      <c r="DO446" s="69"/>
      <c r="DP446" s="69"/>
      <c r="DQ446" s="11"/>
      <c r="DR446" s="69"/>
      <c r="DS446" s="69"/>
      <c r="DT446" s="69"/>
      <c r="DU446" s="69"/>
      <c r="DV446" s="97"/>
      <c r="DW446" s="98"/>
      <c r="DX446" s="71">
        <v>1.26E-8</v>
      </c>
      <c r="DY446" s="114">
        <v>1.74E-8</v>
      </c>
      <c r="DZ446" s="64" t="s">
        <v>762</v>
      </c>
      <c r="EA446" s="72" t="s">
        <v>822</v>
      </c>
      <c r="EB446" s="82"/>
    </row>
    <row r="447">
      <c r="A447" s="167" t="s">
        <v>1051</v>
      </c>
      <c r="B447" s="56" t="s">
        <v>1052</v>
      </c>
      <c r="C447" s="3"/>
      <c r="D447" s="4"/>
      <c r="E447" s="4"/>
      <c r="F447" s="57" t="s">
        <v>168</v>
      </c>
      <c r="G447" s="61">
        <v>271.0179</v>
      </c>
      <c r="H447" s="61">
        <v>-24.33657</v>
      </c>
      <c r="I447" s="60" t="s">
        <v>819</v>
      </c>
      <c r="J447" s="60" t="s">
        <v>169</v>
      </c>
      <c r="K447" s="61">
        <v>5.8</v>
      </c>
      <c r="L447" s="60">
        <v>0.51</v>
      </c>
      <c r="M447" s="60">
        <v>2.0</v>
      </c>
      <c r="N447" s="61">
        <v>1725.32781228433</v>
      </c>
      <c r="O447" s="61">
        <v>2.106</v>
      </c>
      <c r="P447" s="61">
        <v>0.232</v>
      </c>
      <c r="Q447" s="61">
        <v>-2.489</v>
      </c>
      <c r="R447" s="61">
        <v>0.192</v>
      </c>
      <c r="S447" s="60"/>
      <c r="T447" s="60"/>
      <c r="U447" s="58"/>
      <c r="V447" s="5"/>
      <c r="W447" s="5"/>
      <c r="X447" s="5"/>
      <c r="Y447" s="166"/>
      <c r="Z447" s="60">
        <v>17.31</v>
      </c>
      <c r="AA447" s="60">
        <v>0.009</v>
      </c>
      <c r="AB447" s="60">
        <v>14.344</v>
      </c>
      <c r="AC447" s="60"/>
      <c r="AD447" s="60">
        <v>13.56</v>
      </c>
      <c r="AE447" s="60">
        <v>0.079</v>
      </c>
      <c r="AF447" s="60">
        <v>13.02</v>
      </c>
      <c r="AG447" s="60"/>
      <c r="AH447" s="60">
        <v>15.86</v>
      </c>
      <c r="AI447" s="60">
        <v>0.0219317122</v>
      </c>
      <c r="AJ447" s="76" t="s">
        <v>759</v>
      </c>
      <c r="AK447" s="64" t="s">
        <v>820</v>
      </c>
      <c r="AL447" s="168"/>
      <c r="AM447" s="7"/>
      <c r="AN447" s="77">
        <v>1250.0</v>
      </c>
      <c r="AO447" s="64">
        <v>50.0</v>
      </c>
      <c r="AP447" s="13"/>
      <c r="AQ447" s="13"/>
      <c r="AR447" s="78"/>
      <c r="AS447" s="97"/>
      <c r="AT447" s="67">
        <v>0.4</v>
      </c>
      <c r="AU447" s="70">
        <v>0.04</v>
      </c>
      <c r="AV447" s="13"/>
      <c r="AW447" s="13"/>
      <c r="AX447" s="73"/>
      <c r="AY447" s="73"/>
      <c r="AZ447" s="68" t="s">
        <v>812</v>
      </c>
      <c r="BA447" s="68" t="s">
        <v>821</v>
      </c>
      <c r="BB447" s="68">
        <v>-144.79</v>
      </c>
      <c r="BC447" s="68">
        <v>27.4</v>
      </c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2"/>
      <c r="DK447" s="12"/>
      <c r="DL447" s="12"/>
      <c r="DM447" s="69"/>
      <c r="DN447" s="69"/>
      <c r="DO447" s="69"/>
      <c r="DP447" s="69"/>
      <c r="DQ447" s="11"/>
      <c r="DR447" s="69"/>
      <c r="DS447" s="69"/>
      <c r="DT447" s="69"/>
      <c r="DU447" s="69"/>
      <c r="DV447" s="97"/>
      <c r="DW447" s="98"/>
      <c r="DX447" s="71">
        <v>3.16E-8</v>
      </c>
      <c r="DY447" s="114">
        <v>4.37E-8</v>
      </c>
      <c r="DZ447" s="64" t="s">
        <v>762</v>
      </c>
      <c r="EA447" s="72" t="s">
        <v>822</v>
      </c>
      <c r="EB447" s="82"/>
    </row>
    <row r="448">
      <c r="A448" s="167" t="s">
        <v>1053</v>
      </c>
      <c r="B448" s="56" t="s">
        <v>1054</v>
      </c>
      <c r="C448" s="3"/>
      <c r="D448" s="4"/>
      <c r="E448" s="4"/>
      <c r="F448" s="57" t="s">
        <v>168</v>
      </c>
      <c r="G448" s="61">
        <v>270.96692</v>
      </c>
      <c r="H448" s="61">
        <v>-24.37605</v>
      </c>
      <c r="I448" s="60" t="s">
        <v>819</v>
      </c>
      <c r="J448" s="60" t="s">
        <v>169</v>
      </c>
      <c r="K448" s="61">
        <v>5.8</v>
      </c>
      <c r="L448" s="60">
        <v>0.46</v>
      </c>
      <c r="M448" s="60">
        <v>2.0</v>
      </c>
      <c r="N448" s="61">
        <v>1221.44863808476</v>
      </c>
      <c r="O448" s="61">
        <v>0.982</v>
      </c>
      <c r="P448" s="61">
        <v>0.188</v>
      </c>
      <c r="Q448" s="61">
        <v>-2.068</v>
      </c>
      <c r="R448" s="61">
        <v>0.157</v>
      </c>
      <c r="S448" s="60">
        <v>1.61</v>
      </c>
      <c r="T448" s="60">
        <v>2.95</v>
      </c>
      <c r="U448" s="58"/>
      <c r="V448" s="5"/>
      <c r="W448" s="5"/>
      <c r="X448" s="5"/>
      <c r="Y448" s="166"/>
      <c r="Z448" s="60">
        <v>17.2</v>
      </c>
      <c r="AA448" s="60">
        <v>0.008</v>
      </c>
      <c r="AB448" s="60">
        <v>14.356</v>
      </c>
      <c r="AC448" s="60">
        <v>0.022</v>
      </c>
      <c r="AD448" s="60">
        <v>13.383</v>
      </c>
      <c r="AE448" s="60">
        <v>0.045</v>
      </c>
      <c r="AF448" s="60">
        <v>12.943</v>
      </c>
      <c r="AG448" s="60">
        <v>0.053</v>
      </c>
      <c r="AH448" s="60">
        <v>16.27</v>
      </c>
      <c r="AI448" s="60">
        <v>0.02340939982</v>
      </c>
      <c r="AJ448" s="76" t="s">
        <v>759</v>
      </c>
      <c r="AK448" s="64" t="s">
        <v>820</v>
      </c>
      <c r="AL448" s="168"/>
      <c r="AM448" s="7"/>
      <c r="AN448" s="77">
        <v>1250.0</v>
      </c>
      <c r="AO448" s="64">
        <v>50.0</v>
      </c>
      <c r="AP448" s="13"/>
      <c r="AQ448" s="13"/>
      <c r="AR448" s="78"/>
      <c r="AS448" s="97"/>
      <c r="AT448" s="67">
        <v>0.4</v>
      </c>
      <c r="AU448" s="70">
        <v>0.03</v>
      </c>
      <c r="AV448" s="13"/>
      <c r="AW448" s="13"/>
      <c r="AX448" s="73"/>
      <c r="AY448" s="73"/>
      <c r="AZ448" s="68" t="s">
        <v>812</v>
      </c>
      <c r="BA448" s="68" t="s">
        <v>821</v>
      </c>
      <c r="BB448" s="68">
        <v>-49.31</v>
      </c>
      <c r="BC448" s="68">
        <v>8.31</v>
      </c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2"/>
      <c r="DK448" s="12"/>
      <c r="DL448" s="12"/>
      <c r="DM448" s="69"/>
      <c r="DN448" s="69"/>
      <c r="DO448" s="69"/>
      <c r="DP448" s="69"/>
      <c r="DQ448" s="11"/>
      <c r="DR448" s="69"/>
      <c r="DS448" s="69"/>
      <c r="DT448" s="69"/>
      <c r="DU448" s="69"/>
      <c r="DV448" s="97"/>
      <c r="DW448" s="98"/>
      <c r="DX448" s="71">
        <v>1.26E-8</v>
      </c>
      <c r="DY448" s="114">
        <v>1.74E-8</v>
      </c>
      <c r="DZ448" s="64" t="s">
        <v>762</v>
      </c>
      <c r="EA448" s="72" t="s">
        <v>822</v>
      </c>
      <c r="EB448" s="82"/>
    </row>
    <row r="449">
      <c r="A449" s="167" t="s">
        <v>1055</v>
      </c>
      <c r="B449" s="56" t="s">
        <v>1056</v>
      </c>
      <c r="C449" s="3"/>
      <c r="D449" s="4"/>
      <c r="E449" s="4"/>
      <c r="F449" s="57" t="s">
        <v>168</v>
      </c>
      <c r="G449" s="61">
        <v>271.18182</v>
      </c>
      <c r="H449" s="61">
        <v>-24.46641</v>
      </c>
      <c r="I449" s="60" t="s">
        <v>819</v>
      </c>
      <c r="J449" s="60" t="s">
        <v>169</v>
      </c>
      <c r="K449" s="61">
        <v>5.8</v>
      </c>
      <c r="L449" s="60">
        <v>0.47</v>
      </c>
      <c r="M449" s="60">
        <v>2.0</v>
      </c>
      <c r="N449" s="61">
        <v>1150.74798619102</v>
      </c>
      <c r="O449" s="61">
        <v>2.726</v>
      </c>
      <c r="P449" s="61">
        <v>0.223</v>
      </c>
      <c r="Q449" s="61">
        <v>-1.951</v>
      </c>
      <c r="R449" s="61">
        <v>0.193</v>
      </c>
      <c r="S449" s="60"/>
      <c r="T449" s="60"/>
      <c r="U449" s="58"/>
      <c r="V449" s="5"/>
      <c r="W449" s="5"/>
      <c r="X449" s="5"/>
      <c r="Y449" s="166"/>
      <c r="Z449" s="60">
        <v>17.46</v>
      </c>
      <c r="AA449" s="60">
        <v>0.008</v>
      </c>
      <c r="AB449" s="60">
        <v>14.47</v>
      </c>
      <c r="AC449" s="60">
        <v>0.05</v>
      </c>
      <c r="AD449" s="60">
        <v>13.01</v>
      </c>
      <c r="AE449" s="60">
        <v>0.06</v>
      </c>
      <c r="AF449" s="60">
        <v>12.06</v>
      </c>
      <c r="AG449" s="60">
        <v>0.04</v>
      </c>
      <c r="AH449" s="60">
        <v>16.07</v>
      </c>
      <c r="AI449" s="60">
        <v>0.017</v>
      </c>
      <c r="AJ449" s="76" t="s">
        <v>759</v>
      </c>
      <c r="AK449" s="64" t="s">
        <v>820</v>
      </c>
      <c r="AL449" s="168"/>
      <c r="AM449" s="7"/>
      <c r="AN449" s="77">
        <v>1250.0</v>
      </c>
      <c r="AO449" s="64">
        <v>50.0</v>
      </c>
      <c r="AP449" s="13"/>
      <c r="AQ449" s="13"/>
      <c r="AR449" s="78"/>
      <c r="AS449" s="97"/>
      <c r="AT449" s="67">
        <v>0.4</v>
      </c>
      <c r="AU449" s="70">
        <v>0.03</v>
      </c>
      <c r="AV449" s="13"/>
      <c r="AW449" s="13"/>
      <c r="AX449" s="73"/>
      <c r="AY449" s="73"/>
      <c r="AZ449" s="68" t="s">
        <v>812</v>
      </c>
      <c r="BA449" s="68" t="s">
        <v>821</v>
      </c>
      <c r="BB449" s="68">
        <v>-122.11</v>
      </c>
      <c r="BC449" s="68">
        <v>23.2</v>
      </c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2"/>
      <c r="DK449" s="12"/>
      <c r="DL449" s="12"/>
      <c r="DM449" s="69"/>
      <c r="DN449" s="69"/>
      <c r="DO449" s="69"/>
      <c r="DP449" s="69"/>
      <c r="DQ449" s="11"/>
      <c r="DR449" s="69"/>
      <c r="DS449" s="69"/>
      <c r="DT449" s="69"/>
      <c r="DU449" s="69"/>
      <c r="DV449" s="97"/>
      <c r="DW449" s="98"/>
      <c r="DX449" s="71">
        <v>3.16E-8</v>
      </c>
      <c r="DY449" s="114">
        <v>4.37E-8</v>
      </c>
      <c r="DZ449" s="64" t="s">
        <v>762</v>
      </c>
      <c r="EA449" s="72" t="s">
        <v>822</v>
      </c>
      <c r="EB449" s="82"/>
    </row>
    <row r="450">
      <c r="A450" s="167" t="s">
        <v>1057</v>
      </c>
      <c r="B450" s="56" t="s">
        <v>1058</v>
      </c>
      <c r="C450" s="3"/>
      <c r="D450" s="4"/>
      <c r="E450" s="4"/>
      <c r="F450" s="57" t="s">
        <v>168</v>
      </c>
      <c r="G450" s="61">
        <v>271.15094</v>
      </c>
      <c r="H450" s="61">
        <v>-24.37738</v>
      </c>
      <c r="I450" s="60" t="s">
        <v>819</v>
      </c>
      <c r="J450" s="60" t="s">
        <v>169</v>
      </c>
      <c r="K450" s="61">
        <v>5.9</v>
      </c>
      <c r="L450" s="60">
        <v>0.47</v>
      </c>
      <c r="M450" s="60">
        <v>2.0</v>
      </c>
      <c r="N450" s="61">
        <v>969.838037047813</v>
      </c>
      <c r="O450" s="61">
        <v>2.201</v>
      </c>
      <c r="P450" s="61">
        <v>0.22</v>
      </c>
      <c r="Q450" s="61">
        <v>-1.805</v>
      </c>
      <c r="R450" s="61">
        <v>0.182</v>
      </c>
      <c r="S450" s="60"/>
      <c r="T450" s="60"/>
      <c r="U450" s="58"/>
      <c r="V450" s="5"/>
      <c r="W450" s="5"/>
      <c r="X450" s="5"/>
      <c r="Y450" s="166"/>
      <c r="Z450" s="60">
        <v>17.42</v>
      </c>
      <c r="AA450" s="60">
        <v>0.008</v>
      </c>
      <c r="AB450" s="60">
        <v>14.545</v>
      </c>
      <c r="AC450" s="60"/>
      <c r="AD450" s="60">
        <v>13.559</v>
      </c>
      <c r="AE450" s="60">
        <v>0.14</v>
      </c>
      <c r="AF450" s="60">
        <v>12.935</v>
      </c>
      <c r="AG450" s="60"/>
      <c r="AH450" s="60">
        <v>16.54</v>
      </c>
      <c r="AI450" s="60">
        <v>0.02247220505</v>
      </c>
      <c r="AJ450" s="76" t="s">
        <v>759</v>
      </c>
      <c r="AK450" s="64" t="s">
        <v>820</v>
      </c>
      <c r="AL450" s="168"/>
      <c r="AM450" s="7"/>
      <c r="AN450" s="77">
        <v>1250.0</v>
      </c>
      <c r="AO450" s="64">
        <v>50.0</v>
      </c>
      <c r="AP450" s="13"/>
      <c r="AQ450" s="13"/>
      <c r="AR450" s="78"/>
      <c r="AS450" s="97"/>
      <c r="AT450" s="67">
        <v>0.4</v>
      </c>
      <c r="AU450" s="70">
        <v>0.03</v>
      </c>
      <c r="AV450" s="13"/>
      <c r="AW450" s="13"/>
      <c r="AX450" s="73"/>
      <c r="AY450" s="73"/>
      <c r="AZ450" s="68" t="s">
        <v>812</v>
      </c>
      <c r="BA450" s="68" t="s">
        <v>821</v>
      </c>
      <c r="BB450" s="68">
        <v>-43.11</v>
      </c>
      <c r="BC450" s="68">
        <v>7.13</v>
      </c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2"/>
      <c r="DK450" s="12"/>
      <c r="DL450" s="12"/>
      <c r="DM450" s="69"/>
      <c r="DN450" s="69"/>
      <c r="DO450" s="69"/>
      <c r="DP450" s="69"/>
      <c r="DQ450" s="11"/>
      <c r="DR450" s="69"/>
      <c r="DS450" s="69"/>
      <c r="DT450" s="69"/>
      <c r="DU450" s="69"/>
      <c r="DV450" s="97"/>
      <c r="DW450" s="98"/>
      <c r="DX450" s="71">
        <v>7.94E-9</v>
      </c>
      <c r="DY450" s="114">
        <v>1.1E-8</v>
      </c>
      <c r="DZ450" s="64" t="s">
        <v>762</v>
      </c>
      <c r="EA450" s="72" t="s">
        <v>822</v>
      </c>
      <c r="EB450" s="82"/>
    </row>
    <row r="451">
      <c r="A451" s="167" t="s">
        <v>1059</v>
      </c>
      <c r="B451" s="56" t="s">
        <v>1060</v>
      </c>
      <c r="C451" s="3"/>
      <c r="D451" s="4"/>
      <c r="E451" s="4"/>
      <c r="F451" s="57" t="s">
        <v>168</v>
      </c>
      <c r="G451" s="61">
        <v>271.06143</v>
      </c>
      <c r="H451" s="61">
        <v>-24.40904</v>
      </c>
      <c r="I451" s="60" t="s">
        <v>819</v>
      </c>
      <c r="J451" s="60" t="s">
        <v>169</v>
      </c>
      <c r="K451" s="61">
        <v>5.9</v>
      </c>
      <c r="L451" s="60">
        <v>0.85</v>
      </c>
      <c r="M451" s="60">
        <v>2.0</v>
      </c>
      <c r="N451" s="61">
        <v>761.266747868453</v>
      </c>
      <c r="O451" s="61">
        <v>1.166</v>
      </c>
      <c r="P451" s="61">
        <v>0.338</v>
      </c>
      <c r="Q451" s="61">
        <v>-1.017</v>
      </c>
      <c r="R451" s="61">
        <v>0.278</v>
      </c>
      <c r="S451" s="60"/>
      <c r="T451" s="60"/>
      <c r="U451" s="58"/>
      <c r="V451" s="5"/>
      <c r="W451" s="5"/>
      <c r="X451" s="5"/>
      <c r="Y451" s="166"/>
      <c r="Z451" s="60">
        <v>17.57</v>
      </c>
      <c r="AA451" s="60">
        <v>0.016</v>
      </c>
      <c r="AB451" s="60">
        <v>14.682</v>
      </c>
      <c r="AC451" s="60">
        <v>0.039</v>
      </c>
      <c r="AD451" s="60">
        <v>13.655</v>
      </c>
      <c r="AE451" s="60">
        <v>0.109</v>
      </c>
      <c r="AF451" s="60">
        <v>13.269</v>
      </c>
      <c r="AG451" s="60">
        <v>0.102</v>
      </c>
      <c r="AH451" s="60">
        <v>16.36</v>
      </c>
      <c r="AI451" s="60">
        <v>0.04123105626</v>
      </c>
      <c r="AJ451" s="76" t="s">
        <v>759</v>
      </c>
      <c r="AK451" s="64" t="s">
        <v>820</v>
      </c>
      <c r="AL451" s="168"/>
      <c r="AM451" s="7"/>
      <c r="AN451" s="77">
        <v>1250.0</v>
      </c>
      <c r="AO451" s="64">
        <v>50.0</v>
      </c>
      <c r="AP451" s="13"/>
      <c r="AQ451" s="13"/>
      <c r="AR451" s="78"/>
      <c r="AS451" s="97"/>
      <c r="AT451" s="67">
        <v>0.4</v>
      </c>
      <c r="AU451" s="70">
        <v>0.06</v>
      </c>
      <c r="AV451" s="13"/>
      <c r="AW451" s="13"/>
      <c r="AX451" s="73"/>
      <c r="AY451" s="73"/>
      <c r="AZ451" s="68" t="s">
        <v>812</v>
      </c>
      <c r="BA451" s="68" t="s">
        <v>821</v>
      </c>
      <c r="BB451" s="68">
        <v>-90.25</v>
      </c>
      <c r="BC451" s="68">
        <v>15.2</v>
      </c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2"/>
      <c r="DK451" s="12"/>
      <c r="DL451" s="12"/>
      <c r="DM451" s="69"/>
      <c r="DN451" s="69"/>
      <c r="DO451" s="69"/>
      <c r="DP451" s="69"/>
      <c r="DQ451" s="11"/>
      <c r="DR451" s="69"/>
      <c r="DS451" s="69"/>
      <c r="DT451" s="69"/>
      <c r="DU451" s="69"/>
      <c r="DV451" s="97"/>
      <c r="DW451" s="98"/>
      <c r="DX451" s="71">
        <v>1.58E-8</v>
      </c>
      <c r="DY451" s="114">
        <v>2.19E-8</v>
      </c>
      <c r="DZ451" s="64" t="s">
        <v>762</v>
      </c>
      <c r="EA451" s="72" t="s">
        <v>822</v>
      </c>
      <c r="EB451" s="82"/>
    </row>
    <row r="452">
      <c r="A452" s="167" t="s">
        <v>1061</v>
      </c>
      <c r="B452" s="56" t="s">
        <v>1062</v>
      </c>
      <c r="C452" s="3"/>
      <c r="D452" s="4"/>
      <c r="E452" s="4"/>
      <c r="F452" s="57" t="s">
        <v>168</v>
      </c>
      <c r="G452" s="61">
        <v>271.0531</v>
      </c>
      <c r="H452" s="61">
        <v>-24.35575</v>
      </c>
      <c r="I452" s="60" t="s">
        <v>819</v>
      </c>
      <c r="J452" s="60" t="s">
        <v>169</v>
      </c>
      <c r="K452" s="61">
        <v>5.3</v>
      </c>
      <c r="L452" s="60">
        <v>0.88</v>
      </c>
      <c r="M452" s="60">
        <v>2.0</v>
      </c>
      <c r="N452" s="61">
        <v>2446.78248103743</v>
      </c>
      <c r="O452" s="61">
        <v>0.062</v>
      </c>
      <c r="P452" s="61">
        <v>0.29</v>
      </c>
      <c r="Q452" s="61">
        <v>-2.448</v>
      </c>
      <c r="R452" s="61">
        <v>0.238</v>
      </c>
      <c r="S452" s="60"/>
      <c r="T452" s="60"/>
      <c r="U452" s="58"/>
      <c r="V452" s="5"/>
      <c r="W452" s="5"/>
      <c r="X452" s="5"/>
      <c r="Y452" s="166"/>
      <c r="Z452" s="60">
        <v>18.04</v>
      </c>
      <c r="AA452" s="60">
        <v>0.016</v>
      </c>
      <c r="AB452" s="60">
        <v>14.693</v>
      </c>
      <c r="AC452" s="60"/>
      <c r="AD452" s="60">
        <v>13.753</v>
      </c>
      <c r="AE452" s="60"/>
      <c r="AF452" s="60">
        <v>13.105</v>
      </c>
      <c r="AG452" s="60"/>
      <c r="AH452" s="60">
        <v>16.98</v>
      </c>
      <c r="AI452" s="60">
        <v>0.04588027899</v>
      </c>
      <c r="AJ452" s="76" t="s">
        <v>759</v>
      </c>
      <c r="AK452" s="64" t="s">
        <v>820</v>
      </c>
      <c r="AL452" s="168"/>
      <c r="AM452" s="7"/>
      <c r="AN452" s="77">
        <v>1250.0</v>
      </c>
      <c r="AO452" s="64">
        <v>50.0</v>
      </c>
      <c r="AP452" s="13"/>
      <c r="AQ452" s="13"/>
      <c r="AR452" s="78"/>
      <c r="AS452" s="97"/>
      <c r="AT452" s="67">
        <v>0.4</v>
      </c>
      <c r="AU452" s="70">
        <v>0.07</v>
      </c>
      <c r="AV452" s="13"/>
      <c r="AW452" s="13"/>
      <c r="AX452" s="73"/>
      <c r="AY452" s="73"/>
      <c r="AZ452" s="68" t="s">
        <v>812</v>
      </c>
      <c r="BA452" s="68" t="s">
        <v>821</v>
      </c>
      <c r="BB452" s="68">
        <v>-58.29</v>
      </c>
      <c r="BC452" s="68">
        <v>8.64</v>
      </c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2"/>
      <c r="DK452" s="12"/>
      <c r="DL452" s="12"/>
      <c r="DM452" s="69"/>
      <c r="DN452" s="69"/>
      <c r="DO452" s="69"/>
      <c r="DP452" s="69"/>
      <c r="DQ452" s="11"/>
      <c r="DR452" s="69"/>
      <c r="DS452" s="69"/>
      <c r="DT452" s="69"/>
      <c r="DU452" s="69"/>
      <c r="DV452" s="97"/>
      <c r="DW452" s="98"/>
      <c r="DX452" s="71">
        <v>6.31E-9</v>
      </c>
      <c r="DY452" s="114">
        <v>8.72E-9</v>
      </c>
      <c r="DZ452" s="64" t="s">
        <v>762</v>
      </c>
      <c r="EA452" s="72" t="s">
        <v>822</v>
      </c>
      <c r="EB452" s="82"/>
    </row>
    <row r="453">
      <c r="A453" s="167" t="s">
        <v>1063</v>
      </c>
      <c r="B453" s="56" t="s">
        <v>1064</v>
      </c>
      <c r="C453" s="3"/>
      <c r="D453" s="4"/>
      <c r="E453" s="4"/>
      <c r="F453" s="57" t="s">
        <v>168</v>
      </c>
      <c r="G453" s="61">
        <v>270.84952</v>
      </c>
      <c r="H453" s="61">
        <v>-24.2492</v>
      </c>
      <c r="I453" s="60" t="s">
        <v>819</v>
      </c>
      <c r="J453" s="60" t="s">
        <v>169</v>
      </c>
      <c r="K453" s="61">
        <v>5.8</v>
      </c>
      <c r="L453" s="60">
        <v>1.0</v>
      </c>
      <c r="M453" s="5"/>
      <c r="N453" s="61"/>
      <c r="O453" s="61"/>
      <c r="P453" s="61"/>
      <c r="Q453" s="61"/>
      <c r="R453" s="61"/>
      <c r="S453" s="60"/>
      <c r="T453" s="60"/>
      <c r="U453" s="58"/>
      <c r="V453" s="5"/>
      <c r="W453" s="5"/>
      <c r="X453" s="5"/>
      <c r="Y453" s="166"/>
      <c r="Z453" s="60">
        <v>18.33</v>
      </c>
      <c r="AA453" s="60">
        <v>0.018</v>
      </c>
      <c r="AB453" s="60">
        <v>14.775</v>
      </c>
      <c r="AC453" s="60"/>
      <c r="AD453" s="60">
        <v>13.834</v>
      </c>
      <c r="AE453" s="60"/>
      <c r="AF453" s="60">
        <v>13.34</v>
      </c>
      <c r="AG453" s="60"/>
      <c r="AH453" s="60">
        <v>17.12</v>
      </c>
      <c r="AI453" s="60">
        <v>0.04569463864</v>
      </c>
      <c r="AJ453" s="76" t="s">
        <v>759</v>
      </c>
      <c r="AK453" s="64" t="s">
        <v>820</v>
      </c>
      <c r="AL453" s="168"/>
      <c r="AM453" s="7"/>
      <c r="AN453" s="77">
        <v>1250.0</v>
      </c>
      <c r="AO453" s="64">
        <v>50.0</v>
      </c>
      <c r="AP453" s="13"/>
      <c r="AQ453" s="13"/>
      <c r="AR453" s="78"/>
      <c r="AS453" s="97"/>
      <c r="AT453" s="67">
        <v>0.4</v>
      </c>
      <c r="AU453" s="70">
        <v>0.07</v>
      </c>
      <c r="AV453" s="13"/>
      <c r="AW453" s="13"/>
      <c r="AX453" s="73"/>
      <c r="AY453" s="73"/>
      <c r="AZ453" s="68" t="s">
        <v>812</v>
      </c>
      <c r="BA453" s="68" t="s">
        <v>821</v>
      </c>
      <c r="BB453" s="68">
        <v>-83.5</v>
      </c>
      <c r="BC453" s="68">
        <v>13.6</v>
      </c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2"/>
      <c r="DK453" s="12"/>
      <c r="DL453" s="12"/>
      <c r="DM453" s="69"/>
      <c r="DN453" s="69"/>
      <c r="DO453" s="69"/>
      <c r="DP453" s="69"/>
      <c r="DQ453" s="11"/>
      <c r="DR453" s="69"/>
      <c r="DS453" s="69"/>
      <c r="DT453" s="69"/>
      <c r="DU453" s="69"/>
      <c r="DV453" s="97"/>
      <c r="DW453" s="98"/>
      <c r="DX453" s="71">
        <v>6.31E-9</v>
      </c>
      <c r="DY453" s="114">
        <v>8.72E-9</v>
      </c>
      <c r="DZ453" s="64" t="s">
        <v>762</v>
      </c>
      <c r="EA453" s="72" t="s">
        <v>822</v>
      </c>
      <c r="EB453" s="82"/>
    </row>
    <row r="454">
      <c r="A454" s="167" t="s">
        <v>1065</v>
      </c>
      <c r="B454" s="56" t="s">
        <v>1066</v>
      </c>
      <c r="C454" s="3"/>
      <c r="D454" s="4"/>
      <c r="E454" s="4"/>
      <c r="F454" s="57" t="s">
        <v>168</v>
      </c>
      <c r="G454" s="61">
        <v>270.88098</v>
      </c>
      <c r="H454" s="61">
        <v>-24.31012</v>
      </c>
      <c r="I454" s="60" t="s">
        <v>819</v>
      </c>
      <c r="J454" s="60" t="s">
        <v>169</v>
      </c>
      <c r="K454" s="61">
        <v>5.4</v>
      </c>
      <c r="L454" s="60">
        <v>0.83</v>
      </c>
      <c r="M454" s="60">
        <v>2.0</v>
      </c>
      <c r="N454" s="61">
        <v>1446.96860078136</v>
      </c>
      <c r="O454" s="61">
        <v>2.287</v>
      </c>
      <c r="P454" s="61">
        <v>0.33</v>
      </c>
      <c r="Q454" s="61">
        <v>-2.169</v>
      </c>
      <c r="R454" s="61">
        <v>0.257</v>
      </c>
      <c r="S454" s="60"/>
      <c r="T454" s="60"/>
      <c r="U454" s="58"/>
      <c r="V454" s="5"/>
      <c r="W454" s="5"/>
      <c r="X454" s="5"/>
      <c r="Y454" s="166"/>
      <c r="Z454" s="60">
        <v>18.15</v>
      </c>
      <c r="AA454" s="60">
        <v>0.015</v>
      </c>
      <c r="AB454" s="60">
        <v>14.778</v>
      </c>
      <c r="AC454" s="60"/>
      <c r="AD454" s="60">
        <v>13.92</v>
      </c>
      <c r="AE454" s="60"/>
      <c r="AF454" s="60">
        <v>13.449</v>
      </c>
      <c r="AG454" s="60"/>
      <c r="AH454" s="60">
        <v>17.05</v>
      </c>
      <c r="AI454" s="60">
        <v>0.03992492956</v>
      </c>
      <c r="AJ454" s="76" t="s">
        <v>759</v>
      </c>
      <c r="AK454" s="64" t="s">
        <v>820</v>
      </c>
      <c r="AL454" s="168"/>
      <c r="AM454" s="7"/>
      <c r="AN454" s="77">
        <v>1250.0</v>
      </c>
      <c r="AO454" s="64">
        <v>50.0</v>
      </c>
      <c r="AP454" s="13"/>
      <c r="AQ454" s="13"/>
      <c r="AR454" s="78"/>
      <c r="AS454" s="97"/>
      <c r="AT454" s="67">
        <v>0.4</v>
      </c>
      <c r="AU454" s="70">
        <v>0.06</v>
      </c>
      <c r="AV454" s="13"/>
      <c r="AW454" s="13"/>
      <c r="AX454" s="73"/>
      <c r="AY454" s="73"/>
      <c r="AZ454" s="68" t="s">
        <v>812</v>
      </c>
      <c r="BA454" s="68" t="s">
        <v>821</v>
      </c>
      <c r="BB454" s="68">
        <v>-62.16</v>
      </c>
      <c r="BC454" s="68">
        <v>9.76</v>
      </c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2"/>
      <c r="DK454" s="12"/>
      <c r="DL454" s="12"/>
      <c r="DM454" s="69"/>
      <c r="DN454" s="69"/>
      <c r="DO454" s="69"/>
      <c r="DP454" s="69"/>
      <c r="DQ454" s="11"/>
      <c r="DR454" s="69"/>
      <c r="DS454" s="69"/>
      <c r="DT454" s="69"/>
      <c r="DU454" s="69"/>
      <c r="DV454" s="97"/>
      <c r="DW454" s="98"/>
      <c r="DX454" s="71">
        <v>6.31E-9</v>
      </c>
      <c r="DY454" s="114">
        <v>8.72E-9</v>
      </c>
      <c r="DZ454" s="64" t="s">
        <v>762</v>
      </c>
      <c r="EA454" s="72" t="s">
        <v>822</v>
      </c>
      <c r="EB454" s="82"/>
    </row>
    <row r="455">
      <c r="A455" s="167" t="s">
        <v>1067</v>
      </c>
      <c r="B455" s="56" t="s">
        <v>1068</v>
      </c>
      <c r="C455" s="3"/>
      <c r="D455" s="4"/>
      <c r="E455" s="4"/>
      <c r="F455" s="57" t="s">
        <v>168</v>
      </c>
      <c r="G455" s="61">
        <v>271.1932</v>
      </c>
      <c r="H455" s="61">
        <v>-24.2256</v>
      </c>
      <c r="I455" s="60" t="s">
        <v>819</v>
      </c>
      <c r="J455" s="60" t="s">
        <v>169</v>
      </c>
      <c r="K455" s="61">
        <v>4.7</v>
      </c>
      <c r="L455" s="60">
        <v>0.61</v>
      </c>
      <c r="M455" s="60">
        <v>2.0</v>
      </c>
      <c r="N455" s="61">
        <v>2259.37641211025</v>
      </c>
      <c r="O455" s="61">
        <v>1.446</v>
      </c>
      <c r="P455" s="61">
        <v>0.501</v>
      </c>
      <c r="Q455" s="61">
        <v>-1.77</v>
      </c>
      <c r="R455" s="61">
        <v>0.423</v>
      </c>
      <c r="S455" s="60"/>
      <c r="T455" s="60"/>
      <c r="U455" s="58"/>
      <c r="V455" s="5"/>
      <c r="W455" s="5"/>
      <c r="X455" s="5"/>
      <c r="Y455" s="166"/>
      <c r="Z455" s="60">
        <v>17.96</v>
      </c>
      <c r="AA455" s="60">
        <v>0.01</v>
      </c>
      <c r="AB455" s="60">
        <v>14.975</v>
      </c>
      <c r="AC455" s="60">
        <v>0.081</v>
      </c>
      <c r="AD455" s="60">
        <v>13.991</v>
      </c>
      <c r="AE455" s="60">
        <v>0.039</v>
      </c>
      <c r="AF455" s="60">
        <v>13.622</v>
      </c>
      <c r="AG455" s="60">
        <v>0.063</v>
      </c>
      <c r="AH455" s="60">
        <v>16.82</v>
      </c>
      <c r="AI455" s="60">
        <v>0.02236067977</v>
      </c>
      <c r="AJ455" s="76" t="s">
        <v>759</v>
      </c>
      <c r="AK455" s="64" t="s">
        <v>820</v>
      </c>
      <c r="AL455" s="168"/>
      <c r="AM455" s="7"/>
      <c r="AN455" s="77">
        <v>1250.0</v>
      </c>
      <c r="AO455" s="64">
        <v>50.0</v>
      </c>
      <c r="AP455" s="13"/>
      <c r="AQ455" s="13"/>
      <c r="AR455" s="78"/>
      <c r="AS455" s="97"/>
      <c r="AT455" s="67">
        <v>0.4</v>
      </c>
      <c r="AU455" s="70">
        <v>0.04</v>
      </c>
      <c r="AV455" s="13"/>
      <c r="AW455" s="13"/>
      <c r="AX455" s="73"/>
      <c r="AY455" s="73"/>
      <c r="AZ455" s="68" t="s">
        <v>812</v>
      </c>
      <c r="BA455" s="68" t="s">
        <v>821</v>
      </c>
      <c r="BB455" s="68">
        <v>-75.75</v>
      </c>
      <c r="BC455" s="68">
        <v>13.5</v>
      </c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2"/>
      <c r="DK455" s="12"/>
      <c r="DL455" s="12"/>
      <c r="DM455" s="69"/>
      <c r="DN455" s="69"/>
      <c r="DO455" s="69"/>
      <c r="DP455" s="69"/>
      <c r="DQ455" s="11"/>
      <c r="DR455" s="69"/>
      <c r="DS455" s="69"/>
      <c r="DT455" s="69"/>
      <c r="DU455" s="69"/>
      <c r="DV455" s="97"/>
      <c r="DW455" s="98"/>
      <c r="DX455" s="71">
        <v>7.94E-9</v>
      </c>
      <c r="DY455" s="114">
        <v>1.1E-8</v>
      </c>
      <c r="DZ455" s="64" t="s">
        <v>762</v>
      </c>
      <c r="EA455" s="72" t="s">
        <v>822</v>
      </c>
      <c r="EB455" s="82"/>
    </row>
    <row r="456">
      <c r="A456" s="167" t="s">
        <v>1069</v>
      </c>
      <c r="B456" s="56" t="s">
        <v>1070</v>
      </c>
      <c r="C456" s="3"/>
      <c r="D456" s="4"/>
      <c r="E456" s="4"/>
      <c r="F456" s="57" t="s">
        <v>168</v>
      </c>
      <c r="G456" s="61">
        <v>270.86676</v>
      </c>
      <c r="H456" s="61">
        <v>-24.25761</v>
      </c>
      <c r="I456" s="60" t="s">
        <v>819</v>
      </c>
      <c r="J456" s="60" t="s">
        <v>169</v>
      </c>
      <c r="K456" s="61">
        <v>6.0</v>
      </c>
      <c r="L456" s="60">
        <v>1.3</v>
      </c>
      <c r="M456" s="60">
        <v>2.0</v>
      </c>
      <c r="N456" s="61">
        <v>1431.63922691481</v>
      </c>
      <c r="O456" s="61">
        <v>1.222</v>
      </c>
      <c r="P456" s="61">
        <v>0.61</v>
      </c>
      <c r="Q456" s="61">
        <v>-2.143</v>
      </c>
      <c r="R456" s="61">
        <v>0.556</v>
      </c>
      <c r="S456" s="60"/>
      <c r="T456" s="60"/>
      <c r="U456" s="58"/>
      <c r="V456" s="5"/>
      <c r="W456" s="5"/>
      <c r="X456" s="5"/>
      <c r="Y456" s="166"/>
      <c r="Z456" s="60">
        <v>18.64</v>
      </c>
      <c r="AA456" s="60">
        <v>0.024</v>
      </c>
      <c r="AB456" s="60">
        <v>15.007</v>
      </c>
      <c r="AC456" s="60"/>
      <c r="AD456" s="60">
        <v>14.146</v>
      </c>
      <c r="AE456" s="60"/>
      <c r="AF456" s="60">
        <v>13.658</v>
      </c>
      <c r="AG456" s="60"/>
      <c r="AH456" s="60">
        <v>17.3</v>
      </c>
      <c r="AI456" s="60">
        <v>0.0554616985</v>
      </c>
      <c r="AJ456" s="76" t="s">
        <v>759</v>
      </c>
      <c r="AK456" s="64" t="s">
        <v>820</v>
      </c>
      <c r="AL456" s="168"/>
      <c r="AM456" s="7"/>
      <c r="AN456" s="77">
        <v>1250.0</v>
      </c>
      <c r="AO456" s="64">
        <v>50.0</v>
      </c>
      <c r="AP456" s="13"/>
      <c r="AQ456" s="13"/>
      <c r="AR456" s="78"/>
      <c r="AS456" s="97"/>
      <c r="AT456" s="67">
        <v>0.4</v>
      </c>
      <c r="AU456" s="70">
        <v>0.1</v>
      </c>
      <c r="AV456" s="13"/>
      <c r="AW456" s="13"/>
      <c r="AX456" s="73"/>
      <c r="AY456" s="73"/>
      <c r="AZ456" s="68" t="s">
        <v>812</v>
      </c>
      <c r="BA456" s="68" t="s">
        <v>821</v>
      </c>
      <c r="BB456" s="68">
        <v>-106.82</v>
      </c>
      <c r="BC456" s="68">
        <v>17.5</v>
      </c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2"/>
      <c r="DK456" s="12"/>
      <c r="DL456" s="12"/>
      <c r="DM456" s="69"/>
      <c r="DN456" s="69"/>
      <c r="DO456" s="69"/>
      <c r="DP456" s="69"/>
      <c r="DQ456" s="11"/>
      <c r="DR456" s="69"/>
      <c r="DS456" s="69"/>
      <c r="DT456" s="69"/>
      <c r="DU456" s="69"/>
      <c r="DV456" s="97"/>
      <c r="DW456" s="98"/>
      <c r="DX456" s="71">
        <v>5.01E-9</v>
      </c>
      <c r="DY456" s="114">
        <v>6.93E-9</v>
      </c>
      <c r="DZ456" s="64" t="s">
        <v>762</v>
      </c>
      <c r="EA456" s="72" t="s">
        <v>822</v>
      </c>
      <c r="EB456" s="82"/>
    </row>
    <row r="457">
      <c r="A457" s="167" t="s">
        <v>1071</v>
      </c>
      <c r="B457" s="56" t="s">
        <v>1072</v>
      </c>
      <c r="C457" s="3"/>
      <c r="D457" s="4"/>
      <c r="E457" s="4"/>
      <c r="F457" s="57" t="s">
        <v>168</v>
      </c>
      <c r="G457" s="61">
        <v>270.96207</v>
      </c>
      <c r="H457" s="61">
        <v>-24.37078</v>
      </c>
      <c r="I457" s="60" t="s">
        <v>819</v>
      </c>
      <c r="J457" s="60" t="s">
        <v>169</v>
      </c>
      <c r="K457" s="61">
        <v>6.3</v>
      </c>
      <c r="L457" s="60">
        <v>1.26</v>
      </c>
      <c r="M457" s="60">
        <v>2.0</v>
      </c>
      <c r="N457" s="61">
        <v>1223.24159021406</v>
      </c>
      <c r="O457" s="61">
        <v>4.128</v>
      </c>
      <c r="P457" s="61">
        <v>0.957</v>
      </c>
      <c r="Q457" s="61">
        <v>-1.462</v>
      </c>
      <c r="R457" s="61">
        <v>0.87</v>
      </c>
      <c r="S457" s="60"/>
      <c r="T457" s="60"/>
      <c r="U457" s="58"/>
      <c r="V457" s="5"/>
      <c r="W457" s="5"/>
      <c r="X457" s="5"/>
      <c r="Y457" s="166"/>
      <c r="Z457" s="60">
        <v>18.55</v>
      </c>
      <c r="AA457" s="60">
        <v>0.023</v>
      </c>
      <c r="AB457" s="60">
        <v>15.16</v>
      </c>
      <c r="AC457" s="60"/>
      <c r="AD457" s="60">
        <v>14.241</v>
      </c>
      <c r="AE457" s="60"/>
      <c r="AF457" s="60">
        <v>13.677</v>
      </c>
      <c r="AG457" s="60"/>
      <c r="AH457" s="60">
        <v>17.08</v>
      </c>
      <c r="AI457" s="60">
        <v>0.05142956348</v>
      </c>
      <c r="AJ457" s="76" t="s">
        <v>759</v>
      </c>
      <c r="AK457" s="64" t="s">
        <v>820</v>
      </c>
      <c r="AL457" s="168"/>
      <c r="AM457" s="7"/>
      <c r="AN457" s="77">
        <v>1250.0</v>
      </c>
      <c r="AO457" s="64">
        <v>50.0</v>
      </c>
      <c r="AP457" s="13"/>
      <c r="AQ457" s="13"/>
      <c r="AR457" s="78"/>
      <c r="AS457" s="97"/>
      <c r="AT457" s="67">
        <v>0.4</v>
      </c>
      <c r="AU457" s="70">
        <v>0.1</v>
      </c>
      <c r="AV457" s="13"/>
      <c r="AW457" s="13"/>
      <c r="AX457" s="73"/>
      <c r="AY457" s="73"/>
      <c r="AZ457" s="68" t="s">
        <v>812</v>
      </c>
      <c r="BA457" s="68" t="s">
        <v>821</v>
      </c>
      <c r="BB457" s="68">
        <v>-145.12</v>
      </c>
      <c r="BC457" s="68">
        <v>25.5</v>
      </c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2"/>
      <c r="DK457" s="12"/>
      <c r="DL457" s="12"/>
      <c r="DM457" s="69"/>
      <c r="DN457" s="69"/>
      <c r="DO457" s="69"/>
      <c r="DP457" s="69"/>
      <c r="DQ457" s="11"/>
      <c r="DR457" s="69"/>
      <c r="DS457" s="69"/>
      <c r="DT457" s="69"/>
      <c r="DU457" s="69"/>
      <c r="DV457" s="97"/>
      <c r="DW457" s="98"/>
      <c r="DX457" s="71">
        <v>6.31E-9</v>
      </c>
      <c r="DY457" s="114">
        <v>8.72E-9</v>
      </c>
      <c r="DZ457" s="64" t="s">
        <v>762</v>
      </c>
      <c r="EA457" s="72" t="s">
        <v>822</v>
      </c>
      <c r="EB457" s="82"/>
    </row>
    <row r="458">
      <c r="A458" s="167" t="s">
        <v>1071</v>
      </c>
      <c r="B458" s="56" t="s">
        <v>1073</v>
      </c>
      <c r="C458" s="3"/>
      <c r="D458" s="4"/>
      <c r="E458" s="4"/>
      <c r="F458" s="57" t="s">
        <v>168</v>
      </c>
      <c r="G458" s="61">
        <v>270.96204</v>
      </c>
      <c r="H458" s="61">
        <v>-24.37079</v>
      </c>
      <c r="I458" s="60" t="s">
        <v>819</v>
      </c>
      <c r="J458" s="60" t="s">
        <v>169</v>
      </c>
      <c r="K458" s="61">
        <v>6.0</v>
      </c>
      <c r="L458" s="60">
        <v>1.56</v>
      </c>
      <c r="M458" s="60">
        <v>2.0</v>
      </c>
      <c r="N458" s="61">
        <v>1223.24159021406</v>
      </c>
      <c r="O458" s="61">
        <v>4.128</v>
      </c>
      <c r="P458" s="61">
        <v>0.957</v>
      </c>
      <c r="Q458" s="61">
        <v>-1.462</v>
      </c>
      <c r="R458" s="61">
        <v>0.87</v>
      </c>
      <c r="S458" s="60"/>
      <c r="T458" s="60"/>
      <c r="U458" s="58"/>
      <c r="V458" s="5"/>
      <c r="W458" s="5"/>
      <c r="X458" s="5"/>
      <c r="Y458" s="166"/>
      <c r="Z458" s="60">
        <v>18.46</v>
      </c>
      <c r="AA458" s="60">
        <v>0.029</v>
      </c>
      <c r="AB458" s="60">
        <v>15.16</v>
      </c>
      <c r="AC458" s="60"/>
      <c r="AD458" s="60">
        <v>14.241</v>
      </c>
      <c r="AE458" s="60"/>
      <c r="AF458" s="60">
        <v>13.677</v>
      </c>
      <c r="AG458" s="60"/>
      <c r="AH458" s="60">
        <v>17.09</v>
      </c>
      <c r="AI458" s="60">
        <v>0.0711758386</v>
      </c>
      <c r="AJ458" s="76" t="s">
        <v>759</v>
      </c>
      <c r="AK458" s="64" t="s">
        <v>820</v>
      </c>
      <c r="AL458" s="168"/>
      <c r="AM458" s="7"/>
      <c r="AN458" s="77">
        <v>1250.0</v>
      </c>
      <c r="AO458" s="64">
        <v>50.0</v>
      </c>
      <c r="AP458" s="13"/>
      <c r="AQ458" s="13"/>
      <c r="AR458" s="78"/>
      <c r="AS458" s="97"/>
      <c r="AT458" s="67">
        <v>0.4</v>
      </c>
      <c r="AU458" s="70">
        <v>0.12</v>
      </c>
      <c r="AV458" s="13"/>
      <c r="AW458" s="13"/>
      <c r="AX458" s="73"/>
      <c r="AY458" s="73"/>
      <c r="AZ458" s="68" t="s">
        <v>812</v>
      </c>
      <c r="BA458" s="68" t="s">
        <v>821</v>
      </c>
      <c r="BB458" s="68">
        <v>-115.75</v>
      </c>
      <c r="BC458" s="68">
        <v>18.3</v>
      </c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2"/>
      <c r="DK458" s="12"/>
      <c r="DL458" s="12"/>
      <c r="DM458" s="69"/>
      <c r="DN458" s="69"/>
      <c r="DO458" s="69"/>
      <c r="DP458" s="69"/>
      <c r="DQ458" s="11"/>
      <c r="DR458" s="69"/>
      <c r="DS458" s="69"/>
      <c r="DT458" s="69"/>
      <c r="DU458" s="69"/>
      <c r="DV458" s="97"/>
      <c r="DW458" s="98"/>
      <c r="DX458" s="71">
        <v>6.31E-9</v>
      </c>
      <c r="DY458" s="114">
        <v>8.72E-9</v>
      </c>
      <c r="DZ458" s="64" t="s">
        <v>762</v>
      </c>
      <c r="EA458" s="72" t="s">
        <v>822</v>
      </c>
      <c r="EB458" s="82"/>
    </row>
    <row r="459">
      <c r="A459" s="167" t="s">
        <v>1074</v>
      </c>
      <c r="B459" s="56" t="s">
        <v>1075</v>
      </c>
      <c r="C459" s="3"/>
      <c r="D459" s="4"/>
      <c r="E459" s="4"/>
      <c r="F459" s="57" t="s">
        <v>168</v>
      </c>
      <c r="G459" s="61">
        <v>271.09283</v>
      </c>
      <c r="H459" s="61">
        <v>-24.32276</v>
      </c>
      <c r="I459" s="60" t="s">
        <v>819</v>
      </c>
      <c r="J459" s="60" t="s">
        <v>169</v>
      </c>
      <c r="K459" s="61">
        <v>6.3</v>
      </c>
      <c r="L459" s="60">
        <v>1.24</v>
      </c>
      <c r="M459" s="60">
        <v>2.0</v>
      </c>
      <c r="N459" s="61">
        <v>1138.30392714854</v>
      </c>
      <c r="O459" s="61">
        <v>1.418</v>
      </c>
      <c r="P459" s="61">
        <v>0.578</v>
      </c>
      <c r="Q459" s="61">
        <v>-1.755</v>
      </c>
      <c r="R459" s="61">
        <v>0.499</v>
      </c>
      <c r="S459" s="60"/>
      <c r="T459" s="60"/>
      <c r="U459" s="58"/>
      <c r="V459" s="5"/>
      <c r="W459" s="5"/>
      <c r="X459" s="5"/>
      <c r="Y459" s="166"/>
      <c r="Z459" s="60">
        <v>18.38</v>
      </c>
      <c r="AA459" s="60">
        <v>0.023</v>
      </c>
      <c r="AB459" s="60">
        <v>15.423</v>
      </c>
      <c r="AC459" s="60">
        <v>0.069</v>
      </c>
      <c r="AD459" s="60">
        <v>14.628</v>
      </c>
      <c r="AE459" s="60"/>
      <c r="AF459" s="60">
        <v>13.948</v>
      </c>
      <c r="AG459" s="60"/>
      <c r="AH459" s="60">
        <v>16.6</v>
      </c>
      <c r="AI459" s="60">
        <v>0.04356604182</v>
      </c>
      <c r="AJ459" s="76" t="s">
        <v>759</v>
      </c>
      <c r="AK459" s="64" t="s">
        <v>820</v>
      </c>
      <c r="AL459" s="168"/>
      <c r="AM459" s="7"/>
      <c r="AN459" s="77">
        <v>1250.0</v>
      </c>
      <c r="AO459" s="64">
        <v>50.0</v>
      </c>
      <c r="AP459" s="13"/>
      <c r="AQ459" s="13"/>
      <c r="AR459" s="78"/>
      <c r="AS459" s="97"/>
      <c r="AT459" s="67">
        <v>0.4</v>
      </c>
      <c r="AU459" s="70">
        <v>0.09</v>
      </c>
      <c r="AV459" s="13"/>
      <c r="AW459" s="13"/>
      <c r="AX459" s="73"/>
      <c r="AY459" s="73"/>
      <c r="AZ459" s="68" t="s">
        <v>812</v>
      </c>
      <c r="BA459" s="68" t="s">
        <v>821</v>
      </c>
      <c r="BB459" s="68">
        <v>-233.98</v>
      </c>
      <c r="BC459" s="68">
        <v>43.7</v>
      </c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2"/>
      <c r="DK459" s="12"/>
      <c r="DL459" s="12"/>
      <c r="DM459" s="69"/>
      <c r="DN459" s="69"/>
      <c r="DO459" s="69"/>
      <c r="DP459" s="69"/>
      <c r="DQ459" s="11"/>
      <c r="DR459" s="69"/>
      <c r="DS459" s="69"/>
      <c r="DT459" s="69"/>
      <c r="DU459" s="69"/>
      <c r="DV459" s="97"/>
      <c r="DW459" s="98"/>
      <c r="DX459" s="71">
        <v>1.26E-8</v>
      </c>
      <c r="DY459" s="114">
        <v>1.74E-8</v>
      </c>
      <c r="DZ459" s="64" t="s">
        <v>762</v>
      </c>
      <c r="EA459" s="72" t="s">
        <v>822</v>
      </c>
      <c r="EB459" s="82"/>
    </row>
    <row r="460">
      <c r="A460" s="167" t="s">
        <v>1076</v>
      </c>
      <c r="B460" s="56" t="s">
        <v>1077</v>
      </c>
      <c r="C460" s="3"/>
      <c r="D460" s="4"/>
      <c r="E460" s="4"/>
      <c r="F460" s="57" t="s">
        <v>168</v>
      </c>
      <c r="G460" s="61">
        <v>271.31088</v>
      </c>
      <c r="H460" s="61">
        <v>-24.52147</v>
      </c>
      <c r="I460" s="60" t="s">
        <v>819</v>
      </c>
      <c r="J460" s="60" t="s">
        <v>169</v>
      </c>
      <c r="K460" s="61">
        <v>6.5</v>
      </c>
      <c r="L460" s="60">
        <v>1.02</v>
      </c>
      <c r="M460" s="60">
        <v>2.0</v>
      </c>
      <c r="N460" s="61">
        <v>1266.46403242147</v>
      </c>
      <c r="O460" s="61">
        <v>3.623</v>
      </c>
      <c r="P460" s="61">
        <v>0.534</v>
      </c>
      <c r="Q460" s="61">
        <v>-8.481</v>
      </c>
      <c r="R460" s="61">
        <v>0.447</v>
      </c>
      <c r="S460" s="60"/>
      <c r="T460" s="60"/>
      <c r="U460" s="58"/>
      <c r="V460" s="5"/>
      <c r="W460" s="5"/>
      <c r="X460" s="5"/>
      <c r="Y460" s="166"/>
      <c r="Z460" s="60">
        <v>18.62</v>
      </c>
      <c r="AA460" s="60">
        <v>0.017</v>
      </c>
      <c r="AB460" s="60"/>
      <c r="AC460" s="60"/>
      <c r="AD460" s="60"/>
      <c r="AE460" s="60"/>
      <c r="AF460" s="60"/>
      <c r="AG460" s="60"/>
      <c r="AH460" s="60">
        <v>17.84</v>
      </c>
      <c r="AI460" s="60">
        <v>0.03891015292</v>
      </c>
      <c r="AJ460" s="76" t="s">
        <v>759</v>
      </c>
      <c r="AK460" s="64" t="s">
        <v>820</v>
      </c>
      <c r="AL460" s="168"/>
      <c r="AM460" s="7"/>
      <c r="AN460" s="77">
        <v>1250.0</v>
      </c>
      <c r="AO460" s="64">
        <v>50.0</v>
      </c>
      <c r="AP460" s="13"/>
      <c r="AQ460" s="13"/>
      <c r="AR460" s="78"/>
      <c r="AS460" s="97"/>
      <c r="AT460" s="67">
        <v>0.4</v>
      </c>
      <c r="AU460" s="70">
        <v>0.07</v>
      </c>
      <c r="AV460" s="13"/>
      <c r="AW460" s="13"/>
      <c r="AX460" s="73"/>
      <c r="AY460" s="73"/>
      <c r="AZ460" s="68" t="s">
        <v>812</v>
      </c>
      <c r="BA460" s="68" t="s">
        <v>821</v>
      </c>
      <c r="BB460" s="68">
        <v>-30.45</v>
      </c>
      <c r="BC460" s="68">
        <v>3.4</v>
      </c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2"/>
      <c r="DK460" s="12"/>
      <c r="DL460" s="12"/>
      <c r="DM460" s="69"/>
      <c r="DN460" s="69"/>
      <c r="DO460" s="69"/>
      <c r="DP460" s="69"/>
      <c r="DQ460" s="11"/>
      <c r="DR460" s="69"/>
      <c r="DS460" s="69"/>
      <c r="DT460" s="69"/>
      <c r="DU460" s="69"/>
      <c r="DV460" s="97"/>
      <c r="DW460" s="98"/>
      <c r="DX460" s="71">
        <v>7.94E-10</v>
      </c>
      <c r="DY460" s="114">
        <v>1.1E-9</v>
      </c>
      <c r="DZ460" s="64" t="s">
        <v>762</v>
      </c>
      <c r="EA460" s="72" t="s">
        <v>822</v>
      </c>
      <c r="EB460" s="82"/>
    </row>
    <row r="461">
      <c r="A461" s="167" t="s">
        <v>1078</v>
      </c>
      <c r="B461" s="56" t="s">
        <v>1079</v>
      </c>
      <c r="C461" s="3"/>
      <c r="D461" s="4"/>
      <c r="E461" s="4"/>
      <c r="F461" s="57" t="s">
        <v>168</v>
      </c>
      <c r="G461" s="61">
        <v>270.73352</v>
      </c>
      <c r="H461" s="61">
        <v>-24.31747</v>
      </c>
      <c r="I461" s="60" t="s">
        <v>819</v>
      </c>
      <c r="J461" s="60" t="s">
        <v>169</v>
      </c>
      <c r="K461" s="61">
        <v>6.9</v>
      </c>
      <c r="L461" s="60">
        <v>2.6</v>
      </c>
      <c r="M461" s="5"/>
      <c r="N461" s="61"/>
      <c r="O461" s="61"/>
      <c r="P461" s="61"/>
      <c r="Q461" s="61"/>
      <c r="R461" s="61"/>
      <c r="S461" s="60"/>
      <c r="T461" s="60"/>
      <c r="U461" s="58"/>
      <c r="V461" s="5"/>
      <c r="W461" s="5"/>
      <c r="X461" s="5"/>
      <c r="Y461" s="166"/>
      <c r="Z461" s="60">
        <v>19.68</v>
      </c>
      <c r="AA461" s="60">
        <v>0.046</v>
      </c>
      <c r="AB461" s="60"/>
      <c r="AC461" s="60"/>
      <c r="AD461" s="60"/>
      <c r="AE461" s="60"/>
      <c r="AF461" s="60"/>
      <c r="AG461" s="60"/>
      <c r="AH461" s="60">
        <v>18.24</v>
      </c>
      <c r="AI461" s="60">
        <v>0.08798295289</v>
      </c>
      <c r="AJ461" s="76" t="s">
        <v>759</v>
      </c>
      <c r="AK461" s="64" t="s">
        <v>820</v>
      </c>
      <c r="AL461" s="168"/>
      <c r="AM461" s="7"/>
      <c r="AN461" s="77">
        <v>1250.0</v>
      </c>
      <c r="AO461" s="64">
        <v>50.0</v>
      </c>
      <c r="AP461" s="13"/>
      <c r="AQ461" s="13"/>
      <c r="AR461" s="78"/>
      <c r="AS461" s="97"/>
      <c r="AT461" s="67">
        <v>0.4</v>
      </c>
      <c r="AU461" s="70">
        <v>0.2</v>
      </c>
      <c r="AV461" s="13"/>
      <c r="AW461" s="13"/>
      <c r="AX461" s="73"/>
      <c r="AY461" s="73"/>
      <c r="AZ461" s="68" t="s">
        <v>812</v>
      </c>
      <c r="BA461" s="68" t="s">
        <v>821</v>
      </c>
      <c r="BB461" s="68">
        <v>-143.19</v>
      </c>
      <c r="BC461" s="68">
        <v>22.4</v>
      </c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2"/>
      <c r="DK461" s="12"/>
      <c r="DL461" s="12"/>
      <c r="DM461" s="69"/>
      <c r="DN461" s="69"/>
      <c r="DO461" s="69"/>
      <c r="DP461" s="69"/>
      <c r="DQ461" s="11"/>
      <c r="DR461" s="69"/>
      <c r="DS461" s="69"/>
      <c r="DT461" s="69"/>
      <c r="DU461" s="69"/>
      <c r="DV461" s="97"/>
      <c r="DW461" s="98"/>
      <c r="DX461" s="71">
        <v>1.0E-9</v>
      </c>
      <c r="DY461" s="114">
        <v>1.38E-9</v>
      </c>
      <c r="DZ461" s="64" t="s">
        <v>762</v>
      </c>
      <c r="EA461" s="72" t="s">
        <v>822</v>
      </c>
      <c r="EB461" s="82"/>
    </row>
    <row r="462">
      <c r="A462" s="167" t="s">
        <v>1080</v>
      </c>
      <c r="B462" s="56" t="s">
        <v>1081</v>
      </c>
      <c r="C462" s="3"/>
      <c r="D462" s="4"/>
      <c r="E462" s="4"/>
      <c r="F462" s="57" t="s">
        <v>168</v>
      </c>
      <c r="G462" s="61">
        <v>271.20056</v>
      </c>
      <c r="H462" s="61">
        <v>-24.13695</v>
      </c>
      <c r="I462" s="60" t="s">
        <v>819</v>
      </c>
      <c r="J462" s="60" t="s">
        <v>169</v>
      </c>
      <c r="K462" s="61">
        <v>6.6</v>
      </c>
      <c r="L462" s="60">
        <v>1.79</v>
      </c>
      <c r="M462" s="5"/>
      <c r="N462" s="61"/>
      <c r="O462" s="61"/>
      <c r="P462" s="61"/>
      <c r="Q462" s="61"/>
      <c r="R462" s="61"/>
      <c r="S462" s="60"/>
      <c r="T462" s="60"/>
      <c r="U462" s="58"/>
      <c r="V462" s="5"/>
      <c r="W462" s="5"/>
      <c r="X462" s="5"/>
      <c r="Y462" s="166"/>
      <c r="Z462" s="60">
        <v>19.26</v>
      </c>
      <c r="AA462" s="60">
        <v>0.032</v>
      </c>
      <c r="AB462" s="60"/>
      <c r="AC462" s="60"/>
      <c r="AD462" s="60"/>
      <c r="AE462" s="60"/>
      <c r="AF462" s="60"/>
      <c r="AG462" s="60"/>
      <c r="AH462" s="60">
        <v>18.15</v>
      </c>
      <c r="AI462" s="60">
        <v>0.06276941931</v>
      </c>
      <c r="AJ462" s="76" t="s">
        <v>759</v>
      </c>
      <c r="AK462" s="64" t="s">
        <v>820</v>
      </c>
      <c r="AL462" s="168"/>
      <c r="AM462" s="7"/>
      <c r="AN462" s="77">
        <v>1250.0</v>
      </c>
      <c r="AO462" s="64">
        <v>50.0</v>
      </c>
      <c r="AP462" s="13"/>
      <c r="AQ462" s="13"/>
      <c r="AR462" s="78"/>
      <c r="AS462" s="97"/>
      <c r="AT462" s="67">
        <v>0.4</v>
      </c>
      <c r="AU462" s="70">
        <v>0.14</v>
      </c>
      <c r="AV462" s="13"/>
      <c r="AW462" s="13"/>
      <c r="AX462" s="73"/>
      <c r="AY462" s="73"/>
      <c r="AZ462" s="68" t="s">
        <v>812</v>
      </c>
      <c r="BA462" s="68" t="s">
        <v>821</v>
      </c>
      <c r="BB462" s="68">
        <v>-72.38</v>
      </c>
      <c r="BC462" s="68">
        <v>10.1</v>
      </c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2"/>
      <c r="DK462" s="12"/>
      <c r="DL462" s="12"/>
      <c r="DM462" s="69"/>
      <c r="DN462" s="69"/>
      <c r="DO462" s="69"/>
      <c r="DP462" s="69"/>
      <c r="DQ462" s="11"/>
      <c r="DR462" s="69"/>
      <c r="DS462" s="69"/>
      <c r="DT462" s="69"/>
      <c r="DU462" s="69"/>
      <c r="DV462" s="97"/>
      <c r="DW462" s="98"/>
      <c r="DX462" s="71">
        <v>1.0E-9</v>
      </c>
      <c r="DY462" s="114">
        <v>1.38E-9</v>
      </c>
      <c r="DZ462" s="64" t="s">
        <v>762</v>
      </c>
      <c r="EA462" s="72" t="s">
        <v>822</v>
      </c>
      <c r="EB462" s="82"/>
    </row>
    <row r="463">
      <c r="A463" s="167" t="s">
        <v>1082</v>
      </c>
      <c r="B463" s="56" t="s">
        <v>1083</v>
      </c>
      <c r="C463" s="3"/>
      <c r="D463" s="4"/>
      <c r="E463" s="4"/>
      <c r="F463" s="57" t="s">
        <v>168</v>
      </c>
      <c r="G463" s="61">
        <v>270.73022</v>
      </c>
      <c r="H463" s="61">
        <v>-24.23524</v>
      </c>
      <c r="I463" s="60" t="s">
        <v>819</v>
      </c>
      <c r="J463" s="60" t="s">
        <v>169</v>
      </c>
      <c r="K463" s="61">
        <v>6.0</v>
      </c>
      <c r="L463" s="60">
        <v>1.15</v>
      </c>
      <c r="M463" s="60">
        <v>2.0</v>
      </c>
      <c r="N463" s="61">
        <v>2469.74561620153</v>
      </c>
      <c r="O463" s="61">
        <v>-3.17</v>
      </c>
      <c r="P463" s="61">
        <v>0.529</v>
      </c>
      <c r="Q463" s="61">
        <v>-4.671</v>
      </c>
      <c r="R463" s="61">
        <v>0.408</v>
      </c>
      <c r="S463" s="60"/>
      <c r="T463" s="60"/>
      <c r="U463" s="58"/>
      <c r="V463" s="5"/>
      <c r="W463" s="5"/>
      <c r="X463" s="5"/>
      <c r="Y463" s="166"/>
      <c r="Z463" s="60">
        <v>18.76</v>
      </c>
      <c r="AA463" s="60">
        <v>0.021</v>
      </c>
      <c r="AB463" s="60"/>
      <c r="AC463" s="60"/>
      <c r="AD463" s="60"/>
      <c r="AE463" s="60"/>
      <c r="AF463" s="60"/>
      <c r="AG463" s="60"/>
      <c r="AH463" s="60">
        <v>17.86</v>
      </c>
      <c r="AI463" s="60">
        <v>0.07116881339</v>
      </c>
      <c r="AJ463" s="76" t="s">
        <v>759</v>
      </c>
      <c r="AK463" s="64" t="s">
        <v>820</v>
      </c>
      <c r="AL463" s="168"/>
      <c r="AM463" s="7"/>
      <c r="AN463" s="77">
        <v>1250.0</v>
      </c>
      <c r="AO463" s="64">
        <v>50.0</v>
      </c>
      <c r="AP463" s="13"/>
      <c r="AQ463" s="13"/>
      <c r="AR463" s="78"/>
      <c r="AS463" s="97"/>
      <c r="AT463" s="67">
        <v>0.4</v>
      </c>
      <c r="AU463" s="70">
        <v>0.09</v>
      </c>
      <c r="AV463" s="13"/>
      <c r="AW463" s="13"/>
      <c r="AX463" s="73"/>
      <c r="AY463" s="73"/>
      <c r="AZ463" s="68" t="s">
        <v>812</v>
      </c>
      <c r="BA463" s="68" t="s">
        <v>821</v>
      </c>
      <c r="BB463" s="68">
        <v>-34.3</v>
      </c>
      <c r="BC463" s="68">
        <v>2.37</v>
      </c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2"/>
      <c r="DK463" s="12"/>
      <c r="DL463" s="12"/>
      <c r="DM463" s="69"/>
      <c r="DN463" s="69"/>
      <c r="DO463" s="69"/>
      <c r="DP463" s="69"/>
      <c r="DQ463" s="11"/>
      <c r="DR463" s="69"/>
      <c r="DS463" s="69"/>
      <c r="DT463" s="69"/>
      <c r="DU463" s="69"/>
      <c r="DV463" s="97"/>
      <c r="DW463" s="98"/>
      <c r="DX463" s="71">
        <v>1.26E-9</v>
      </c>
      <c r="DY463" s="114">
        <v>1.74E-9</v>
      </c>
      <c r="DZ463" s="64" t="s">
        <v>762</v>
      </c>
      <c r="EA463" s="72" t="s">
        <v>822</v>
      </c>
      <c r="EB463" s="82"/>
    </row>
    <row r="464">
      <c r="A464" s="167" t="s">
        <v>1084</v>
      </c>
      <c r="B464" s="56" t="s">
        <v>1085</v>
      </c>
      <c r="C464" s="3"/>
      <c r="D464" s="4"/>
      <c r="E464" s="4"/>
      <c r="F464" s="57" t="s">
        <v>168</v>
      </c>
      <c r="G464" s="61">
        <v>270.97137</v>
      </c>
      <c r="H464" s="61">
        <v>-24.2143</v>
      </c>
      <c r="I464" s="60" t="s">
        <v>819</v>
      </c>
      <c r="J464" s="60" t="s">
        <v>169</v>
      </c>
      <c r="K464" s="61">
        <v>6.7</v>
      </c>
      <c r="L464" s="60">
        <v>2.79</v>
      </c>
      <c r="M464" s="5"/>
      <c r="N464" s="61"/>
      <c r="O464" s="61">
        <v>5.905</v>
      </c>
      <c r="P464" s="61">
        <v>1.723</v>
      </c>
      <c r="Q464" s="61">
        <v>-1.575</v>
      </c>
      <c r="R464" s="61">
        <v>1.63</v>
      </c>
      <c r="S464" s="60"/>
      <c r="T464" s="60"/>
      <c r="U464" s="58"/>
      <c r="V464" s="5"/>
      <c r="W464" s="5"/>
      <c r="X464" s="5"/>
      <c r="Y464" s="166"/>
      <c r="Z464" s="60">
        <v>19.69</v>
      </c>
      <c r="AA464" s="60">
        <v>0.051</v>
      </c>
      <c r="AB464" s="60"/>
      <c r="AC464" s="60"/>
      <c r="AD464" s="60"/>
      <c r="AE464" s="60"/>
      <c r="AF464" s="60"/>
      <c r="AG464" s="60"/>
      <c r="AH464" s="60">
        <v>18.26</v>
      </c>
      <c r="AI464" s="60">
        <v>0.1017103731</v>
      </c>
      <c r="AJ464" s="76" t="s">
        <v>759</v>
      </c>
      <c r="AK464" s="64" t="s">
        <v>820</v>
      </c>
      <c r="AL464" s="168"/>
      <c r="AM464" s="7"/>
      <c r="AN464" s="77">
        <v>1250.0</v>
      </c>
      <c r="AO464" s="64">
        <v>50.0</v>
      </c>
      <c r="AP464" s="13"/>
      <c r="AQ464" s="13"/>
      <c r="AR464" s="78"/>
      <c r="AS464" s="97"/>
      <c r="AT464" s="67">
        <v>0.4</v>
      </c>
      <c r="AU464" s="70">
        <v>0.22</v>
      </c>
      <c r="AV464" s="13"/>
      <c r="AW464" s="13"/>
      <c r="AX464" s="73"/>
      <c r="AY464" s="73"/>
      <c r="AZ464" s="68" t="s">
        <v>812</v>
      </c>
      <c r="BA464" s="68" t="s">
        <v>821</v>
      </c>
      <c r="BB464" s="68">
        <v>-135.37</v>
      </c>
      <c r="BC464" s="68">
        <v>20.1</v>
      </c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2"/>
      <c r="DK464" s="12"/>
      <c r="DL464" s="12"/>
      <c r="DM464" s="69"/>
      <c r="DN464" s="69"/>
      <c r="DO464" s="69"/>
      <c r="DP464" s="69"/>
      <c r="DQ464" s="11"/>
      <c r="DR464" s="69"/>
      <c r="DS464" s="69"/>
      <c r="DT464" s="69"/>
      <c r="DU464" s="69"/>
      <c r="DV464" s="97"/>
      <c r="DW464" s="98"/>
      <c r="DX464" s="71">
        <v>1.26E-9</v>
      </c>
      <c r="DY464" s="114">
        <v>1.74E-9</v>
      </c>
      <c r="DZ464" s="64" t="s">
        <v>762</v>
      </c>
      <c r="EA464" s="72" t="s">
        <v>822</v>
      </c>
      <c r="EB464" s="82"/>
    </row>
    <row r="465">
      <c r="A465" s="167" t="s">
        <v>1086</v>
      </c>
      <c r="B465" s="56" t="s">
        <v>1087</v>
      </c>
      <c r="C465" s="3"/>
      <c r="D465" s="4"/>
      <c r="E465" s="4"/>
      <c r="F465" s="57" t="s">
        <v>168</v>
      </c>
      <c r="G465" s="61">
        <v>271.13132</v>
      </c>
      <c r="H465" s="61">
        <v>-24.07489</v>
      </c>
      <c r="I465" s="60" t="s">
        <v>819</v>
      </c>
      <c r="J465" s="60" t="s">
        <v>169</v>
      </c>
      <c r="K465" s="61">
        <v>6.5</v>
      </c>
      <c r="L465" s="60">
        <v>1.18</v>
      </c>
      <c r="M465" s="60">
        <v>2.0</v>
      </c>
      <c r="N465" s="61">
        <v>1099.5052226498</v>
      </c>
      <c r="O465" s="61">
        <v>-0.834</v>
      </c>
      <c r="P465" s="61">
        <v>0.795</v>
      </c>
      <c r="Q465" s="61">
        <v>-3.537</v>
      </c>
      <c r="R465" s="61">
        <v>0.749</v>
      </c>
      <c r="S465" s="60"/>
      <c r="T465" s="60"/>
      <c r="U465" s="58"/>
      <c r="V465" s="5"/>
      <c r="W465" s="5"/>
      <c r="X465" s="5"/>
      <c r="Y465" s="166"/>
      <c r="Z465" s="60">
        <v>18.75</v>
      </c>
      <c r="AA465" s="60">
        <v>0.02</v>
      </c>
      <c r="AB465" s="60"/>
      <c r="AC465" s="60"/>
      <c r="AD465" s="60"/>
      <c r="AE465" s="60"/>
      <c r="AF465" s="60"/>
      <c r="AG465" s="60"/>
      <c r="AH465" s="60">
        <v>17.81</v>
      </c>
      <c r="AI465" s="60">
        <v>0.04833218389</v>
      </c>
      <c r="AJ465" s="76" t="s">
        <v>759</v>
      </c>
      <c r="AK465" s="64" t="s">
        <v>820</v>
      </c>
      <c r="AL465" s="168"/>
      <c r="AM465" s="7"/>
      <c r="AN465" s="77">
        <v>1250.0</v>
      </c>
      <c r="AO465" s="64">
        <v>50.0</v>
      </c>
      <c r="AP465" s="13"/>
      <c r="AQ465" s="13"/>
      <c r="AR465" s="78"/>
      <c r="AS465" s="97"/>
      <c r="AT465" s="67">
        <v>0.4</v>
      </c>
      <c r="AU465" s="70">
        <v>0.09</v>
      </c>
      <c r="AV465" s="13"/>
      <c r="AW465" s="13"/>
      <c r="AX465" s="73"/>
      <c r="AY465" s="73"/>
      <c r="AZ465" s="68" t="s">
        <v>812</v>
      </c>
      <c r="BA465" s="68" t="s">
        <v>821</v>
      </c>
      <c r="BB465" s="68">
        <v>-49.59</v>
      </c>
      <c r="BC465" s="68">
        <v>6.64</v>
      </c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2"/>
      <c r="DK465" s="12"/>
      <c r="DL465" s="12"/>
      <c r="DM465" s="69"/>
      <c r="DN465" s="69"/>
      <c r="DO465" s="69"/>
      <c r="DP465" s="69"/>
      <c r="DQ465" s="11"/>
      <c r="DR465" s="69"/>
      <c r="DS465" s="69"/>
      <c r="DT465" s="69"/>
      <c r="DU465" s="69"/>
      <c r="DV465" s="97"/>
      <c r="DW465" s="98"/>
      <c r="DX465" s="71">
        <v>1.26E-9</v>
      </c>
      <c r="DY465" s="114">
        <v>1.74E-9</v>
      </c>
      <c r="DZ465" s="64" t="s">
        <v>762</v>
      </c>
      <c r="EA465" s="72" t="s">
        <v>822</v>
      </c>
      <c r="EB465" s="82"/>
    </row>
    <row r="466">
      <c r="A466" s="167" t="s">
        <v>1088</v>
      </c>
      <c r="B466" s="56" t="s">
        <v>1089</v>
      </c>
      <c r="C466" s="3"/>
      <c r="D466" s="4"/>
      <c r="E466" s="4"/>
      <c r="F466" s="57" t="s">
        <v>168</v>
      </c>
      <c r="G466" s="61">
        <v>271.17215</v>
      </c>
      <c r="H466" s="61">
        <v>-24.24106</v>
      </c>
      <c r="I466" s="60" t="s">
        <v>819</v>
      </c>
      <c r="J466" s="60" t="s">
        <v>169</v>
      </c>
      <c r="K466" s="61">
        <v>6.6</v>
      </c>
      <c r="L466" s="60">
        <v>2.1</v>
      </c>
      <c r="M466" s="60">
        <v>2.0</v>
      </c>
      <c r="N466" s="61">
        <v>1201.05693009848</v>
      </c>
      <c r="O466" s="61">
        <v>3.266</v>
      </c>
      <c r="P466" s="61">
        <v>0.695</v>
      </c>
      <c r="Q466" s="61">
        <v>-1.175</v>
      </c>
      <c r="R466" s="61">
        <v>0.53</v>
      </c>
      <c r="S466" s="60"/>
      <c r="T466" s="60"/>
      <c r="U466" s="58"/>
      <c r="V466" s="5"/>
      <c r="W466" s="5"/>
      <c r="X466" s="5"/>
      <c r="Y466" s="166"/>
      <c r="Z466" s="60">
        <v>19.47</v>
      </c>
      <c r="AA466" s="60">
        <v>0.037</v>
      </c>
      <c r="AB466" s="60"/>
      <c r="AC466" s="60"/>
      <c r="AD466" s="60"/>
      <c r="AE466" s="60"/>
      <c r="AF466" s="60"/>
      <c r="AG466" s="60"/>
      <c r="AH466" s="60">
        <v>18.19</v>
      </c>
      <c r="AI466" s="60">
        <v>0.07566372975</v>
      </c>
      <c r="AJ466" s="76" t="s">
        <v>759</v>
      </c>
      <c r="AK466" s="64" t="s">
        <v>820</v>
      </c>
      <c r="AL466" s="168"/>
      <c r="AM466" s="7"/>
      <c r="AN466" s="77">
        <v>1250.0</v>
      </c>
      <c r="AO466" s="64">
        <v>50.0</v>
      </c>
      <c r="AP466" s="13"/>
      <c r="AQ466" s="13"/>
      <c r="AR466" s="78"/>
      <c r="AS466" s="97"/>
      <c r="AT466" s="67">
        <v>0.4</v>
      </c>
      <c r="AU466" s="70">
        <v>0.16</v>
      </c>
      <c r="AV466" s="13"/>
      <c r="AW466" s="13"/>
      <c r="AX466" s="73"/>
      <c r="AY466" s="73"/>
      <c r="AZ466" s="68" t="s">
        <v>812</v>
      </c>
      <c r="BA466" s="68" t="s">
        <v>821</v>
      </c>
      <c r="BB466" s="68">
        <v>-100.49</v>
      </c>
      <c r="BC466" s="68">
        <v>14.8</v>
      </c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2"/>
      <c r="DK466" s="12"/>
      <c r="DL466" s="12"/>
      <c r="DM466" s="69"/>
      <c r="DN466" s="69"/>
      <c r="DO466" s="69"/>
      <c r="DP466" s="69"/>
      <c r="DQ466" s="11"/>
      <c r="DR466" s="69"/>
      <c r="DS466" s="69"/>
      <c r="DT466" s="69"/>
      <c r="DU466" s="69"/>
      <c r="DV466" s="97"/>
      <c r="DW466" s="98"/>
      <c r="DX466" s="71">
        <v>1.26E-9</v>
      </c>
      <c r="DY466" s="114">
        <v>1.74E-9</v>
      </c>
      <c r="DZ466" s="64" t="s">
        <v>762</v>
      </c>
      <c r="EA466" s="72" t="s">
        <v>822</v>
      </c>
      <c r="EB466" s="82"/>
    </row>
    <row r="467">
      <c r="A467" s="167" t="s">
        <v>1090</v>
      </c>
      <c r="B467" s="56" t="s">
        <v>1091</v>
      </c>
      <c r="C467" s="3"/>
      <c r="D467" s="4"/>
      <c r="E467" s="4"/>
      <c r="F467" s="57" t="s">
        <v>168</v>
      </c>
      <c r="G467" s="61">
        <v>271.28543</v>
      </c>
      <c r="H467" s="61">
        <v>-24.08755</v>
      </c>
      <c r="I467" s="60" t="s">
        <v>819</v>
      </c>
      <c r="J467" s="60" t="s">
        <v>169</v>
      </c>
      <c r="K467" s="61">
        <v>5.8</v>
      </c>
      <c r="L467" s="60">
        <v>0.93</v>
      </c>
      <c r="M467" s="60">
        <v>2.0</v>
      </c>
      <c r="N467" s="61">
        <v>2371.35404315864</v>
      </c>
      <c r="O467" s="61">
        <v>0.05</v>
      </c>
      <c r="P467" s="61">
        <v>0.476</v>
      </c>
      <c r="Q467" s="61">
        <v>-1.565</v>
      </c>
      <c r="R467" s="61">
        <v>0.402</v>
      </c>
      <c r="S467" s="60"/>
      <c r="T467" s="60"/>
      <c r="U467" s="58"/>
      <c r="V467" s="5"/>
      <c r="W467" s="5"/>
      <c r="X467" s="5"/>
      <c r="Y467" s="166"/>
      <c r="Z467" s="60">
        <v>18.48</v>
      </c>
      <c r="AA467" s="60">
        <v>0.016</v>
      </c>
      <c r="AB467" s="60"/>
      <c r="AC467" s="60"/>
      <c r="AD467" s="60"/>
      <c r="AE467" s="60"/>
      <c r="AF467" s="60"/>
      <c r="AG467" s="60"/>
      <c r="AH467" s="60">
        <v>17.65</v>
      </c>
      <c r="AI467" s="60">
        <v>0.04308131846</v>
      </c>
      <c r="AJ467" s="76" t="s">
        <v>759</v>
      </c>
      <c r="AK467" s="64" t="s">
        <v>820</v>
      </c>
      <c r="AL467" s="168"/>
      <c r="AM467" s="7"/>
      <c r="AN467" s="77">
        <v>1250.0</v>
      </c>
      <c r="AO467" s="64">
        <v>50.0</v>
      </c>
      <c r="AP467" s="13"/>
      <c r="AQ467" s="13"/>
      <c r="AR467" s="78"/>
      <c r="AS467" s="97"/>
      <c r="AT467" s="67">
        <v>0.4</v>
      </c>
      <c r="AU467" s="70">
        <v>0.07</v>
      </c>
      <c r="AV467" s="13"/>
      <c r="AW467" s="13"/>
      <c r="AX467" s="73"/>
      <c r="AY467" s="73"/>
      <c r="AZ467" s="68" t="s">
        <v>812</v>
      </c>
      <c r="BA467" s="68" t="s">
        <v>821</v>
      </c>
      <c r="BB467" s="68">
        <v>-25.15</v>
      </c>
      <c r="BC467" s="68">
        <v>2.16</v>
      </c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2"/>
      <c r="DK467" s="12"/>
      <c r="DL467" s="12"/>
      <c r="DM467" s="69"/>
      <c r="DN467" s="69"/>
      <c r="DO467" s="69"/>
      <c r="DP467" s="69"/>
      <c r="DQ467" s="11"/>
      <c r="DR467" s="69"/>
      <c r="DS467" s="69"/>
      <c r="DT467" s="69"/>
      <c r="DU467" s="69"/>
      <c r="DV467" s="97"/>
      <c r="DW467" s="98"/>
      <c r="DX467" s="71">
        <v>1.26E-9</v>
      </c>
      <c r="DY467" s="114">
        <v>1.74E-9</v>
      </c>
      <c r="DZ467" s="64" t="s">
        <v>762</v>
      </c>
      <c r="EA467" s="72" t="s">
        <v>822</v>
      </c>
      <c r="EB467" s="82"/>
    </row>
    <row r="468">
      <c r="A468" s="167" t="s">
        <v>1092</v>
      </c>
      <c r="B468" s="56" t="s">
        <v>1093</v>
      </c>
      <c r="C468" s="3"/>
      <c r="D468" s="4"/>
      <c r="E468" s="4"/>
      <c r="F468" s="57" t="s">
        <v>168</v>
      </c>
      <c r="G468" s="61">
        <v>270.65985</v>
      </c>
      <c r="H468" s="61">
        <v>-24.32536</v>
      </c>
      <c r="I468" s="60" t="s">
        <v>819</v>
      </c>
      <c r="J468" s="60" t="s">
        <v>169</v>
      </c>
      <c r="K468" s="61">
        <v>6.2</v>
      </c>
      <c r="L468" s="60">
        <v>0.85</v>
      </c>
      <c r="M468" s="5"/>
      <c r="N468" s="61"/>
      <c r="O468" s="61">
        <v>8.024</v>
      </c>
      <c r="P468" s="61">
        <v>0.804</v>
      </c>
      <c r="Q468" s="61">
        <v>1.251</v>
      </c>
      <c r="R468" s="61">
        <v>0.61</v>
      </c>
      <c r="S468" s="60"/>
      <c r="T468" s="60"/>
      <c r="U468" s="58"/>
      <c r="V468" s="5"/>
      <c r="W468" s="5"/>
      <c r="X468" s="5"/>
      <c r="Y468" s="166"/>
      <c r="Z468" s="60">
        <v>18.52</v>
      </c>
      <c r="AA468" s="60">
        <v>0.014</v>
      </c>
      <c r="AB468" s="60"/>
      <c r="AC468" s="60"/>
      <c r="AD468" s="60"/>
      <c r="AE468" s="60"/>
      <c r="AF468" s="60"/>
      <c r="AG468" s="60"/>
      <c r="AH468" s="60">
        <v>17.64</v>
      </c>
      <c r="AI468" s="60">
        <v>0.03492849839</v>
      </c>
      <c r="AJ468" s="76" t="s">
        <v>759</v>
      </c>
      <c r="AK468" s="64" t="s">
        <v>820</v>
      </c>
      <c r="AL468" s="168"/>
      <c r="AM468" s="7"/>
      <c r="AN468" s="77">
        <v>1250.0</v>
      </c>
      <c r="AO468" s="64">
        <v>50.0</v>
      </c>
      <c r="AP468" s="13"/>
      <c r="AQ468" s="13"/>
      <c r="AR468" s="78"/>
      <c r="AS468" s="97"/>
      <c r="AT468" s="67">
        <v>0.4</v>
      </c>
      <c r="AU468" s="70">
        <v>0.06</v>
      </c>
      <c r="AV468" s="13"/>
      <c r="AW468" s="13"/>
      <c r="AX468" s="73"/>
      <c r="AY468" s="73"/>
      <c r="AZ468" s="68" t="s">
        <v>812</v>
      </c>
      <c r="BA468" s="68" t="s">
        <v>821</v>
      </c>
      <c r="BB468" s="68">
        <v>-36.71</v>
      </c>
      <c r="BC468" s="68">
        <v>4.95</v>
      </c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2"/>
      <c r="DK468" s="12"/>
      <c r="DL468" s="12"/>
      <c r="DM468" s="69"/>
      <c r="DN468" s="69"/>
      <c r="DO468" s="69"/>
      <c r="DP468" s="69"/>
      <c r="DQ468" s="11"/>
      <c r="DR468" s="69"/>
      <c r="DS468" s="69"/>
      <c r="DT468" s="69"/>
      <c r="DU468" s="69"/>
      <c r="DV468" s="97"/>
      <c r="DW468" s="98"/>
      <c r="DX468" s="71">
        <v>1.58E-9</v>
      </c>
      <c r="DY468" s="114">
        <v>2.19E-9</v>
      </c>
      <c r="DZ468" s="64" t="s">
        <v>762</v>
      </c>
      <c r="EA468" s="72" t="s">
        <v>822</v>
      </c>
      <c r="EB468" s="82"/>
    </row>
    <row r="469">
      <c r="A469" s="167" t="s">
        <v>1094</v>
      </c>
      <c r="B469" s="56" t="s">
        <v>1095</v>
      </c>
      <c r="C469" s="3"/>
      <c r="D469" s="4"/>
      <c r="E469" s="4"/>
      <c r="F469" s="57" t="s">
        <v>168</v>
      </c>
      <c r="G469" s="61">
        <v>270.6731</v>
      </c>
      <c r="H469" s="61">
        <v>-24.26974</v>
      </c>
      <c r="I469" s="60" t="s">
        <v>819</v>
      </c>
      <c r="J469" s="60" t="s">
        <v>169</v>
      </c>
      <c r="K469" s="61">
        <v>6.9</v>
      </c>
      <c r="L469" s="60">
        <v>1.96</v>
      </c>
      <c r="M469" s="60">
        <v>2.0</v>
      </c>
      <c r="N469" s="61">
        <v>867.001907404196</v>
      </c>
      <c r="O469" s="61">
        <v>1.172</v>
      </c>
      <c r="P469" s="61">
        <v>1.115</v>
      </c>
      <c r="Q469" s="61">
        <v>-2.334</v>
      </c>
      <c r="R469" s="61">
        <v>1.015</v>
      </c>
      <c r="S469" s="60"/>
      <c r="T469" s="60"/>
      <c r="U469" s="58"/>
      <c r="V469" s="5"/>
      <c r="W469" s="5"/>
      <c r="X469" s="5"/>
      <c r="Y469" s="166"/>
      <c r="Z469" s="60">
        <v>19.31</v>
      </c>
      <c r="AA469" s="60">
        <v>0.034</v>
      </c>
      <c r="AB469" s="60"/>
      <c r="AC469" s="60"/>
      <c r="AD469" s="60"/>
      <c r="AE469" s="60"/>
      <c r="AF469" s="60"/>
      <c r="AG469" s="60"/>
      <c r="AH469" s="60">
        <v>17.81</v>
      </c>
      <c r="AI469" s="60">
        <v>0.06296824597</v>
      </c>
      <c r="AJ469" s="76" t="s">
        <v>759</v>
      </c>
      <c r="AK469" s="64" t="s">
        <v>820</v>
      </c>
      <c r="AL469" s="168"/>
      <c r="AM469" s="7"/>
      <c r="AN469" s="77">
        <v>1250.0</v>
      </c>
      <c r="AO469" s="64">
        <v>50.0</v>
      </c>
      <c r="AP469" s="13"/>
      <c r="AQ469" s="13"/>
      <c r="AR469" s="78"/>
      <c r="AS469" s="97"/>
      <c r="AT469" s="67">
        <v>0.4</v>
      </c>
      <c r="AU469" s="70">
        <v>0.15</v>
      </c>
      <c r="AV469" s="13"/>
      <c r="AW469" s="13"/>
      <c r="AX469" s="73"/>
      <c r="AY469" s="73"/>
      <c r="AZ469" s="68" t="s">
        <v>812</v>
      </c>
      <c r="BA469" s="68" t="s">
        <v>821</v>
      </c>
      <c r="BB469" s="68">
        <v>-168.73</v>
      </c>
      <c r="BC469" s="68">
        <v>29.3</v>
      </c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2"/>
      <c r="DK469" s="12"/>
      <c r="DL469" s="12"/>
      <c r="DM469" s="69"/>
      <c r="DN469" s="69"/>
      <c r="DO469" s="69"/>
      <c r="DP469" s="69"/>
      <c r="DQ469" s="11"/>
      <c r="DR469" s="69"/>
      <c r="DS469" s="69"/>
      <c r="DT469" s="69"/>
      <c r="DU469" s="69"/>
      <c r="DV469" s="97"/>
      <c r="DW469" s="98"/>
      <c r="DX469" s="71">
        <v>1.58E-9</v>
      </c>
      <c r="DY469" s="114">
        <v>2.19E-9</v>
      </c>
      <c r="DZ469" s="64" t="s">
        <v>762</v>
      </c>
      <c r="EA469" s="72" t="s">
        <v>822</v>
      </c>
      <c r="EB469" s="82"/>
    </row>
    <row r="470">
      <c r="A470" s="167" t="s">
        <v>1096</v>
      </c>
      <c r="B470" s="56" t="s">
        <v>1097</v>
      </c>
      <c r="C470" s="3"/>
      <c r="D470" s="4"/>
      <c r="E470" s="4"/>
      <c r="F470" s="57" t="s">
        <v>168</v>
      </c>
      <c r="G470" s="61">
        <v>270.86447</v>
      </c>
      <c r="H470" s="61">
        <v>-24.21744</v>
      </c>
      <c r="I470" s="60" t="s">
        <v>819</v>
      </c>
      <c r="J470" s="60" t="s">
        <v>169</v>
      </c>
      <c r="K470" s="61">
        <v>5.9</v>
      </c>
      <c r="L470" s="60">
        <v>0.78</v>
      </c>
      <c r="M470" s="60">
        <v>2.0</v>
      </c>
      <c r="N470" s="61">
        <v>1838.91136447223</v>
      </c>
      <c r="O470" s="61">
        <v>-0.52</v>
      </c>
      <c r="P470" s="61">
        <v>0.368</v>
      </c>
      <c r="Q470" s="61">
        <v>-4.489</v>
      </c>
      <c r="R470" s="61">
        <v>0.285</v>
      </c>
      <c r="S470" s="60"/>
      <c r="T470" s="60"/>
      <c r="U470" s="58"/>
      <c r="V470" s="5"/>
      <c r="W470" s="5"/>
      <c r="X470" s="5"/>
      <c r="Y470" s="166"/>
      <c r="Z470" s="60">
        <v>18.02</v>
      </c>
      <c r="AA470" s="60">
        <v>0.014</v>
      </c>
      <c r="AB470" s="60"/>
      <c r="AC470" s="60"/>
      <c r="AD470" s="60"/>
      <c r="AE470" s="60"/>
      <c r="AF470" s="60"/>
      <c r="AG470" s="60"/>
      <c r="AH470" s="60">
        <v>17.29</v>
      </c>
      <c r="AI470" s="60">
        <v>0.06942621983</v>
      </c>
      <c r="AJ470" s="76" t="s">
        <v>759</v>
      </c>
      <c r="AK470" s="64" t="s">
        <v>820</v>
      </c>
      <c r="AL470" s="168"/>
      <c r="AM470" s="7"/>
      <c r="AN470" s="77">
        <v>1250.0</v>
      </c>
      <c r="AO470" s="64">
        <v>50.0</v>
      </c>
      <c r="AP470" s="13"/>
      <c r="AQ470" s="13"/>
      <c r="AR470" s="78"/>
      <c r="AS470" s="97"/>
      <c r="AT470" s="67">
        <v>0.4</v>
      </c>
      <c r="AU470" s="70">
        <v>0.06</v>
      </c>
      <c r="AV470" s="13"/>
      <c r="AW470" s="13"/>
      <c r="AX470" s="73"/>
      <c r="AY470" s="73"/>
      <c r="AZ470" s="68" t="s">
        <v>812</v>
      </c>
      <c r="BA470" s="68" t="s">
        <v>821</v>
      </c>
      <c r="BB470" s="68">
        <v>-22.83</v>
      </c>
      <c r="BC470" s="68">
        <v>0.4</v>
      </c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2"/>
      <c r="DK470" s="12"/>
      <c r="DL470" s="12"/>
      <c r="DM470" s="69"/>
      <c r="DN470" s="69"/>
      <c r="DO470" s="69"/>
      <c r="DP470" s="69"/>
      <c r="DQ470" s="11"/>
      <c r="DR470" s="69"/>
      <c r="DS470" s="69"/>
      <c r="DT470" s="69"/>
      <c r="DU470" s="69"/>
      <c r="DV470" s="97"/>
      <c r="DW470" s="98"/>
      <c r="DX470" s="71">
        <v>1.58E-9</v>
      </c>
      <c r="DY470" s="114">
        <v>2.19E-9</v>
      </c>
      <c r="DZ470" s="64" t="s">
        <v>762</v>
      </c>
      <c r="EA470" s="72" t="s">
        <v>822</v>
      </c>
      <c r="EB470" s="82"/>
    </row>
    <row r="471">
      <c r="A471" s="167" t="s">
        <v>1098</v>
      </c>
      <c r="B471" s="56" t="s">
        <v>1099</v>
      </c>
      <c r="C471" s="3"/>
      <c r="D471" s="4"/>
      <c r="E471" s="4"/>
      <c r="F471" s="57" t="s">
        <v>168</v>
      </c>
      <c r="G471" s="61">
        <v>270.96613</v>
      </c>
      <c r="H471" s="61">
        <v>-24.23631</v>
      </c>
      <c r="I471" s="60" t="s">
        <v>819</v>
      </c>
      <c r="J471" s="60" t="s">
        <v>169</v>
      </c>
      <c r="K471" s="61">
        <v>5.9</v>
      </c>
      <c r="L471" s="60">
        <v>1.09</v>
      </c>
      <c r="M471" s="60">
        <v>2.0</v>
      </c>
      <c r="N471" s="61">
        <v>2232.64121455682</v>
      </c>
      <c r="O471" s="61">
        <v>-3.172</v>
      </c>
      <c r="P471" s="61">
        <v>0.426</v>
      </c>
      <c r="Q471" s="61">
        <v>-2.685</v>
      </c>
      <c r="R471" s="61">
        <v>0.353</v>
      </c>
      <c r="S471" s="60"/>
      <c r="T471" s="60"/>
      <c r="U471" s="58"/>
      <c r="V471" s="5"/>
      <c r="W471" s="5"/>
      <c r="X471" s="5"/>
      <c r="Y471" s="166"/>
      <c r="Z471" s="60">
        <v>18.41</v>
      </c>
      <c r="AA471" s="60">
        <v>0.02</v>
      </c>
      <c r="AB471" s="60"/>
      <c r="AC471" s="60"/>
      <c r="AD471" s="60"/>
      <c r="AE471" s="60"/>
      <c r="AF471" s="60"/>
      <c r="AG471" s="60"/>
      <c r="AH471" s="60">
        <v>17.56</v>
      </c>
      <c r="AI471" s="60">
        <v>0.0651459899</v>
      </c>
      <c r="AJ471" s="76" t="s">
        <v>759</v>
      </c>
      <c r="AK471" s="64" t="s">
        <v>820</v>
      </c>
      <c r="AL471" s="168"/>
      <c r="AM471" s="7"/>
      <c r="AN471" s="77">
        <v>1250.0</v>
      </c>
      <c r="AO471" s="64">
        <v>50.0</v>
      </c>
      <c r="AP471" s="13"/>
      <c r="AQ471" s="13"/>
      <c r="AR471" s="78"/>
      <c r="AS471" s="97"/>
      <c r="AT471" s="67">
        <v>0.4</v>
      </c>
      <c r="AU471" s="70">
        <v>0.08</v>
      </c>
      <c r="AV471" s="13"/>
      <c r="AW471" s="13"/>
      <c r="AX471" s="73"/>
      <c r="AY471" s="73"/>
      <c r="AZ471" s="68" t="s">
        <v>812</v>
      </c>
      <c r="BA471" s="68" t="s">
        <v>821</v>
      </c>
      <c r="BB471" s="68">
        <v>-30.34</v>
      </c>
      <c r="BC471" s="68">
        <v>1.92</v>
      </c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2"/>
      <c r="DK471" s="12"/>
      <c r="DL471" s="12"/>
      <c r="DM471" s="69"/>
      <c r="DN471" s="69"/>
      <c r="DO471" s="69"/>
      <c r="DP471" s="69"/>
      <c r="DQ471" s="11"/>
      <c r="DR471" s="69"/>
      <c r="DS471" s="69"/>
      <c r="DT471" s="69"/>
      <c r="DU471" s="69"/>
      <c r="DV471" s="97"/>
      <c r="DW471" s="98"/>
      <c r="DX471" s="71">
        <v>1.58E-9</v>
      </c>
      <c r="DY471" s="114">
        <v>2.19E-9</v>
      </c>
      <c r="DZ471" s="64" t="s">
        <v>762</v>
      </c>
      <c r="EA471" s="72" t="s">
        <v>822</v>
      </c>
      <c r="EB471" s="82"/>
    </row>
    <row r="472">
      <c r="A472" s="167" t="s">
        <v>1100</v>
      </c>
      <c r="B472" s="56" t="s">
        <v>1101</v>
      </c>
      <c r="C472" s="3"/>
      <c r="D472" s="4"/>
      <c r="E472" s="4"/>
      <c r="F472" s="57" t="s">
        <v>168</v>
      </c>
      <c r="G472" s="61">
        <v>270.71762</v>
      </c>
      <c r="H472" s="61">
        <v>-24.19061</v>
      </c>
      <c r="I472" s="60" t="s">
        <v>819</v>
      </c>
      <c r="J472" s="60" t="s">
        <v>169</v>
      </c>
      <c r="K472" s="61">
        <v>6.1</v>
      </c>
      <c r="L472" s="60">
        <v>0.62</v>
      </c>
      <c r="M472" s="60">
        <v>2.0</v>
      </c>
      <c r="N472" s="61">
        <v>1076.54214662504</v>
      </c>
      <c r="O472" s="61">
        <v>1.517</v>
      </c>
      <c r="P472" s="61">
        <v>0.271</v>
      </c>
      <c r="Q472" s="61">
        <v>-1.622</v>
      </c>
      <c r="R472" s="61">
        <v>0.224</v>
      </c>
      <c r="S472" s="60"/>
      <c r="T472" s="60"/>
      <c r="U472" s="58"/>
      <c r="V472" s="5"/>
      <c r="W472" s="5"/>
      <c r="X472" s="5"/>
      <c r="Y472" s="166"/>
      <c r="Z472" s="60">
        <v>18.16</v>
      </c>
      <c r="AA472" s="60">
        <v>0.01</v>
      </c>
      <c r="AB472" s="60"/>
      <c r="AC472" s="60"/>
      <c r="AD472" s="60"/>
      <c r="AE472" s="60"/>
      <c r="AF472" s="60"/>
      <c r="AG472" s="60"/>
      <c r="AH472" s="60">
        <v>17.32</v>
      </c>
      <c r="AI472" s="60">
        <v>0.02507987241</v>
      </c>
      <c r="AJ472" s="76" t="s">
        <v>759</v>
      </c>
      <c r="AK472" s="64" t="s">
        <v>820</v>
      </c>
      <c r="AL472" s="168"/>
      <c r="AM472" s="7"/>
      <c r="AN472" s="77">
        <v>1250.0</v>
      </c>
      <c r="AO472" s="64">
        <v>50.0</v>
      </c>
      <c r="AP472" s="13"/>
      <c r="AQ472" s="13"/>
      <c r="AR472" s="78"/>
      <c r="AS472" s="97"/>
      <c r="AT472" s="67">
        <v>0.4</v>
      </c>
      <c r="AU472" s="70">
        <v>0.04</v>
      </c>
      <c r="AV472" s="13"/>
      <c r="AW472" s="13"/>
      <c r="AX472" s="73"/>
      <c r="AY472" s="73"/>
      <c r="AZ472" s="68" t="s">
        <v>812</v>
      </c>
      <c r="BA472" s="68" t="s">
        <v>821</v>
      </c>
      <c r="BB472" s="68">
        <v>-34.8</v>
      </c>
      <c r="BC472" s="68">
        <v>5.25</v>
      </c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2"/>
      <c r="DK472" s="12"/>
      <c r="DL472" s="12"/>
      <c r="DM472" s="69"/>
      <c r="DN472" s="69"/>
      <c r="DO472" s="69"/>
      <c r="DP472" s="69"/>
      <c r="DQ472" s="11"/>
      <c r="DR472" s="69"/>
      <c r="DS472" s="69"/>
      <c r="DT472" s="69"/>
      <c r="DU472" s="69"/>
      <c r="DV472" s="97"/>
      <c r="DW472" s="98"/>
      <c r="DX472" s="71">
        <v>2.51E-9</v>
      </c>
      <c r="DY472" s="114">
        <v>3.47E-9</v>
      </c>
      <c r="DZ472" s="64" t="s">
        <v>762</v>
      </c>
      <c r="EA472" s="72" t="s">
        <v>822</v>
      </c>
      <c r="EB472" s="82"/>
    </row>
    <row r="473">
      <c r="A473" s="167" t="s">
        <v>1102</v>
      </c>
      <c r="B473" s="56" t="s">
        <v>1103</v>
      </c>
      <c r="C473" s="3"/>
      <c r="D473" s="4"/>
      <c r="E473" s="4"/>
      <c r="F473" s="57" t="s">
        <v>168</v>
      </c>
      <c r="G473" s="61">
        <v>270.90005</v>
      </c>
      <c r="H473" s="61">
        <v>-24.52459</v>
      </c>
      <c r="I473" s="60" t="s">
        <v>819</v>
      </c>
      <c r="J473" s="60" t="s">
        <v>169</v>
      </c>
      <c r="K473" s="61">
        <v>5.7</v>
      </c>
      <c r="L473" s="60">
        <v>0.44</v>
      </c>
      <c r="M473" s="60">
        <v>2.0</v>
      </c>
      <c r="N473" s="61">
        <v>2455.7956777996</v>
      </c>
      <c r="O473" s="61">
        <v>1.658</v>
      </c>
      <c r="P473" s="61">
        <v>0.255</v>
      </c>
      <c r="Q473" s="61">
        <v>0.106</v>
      </c>
      <c r="R473" s="61">
        <v>0.196</v>
      </c>
      <c r="S473" s="60"/>
      <c r="T473" s="60"/>
      <c r="U473" s="58"/>
      <c r="V473" s="5"/>
      <c r="W473" s="5"/>
      <c r="X473" s="5"/>
      <c r="Y473" s="166"/>
      <c r="Z473" s="60">
        <v>17.7</v>
      </c>
      <c r="AA473" s="60">
        <v>0.007</v>
      </c>
      <c r="AB473" s="60"/>
      <c r="AC473" s="60"/>
      <c r="AD473" s="60"/>
      <c r="AE473" s="60"/>
      <c r="AF473" s="60"/>
      <c r="AG473" s="60"/>
      <c r="AH473" s="60">
        <v>16.95</v>
      </c>
      <c r="AI473" s="60">
        <v>0.01655294536</v>
      </c>
      <c r="AJ473" s="76" t="s">
        <v>759</v>
      </c>
      <c r="AK473" s="64" t="s">
        <v>820</v>
      </c>
      <c r="AL473" s="168"/>
      <c r="AM473" s="7"/>
      <c r="AN473" s="77">
        <v>1250.0</v>
      </c>
      <c r="AO473" s="64">
        <v>50.0</v>
      </c>
      <c r="AP473" s="13"/>
      <c r="AQ473" s="13"/>
      <c r="AR473" s="78"/>
      <c r="AS473" s="97"/>
      <c r="AT473" s="67">
        <v>0.4</v>
      </c>
      <c r="AU473" s="70">
        <v>0.03</v>
      </c>
      <c r="AV473" s="13"/>
      <c r="AW473" s="13"/>
      <c r="AX473" s="73"/>
      <c r="AY473" s="73"/>
      <c r="AZ473" s="68" t="s">
        <v>812</v>
      </c>
      <c r="BA473" s="68" t="s">
        <v>821</v>
      </c>
      <c r="BB473" s="68">
        <v>-28.81</v>
      </c>
      <c r="BC473" s="68">
        <v>4.61</v>
      </c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2"/>
      <c r="DK473" s="12"/>
      <c r="DL473" s="12"/>
      <c r="DM473" s="69"/>
      <c r="DN473" s="69"/>
      <c r="DO473" s="69"/>
      <c r="DP473" s="69"/>
      <c r="DQ473" s="11"/>
      <c r="DR473" s="69"/>
      <c r="DS473" s="69"/>
      <c r="DT473" s="69"/>
      <c r="DU473" s="69"/>
      <c r="DV473" s="97"/>
      <c r="DW473" s="98"/>
      <c r="DX473" s="71">
        <v>2.51E-9</v>
      </c>
      <c r="DY473" s="114">
        <v>3.47E-9</v>
      </c>
      <c r="DZ473" s="64" t="s">
        <v>762</v>
      </c>
      <c r="EA473" s="72" t="s">
        <v>822</v>
      </c>
      <c r="EB473" s="82"/>
    </row>
    <row r="474">
      <c r="A474" s="167" t="s">
        <v>1104</v>
      </c>
      <c r="B474" s="56" t="s">
        <v>1105</v>
      </c>
      <c r="C474" s="3"/>
      <c r="D474" s="4"/>
      <c r="E474" s="4"/>
      <c r="F474" s="57" t="s">
        <v>168</v>
      </c>
      <c r="G474" s="61">
        <v>271.00043</v>
      </c>
      <c r="H474" s="61">
        <v>-24.555</v>
      </c>
      <c r="I474" s="60" t="s">
        <v>819</v>
      </c>
      <c r="J474" s="60" t="s">
        <v>169</v>
      </c>
      <c r="K474" s="61">
        <v>6.1</v>
      </c>
      <c r="L474" s="60">
        <v>0.59</v>
      </c>
      <c r="M474" s="5"/>
      <c r="N474" s="61"/>
      <c r="O474" s="61"/>
      <c r="P474" s="61"/>
      <c r="Q474" s="61"/>
      <c r="R474" s="61"/>
      <c r="S474" s="60"/>
      <c r="T474" s="60"/>
      <c r="U474" s="58"/>
      <c r="V474" s="5"/>
      <c r="W474" s="5"/>
      <c r="X474" s="5"/>
      <c r="Y474" s="166"/>
      <c r="Z474" s="60">
        <v>18.02</v>
      </c>
      <c r="AA474" s="60">
        <v>0.01</v>
      </c>
      <c r="AB474" s="60"/>
      <c r="AC474" s="60"/>
      <c r="AD474" s="60"/>
      <c r="AE474" s="60"/>
      <c r="AF474" s="60"/>
      <c r="AG474" s="60"/>
      <c r="AH474" s="60">
        <v>17.2</v>
      </c>
      <c r="AI474" s="60">
        <v>0.0232594067</v>
      </c>
      <c r="AJ474" s="76" t="s">
        <v>759</v>
      </c>
      <c r="AK474" s="64" t="s">
        <v>820</v>
      </c>
      <c r="AL474" s="168"/>
      <c r="AM474" s="7"/>
      <c r="AN474" s="77">
        <v>1250.0</v>
      </c>
      <c r="AO474" s="64">
        <v>50.0</v>
      </c>
      <c r="AP474" s="13"/>
      <c r="AQ474" s="13"/>
      <c r="AR474" s="78"/>
      <c r="AS474" s="97"/>
      <c r="AT474" s="67">
        <v>0.4</v>
      </c>
      <c r="AU474" s="70">
        <v>0.04</v>
      </c>
      <c r="AV474" s="13"/>
      <c r="AW474" s="13"/>
      <c r="AX474" s="73"/>
      <c r="AY474" s="73"/>
      <c r="AZ474" s="68" t="s">
        <v>812</v>
      </c>
      <c r="BA474" s="68" t="s">
        <v>821</v>
      </c>
      <c r="BB474" s="68">
        <v>-37.12</v>
      </c>
      <c r="BC474" s="68">
        <v>5.85</v>
      </c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2"/>
      <c r="DK474" s="12"/>
      <c r="DL474" s="12"/>
      <c r="DM474" s="69"/>
      <c r="DN474" s="69"/>
      <c r="DO474" s="69"/>
      <c r="DP474" s="69"/>
      <c r="DQ474" s="11"/>
      <c r="DR474" s="69"/>
      <c r="DS474" s="69"/>
      <c r="DT474" s="69"/>
      <c r="DU474" s="69"/>
      <c r="DV474" s="97"/>
      <c r="DW474" s="98"/>
      <c r="DX474" s="71">
        <v>2.51E-9</v>
      </c>
      <c r="DY474" s="114">
        <v>3.47E-9</v>
      </c>
      <c r="DZ474" s="64" t="s">
        <v>762</v>
      </c>
      <c r="EA474" s="72" t="s">
        <v>822</v>
      </c>
      <c r="EB474" s="82"/>
    </row>
    <row r="475">
      <c r="A475" s="167" t="s">
        <v>1106</v>
      </c>
      <c r="B475" s="56" t="s">
        <v>1107</v>
      </c>
      <c r="C475" s="3"/>
      <c r="D475" s="4"/>
      <c r="E475" s="4"/>
      <c r="F475" s="57" t="s">
        <v>168</v>
      </c>
      <c r="G475" s="61">
        <v>271.28394</v>
      </c>
      <c r="H475" s="61">
        <v>-24.3303</v>
      </c>
      <c r="I475" s="60" t="s">
        <v>819</v>
      </c>
      <c r="J475" s="60" t="s">
        <v>169</v>
      </c>
      <c r="K475" s="61">
        <v>5.6</v>
      </c>
      <c r="L475" s="60">
        <v>0.75</v>
      </c>
      <c r="M475" s="60">
        <v>2.0</v>
      </c>
      <c r="N475" s="61">
        <v>1072.04116638078</v>
      </c>
      <c r="O475" s="61">
        <v>2.533</v>
      </c>
      <c r="P475" s="61">
        <v>0.371</v>
      </c>
      <c r="Q475" s="61">
        <v>-1.181</v>
      </c>
      <c r="R475" s="61">
        <v>0.303</v>
      </c>
      <c r="S475" s="60"/>
      <c r="T475" s="60"/>
      <c r="U475" s="58"/>
      <c r="V475" s="5"/>
      <c r="W475" s="5"/>
      <c r="X475" s="5"/>
      <c r="Y475" s="166"/>
      <c r="Z475" s="60">
        <v>18.12</v>
      </c>
      <c r="AA475" s="60">
        <v>0.013</v>
      </c>
      <c r="AB475" s="60"/>
      <c r="AC475" s="60"/>
      <c r="AD475" s="60"/>
      <c r="AE475" s="60"/>
      <c r="AF475" s="60"/>
      <c r="AG475" s="60"/>
      <c r="AH475" s="60">
        <v>17.29</v>
      </c>
      <c r="AI475" s="60">
        <v>0.03640054945</v>
      </c>
      <c r="AJ475" s="76" t="s">
        <v>759</v>
      </c>
      <c r="AK475" s="64" t="s">
        <v>820</v>
      </c>
      <c r="AL475" s="168"/>
      <c r="AM475" s="7"/>
      <c r="AN475" s="77">
        <v>1250.0</v>
      </c>
      <c r="AO475" s="64">
        <v>50.0</v>
      </c>
      <c r="AP475" s="13"/>
      <c r="AQ475" s="13"/>
      <c r="AR475" s="78"/>
      <c r="AS475" s="97"/>
      <c r="AT475" s="67">
        <v>0.4</v>
      </c>
      <c r="AU475" s="70">
        <v>0.05</v>
      </c>
      <c r="AV475" s="13"/>
      <c r="AW475" s="13"/>
      <c r="AX475" s="73"/>
      <c r="AY475" s="73"/>
      <c r="AZ475" s="68" t="s">
        <v>812</v>
      </c>
      <c r="BA475" s="68" t="s">
        <v>821</v>
      </c>
      <c r="BB475" s="68">
        <v>-27.62</v>
      </c>
      <c r="BC475" s="68">
        <v>3.11</v>
      </c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2"/>
      <c r="DK475" s="12"/>
      <c r="DL475" s="12"/>
      <c r="DM475" s="69"/>
      <c r="DN475" s="69"/>
      <c r="DO475" s="69"/>
      <c r="DP475" s="69"/>
      <c r="DQ475" s="11"/>
      <c r="DR475" s="69"/>
      <c r="DS475" s="69"/>
      <c r="DT475" s="69"/>
      <c r="DU475" s="69"/>
      <c r="DV475" s="97"/>
      <c r="DW475" s="98"/>
      <c r="DX475" s="71">
        <v>2.51E-9</v>
      </c>
      <c r="DY475" s="114">
        <v>3.47E-9</v>
      </c>
      <c r="DZ475" s="64" t="s">
        <v>762</v>
      </c>
      <c r="EA475" s="72" t="s">
        <v>822</v>
      </c>
      <c r="EB475" s="82"/>
    </row>
    <row r="476">
      <c r="A476" s="167" t="s">
        <v>1108</v>
      </c>
      <c r="B476" s="56" t="s">
        <v>1109</v>
      </c>
      <c r="C476" s="3"/>
      <c r="D476" s="4"/>
      <c r="E476" s="4"/>
      <c r="F476" s="57" t="s">
        <v>168</v>
      </c>
      <c r="G476" s="61">
        <v>271.3616</v>
      </c>
      <c r="H476" s="61">
        <v>-24.33933</v>
      </c>
      <c r="I476" s="60" t="s">
        <v>819</v>
      </c>
      <c r="J476" s="60" t="s">
        <v>169</v>
      </c>
      <c r="K476" s="61">
        <v>5.9</v>
      </c>
      <c r="L476" s="60">
        <v>0.75</v>
      </c>
      <c r="M476" s="60">
        <v>2.0</v>
      </c>
      <c r="N476" s="61">
        <v>1088.02089000108</v>
      </c>
      <c r="O476" s="61">
        <v>-4.59</v>
      </c>
      <c r="P476" s="61">
        <v>0.331</v>
      </c>
      <c r="Q476" s="61">
        <v>-7.689</v>
      </c>
      <c r="R476" s="61">
        <v>0.291</v>
      </c>
      <c r="S476" s="60"/>
      <c r="T476" s="60"/>
      <c r="U476" s="58"/>
      <c r="V476" s="5"/>
      <c r="W476" s="5"/>
      <c r="X476" s="5"/>
      <c r="Y476" s="166"/>
      <c r="Z476" s="60">
        <v>18.09</v>
      </c>
      <c r="AA476" s="60">
        <v>0.013</v>
      </c>
      <c r="AB476" s="60"/>
      <c r="AC476" s="60"/>
      <c r="AD476" s="60"/>
      <c r="AE476" s="60"/>
      <c r="AF476" s="60"/>
      <c r="AG476" s="60"/>
      <c r="AH476" s="60">
        <v>17.28</v>
      </c>
      <c r="AI476" s="60">
        <v>0.03640054945</v>
      </c>
      <c r="AJ476" s="76" t="s">
        <v>759</v>
      </c>
      <c r="AK476" s="64" t="s">
        <v>820</v>
      </c>
      <c r="AL476" s="168"/>
      <c r="AM476" s="7"/>
      <c r="AN476" s="77">
        <v>1250.0</v>
      </c>
      <c r="AO476" s="64">
        <v>50.0</v>
      </c>
      <c r="AP476" s="13"/>
      <c r="AQ476" s="13"/>
      <c r="AR476" s="78"/>
      <c r="AS476" s="97"/>
      <c r="AT476" s="67">
        <v>0.4</v>
      </c>
      <c r="AU476" s="70">
        <v>0.05</v>
      </c>
      <c r="AV476" s="13"/>
      <c r="AW476" s="13"/>
      <c r="AX476" s="73"/>
      <c r="AY476" s="73"/>
      <c r="AZ476" s="68" t="s">
        <v>812</v>
      </c>
      <c r="BA476" s="68" t="s">
        <v>821</v>
      </c>
      <c r="BB476" s="68">
        <v>-28.61</v>
      </c>
      <c r="BC476" s="68">
        <v>3.3</v>
      </c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2"/>
      <c r="DK476" s="12"/>
      <c r="DL476" s="12"/>
      <c r="DM476" s="69"/>
      <c r="DN476" s="69"/>
      <c r="DO476" s="69"/>
      <c r="DP476" s="69"/>
      <c r="DQ476" s="11"/>
      <c r="DR476" s="69"/>
      <c r="DS476" s="69"/>
      <c r="DT476" s="69"/>
      <c r="DU476" s="69"/>
      <c r="DV476" s="97"/>
      <c r="DW476" s="98"/>
      <c r="DX476" s="71">
        <v>2.51E-9</v>
      </c>
      <c r="DY476" s="114">
        <v>3.47E-9</v>
      </c>
      <c r="DZ476" s="64" t="s">
        <v>762</v>
      </c>
      <c r="EA476" s="72" t="s">
        <v>822</v>
      </c>
      <c r="EB476" s="82"/>
    </row>
    <row r="477">
      <c r="A477" s="167" t="s">
        <v>1110</v>
      </c>
      <c r="B477" s="56" t="s">
        <v>1111</v>
      </c>
      <c r="C477" s="3"/>
      <c r="D477" s="4"/>
      <c r="E477" s="4"/>
      <c r="F477" s="57" t="s">
        <v>168</v>
      </c>
      <c r="G477" s="61">
        <v>270.75732</v>
      </c>
      <c r="H477" s="61">
        <v>-24.33313</v>
      </c>
      <c r="I477" s="60" t="s">
        <v>819</v>
      </c>
      <c r="J477" s="60" t="s">
        <v>169</v>
      </c>
      <c r="K477" s="61">
        <v>6.0</v>
      </c>
      <c r="L477" s="60">
        <v>0.89</v>
      </c>
      <c r="M477" s="5"/>
      <c r="N477" s="61"/>
      <c r="O477" s="61"/>
      <c r="P477" s="61"/>
      <c r="Q477" s="61"/>
      <c r="R477" s="61"/>
      <c r="S477" s="60"/>
      <c r="T477" s="60"/>
      <c r="U477" s="58"/>
      <c r="V477" s="5"/>
      <c r="W477" s="5"/>
      <c r="X477" s="5"/>
      <c r="Y477" s="166"/>
      <c r="Z477" s="60">
        <v>18.63</v>
      </c>
      <c r="AA477" s="60">
        <v>0.016</v>
      </c>
      <c r="AB477" s="60"/>
      <c r="AC477" s="60"/>
      <c r="AD477" s="60"/>
      <c r="AE477" s="60"/>
      <c r="AF477" s="60"/>
      <c r="AG477" s="60"/>
      <c r="AH477" s="60">
        <v>17.46</v>
      </c>
      <c r="AI477" s="60">
        <v>0.034</v>
      </c>
      <c r="AJ477" s="76" t="s">
        <v>759</v>
      </c>
      <c r="AK477" s="64" t="s">
        <v>820</v>
      </c>
      <c r="AL477" s="168"/>
      <c r="AM477" s="7"/>
      <c r="AN477" s="77">
        <v>1250.0</v>
      </c>
      <c r="AO477" s="64">
        <v>50.0</v>
      </c>
      <c r="AP477" s="13"/>
      <c r="AQ477" s="13"/>
      <c r="AR477" s="78"/>
      <c r="AS477" s="97"/>
      <c r="AT477" s="67">
        <v>0.4</v>
      </c>
      <c r="AU477" s="70">
        <v>0.07</v>
      </c>
      <c r="AV477" s="13"/>
      <c r="AW477" s="13"/>
      <c r="AX477" s="73"/>
      <c r="AY477" s="73"/>
      <c r="AZ477" s="68" t="s">
        <v>812</v>
      </c>
      <c r="BA477" s="68" t="s">
        <v>821</v>
      </c>
      <c r="BB477" s="68">
        <v>-75.78</v>
      </c>
      <c r="BC477" s="68">
        <v>12.8</v>
      </c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2"/>
      <c r="DK477" s="12"/>
      <c r="DL477" s="12"/>
      <c r="DM477" s="69"/>
      <c r="DN477" s="69"/>
      <c r="DO477" s="69"/>
      <c r="DP477" s="69"/>
      <c r="DQ477" s="11"/>
      <c r="DR477" s="69"/>
      <c r="DS477" s="69"/>
      <c r="DT477" s="69"/>
      <c r="DU477" s="69"/>
      <c r="DV477" s="97"/>
      <c r="DW477" s="98"/>
      <c r="DX477" s="71">
        <v>3.16E-9</v>
      </c>
      <c r="DY477" s="114">
        <v>4.37E-9</v>
      </c>
      <c r="DZ477" s="64" t="s">
        <v>762</v>
      </c>
      <c r="EA477" s="72" t="s">
        <v>822</v>
      </c>
      <c r="EB477" s="82"/>
    </row>
    <row r="478">
      <c r="A478" s="167" t="s">
        <v>1112</v>
      </c>
      <c r="B478" s="56" t="s">
        <v>1113</v>
      </c>
      <c r="C478" s="3"/>
      <c r="D478" s="4"/>
      <c r="E478" s="4"/>
      <c r="F478" s="57" t="s">
        <v>168</v>
      </c>
      <c r="G478" s="61">
        <v>270.8302</v>
      </c>
      <c r="H478" s="61">
        <v>-24.51853</v>
      </c>
      <c r="I478" s="60" t="s">
        <v>819</v>
      </c>
      <c r="J478" s="60" t="s">
        <v>169</v>
      </c>
      <c r="K478" s="61">
        <v>6.1</v>
      </c>
      <c r="L478" s="60">
        <v>0.94</v>
      </c>
      <c r="M478" s="5"/>
      <c r="N478" s="61"/>
      <c r="O478" s="61"/>
      <c r="P478" s="61"/>
      <c r="Q478" s="61"/>
      <c r="R478" s="61"/>
      <c r="S478" s="60"/>
      <c r="T478" s="60"/>
      <c r="U478" s="58"/>
      <c r="V478" s="5"/>
      <c r="W478" s="5"/>
      <c r="X478" s="5"/>
      <c r="Y478" s="166"/>
      <c r="Z478" s="60">
        <v>18.69</v>
      </c>
      <c r="AA478" s="60">
        <v>0.016</v>
      </c>
      <c r="AB478" s="60"/>
      <c r="AC478" s="60"/>
      <c r="AD478" s="60"/>
      <c r="AE478" s="60"/>
      <c r="AF478" s="60"/>
      <c r="AG478" s="60"/>
      <c r="AH478" s="60">
        <v>17.57</v>
      </c>
      <c r="AI478" s="60">
        <v>0.03224903099</v>
      </c>
      <c r="AJ478" s="76" t="s">
        <v>759</v>
      </c>
      <c r="AK478" s="64" t="s">
        <v>820</v>
      </c>
      <c r="AL478" s="168"/>
      <c r="AM478" s="7"/>
      <c r="AN478" s="77">
        <v>1250.0</v>
      </c>
      <c r="AO478" s="64">
        <v>50.0</v>
      </c>
      <c r="AP478" s="13"/>
      <c r="AQ478" s="13"/>
      <c r="AR478" s="78"/>
      <c r="AS478" s="97"/>
      <c r="AT478" s="67">
        <v>0.4</v>
      </c>
      <c r="AU478" s="70">
        <v>0.07</v>
      </c>
      <c r="AV478" s="13"/>
      <c r="AW478" s="13"/>
      <c r="AX478" s="73"/>
      <c r="AY478" s="73"/>
      <c r="AZ478" s="68" t="s">
        <v>812</v>
      </c>
      <c r="BA478" s="68" t="s">
        <v>821</v>
      </c>
      <c r="BB478" s="68">
        <v>-70.28</v>
      </c>
      <c r="BC478" s="68">
        <v>11.8</v>
      </c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2"/>
      <c r="DK478" s="12"/>
      <c r="DL478" s="12"/>
      <c r="DM478" s="69"/>
      <c r="DN478" s="69"/>
      <c r="DO478" s="69"/>
      <c r="DP478" s="69"/>
      <c r="DQ478" s="11"/>
      <c r="DR478" s="69"/>
      <c r="DS478" s="69"/>
      <c r="DT478" s="69"/>
      <c r="DU478" s="69"/>
      <c r="DV478" s="97"/>
      <c r="DW478" s="98"/>
      <c r="DX478" s="71">
        <v>3.16E-9</v>
      </c>
      <c r="DY478" s="114">
        <v>4.37E-9</v>
      </c>
      <c r="DZ478" s="64" t="s">
        <v>762</v>
      </c>
      <c r="EA478" s="72" t="s">
        <v>822</v>
      </c>
      <c r="EB478" s="82"/>
    </row>
    <row r="479">
      <c r="A479" s="167" t="s">
        <v>1114</v>
      </c>
      <c r="B479" s="56" t="s">
        <v>1115</v>
      </c>
      <c r="C479" s="3"/>
      <c r="D479" s="4"/>
      <c r="E479" s="4"/>
      <c r="F479" s="57" t="s">
        <v>168</v>
      </c>
      <c r="G479" s="61">
        <v>271.0537</v>
      </c>
      <c r="H479" s="61">
        <v>-24.25571</v>
      </c>
      <c r="I479" s="60" t="s">
        <v>819</v>
      </c>
      <c r="J479" s="60" t="s">
        <v>169</v>
      </c>
      <c r="K479" s="61">
        <v>6.2</v>
      </c>
      <c r="L479" s="60">
        <v>0.9</v>
      </c>
      <c r="M479" s="5"/>
      <c r="N479" s="61"/>
      <c r="O479" s="61"/>
      <c r="P479" s="61"/>
      <c r="Q479" s="61"/>
      <c r="R479" s="61"/>
      <c r="S479" s="60"/>
      <c r="T479" s="60"/>
      <c r="U479" s="58"/>
      <c r="V479" s="5"/>
      <c r="W479" s="5"/>
      <c r="X479" s="5"/>
      <c r="Y479" s="166"/>
      <c r="Z479" s="60">
        <v>18.2</v>
      </c>
      <c r="AA479" s="60">
        <v>0.016</v>
      </c>
      <c r="AB479" s="60"/>
      <c r="AC479" s="60"/>
      <c r="AD479" s="60"/>
      <c r="AE479" s="60"/>
      <c r="AF479" s="60"/>
      <c r="AG479" s="60"/>
      <c r="AH479" s="60">
        <v>17.18</v>
      </c>
      <c r="AI479" s="60">
        <v>0.04681879964</v>
      </c>
      <c r="AJ479" s="76" t="s">
        <v>759</v>
      </c>
      <c r="AK479" s="64" t="s">
        <v>820</v>
      </c>
      <c r="AL479" s="168"/>
      <c r="AM479" s="7"/>
      <c r="AN479" s="77">
        <v>1250.0</v>
      </c>
      <c r="AO479" s="64">
        <v>50.0</v>
      </c>
      <c r="AP479" s="13"/>
      <c r="AQ479" s="13"/>
      <c r="AR479" s="78"/>
      <c r="AS479" s="97"/>
      <c r="AT479" s="67">
        <v>0.4</v>
      </c>
      <c r="AU479" s="70">
        <v>0.07</v>
      </c>
      <c r="AV479" s="13"/>
      <c r="AW479" s="13"/>
      <c r="AX479" s="73"/>
      <c r="AY479" s="73"/>
      <c r="AZ479" s="68" t="s">
        <v>812</v>
      </c>
      <c r="BA479" s="68" t="s">
        <v>821</v>
      </c>
      <c r="BB479" s="68">
        <v>-67.6</v>
      </c>
      <c r="BC479" s="68">
        <v>10.4</v>
      </c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2"/>
      <c r="DK479" s="12"/>
      <c r="DL479" s="12"/>
      <c r="DM479" s="69"/>
      <c r="DN479" s="69"/>
      <c r="DO479" s="69"/>
      <c r="DP479" s="69"/>
      <c r="DQ479" s="11"/>
      <c r="DR479" s="69"/>
      <c r="DS479" s="69"/>
      <c r="DT479" s="69"/>
      <c r="DU479" s="69"/>
      <c r="DV479" s="97"/>
      <c r="DW479" s="98"/>
      <c r="DX479" s="71">
        <v>3.16E-9</v>
      </c>
      <c r="DY479" s="114">
        <v>4.37E-9</v>
      </c>
      <c r="DZ479" s="64" t="s">
        <v>762</v>
      </c>
      <c r="EA479" s="72" t="s">
        <v>822</v>
      </c>
      <c r="EB479" s="82"/>
    </row>
    <row r="480">
      <c r="A480" s="167" t="s">
        <v>1116</v>
      </c>
      <c r="B480" s="56" t="s">
        <v>1117</v>
      </c>
      <c r="C480" s="3"/>
      <c r="D480" s="4"/>
      <c r="E480" s="4"/>
      <c r="F480" s="57" t="s">
        <v>168</v>
      </c>
      <c r="G480" s="61">
        <v>271.2377</v>
      </c>
      <c r="H480" s="61">
        <v>-24.12055</v>
      </c>
      <c r="I480" s="60" t="s">
        <v>819</v>
      </c>
      <c r="J480" s="60" t="s">
        <v>169</v>
      </c>
      <c r="K480" s="61">
        <v>5.8</v>
      </c>
      <c r="L480" s="60">
        <v>0.55</v>
      </c>
      <c r="M480" s="60">
        <v>2.0</v>
      </c>
      <c r="N480" s="61">
        <v>2546.47313470842</v>
      </c>
      <c r="O480" s="61">
        <v>0.86</v>
      </c>
      <c r="P480" s="61">
        <v>0.249</v>
      </c>
      <c r="Q480" s="61">
        <v>-5.118</v>
      </c>
      <c r="R480" s="61">
        <v>0.21</v>
      </c>
      <c r="S480" s="60"/>
      <c r="T480" s="60"/>
      <c r="U480" s="58"/>
      <c r="V480" s="5"/>
      <c r="W480" s="5"/>
      <c r="X480" s="5"/>
      <c r="Y480" s="166"/>
      <c r="Z480" s="60">
        <v>17.76</v>
      </c>
      <c r="AA480" s="60">
        <v>0.009</v>
      </c>
      <c r="AB480" s="60"/>
      <c r="AC480" s="60"/>
      <c r="AD480" s="60"/>
      <c r="AE480" s="60"/>
      <c r="AF480" s="60"/>
      <c r="AG480" s="60"/>
      <c r="AH480" s="60">
        <v>16.97</v>
      </c>
      <c r="AI480" s="60">
        <v>0.02563201124</v>
      </c>
      <c r="AJ480" s="76" t="s">
        <v>759</v>
      </c>
      <c r="AK480" s="64" t="s">
        <v>820</v>
      </c>
      <c r="AL480" s="168"/>
      <c r="AM480" s="7"/>
      <c r="AN480" s="77">
        <v>1250.0</v>
      </c>
      <c r="AO480" s="64">
        <v>50.0</v>
      </c>
      <c r="AP480" s="13"/>
      <c r="AQ480" s="13"/>
      <c r="AR480" s="78"/>
      <c r="AS480" s="97"/>
      <c r="AT480" s="67">
        <v>0.4</v>
      </c>
      <c r="AU480" s="70">
        <v>0.04</v>
      </c>
      <c r="AV480" s="13"/>
      <c r="AW480" s="13"/>
      <c r="AX480" s="73"/>
      <c r="AY480" s="73"/>
      <c r="AZ480" s="68" t="s">
        <v>812</v>
      </c>
      <c r="BA480" s="68" t="s">
        <v>821</v>
      </c>
      <c r="BB480" s="68">
        <v>-33.03</v>
      </c>
      <c r="BC480" s="68">
        <v>4.92</v>
      </c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2"/>
      <c r="DK480" s="12"/>
      <c r="DL480" s="12"/>
      <c r="DM480" s="69"/>
      <c r="DN480" s="69"/>
      <c r="DO480" s="69"/>
      <c r="DP480" s="69"/>
      <c r="DQ480" s="11"/>
      <c r="DR480" s="69"/>
      <c r="DS480" s="69"/>
      <c r="DT480" s="69"/>
      <c r="DU480" s="69"/>
      <c r="DV480" s="97"/>
      <c r="DW480" s="98"/>
      <c r="DX480" s="71">
        <v>3.16E-9</v>
      </c>
      <c r="DY480" s="114">
        <v>4.37E-9</v>
      </c>
      <c r="DZ480" s="64" t="s">
        <v>762</v>
      </c>
      <c r="EA480" s="72" t="s">
        <v>822</v>
      </c>
      <c r="EB480" s="82"/>
    </row>
    <row r="481">
      <c r="A481" s="167" t="s">
        <v>1118</v>
      </c>
      <c r="B481" s="56" t="s">
        <v>1119</v>
      </c>
      <c r="C481" s="3"/>
      <c r="D481" s="4"/>
      <c r="E481" s="4"/>
      <c r="F481" s="57" t="s">
        <v>168</v>
      </c>
      <c r="G481" s="61">
        <v>270.70767</v>
      </c>
      <c r="H481" s="61">
        <v>-24.23081</v>
      </c>
      <c r="I481" s="60" t="s">
        <v>819</v>
      </c>
      <c r="J481" s="60" t="s">
        <v>169</v>
      </c>
      <c r="K481" s="61">
        <v>6.1</v>
      </c>
      <c r="L481" s="60">
        <v>1.18</v>
      </c>
      <c r="M481" s="60">
        <v>2.0</v>
      </c>
      <c r="N481" s="61">
        <v>1427.34798743933</v>
      </c>
      <c r="O481" s="61">
        <v>1.48</v>
      </c>
      <c r="P481" s="61">
        <v>0.32</v>
      </c>
      <c r="Q481" s="61">
        <v>-1.841</v>
      </c>
      <c r="R481" s="61">
        <v>0.262</v>
      </c>
      <c r="S481" s="60"/>
      <c r="T481" s="60"/>
      <c r="U481" s="58"/>
      <c r="V481" s="5"/>
      <c r="W481" s="5"/>
      <c r="X481" s="5"/>
      <c r="Y481" s="166"/>
      <c r="Z481" s="60">
        <v>18.81</v>
      </c>
      <c r="AA481" s="60">
        <v>0.021</v>
      </c>
      <c r="AB481" s="60"/>
      <c r="AC481" s="60"/>
      <c r="AD481" s="60"/>
      <c r="AE481" s="60"/>
      <c r="AF481" s="60"/>
      <c r="AG481" s="60"/>
      <c r="AH481" s="60">
        <v>17.51</v>
      </c>
      <c r="AI481" s="60">
        <v>0.04167733197</v>
      </c>
      <c r="AJ481" s="76" t="s">
        <v>759</v>
      </c>
      <c r="AK481" s="64" t="s">
        <v>820</v>
      </c>
      <c r="AL481" s="168"/>
      <c r="AM481" s="7"/>
      <c r="AN481" s="77">
        <v>1250.0</v>
      </c>
      <c r="AO481" s="64">
        <v>50.0</v>
      </c>
      <c r="AP481" s="13"/>
      <c r="AQ481" s="13"/>
      <c r="AR481" s="78"/>
      <c r="AS481" s="97"/>
      <c r="AT481" s="67">
        <v>0.4</v>
      </c>
      <c r="AU481" s="70">
        <v>0.09</v>
      </c>
      <c r="AV481" s="13"/>
      <c r="AW481" s="13"/>
      <c r="AX481" s="73"/>
      <c r="AY481" s="73"/>
      <c r="AZ481" s="68" t="s">
        <v>812</v>
      </c>
      <c r="BA481" s="68" t="s">
        <v>821</v>
      </c>
      <c r="BB481" s="68">
        <v>-101.2</v>
      </c>
      <c r="BC481" s="68">
        <v>17.3</v>
      </c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2"/>
      <c r="DK481" s="12"/>
      <c r="DL481" s="12"/>
      <c r="DM481" s="69"/>
      <c r="DN481" s="69"/>
      <c r="DO481" s="69"/>
      <c r="DP481" s="69"/>
      <c r="DQ481" s="11"/>
      <c r="DR481" s="69"/>
      <c r="DS481" s="69"/>
      <c r="DT481" s="69"/>
      <c r="DU481" s="69"/>
      <c r="DV481" s="97"/>
      <c r="DW481" s="98"/>
      <c r="DX481" s="71">
        <v>3.98E-9</v>
      </c>
      <c r="DY481" s="114">
        <v>5.5E-9</v>
      </c>
      <c r="DZ481" s="64" t="s">
        <v>762</v>
      </c>
      <c r="EA481" s="72" t="s">
        <v>822</v>
      </c>
      <c r="EB481" s="82"/>
    </row>
    <row r="482">
      <c r="A482" s="167" t="s">
        <v>1120</v>
      </c>
      <c r="B482" s="56" t="s">
        <v>1121</v>
      </c>
      <c r="C482" s="3"/>
      <c r="D482" s="4"/>
      <c r="E482" s="4"/>
      <c r="F482" s="57" t="s">
        <v>168</v>
      </c>
      <c r="G482" s="61">
        <v>270.90555</v>
      </c>
      <c r="H482" s="61">
        <v>-24.53798</v>
      </c>
      <c r="I482" s="60" t="s">
        <v>819</v>
      </c>
      <c r="J482" s="60" t="s">
        <v>169</v>
      </c>
      <c r="K482" s="61">
        <v>5.9</v>
      </c>
      <c r="L482" s="60">
        <v>0.41</v>
      </c>
      <c r="M482" s="5"/>
      <c r="N482" s="61"/>
      <c r="O482" s="61"/>
      <c r="P482" s="61"/>
      <c r="Q482" s="61"/>
      <c r="R482" s="61"/>
      <c r="S482" s="60"/>
      <c r="T482" s="60"/>
      <c r="U482" s="58"/>
      <c r="V482" s="5"/>
      <c r="W482" s="5"/>
      <c r="X482" s="5"/>
      <c r="Y482" s="166"/>
      <c r="Z482" s="60">
        <v>17.61</v>
      </c>
      <c r="AA482" s="60">
        <v>0.007</v>
      </c>
      <c r="AB482" s="60"/>
      <c r="AC482" s="60"/>
      <c r="AD482" s="60"/>
      <c r="AE482" s="60"/>
      <c r="AF482" s="60"/>
      <c r="AG482" s="60"/>
      <c r="AH482" s="60">
        <v>16.83</v>
      </c>
      <c r="AI482" s="60">
        <v>0.01565247584</v>
      </c>
      <c r="AJ482" s="76" t="s">
        <v>759</v>
      </c>
      <c r="AK482" s="64" t="s">
        <v>820</v>
      </c>
      <c r="AL482" s="168"/>
      <c r="AM482" s="7"/>
      <c r="AN482" s="77">
        <v>1250.0</v>
      </c>
      <c r="AO482" s="64">
        <v>50.0</v>
      </c>
      <c r="AP482" s="13"/>
      <c r="AQ482" s="13"/>
      <c r="AR482" s="78"/>
      <c r="AS482" s="97"/>
      <c r="AT482" s="67">
        <v>0.4</v>
      </c>
      <c r="AU482" s="70">
        <v>0.03</v>
      </c>
      <c r="AV482" s="13"/>
      <c r="AW482" s="13"/>
      <c r="AX482" s="73"/>
      <c r="AY482" s="73"/>
      <c r="AZ482" s="68" t="s">
        <v>812</v>
      </c>
      <c r="BA482" s="68" t="s">
        <v>821</v>
      </c>
      <c r="BB482" s="68">
        <v>-33.51</v>
      </c>
      <c r="BC482" s="68">
        <v>5.64</v>
      </c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2"/>
      <c r="DK482" s="12"/>
      <c r="DL482" s="12"/>
      <c r="DM482" s="69"/>
      <c r="DN482" s="69"/>
      <c r="DO482" s="69"/>
      <c r="DP482" s="69"/>
      <c r="DQ482" s="11"/>
      <c r="DR482" s="69"/>
      <c r="DS482" s="69"/>
      <c r="DT482" s="69"/>
      <c r="DU482" s="69"/>
      <c r="DV482" s="97"/>
      <c r="DW482" s="98"/>
      <c r="DX482" s="71">
        <v>3.98E-9</v>
      </c>
      <c r="DY482" s="114">
        <v>5.5E-9</v>
      </c>
      <c r="DZ482" s="64" t="s">
        <v>762</v>
      </c>
      <c r="EA482" s="72" t="s">
        <v>822</v>
      </c>
      <c r="EB482" s="82"/>
    </row>
    <row r="483">
      <c r="A483" s="167" t="s">
        <v>1122</v>
      </c>
      <c r="B483" s="56" t="s">
        <v>1123</v>
      </c>
      <c r="C483" s="3"/>
      <c r="D483" s="4"/>
      <c r="E483" s="4"/>
      <c r="F483" s="57" t="s">
        <v>168</v>
      </c>
      <c r="G483" s="61">
        <v>270.66666</v>
      </c>
      <c r="H483" s="61">
        <v>-24.32627</v>
      </c>
      <c r="I483" s="60" t="s">
        <v>819</v>
      </c>
      <c r="J483" s="60" t="s">
        <v>169</v>
      </c>
      <c r="K483" s="61">
        <v>4.7</v>
      </c>
      <c r="L483" s="60">
        <v>0.43</v>
      </c>
      <c r="M483" s="60">
        <v>2.0</v>
      </c>
      <c r="N483" s="61">
        <v>4233.70025402201</v>
      </c>
      <c r="O483" s="61">
        <v>1.429</v>
      </c>
      <c r="P483" s="61">
        <v>0.28</v>
      </c>
      <c r="Q483" s="61">
        <v>-2.051</v>
      </c>
      <c r="R483" s="61">
        <v>0.225</v>
      </c>
      <c r="S483" s="60"/>
      <c r="T483" s="60"/>
      <c r="U483" s="58"/>
      <c r="V483" s="5"/>
      <c r="W483" s="5"/>
      <c r="X483" s="5"/>
      <c r="Y483" s="166"/>
      <c r="Z483" s="60">
        <v>17.67</v>
      </c>
      <c r="AA483" s="60">
        <v>0.007</v>
      </c>
      <c r="AB483" s="60"/>
      <c r="AC483" s="60"/>
      <c r="AD483" s="60"/>
      <c r="AE483" s="60"/>
      <c r="AF483" s="60"/>
      <c r="AG483" s="60"/>
      <c r="AH483" s="60">
        <v>16.82</v>
      </c>
      <c r="AI483" s="60">
        <v>0.01565247584</v>
      </c>
      <c r="AJ483" s="76" t="s">
        <v>759</v>
      </c>
      <c r="AK483" s="64" t="s">
        <v>820</v>
      </c>
      <c r="AL483" s="168"/>
      <c r="AM483" s="7"/>
      <c r="AN483" s="77">
        <v>1250.0</v>
      </c>
      <c r="AO483" s="64">
        <v>50.0</v>
      </c>
      <c r="AP483" s="13"/>
      <c r="AQ483" s="13"/>
      <c r="AR483" s="78"/>
      <c r="AS483" s="97"/>
      <c r="AT483" s="67">
        <v>0.4</v>
      </c>
      <c r="AU483" s="70">
        <v>0.03</v>
      </c>
      <c r="AV483" s="13"/>
      <c r="AW483" s="13"/>
      <c r="AX483" s="73"/>
      <c r="AY483" s="73"/>
      <c r="AZ483" s="68" t="s">
        <v>812</v>
      </c>
      <c r="BA483" s="68" t="s">
        <v>821</v>
      </c>
      <c r="BB483" s="68">
        <v>-31.36</v>
      </c>
      <c r="BC483" s="68">
        <v>5.14</v>
      </c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2"/>
      <c r="DK483" s="12"/>
      <c r="DL483" s="12"/>
      <c r="DM483" s="69"/>
      <c r="DN483" s="69"/>
      <c r="DO483" s="69"/>
      <c r="DP483" s="69"/>
      <c r="DQ483" s="11"/>
      <c r="DR483" s="69"/>
      <c r="DS483" s="69"/>
      <c r="DT483" s="69"/>
      <c r="DU483" s="69"/>
      <c r="DV483" s="97"/>
      <c r="DW483" s="98"/>
      <c r="DX483" s="71">
        <v>5.01E-9</v>
      </c>
      <c r="DY483" s="114">
        <v>6.93E-9</v>
      </c>
      <c r="DZ483" s="64" t="s">
        <v>762</v>
      </c>
      <c r="EA483" s="72" t="s">
        <v>822</v>
      </c>
      <c r="EB483" s="82"/>
    </row>
    <row r="484">
      <c r="A484" s="167" t="s">
        <v>1124</v>
      </c>
      <c r="B484" s="56" t="s">
        <v>1125</v>
      </c>
      <c r="C484" s="3"/>
      <c r="D484" s="4"/>
      <c r="E484" s="4"/>
      <c r="F484" s="57" t="s">
        <v>168</v>
      </c>
      <c r="G484" s="61">
        <v>270.84265</v>
      </c>
      <c r="H484" s="61">
        <v>-24.33722</v>
      </c>
      <c r="I484" s="60" t="s">
        <v>819</v>
      </c>
      <c r="J484" s="60" t="s">
        <v>169</v>
      </c>
      <c r="K484" s="61">
        <v>4.2</v>
      </c>
      <c r="L484" s="60">
        <v>0.62</v>
      </c>
      <c r="M484" s="60">
        <v>2.0</v>
      </c>
      <c r="N484" s="61">
        <v>656.685053848174</v>
      </c>
      <c r="O484" s="61">
        <v>0.77</v>
      </c>
      <c r="P484" s="61">
        <v>0.239</v>
      </c>
      <c r="Q484" s="61">
        <v>-3.709</v>
      </c>
      <c r="R484" s="61">
        <v>0.196</v>
      </c>
      <c r="S484" s="60"/>
      <c r="T484" s="60"/>
      <c r="U484" s="58"/>
      <c r="V484" s="5"/>
      <c r="W484" s="5"/>
      <c r="X484" s="5"/>
      <c r="Y484" s="166"/>
      <c r="Z484" s="60">
        <v>17.74</v>
      </c>
      <c r="AA484" s="60">
        <v>0.011</v>
      </c>
      <c r="AB484" s="60"/>
      <c r="AC484" s="60"/>
      <c r="AD484" s="60"/>
      <c r="AE484" s="60"/>
      <c r="AF484" s="60"/>
      <c r="AG484" s="60"/>
      <c r="AH484" s="60">
        <v>16.88</v>
      </c>
      <c r="AI484" s="60">
        <v>0.04438468204</v>
      </c>
      <c r="AJ484" s="76" t="s">
        <v>759</v>
      </c>
      <c r="AK484" s="64" t="s">
        <v>820</v>
      </c>
      <c r="AL484" s="168"/>
      <c r="AM484" s="7"/>
      <c r="AN484" s="77">
        <v>1250.0</v>
      </c>
      <c r="AO484" s="64">
        <v>50.0</v>
      </c>
      <c r="AP484" s="13"/>
      <c r="AQ484" s="13"/>
      <c r="AR484" s="78"/>
      <c r="AS484" s="97"/>
      <c r="AT484" s="67">
        <v>0.4</v>
      </c>
      <c r="AU484" s="70">
        <v>0.04</v>
      </c>
      <c r="AV484" s="13"/>
      <c r="AW484" s="13"/>
      <c r="AX484" s="73"/>
      <c r="AY484" s="73"/>
      <c r="AZ484" s="68" t="s">
        <v>812</v>
      </c>
      <c r="BA484" s="68" t="s">
        <v>821</v>
      </c>
      <c r="BB484" s="68">
        <v>-33.01</v>
      </c>
      <c r="BC484" s="68">
        <v>3.87</v>
      </c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2"/>
      <c r="DK484" s="12"/>
      <c r="DL484" s="12"/>
      <c r="DM484" s="69"/>
      <c r="DN484" s="69"/>
      <c r="DO484" s="69"/>
      <c r="DP484" s="69"/>
      <c r="DQ484" s="11"/>
      <c r="DR484" s="69"/>
      <c r="DS484" s="69"/>
      <c r="DT484" s="69"/>
      <c r="DU484" s="69"/>
      <c r="DV484" s="97"/>
      <c r="DW484" s="98"/>
      <c r="DX484" s="71">
        <v>5.01E-9</v>
      </c>
      <c r="DY484" s="114">
        <v>6.93E-9</v>
      </c>
      <c r="DZ484" s="64" t="s">
        <v>762</v>
      </c>
      <c r="EA484" s="72" t="s">
        <v>822</v>
      </c>
      <c r="EB484" s="82"/>
    </row>
    <row r="485">
      <c r="A485" s="167" t="s">
        <v>1126</v>
      </c>
      <c r="B485" s="56" t="s">
        <v>1127</v>
      </c>
      <c r="C485" s="3"/>
      <c r="D485" s="4"/>
      <c r="E485" s="4"/>
      <c r="F485" s="57" t="s">
        <v>168</v>
      </c>
      <c r="G485" s="61">
        <v>270.8612</v>
      </c>
      <c r="H485" s="61">
        <v>-24.26416</v>
      </c>
      <c r="I485" s="60" t="s">
        <v>819</v>
      </c>
      <c r="J485" s="60" t="s">
        <v>169</v>
      </c>
      <c r="K485" s="61">
        <v>6.5</v>
      </c>
      <c r="L485" s="60">
        <v>1.41</v>
      </c>
      <c r="M485" s="60">
        <v>2.0</v>
      </c>
      <c r="N485" s="61">
        <v>2246.68613794652</v>
      </c>
      <c r="O485" s="61">
        <v>2.211</v>
      </c>
      <c r="P485" s="61">
        <v>0.614</v>
      </c>
      <c r="Q485" s="61">
        <v>-1.206</v>
      </c>
      <c r="R485" s="61">
        <v>0.481</v>
      </c>
      <c r="S485" s="60"/>
      <c r="T485" s="60"/>
      <c r="U485" s="58"/>
      <c r="V485" s="5"/>
      <c r="W485" s="5"/>
      <c r="X485" s="5"/>
      <c r="Y485" s="166"/>
      <c r="Z485" s="60">
        <v>18.72</v>
      </c>
      <c r="AA485" s="60">
        <v>0.026</v>
      </c>
      <c r="AB485" s="60"/>
      <c r="AC485" s="60"/>
      <c r="AD485" s="60"/>
      <c r="AE485" s="60"/>
      <c r="AF485" s="60"/>
      <c r="AG485" s="60"/>
      <c r="AH485" s="60">
        <v>17.1</v>
      </c>
      <c r="AI485" s="60">
        <v>0.05197114584</v>
      </c>
      <c r="AJ485" s="76" t="s">
        <v>759</v>
      </c>
      <c r="AK485" s="64" t="s">
        <v>820</v>
      </c>
      <c r="AL485" s="168"/>
      <c r="AM485" s="7"/>
      <c r="AN485" s="77">
        <v>1250.0</v>
      </c>
      <c r="AO485" s="64">
        <v>50.0</v>
      </c>
      <c r="AP485" s="13"/>
      <c r="AQ485" s="13"/>
      <c r="AR485" s="78"/>
      <c r="AS485" s="97"/>
      <c r="AT485" s="67">
        <v>0.4</v>
      </c>
      <c r="AU485" s="70">
        <v>0.11</v>
      </c>
      <c r="AV485" s="13"/>
      <c r="AW485" s="13"/>
      <c r="AX485" s="73"/>
      <c r="AY485" s="73"/>
      <c r="AZ485" s="68" t="s">
        <v>812</v>
      </c>
      <c r="BA485" s="68" t="s">
        <v>821</v>
      </c>
      <c r="BB485" s="68">
        <v>-193.54</v>
      </c>
      <c r="BC485" s="68">
        <v>35.1</v>
      </c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2"/>
      <c r="DK485" s="12"/>
      <c r="DL485" s="12"/>
      <c r="DM485" s="69"/>
      <c r="DN485" s="69"/>
      <c r="DO485" s="69"/>
      <c r="DP485" s="69"/>
      <c r="DQ485" s="11"/>
      <c r="DR485" s="69"/>
      <c r="DS485" s="69"/>
      <c r="DT485" s="69"/>
      <c r="DU485" s="69"/>
      <c r="DV485" s="97"/>
      <c r="DW485" s="98"/>
      <c r="DX485" s="71">
        <v>5.01E-9</v>
      </c>
      <c r="DY485" s="114">
        <v>6.93E-9</v>
      </c>
      <c r="DZ485" s="64" t="s">
        <v>762</v>
      </c>
      <c r="EA485" s="72" t="s">
        <v>822</v>
      </c>
      <c r="EB485" s="82"/>
    </row>
    <row r="486">
      <c r="A486" s="167" t="s">
        <v>1128</v>
      </c>
      <c r="B486" s="56" t="s">
        <v>1129</v>
      </c>
      <c r="C486" s="3"/>
      <c r="D486" s="4"/>
      <c r="E486" s="4"/>
      <c r="F486" s="57" t="s">
        <v>168</v>
      </c>
      <c r="G486" s="61">
        <v>270.92038</v>
      </c>
      <c r="H486" s="61">
        <v>-24.52762</v>
      </c>
      <c r="I486" s="60" t="s">
        <v>819</v>
      </c>
      <c r="J486" s="60" t="s">
        <v>169</v>
      </c>
      <c r="K486" s="61">
        <v>5.8</v>
      </c>
      <c r="L486" s="60">
        <v>0.57</v>
      </c>
      <c r="M486" s="60">
        <v>2.0</v>
      </c>
      <c r="N486" s="61">
        <v>7163.32378223495</v>
      </c>
      <c r="O486" s="61">
        <v>-1.831</v>
      </c>
      <c r="P486" s="61">
        <v>0.354</v>
      </c>
      <c r="Q486" s="61">
        <v>-3.458</v>
      </c>
      <c r="R486" s="61">
        <v>0.274</v>
      </c>
      <c r="S486" s="60"/>
      <c r="T486" s="60"/>
      <c r="U486" s="58"/>
      <c r="V486" s="5"/>
      <c r="W486" s="5"/>
      <c r="X486" s="5"/>
      <c r="Y486" s="166"/>
      <c r="Z486" s="60">
        <v>18.08</v>
      </c>
      <c r="AA486" s="60">
        <v>0.01</v>
      </c>
      <c r="AB486" s="60"/>
      <c r="AC486" s="60"/>
      <c r="AD486" s="60"/>
      <c r="AE486" s="60"/>
      <c r="AF486" s="60"/>
      <c r="AG486" s="60"/>
      <c r="AH486" s="60">
        <v>17.04</v>
      </c>
      <c r="AI486" s="60">
        <v>0.02059126028</v>
      </c>
      <c r="AJ486" s="76" t="s">
        <v>759</v>
      </c>
      <c r="AK486" s="64" t="s">
        <v>820</v>
      </c>
      <c r="AL486" s="168"/>
      <c r="AM486" s="7"/>
      <c r="AN486" s="77">
        <v>1250.0</v>
      </c>
      <c r="AO486" s="64">
        <v>50.0</v>
      </c>
      <c r="AP486" s="13"/>
      <c r="AQ486" s="13"/>
      <c r="AR486" s="78"/>
      <c r="AS486" s="97"/>
      <c r="AT486" s="67">
        <v>0.4</v>
      </c>
      <c r="AU486" s="70">
        <v>0.04</v>
      </c>
      <c r="AV486" s="13"/>
      <c r="AW486" s="13"/>
      <c r="AX486" s="73"/>
      <c r="AY486" s="73"/>
      <c r="AZ486" s="68" t="s">
        <v>812</v>
      </c>
      <c r="BA486" s="68" t="s">
        <v>821</v>
      </c>
      <c r="BB486" s="68">
        <v>-60.23</v>
      </c>
      <c r="BC486" s="68">
        <v>10.6</v>
      </c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2"/>
      <c r="DK486" s="12"/>
      <c r="DL486" s="12"/>
      <c r="DM486" s="69"/>
      <c r="DN486" s="69"/>
      <c r="DO486" s="69"/>
      <c r="DP486" s="69"/>
      <c r="DQ486" s="11"/>
      <c r="DR486" s="69"/>
      <c r="DS486" s="69"/>
      <c r="DT486" s="69"/>
      <c r="DU486" s="69"/>
      <c r="DV486" s="97"/>
      <c r="DW486" s="98"/>
      <c r="DX486" s="71">
        <v>5.01E-9</v>
      </c>
      <c r="DY486" s="114">
        <v>6.93E-9</v>
      </c>
      <c r="DZ486" s="64" t="s">
        <v>762</v>
      </c>
      <c r="EA486" s="72" t="s">
        <v>822</v>
      </c>
      <c r="EB486" s="82"/>
    </row>
    <row r="487">
      <c r="A487" s="167" t="s">
        <v>1130</v>
      </c>
      <c r="B487" s="56" t="s">
        <v>1131</v>
      </c>
      <c r="C487" s="3"/>
      <c r="D487" s="4"/>
      <c r="E487" s="4"/>
      <c r="F487" s="57" t="s">
        <v>168</v>
      </c>
      <c r="G487" s="61">
        <v>271.0136</v>
      </c>
      <c r="H487" s="61">
        <v>-24.55268</v>
      </c>
      <c r="I487" s="60" t="s">
        <v>819</v>
      </c>
      <c r="J487" s="60" t="s">
        <v>169</v>
      </c>
      <c r="K487" s="61">
        <v>4.2</v>
      </c>
      <c r="L487" s="60">
        <v>0.47</v>
      </c>
      <c r="M487" s="5"/>
      <c r="N487" s="61"/>
      <c r="O487" s="61"/>
      <c r="P487" s="61"/>
      <c r="Q487" s="61"/>
      <c r="R487" s="61"/>
      <c r="S487" s="60"/>
      <c r="T487" s="60"/>
      <c r="U487" s="58"/>
      <c r="V487" s="5"/>
      <c r="W487" s="5"/>
      <c r="X487" s="5"/>
      <c r="Y487" s="166"/>
      <c r="Z487" s="60">
        <v>17.77</v>
      </c>
      <c r="AA487" s="60">
        <v>0.008</v>
      </c>
      <c r="AB487" s="60"/>
      <c r="AC487" s="60"/>
      <c r="AD487" s="60"/>
      <c r="AE487" s="60"/>
      <c r="AF487" s="60"/>
      <c r="AG487" s="60"/>
      <c r="AH487" s="60">
        <v>16.88</v>
      </c>
      <c r="AI487" s="60">
        <v>0.01788854382</v>
      </c>
      <c r="AJ487" s="76" t="s">
        <v>759</v>
      </c>
      <c r="AK487" s="64" t="s">
        <v>820</v>
      </c>
      <c r="AL487" s="168"/>
      <c r="AM487" s="7"/>
      <c r="AN487" s="77">
        <v>1250.0</v>
      </c>
      <c r="AO487" s="64">
        <v>50.0</v>
      </c>
      <c r="AP487" s="13"/>
      <c r="AQ487" s="13"/>
      <c r="AR487" s="78"/>
      <c r="AS487" s="97"/>
      <c r="AT487" s="67">
        <v>0.4</v>
      </c>
      <c r="AU487" s="70">
        <v>0.03</v>
      </c>
      <c r="AV487" s="13"/>
      <c r="AW487" s="13"/>
      <c r="AX487" s="73"/>
      <c r="AY487" s="73"/>
      <c r="AZ487" s="68" t="s">
        <v>812</v>
      </c>
      <c r="BA487" s="68" t="s">
        <v>821</v>
      </c>
      <c r="BB487" s="68">
        <v>-38.76</v>
      </c>
      <c r="BC487" s="68">
        <v>6.5</v>
      </c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2"/>
      <c r="DK487" s="12"/>
      <c r="DL487" s="12"/>
      <c r="DM487" s="69"/>
      <c r="DN487" s="69"/>
      <c r="DO487" s="69"/>
      <c r="DP487" s="69"/>
      <c r="DQ487" s="11"/>
      <c r="DR487" s="69"/>
      <c r="DS487" s="69"/>
      <c r="DT487" s="69"/>
      <c r="DU487" s="69"/>
      <c r="DV487" s="97"/>
      <c r="DW487" s="98"/>
      <c r="DX487" s="71">
        <v>5.01E-9</v>
      </c>
      <c r="DY487" s="114">
        <v>6.93E-9</v>
      </c>
      <c r="DZ487" s="64" t="s">
        <v>762</v>
      </c>
      <c r="EA487" s="72" t="s">
        <v>822</v>
      </c>
      <c r="EB487" s="82"/>
    </row>
    <row r="488">
      <c r="A488" s="167" t="s">
        <v>1132</v>
      </c>
      <c r="B488" s="56" t="s">
        <v>1133</v>
      </c>
      <c r="C488" s="3"/>
      <c r="D488" s="4"/>
      <c r="E488" s="4"/>
      <c r="F488" s="57" t="s">
        <v>168</v>
      </c>
      <c r="G488" s="61">
        <v>271.03592</v>
      </c>
      <c r="H488" s="61">
        <v>-24.53243</v>
      </c>
      <c r="I488" s="60" t="s">
        <v>819</v>
      </c>
      <c r="J488" s="60" t="s">
        <v>169</v>
      </c>
      <c r="K488" s="61">
        <v>5.1</v>
      </c>
      <c r="L488" s="60">
        <v>0.63</v>
      </c>
      <c r="M488" s="60">
        <v>2.0</v>
      </c>
      <c r="N488" s="61">
        <v>1561.52404747033</v>
      </c>
      <c r="O488" s="61">
        <v>-5.801</v>
      </c>
      <c r="P488" s="61">
        <v>0.263</v>
      </c>
      <c r="Q488" s="61">
        <v>-6.727</v>
      </c>
      <c r="R488" s="61">
        <v>0.213</v>
      </c>
      <c r="S488" s="60"/>
      <c r="T488" s="60"/>
      <c r="U488" s="58"/>
      <c r="V488" s="5"/>
      <c r="W488" s="5"/>
      <c r="X488" s="5"/>
      <c r="Y488" s="166"/>
      <c r="Z488" s="60">
        <v>17.88</v>
      </c>
      <c r="AA488" s="60">
        <v>0.011</v>
      </c>
      <c r="AB488" s="60"/>
      <c r="AC488" s="60"/>
      <c r="AD488" s="60"/>
      <c r="AE488" s="60"/>
      <c r="AF488" s="60"/>
      <c r="AG488" s="60"/>
      <c r="AH488" s="60">
        <v>16.9</v>
      </c>
      <c r="AI488" s="60">
        <v>0.02459674775</v>
      </c>
      <c r="AJ488" s="76" t="s">
        <v>759</v>
      </c>
      <c r="AK488" s="64" t="s">
        <v>820</v>
      </c>
      <c r="AL488" s="168"/>
      <c r="AM488" s="7"/>
      <c r="AN488" s="77">
        <v>1250.0</v>
      </c>
      <c r="AO488" s="64">
        <v>50.0</v>
      </c>
      <c r="AP488" s="13"/>
      <c r="AQ488" s="13"/>
      <c r="AR488" s="78"/>
      <c r="AS488" s="97"/>
      <c r="AT488" s="67">
        <v>0.4</v>
      </c>
      <c r="AU488" s="70">
        <v>0.04</v>
      </c>
      <c r="AV488" s="13"/>
      <c r="AW488" s="13"/>
      <c r="AX488" s="73"/>
      <c r="AY488" s="73"/>
      <c r="AZ488" s="68" t="s">
        <v>812</v>
      </c>
      <c r="BA488" s="68" t="s">
        <v>821</v>
      </c>
      <c r="BB488" s="68">
        <v>-56.32</v>
      </c>
      <c r="BC488" s="68">
        <v>9.58</v>
      </c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2"/>
      <c r="DK488" s="12"/>
      <c r="DL488" s="12"/>
      <c r="DM488" s="69"/>
      <c r="DN488" s="69"/>
      <c r="DO488" s="69"/>
      <c r="DP488" s="69"/>
      <c r="DQ488" s="11"/>
      <c r="DR488" s="69"/>
      <c r="DS488" s="69"/>
      <c r="DT488" s="69"/>
      <c r="DU488" s="69"/>
      <c r="DV488" s="97"/>
      <c r="DW488" s="98"/>
      <c r="DX488" s="71">
        <v>5.01E-9</v>
      </c>
      <c r="DY488" s="114">
        <v>6.93E-9</v>
      </c>
      <c r="DZ488" s="64" t="s">
        <v>762</v>
      </c>
      <c r="EA488" s="72" t="s">
        <v>822</v>
      </c>
      <c r="EB488" s="82"/>
    </row>
    <row r="489">
      <c r="A489" s="167" t="s">
        <v>1134</v>
      </c>
      <c r="B489" s="56" t="s">
        <v>1135</v>
      </c>
      <c r="C489" s="3"/>
      <c r="D489" s="4"/>
      <c r="E489" s="4"/>
      <c r="F489" s="57" t="s">
        <v>168</v>
      </c>
      <c r="G489" s="61">
        <v>271.22958</v>
      </c>
      <c r="H489" s="61">
        <v>-24.11237</v>
      </c>
      <c r="I489" s="60" t="s">
        <v>819</v>
      </c>
      <c r="J489" s="60" t="s">
        <v>169</v>
      </c>
      <c r="K489" s="61">
        <v>5.8</v>
      </c>
      <c r="L489" s="60">
        <v>0.32</v>
      </c>
      <c r="M489" s="60">
        <v>2.0</v>
      </c>
      <c r="N489" s="61">
        <v>591.261160054396</v>
      </c>
      <c r="O489" s="61">
        <v>-7.045</v>
      </c>
      <c r="P489" s="61">
        <v>0.163</v>
      </c>
      <c r="Q489" s="61">
        <v>-12.817</v>
      </c>
      <c r="R489" s="61">
        <v>0.137</v>
      </c>
      <c r="S489" s="60"/>
      <c r="T489" s="60"/>
      <c r="U489" s="58"/>
      <c r="V489" s="5"/>
      <c r="W489" s="5"/>
      <c r="X489" s="5"/>
      <c r="Y489" s="166"/>
      <c r="Z489" s="60">
        <v>17.03</v>
      </c>
      <c r="AA489" s="60">
        <v>0.005</v>
      </c>
      <c r="AB489" s="60"/>
      <c r="AC489" s="60"/>
      <c r="AD489" s="60"/>
      <c r="AE489" s="60"/>
      <c r="AF489" s="60"/>
      <c r="AG489" s="60"/>
      <c r="AH489" s="60">
        <v>16.34</v>
      </c>
      <c r="AI489" s="60">
        <v>0.013</v>
      </c>
      <c r="AJ489" s="76" t="s">
        <v>759</v>
      </c>
      <c r="AK489" s="64" t="s">
        <v>820</v>
      </c>
      <c r="AL489" s="168"/>
      <c r="AM489" s="7"/>
      <c r="AN489" s="77">
        <v>1250.0</v>
      </c>
      <c r="AO489" s="64">
        <v>50.0</v>
      </c>
      <c r="AP489" s="13"/>
      <c r="AQ489" s="13"/>
      <c r="AR489" s="78"/>
      <c r="AS489" s="97"/>
      <c r="AT489" s="67">
        <v>0.4</v>
      </c>
      <c r="AU489" s="70">
        <v>0.02</v>
      </c>
      <c r="AV489" s="13"/>
      <c r="AW489" s="13"/>
      <c r="AX489" s="73"/>
      <c r="AY489" s="73"/>
      <c r="AZ489" s="68" t="s">
        <v>812</v>
      </c>
      <c r="BA489" s="68" t="s">
        <v>821</v>
      </c>
      <c r="BB489" s="68">
        <v>-19.14</v>
      </c>
      <c r="BC489" s="68">
        <v>2.9</v>
      </c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2"/>
      <c r="DK489" s="12"/>
      <c r="DL489" s="12"/>
      <c r="DM489" s="69"/>
      <c r="DN489" s="69"/>
      <c r="DO489" s="69"/>
      <c r="DP489" s="69"/>
      <c r="DQ489" s="11"/>
      <c r="DR489" s="69"/>
      <c r="DS489" s="69"/>
      <c r="DT489" s="69"/>
      <c r="DU489" s="69"/>
      <c r="DV489" s="97"/>
      <c r="DW489" s="98"/>
      <c r="DX489" s="71">
        <v>5.01E-9</v>
      </c>
      <c r="DY489" s="114">
        <v>6.93E-9</v>
      </c>
      <c r="DZ489" s="64" t="s">
        <v>762</v>
      </c>
      <c r="EA489" s="72" t="s">
        <v>822</v>
      </c>
      <c r="EB489" s="82"/>
    </row>
    <row r="490">
      <c r="A490" s="167" t="s">
        <v>1136</v>
      </c>
      <c r="B490" s="56" t="s">
        <v>1137</v>
      </c>
      <c r="C490" s="3"/>
      <c r="D490" s="4"/>
      <c r="E490" s="4"/>
      <c r="F490" s="57" t="s">
        <v>168</v>
      </c>
      <c r="G490" s="61">
        <v>270.7477</v>
      </c>
      <c r="H490" s="61">
        <v>-24.30582</v>
      </c>
      <c r="I490" s="60" t="s">
        <v>819</v>
      </c>
      <c r="J490" s="60" t="s">
        <v>169</v>
      </c>
      <c r="K490" s="61">
        <v>6.2</v>
      </c>
      <c r="L490" s="60">
        <v>0.7</v>
      </c>
      <c r="M490" s="60">
        <v>2.0</v>
      </c>
      <c r="N490" s="61">
        <v>2042.48366013071</v>
      </c>
      <c r="O490" s="61">
        <v>-4.63</v>
      </c>
      <c r="P490" s="61">
        <v>0.455</v>
      </c>
      <c r="Q490" s="61">
        <v>-3.622</v>
      </c>
      <c r="R490" s="61">
        <v>0.379</v>
      </c>
      <c r="S490" s="60"/>
      <c r="T490" s="60"/>
      <c r="U490" s="58"/>
      <c r="V490" s="5"/>
      <c r="W490" s="5"/>
      <c r="X490" s="5"/>
      <c r="Y490" s="166"/>
      <c r="Z490" s="60">
        <v>18.19</v>
      </c>
      <c r="AA490" s="60">
        <v>0.012</v>
      </c>
      <c r="AB490" s="60"/>
      <c r="AC490" s="60"/>
      <c r="AD490" s="60"/>
      <c r="AE490" s="60"/>
      <c r="AF490" s="60"/>
      <c r="AG490" s="60"/>
      <c r="AH490" s="60">
        <v>16.91</v>
      </c>
      <c r="AI490" s="60">
        <v>0.02505992817</v>
      </c>
      <c r="AJ490" s="76" t="s">
        <v>759</v>
      </c>
      <c r="AK490" s="64" t="s">
        <v>820</v>
      </c>
      <c r="AL490" s="168"/>
      <c r="AM490" s="7"/>
      <c r="AN490" s="77">
        <v>1250.0</v>
      </c>
      <c r="AO490" s="64">
        <v>50.0</v>
      </c>
      <c r="AP490" s="13"/>
      <c r="AQ490" s="13"/>
      <c r="AR490" s="78"/>
      <c r="AS490" s="97"/>
      <c r="AT490" s="67">
        <v>0.4</v>
      </c>
      <c r="AU490" s="70">
        <v>0.05</v>
      </c>
      <c r="AV490" s="13"/>
      <c r="AW490" s="13"/>
      <c r="AX490" s="73"/>
      <c r="AY490" s="73"/>
      <c r="AZ490" s="68" t="s">
        <v>812</v>
      </c>
      <c r="BA490" s="68" t="s">
        <v>821</v>
      </c>
      <c r="BB490" s="68">
        <v>-109.37</v>
      </c>
      <c r="BC490" s="68">
        <v>20.1</v>
      </c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2"/>
      <c r="DK490" s="12"/>
      <c r="DL490" s="12"/>
      <c r="DM490" s="69"/>
      <c r="DN490" s="69"/>
      <c r="DO490" s="69"/>
      <c r="DP490" s="69"/>
      <c r="DQ490" s="11"/>
      <c r="DR490" s="69"/>
      <c r="DS490" s="69"/>
      <c r="DT490" s="69"/>
      <c r="DU490" s="69"/>
      <c r="DV490" s="97"/>
      <c r="DW490" s="98"/>
      <c r="DX490" s="71">
        <v>6.31E-9</v>
      </c>
      <c r="DY490" s="114">
        <v>8.72E-9</v>
      </c>
      <c r="DZ490" s="64" t="s">
        <v>762</v>
      </c>
      <c r="EA490" s="72" t="s">
        <v>822</v>
      </c>
      <c r="EB490" s="82"/>
    </row>
    <row r="491">
      <c r="A491" s="167" t="s">
        <v>1138</v>
      </c>
      <c r="B491" s="56" t="s">
        <v>1139</v>
      </c>
      <c r="C491" s="3"/>
      <c r="D491" s="4"/>
      <c r="E491" s="4"/>
      <c r="F491" s="57" t="s">
        <v>168</v>
      </c>
      <c r="G491" s="61">
        <v>270.91898</v>
      </c>
      <c r="H491" s="61">
        <v>-24.53543</v>
      </c>
      <c r="I491" s="60" t="s">
        <v>819</v>
      </c>
      <c r="J491" s="60" t="s">
        <v>169</v>
      </c>
      <c r="K491" s="61">
        <v>5.1</v>
      </c>
      <c r="L491" s="60">
        <v>0.48</v>
      </c>
      <c r="M491" s="60">
        <v>2.0</v>
      </c>
      <c r="N491" s="61">
        <v>4189.3590280687</v>
      </c>
      <c r="O491" s="61">
        <v>-1.604</v>
      </c>
      <c r="P491" s="61">
        <v>0.338</v>
      </c>
      <c r="Q491" s="61">
        <v>-5.924</v>
      </c>
      <c r="R491" s="61">
        <v>0.254</v>
      </c>
      <c r="S491" s="60"/>
      <c r="T491" s="60"/>
      <c r="U491" s="58"/>
      <c r="V491" s="5"/>
      <c r="W491" s="5"/>
      <c r="X491" s="5"/>
      <c r="Y491" s="166"/>
      <c r="Z491" s="60">
        <v>17.85</v>
      </c>
      <c r="AA491" s="60">
        <v>0.008</v>
      </c>
      <c r="AB491" s="60"/>
      <c r="AC491" s="60"/>
      <c r="AD491" s="60"/>
      <c r="AE491" s="60"/>
      <c r="AF491" s="60"/>
      <c r="AG491" s="60"/>
      <c r="AH491" s="60">
        <v>16.85</v>
      </c>
      <c r="AI491" s="60">
        <v>0.017</v>
      </c>
      <c r="AJ491" s="76" t="s">
        <v>759</v>
      </c>
      <c r="AK491" s="64" t="s">
        <v>820</v>
      </c>
      <c r="AL491" s="168"/>
      <c r="AM491" s="7"/>
      <c r="AN491" s="77">
        <v>1250.0</v>
      </c>
      <c r="AO491" s="64">
        <v>50.0</v>
      </c>
      <c r="AP491" s="13"/>
      <c r="AQ491" s="13"/>
      <c r="AR491" s="78"/>
      <c r="AS491" s="97"/>
      <c r="AT491" s="67">
        <v>0.4</v>
      </c>
      <c r="AU491" s="70">
        <v>0.03</v>
      </c>
      <c r="AV491" s="13"/>
      <c r="AW491" s="13"/>
      <c r="AX491" s="73"/>
      <c r="AY491" s="73"/>
      <c r="AZ491" s="68" t="s">
        <v>812</v>
      </c>
      <c r="BA491" s="68" t="s">
        <v>821</v>
      </c>
      <c r="BB491" s="68">
        <v>-59.32</v>
      </c>
      <c r="BC491" s="68">
        <v>10.6</v>
      </c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2"/>
      <c r="DK491" s="12"/>
      <c r="DL491" s="12"/>
      <c r="DM491" s="69"/>
      <c r="DN491" s="69"/>
      <c r="DO491" s="69"/>
      <c r="DP491" s="69"/>
      <c r="DQ491" s="11"/>
      <c r="DR491" s="69"/>
      <c r="DS491" s="69"/>
      <c r="DT491" s="69"/>
      <c r="DU491" s="69"/>
      <c r="DV491" s="97"/>
      <c r="DW491" s="98"/>
      <c r="DX491" s="71">
        <v>6.31E-9</v>
      </c>
      <c r="DY491" s="114">
        <v>8.72E-9</v>
      </c>
      <c r="DZ491" s="64" t="s">
        <v>762</v>
      </c>
      <c r="EA491" s="72" t="s">
        <v>822</v>
      </c>
      <c r="EB491" s="82"/>
    </row>
    <row r="492">
      <c r="A492" s="167" t="s">
        <v>1140</v>
      </c>
      <c r="B492" s="56" t="s">
        <v>1141</v>
      </c>
      <c r="C492" s="3"/>
      <c r="D492" s="4"/>
      <c r="E492" s="4"/>
      <c r="F492" s="57" t="s">
        <v>168</v>
      </c>
      <c r="G492" s="61">
        <v>271.37485</v>
      </c>
      <c r="H492" s="61">
        <v>-24.50648</v>
      </c>
      <c r="I492" s="60" t="s">
        <v>819</v>
      </c>
      <c r="J492" s="60" t="s">
        <v>169</v>
      </c>
      <c r="K492" s="61">
        <v>4.5</v>
      </c>
      <c r="L492" s="60">
        <v>0.55</v>
      </c>
      <c r="M492" s="60">
        <v>2.0</v>
      </c>
      <c r="N492" s="61">
        <v>1942.12468440473</v>
      </c>
      <c r="O492" s="61">
        <v>-0.09</v>
      </c>
      <c r="P492" s="61">
        <v>0.348</v>
      </c>
      <c r="Q492" s="61">
        <v>-2.909</v>
      </c>
      <c r="R492" s="61">
        <v>0.279</v>
      </c>
      <c r="S492" s="60"/>
      <c r="T492" s="60"/>
      <c r="U492" s="58"/>
      <c r="V492" s="5"/>
      <c r="W492" s="5"/>
      <c r="X492" s="5"/>
      <c r="Y492" s="166"/>
      <c r="Z492" s="60">
        <v>17.77</v>
      </c>
      <c r="AA492" s="60">
        <v>0.009</v>
      </c>
      <c r="AB492" s="60"/>
      <c r="AC492" s="60"/>
      <c r="AD492" s="60"/>
      <c r="AE492" s="60"/>
      <c r="AF492" s="60"/>
      <c r="AG492" s="60"/>
      <c r="AH492" s="60">
        <v>16.87</v>
      </c>
      <c r="AI492" s="60">
        <v>0.02657066051</v>
      </c>
      <c r="AJ492" s="76" t="s">
        <v>759</v>
      </c>
      <c r="AK492" s="64" t="s">
        <v>820</v>
      </c>
      <c r="AL492" s="168"/>
      <c r="AM492" s="7"/>
      <c r="AN492" s="77">
        <v>1250.0</v>
      </c>
      <c r="AO492" s="64">
        <v>50.0</v>
      </c>
      <c r="AP492" s="13"/>
      <c r="AQ492" s="13"/>
      <c r="AR492" s="78"/>
      <c r="AS492" s="97"/>
      <c r="AT492" s="67">
        <v>0.4</v>
      </c>
      <c r="AU492" s="70">
        <v>0.04</v>
      </c>
      <c r="AV492" s="13"/>
      <c r="AW492" s="13"/>
      <c r="AX492" s="73"/>
      <c r="AY492" s="73"/>
      <c r="AZ492" s="68" t="s">
        <v>812</v>
      </c>
      <c r="BA492" s="68" t="s">
        <v>821</v>
      </c>
      <c r="BB492" s="68">
        <v>-35.33</v>
      </c>
      <c r="BC492" s="68">
        <v>5.27</v>
      </c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2"/>
      <c r="DK492" s="12"/>
      <c r="DL492" s="12"/>
      <c r="DM492" s="69"/>
      <c r="DN492" s="69"/>
      <c r="DO492" s="69"/>
      <c r="DP492" s="69"/>
      <c r="DQ492" s="11"/>
      <c r="DR492" s="69"/>
      <c r="DS492" s="69"/>
      <c r="DT492" s="69"/>
      <c r="DU492" s="69"/>
      <c r="DV492" s="97"/>
      <c r="DW492" s="98"/>
      <c r="DX492" s="71">
        <v>6.31E-9</v>
      </c>
      <c r="DY492" s="114">
        <v>8.72E-9</v>
      </c>
      <c r="DZ492" s="64" t="s">
        <v>762</v>
      </c>
      <c r="EA492" s="72" t="s">
        <v>822</v>
      </c>
      <c r="EB492" s="82"/>
    </row>
    <row r="493">
      <c r="A493" s="167" t="s">
        <v>1142</v>
      </c>
      <c r="B493" s="55" t="s">
        <v>1143</v>
      </c>
      <c r="C493" s="3"/>
      <c r="D493" s="4"/>
      <c r="E493" s="4"/>
      <c r="F493" s="57" t="s">
        <v>168</v>
      </c>
      <c r="G493" s="61">
        <v>271.1018</v>
      </c>
      <c r="H493" s="61">
        <v>-24.2123</v>
      </c>
      <c r="I493" s="60" t="s">
        <v>819</v>
      </c>
      <c r="J493" s="60" t="s">
        <v>169</v>
      </c>
      <c r="K493" s="61">
        <v>5.9</v>
      </c>
      <c r="L493" s="60">
        <v>0.48</v>
      </c>
      <c r="M493" s="60">
        <v>2.0</v>
      </c>
      <c r="N493" s="61">
        <v>3357.95836131631</v>
      </c>
      <c r="O493" s="61">
        <v>1.993</v>
      </c>
      <c r="P493" s="61">
        <v>0.427</v>
      </c>
      <c r="Q493" s="61">
        <v>-1.041</v>
      </c>
      <c r="R493" s="61">
        <v>0.354</v>
      </c>
      <c r="S493" s="60"/>
      <c r="T493" s="60"/>
      <c r="U493" s="58"/>
      <c r="V493" s="5"/>
      <c r="W493" s="5"/>
      <c r="X493" s="5"/>
      <c r="Y493" s="166"/>
      <c r="Z493" s="60">
        <v>17.55</v>
      </c>
      <c r="AA493" s="60">
        <v>0.008</v>
      </c>
      <c r="AB493" s="60"/>
      <c r="AC493" s="60"/>
      <c r="AD493" s="60"/>
      <c r="AE493" s="60"/>
      <c r="AF493" s="60"/>
      <c r="AG493" s="60"/>
      <c r="AH493" s="60">
        <v>16.6</v>
      </c>
      <c r="AI493" s="60">
        <v>0.0196977156</v>
      </c>
      <c r="AJ493" s="76" t="s">
        <v>759</v>
      </c>
      <c r="AK493" s="64" t="s">
        <v>820</v>
      </c>
      <c r="AL493" s="168"/>
      <c r="AM493" s="7"/>
      <c r="AN493" s="77">
        <v>1250.0</v>
      </c>
      <c r="AO493" s="64">
        <v>50.0</v>
      </c>
      <c r="AP493" s="13"/>
      <c r="AQ493" s="13"/>
      <c r="AR493" s="78"/>
      <c r="AS493" s="97"/>
      <c r="AT493" s="67">
        <v>0.4</v>
      </c>
      <c r="AU493" s="70">
        <v>0.03</v>
      </c>
      <c r="AV493" s="13"/>
      <c r="AW493" s="13"/>
      <c r="AX493" s="73"/>
      <c r="AY493" s="73"/>
      <c r="AZ493" s="68" t="s">
        <v>812</v>
      </c>
      <c r="BA493" s="68" t="s">
        <v>821</v>
      </c>
      <c r="BB493" s="68">
        <v>-50.42</v>
      </c>
      <c r="BC493" s="68">
        <v>8.74</v>
      </c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2"/>
      <c r="DK493" s="12"/>
      <c r="DL493" s="12"/>
      <c r="DM493" s="69"/>
      <c r="DN493" s="69"/>
      <c r="DO493" s="69"/>
      <c r="DP493" s="69"/>
      <c r="DQ493" s="11"/>
      <c r="DR493" s="69"/>
      <c r="DS493" s="69"/>
      <c r="DT493" s="69"/>
      <c r="DU493" s="69"/>
      <c r="DV493" s="97"/>
      <c r="DW493" s="98"/>
      <c r="DX493" s="71">
        <v>7.94E-9</v>
      </c>
      <c r="DY493" s="114">
        <v>1.1E-8</v>
      </c>
      <c r="DZ493" s="64" t="s">
        <v>762</v>
      </c>
      <c r="EA493" s="72" t="s">
        <v>822</v>
      </c>
      <c r="EB493" s="82"/>
    </row>
    <row r="494">
      <c r="A494" s="167" t="s">
        <v>1144</v>
      </c>
      <c r="B494" s="56" t="s">
        <v>1145</v>
      </c>
      <c r="C494" s="3"/>
      <c r="D494" s="4"/>
      <c r="E494" s="4"/>
      <c r="F494" s="57" t="s">
        <v>168</v>
      </c>
      <c r="G494" s="61">
        <v>271.16916</v>
      </c>
      <c r="H494" s="61">
        <v>-24.24368</v>
      </c>
      <c r="I494" s="60" t="s">
        <v>819</v>
      </c>
      <c r="J494" s="60" t="s">
        <v>169</v>
      </c>
      <c r="K494" s="61">
        <v>5.8</v>
      </c>
      <c r="L494" s="60">
        <v>0.44</v>
      </c>
      <c r="M494" s="60">
        <v>2.0</v>
      </c>
      <c r="N494" s="61">
        <v>1181.75372252422</v>
      </c>
      <c r="O494" s="61">
        <v>1.066</v>
      </c>
      <c r="P494" s="61">
        <v>0.232</v>
      </c>
      <c r="Q494" s="61">
        <v>-1.743</v>
      </c>
      <c r="R494" s="61">
        <v>0.187</v>
      </c>
      <c r="S494" s="60"/>
      <c r="T494" s="60"/>
      <c r="U494" s="58"/>
      <c r="V494" s="5"/>
      <c r="W494" s="5"/>
      <c r="X494" s="5"/>
      <c r="Y494" s="166"/>
      <c r="Z494" s="60">
        <v>17.54</v>
      </c>
      <c r="AA494" s="60">
        <v>0.007</v>
      </c>
      <c r="AB494" s="60"/>
      <c r="AC494" s="60"/>
      <c r="AD494" s="60"/>
      <c r="AE494" s="60"/>
      <c r="AF494" s="60"/>
      <c r="AG494" s="60"/>
      <c r="AH494" s="60">
        <v>16.6</v>
      </c>
      <c r="AI494" s="60">
        <v>0.01655294536</v>
      </c>
      <c r="AJ494" s="76" t="s">
        <v>759</v>
      </c>
      <c r="AK494" s="64" t="s">
        <v>820</v>
      </c>
      <c r="AL494" s="168"/>
      <c r="AM494" s="7"/>
      <c r="AN494" s="77">
        <v>1250.0</v>
      </c>
      <c r="AO494" s="64">
        <v>50.0</v>
      </c>
      <c r="AP494" s="13"/>
      <c r="AQ494" s="13"/>
      <c r="AR494" s="78"/>
      <c r="AS494" s="97"/>
      <c r="AT494" s="67">
        <v>0.4</v>
      </c>
      <c r="AU494" s="70">
        <v>0.03</v>
      </c>
      <c r="AV494" s="13"/>
      <c r="AW494" s="13"/>
      <c r="AX494" s="73"/>
      <c r="AY494" s="73"/>
      <c r="AZ494" s="68" t="s">
        <v>812</v>
      </c>
      <c r="BA494" s="68" t="s">
        <v>821</v>
      </c>
      <c r="BB494" s="68">
        <v>-46.06</v>
      </c>
      <c r="BC494" s="68">
        <v>8.02</v>
      </c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2"/>
      <c r="DK494" s="12"/>
      <c r="DL494" s="12"/>
      <c r="DM494" s="69"/>
      <c r="DN494" s="69"/>
      <c r="DO494" s="69"/>
      <c r="DP494" s="69"/>
      <c r="DQ494" s="11"/>
      <c r="DR494" s="69"/>
      <c r="DS494" s="69"/>
      <c r="DT494" s="69"/>
      <c r="DU494" s="69"/>
      <c r="DV494" s="97"/>
      <c r="DW494" s="98"/>
      <c r="DX494" s="71">
        <v>7.94E-9</v>
      </c>
      <c r="DY494" s="114">
        <v>1.1E-8</v>
      </c>
      <c r="DZ494" s="64" t="s">
        <v>762</v>
      </c>
      <c r="EA494" s="72" t="s">
        <v>822</v>
      </c>
      <c r="EB494" s="82"/>
    </row>
    <row r="495">
      <c r="A495" s="167" t="s">
        <v>1146</v>
      </c>
      <c r="B495" s="56" t="s">
        <v>1147</v>
      </c>
      <c r="C495" s="3"/>
      <c r="D495" s="4"/>
      <c r="E495" s="4"/>
      <c r="F495" s="57" t="s">
        <v>168</v>
      </c>
      <c r="G495" s="61">
        <v>270.63977</v>
      </c>
      <c r="H495" s="61">
        <v>-24.24856</v>
      </c>
      <c r="I495" s="60" t="s">
        <v>819</v>
      </c>
      <c r="J495" s="60" t="s">
        <v>169</v>
      </c>
      <c r="K495" s="61">
        <v>4.7</v>
      </c>
      <c r="L495" s="60">
        <v>0.19</v>
      </c>
      <c r="M495" s="60">
        <v>2.0</v>
      </c>
      <c r="N495" s="61">
        <v>1396.25802848366</v>
      </c>
      <c r="O495" s="61">
        <v>1.734</v>
      </c>
      <c r="P495" s="61">
        <v>0.177</v>
      </c>
      <c r="Q495" s="61">
        <v>-1.906</v>
      </c>
      <c r="R495" s="61">
        <v>0.159</v>
      </c>
      <c r="S495" s="60"/>
      <c r="T495" s="60"/>
      <c r="U495" s="58"/>
      <c r="V495" s="5"/>
      <c r="W495" s="5"/>
      <c r="X495" s="5"/>
      <c r="Y495" s="166"/>
      <c r="Z495" s="60">
        <v>16.4</v>
      </c>
      <c r="AA495" s="60">
        <v>0.003</v>
      </c>
      <c r="AB495" s="60"/>
      <c r="AC495" s="60"/>
      <c r="AD495" s="60"/>
      <c r="AE495" s="60"/>
      <c r="AF495" s="60"/>
      <c r="AG495" s="60"/>
      <c r="AH495" s="60">
        <v>15.73</v>
      </c>
      <c r="AI495" s="60">
        <v>0.006708203932</v>
      </c>
      <c r="AJ495" s="76" t="s">
        <v>759</v>
      </c>
      <c r="AK495" s="64" t="s">
        <v>820</v>
      </c>
      <c r="AL495" s="168"/>
      <c r="AM495" s="7"/>
      <c r="AN495" s="77">
        <v>1250.0</v>
      </c>
      <c r="AO495" s="64">
        <v>50.0</v>
      </c>
      <c r="AP495" s="13"/>
      <c r="AQ495" s="13"/>
      <c r="AR495" s="78"/>
      <c r="AS495" s="97"/>
      <c r="AT495" s="67">
        <v>0.4</v>
      </c>
      <c r="AU495" s="70">
        <v>0.01</v>
      </c>
      <c r="AV495" s="13"/>
      <c r="AW495" s="13"/>
      <c r="AX495" s="73"/>
      <c r="AY495" s="73"/>
      <c r="AZ495" s="68" t="s">
        <v>812</v>
      </c>
      <c r="BA495" s="68" t="s">
        <v>821</v>
      </c>
      <c r="BB495" s="68">
        <v>-18.9</v>
      </c>
      <c r="BC495" s="68">
        <v>3.27</v>
      </c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2"/>
      <c r="DK495" s="12"/>
      <c r="DL495" s="12"/>
      <c r="DM495" s="69"/>
      <c r="DN495" s="69"/>
      <c r="DO495" s="69"/>
      <c r="DP495" s="69"/>
      <c r="DQ495" s="11"/>
      <c r="DR495" s="69"/>
      <c r="DS495" s="69"/>
      <c r="DT495" s="69"/>
      <c r="DU495" s="69"/>
      <c r="DV495" s="97"/>
      <c r="DW495" s="98"/>
      <c r="DX495" s="71">
        <v>1.26E-8</v>
      </c>
      <c r="DY495" s="114">
        <v>1.74E-8</v>
      </c>
      <c r="DZ495" s="64" t="s">
        <v>762</v>
      </c>
      <c r="EA495" s="72" t="s">
        <v>822</v>
      </c>
      <c r="EB495" s="82"/>
    </row>
    <row r="496">
      <c r="A496" s="167" t="s">
        <v>1148</v>
      </c>
      <c r="B496" s="56" t="s">
        <v>1149</v>
      </c>
      <c r="C496" s="3"/>
      <c r="D496" s="4"/>
      <c r="E496" s="4"/>
      <c r="F496" s="57" t="s">
        <v>168</v>
      </c>
      <c r="G496" s="61">
        <v>270.87918</v>
      </c>
      <c r="H496" s="61">
        <v>-24.12416</v>
      </c>
      <c r="I496" s="60" t="s">
        <v>819</v>
      </c>
      <c r="J496" s="60" t="s">
        <v>169</v>
      </c>
      <c r="K496" s="61">
        <v>5.8</v>
      </c>
      <c r="L496" s="60">
        <v>0.24</v>
      </c>
      <c r="M496" s="60">
        <v>2.0</v>
      </c>
      <c r="N496" s="61">
        <v>1305.82397492817</v>
      </c>
      <c r="O496" s="61">
        <v>1.632</v>
      </c>
      <c r="P496" s="61">
        <v>0.186</v>
      </c>
      <c r="Q496" s="61">
        <v>-1.463</v>
      </c>
      <c r="R496" s="61">
        <v>0.168</v>
      </c>
      <c r="S496" s="60"/>
      <c r="T496" s="60"/>
      <c r="U496" s="58"/>
      <c r="V496" s="5"/>
      <c r="W496" s="5"/>
      <c r="X496" s="5"/>
      <c r="Y496" s="166"/>
      <c r="Z496" s="60">
        <v>16.8</v>
      </c>
      <c r="AA496" s="60">
        <v>0.004</v>
      </c>
      <c r="AB496" s="60"/>
      <c r="AC496" s="60"/>
      <c r="AD496" s="60"/>
      <c r="AE496" s="60"/>
      <c r="AF496" s="60"/>
      <c r="AG496" s="60"/>
      <c r="AH496" s="60">
        <v>15.98</v>
      </c>
      <c r="AI496" s="60">
        <v>0.008062257748</v>
      </c>
      <c r="AJ496" s="76" t="s">
        <v>759</v>
      </c>
      <c r="AK496" s="64" t="s">
        <v>820</v>
      </c>
      <c r="AL496" s="168"/>
      <c r="AM496" s="7"/>
      <c r="AN496" s="77">
        <v>1250.0</v>
      </c>
      <c r="AO496" s="64">
        <v>50.0</v>
      </c>
      <c r="AP496" s="13"/>
      <c r="AQ496" s="13"/>
      <c r="AR496" s="78"/>
      <c r="AS496" s="97"/>
      <c r="AT496" s="67">
        <v>0.4</v>
      </c>
      <c r="AU496" s="70">
        <v>0.01</v>
      </c>
      <c r="AV496" s="13"/>
      <c r="AW496" s="13"/>
      <c r="AX496" s="73"/>
      <c r="AY496" s="73"/>
      <c r="AZ496" s="68" t="s">
        <v>812</v>
      </c>
      <c r="BA496" s="68" t="s">
        <v>821</v>
      </c>
      <c r="BB496" s="68">
        <v>-38.3</v>
      </c>
      <c r="BC496" s="68">
        <v>7.08</v>
      </c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2"/>
      <c r="DK496" s="12"/>
      <c r="DL496" s="12"/>
      <c r="DM496" s="69"/>
      <c r="DN496" s="69"/>
      <c r="DO496" s="69"/>
      <c r="DP496" s="69"/>
      <c r="DQ496" s="11"/>
      <c r="DR496" s="69"/>
      <c r="DS496" s="69"/>
      <c r="DT496" s="69"/>
      <c r="DU496" s="69"/>
      <c r="DV496" s="97"/>
      <c r="DW496" s="98"/>
      <c r="DX496" s="71">
        <v>1.26E-8</v>
      </c>
      <c r="DY496" s="114">
        <v>1.74E-8</v>
      </c>
      <c r="DZ496" s="64" t="s">
        <v>762</v>
      </c>
      <c r="EA496" s="72" t="s">
        <v>822</v>
      </c>
      <c r="EB496" s="82"/>
    </row>
    <row r="497">
      <c r="A497" s="167" t="s">
        <v>1150</v>
      </c>
      <c r="B497" s="56" t="s">
        <v>1151</v>
      </c>
      <c r="C497" s="3"/>
      <c r="D497" s="4"/>
      <c r="E497" s="4"/>
      <c r="F497" s="57" t="s">
        <v>168</v>
      </c>
      <c r="G497" s="61">
        <v>271.16095</v>
      </c>
      <c r="H497" s="61">
        <v>-24.19673</v>
      </c>
      <c r="I497" s="60" t="s">
        <v>819</v>
      </c>
      <c r="J497" s="60" t="s">
        <v>169</v>
      </c>
      <c r="K497" s="61">
        <v>6.0</v>
      </c>
      <c r="L497" s="60">
        <v>0.46</v>
      </c>
      <c r="M497" s="60">
        <v>2.0</v>
      </c>
      <c r="N497" s="61">
        <v>1305.31262237305</v>
      </c>
      <c r="O497" s="61">
        <v>0.605</v>
      </c>
      <c r="P497" s="61">
        <v>0.348</v>
      </c>
      <c r="Q497" s="61">
        <v>-1.821</v>
      </c>
      <c r="R497" s="61">
        <v>0.267</v>
      </c>
      <c r="S497" s="60"/>
      <c r="T497" s="60"/>
      <c r="U497" s="58"/>
      <c r="V497" s="5"/>
      <c r="W497" s="5"/>
      <c r="X497" s="5"/>
      <c r="Y497" s="166"/>
      <c r="Z497" s="60">
        <v>17.55</v>
      </c>
      <c r="AA497" s="60">
        <v>0.008</v>
      </c>
      <c r="AB497" s="60"/>
      <c r="AC497" s="60"/>
      <c r="AD497" s="60"/>
      <c r="AE497" s="60"/>
      <c r="AF497" s="60"/>
      <c r="AG497" s="60"/>
      <c r="AH497" s="60">
        <v>16.45</v>
      </c>
      <c r="AI497" s="60">
        <v>0.0161245155</v>
      </c>
      <c r="AJ497" s="76" t="s">
        <v>759</v>
      </c>
      <c r="AK497" s="64" t="s">
        <v>820</v>
      </c>
      <c r="AL497" s="168"/>
      <c r="AM497" s="7"/>
      <c r="AN497" s="77">
        <v>1250.0</v>
      </c>
      <c r="AO497" s="64">
        <v>50.0</v>
      </c>
      <c r="AP497" s="13"/>
      <c r="AQ497" s="13"/>
      <c r="AR497" s="78"/>
      <c r="AS497" s="97"/>
      <c r="AT497" s="67">
        <v>0.4</v>
      </c>
      <c r="AU497" s="70">
        <v>0.03</v>
      </c>
      <c r="AV497" s="13"/>
      <c r="AW497" s="13"/>
      <c r="AX497" s="73"/>
      <c r="AY497" s="73"/>
      <c r="AZ497" s="68" t="s">
        <v>812</v>
      </c>
      <c r="BA497" s="68" t="s">
        <v>821</v>
      </c>
      <c r="BB497" s="68">
        <v>-76.57</v>
      </c>
      <c r="BC497" s="68">
        <v>14.1</v>
      </c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2"/>
      <c r="DK497" s="12"/>
      <c r="DL497" s="12"/>
      <c r="DM497" s="69"/>
      <c r="DN497" s="69"/>
      <c r="DO497" s="69"/>
      <c r="DP497" s="69"/>
      <c r="DQ497" s="11"/>
      <c r="DR497" s="69"/>
      <c r="DS497" s="69"/>
      <c r="DT497" s="69"/>
      <c r="DU497" s="69"/>
      <c r="DV497" s="97"/>
      <c r="DW497" s="98"/>
      <c r="DX497" s="71">
        <v>1.26E-8</v>
      </c>
      <c r="DY497" s="114">
        <v>1.74E-8</v>
      </c>
      <c r="DZ497" s="64" t="s">
        <v>762</v>
      </c>
      <c r="EA497" s="72" t="s">
        <v>822</v>
      </c>
      <c r="EB497" s="82"/>
    </row>
    <row r="498">
      <c r="A498" s="167" t="s">
        <v>1152</v>
      </c>
      <c r="B498" s="56" t="s">
        <v>1153</v>
      </c>
      <c r="C498" s="3"/>
      <c r="D498" s="4"/>
      <c r="E498" s="4"/>
      <c r="F498" s="57" t="s">
        <v>168</v>
      </c>
      <c r="G498" s="61">
        <v>271.3272</v>
      </c>
      <c r="H498" s="61">
        <v>-24.5212</v>
      </c>
      <c r="I498" s="60" t="s">
        <v>819</v>
      </c>
      <c r="J498" s="60" t="s">
        <v>169</v>
      </c>
      <c r="K498" s="61">
        <v>5.9</v>
      </c>
      <c r="L498" s="60">
        <v>0.32</v>
      </c>
      <c r="M498" s="60">
        <v>2.0</v>
      </c>
      <c r="N498" s="61">
        <v>2527.16704574172</v>
      </c>
      <c r="O498" s="61">
        <v>0.006</v>
      </c>
      <c r="P498" s="61">
        <v>0.223</v>
      </c>
      <c r="Q498" s="61">
        <v>-2.756</v>
      </c>
      <c r="R498" s="61">
        <v>0.184</v>
      </c>
      <c r="S498" s="60"/>
      <c r="T498" s="60"/>
      <c r="U498" s="58"/>
      <c r="V498" s="5"/>
      <c r="W498" s="5"/>
      <c r="X498" s="5"/>
      <c r="Y498" s="166"/>
      <c r="Z498" s="60">
        <v>17.05</v>
      </c>
      <c r="AA498" s="60">
        <v>0.005</v>
      </c>
      <c r="AB498" s="60"/>
      <c r="AC498" s="60"/>
      <c r="AD498" s="60"/>
      <c r="AE498" s="60"/>
      <c r="AF498" s="60"/>
      <c r="AG498" s="60"/>
      <c r="AH498" s="60">
        <v>16.19</v>
      </c>
      <c r="AI498" s="60">
        <v>0.01029563014</v>
      </c>
      <c r="AJ498" s="76" t="s">
        <v>759</v>
      </c>
      <c r="AK498" s="64" t="s">
        <v>820</v>
      </c>
      <c r="AL498" s="168"/>
      <c r="AM498" s="7"/>
      <c r="AN498" s="77">
        <v>1250.0</v>
      </c>
      <c r="AO498" s="64">
        <v>50.0</v>
      </c>
      <c r="AP498" s="13"/>
      <c r="AQ498" s="13"/>
      <c r="AR498" s="78"/>
      <c r="AS498" s="97"/>
      <c r="AT498" s="67">
        <v>0.4</v>
      </c>
      <c r="AU498" s="70">
        <v>0.02</v>
      </c>
      <c r="AV498" s="13"/>
      <c r="AW498" s="13"/>
      <c r="AX498" s="73"/>
      <c r="AY498" s="73"/>
      <c r="AZ498" s="68" t="s">
        <v>812</v>
      </c>
      <c r="BA498" s="68" t="s">
        <v>821</v>
      </c>
      <c r="BB498" s="68">
        <v>-43.42</v>
      </c>
      <c r="BC498" s="68">
        <v>7.9</v>
      </c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2"/>
      <c r="DK498" s="12"/>
      <c r="DL498" s="12"/>
      <c r="DM498" s="69"/>
      <c r="DN498" s="69"/>
      <c r="DO498" s="69"/>
      <c r="DP498" s="69"/>
      <c r="DQ498" s="11"/>
      <c r="DR498" s="69"/>
      <c r="DS498" s="69"/>
      <c r="DT498" s="69"/>
      <c r="DU498" s="69"/>
      <c r="DV498" s="97"/>
      <c r="DW498" s="98"/>
      <c r="DX498" s="71">
        <v>1.26E-8</v>
      </c>
      <c r="DY498" s="114">
        <v>1.74E-8</v>
      </c>
      <c r="DZ498" s="64" t="s">
        <v>762</v>
      </c>
      <c r="EA498" s="72" t="s">
        <v>822</v>
      </c>
      <c r="EB498" s="82"/>
    </row>
    <row r="499">
      <c r="A499" s="167" t="s">
        <v>1154</v>
      </c>
      <c r="B499" s="56" t="s">
        <v>1155</v>
      </c>
      <c r="C499" s="3"/>
      <c r="D499" s="4"/>
      <c r="E499" s="4"/>
      <c r="F499" s="57" t="s">
        <v>168</v>
      </c>
      <c r="G499" s="61">
        <v>270.67673</v>
      </c>
      <c r="H499" s="61">
        <v>-24.2544</v>
      </c>
      <c r="I499" s="60" t="s">
        <v>819</v>
      </c>
      <c r="J499" s="60" t="s">
        <v>169</v>
      </c>
      <c r="K499" s="61">
        <v>5.5</v>
      </c>
      <c r="L499" s="60">
        <v>0.19</v>
      </c>
      <c r="M499" s="60">
        <v>2.0</v>
      </c>
      <c r="N499" s="61">
        <v>1479.72773009766</v>
      </c>
      <c r="O499" s="61">
        <v>1.633</v>
      </c>
      <c r="P499" s="61">
        <v>0.224</v>
      </c>
      <c r="Q499" s="61">
        <v>-2.081</v>
      </c>
      <c r="R499" s="61">
        <v>0.202</v>
      </c>
      <c r="S499" s="60"/>
      <c r="T499" s="60"/>
      <c r="U499" s="58"/>
      <c r="V499" s="5"/>
      <c r="W499" s="5"/>
      <c r="X499" s="5"/>
      <c r="Y499" s="166"/>
      <c r="Z499" s="60">
        <v>16.27</v>
      </c>
      <c r="AA499" s="60">
        <v>0.003</v>
      </c>
      <c r="AB499" s="60"/>
      <c r="AC499" s="60"/>
      <c r="AD499" s="60"/>
      <c r="AE499" s="60"/>
      <c r="AF499" s="60"/>
      <c r="AG499" s="60"/>
      <c r="AH499" s="60">
        <v>15.61</v>
      </c>
      <c r="AI499" s="60">
        <v>0.007615773106</v>
      </c>
      <c r="AJ499" s="76" t="s">
        <v>759</v>
      </c>
      <c r="AK499" s="64" t="s">
        <v>820</v>
      </c>
      <c r="AL499" s="168"/>
      <c r="AM499" s="7"/>
      <c r="AN499" s="77">
        <v>1250.0</v>
      </c>
      <c r="AO499" s="64">
        <v>50.0</v>
      </c>
      <c r="AP499" s="13"/>
      <c r="AQ499" s="13"/>
      <c r="AR499" s="78"/>
      <c r="AS499" s="97"/>
      <c r="AT499" s="67">
        <v>0.4</v>
      </c>
      <c r="AU499" s="70">
        <v>0.01</v>
      </c>
      <c r="AV499" s="13"/>
      <c r="AW499" s="13"/>
      <c r="AX499" s="73"/>
      <c r="AY499" s="73"/>
      <c r="AZ499" s="68" t="s">
        <v>812</v>
      </c>
      <c r="BA499" s="68" t="s">
        <v>821</v>
      </c>
      <c r="BB499" s="68">
        <v>-19.78</v>
      </c>
      <c r="BC499" s="68">
        <v>3.44</v>
      </c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2"/>
      <c r="DK499" s="12"/>
      <c r="DL499" s="12"/>
      <c r="DM499" s="69"/>
      <c r="DN499" s="69"/>
      <c r="DO499" s="69"/>
      <c r="DP499" s="69"/>
      <c r="DQ499" s="11"/>
      <c r="DR499" s="69"/>
      <c r="DS499" s="69"/>
      <c r="DT499" s="69"/>
      <c r="DU499" s="69"/>
      <c r="DV499" s="97"/>
      <c r="DW499" s="98"/>
      <c r="DX499" s="71">
        <v>1.58E-8</v>
      </c>
      <c r="DY499" s="114">
        <v>2.19E-8</v>
      </c>
      <c r="DZ499" s="64" t="s">
        <v>762</v>
      </c>
      <c r="EA499" s="72" t="s">
        <v>822</v>
      </c>
      <c r="EB499" s="82"/>
    </row>
    <row r="500">
      <c r="A500" s="167" t="s">
        <v>1156</v>
      </c>
      <c r="B500" s="56" t="s">
        <v>1157</v>
      </c>
      <c r="C500" s="3"/>
      <c r="D500" s="4"/>
      <c r="E500" s="4"/>
      <c r="F500" s="57" t="s">
        <v>168</v>
      </c>
      <c r="G500" s="61">
        <v>270.8672</v>
      </c>
      <c r="H500" s="61">
        <v>-24.42723</v>
      </c>
      <c r="I500" s="60" t="s">
        <v>819</v>
      </c>
      <c r="J500" s="60" t="s">
        <v>169</v>
      </c>
      <c r="K500" s="61">
        <v>5.7</v>
      </c>
      <c r="L500" s="60">
        <v>0.41</v>
      </c>
      <c r="M500" s="60">
        <v>2.0</v>
      </c>
      <c r="N500" s="61">
        <v>1111.23458162018</v>
      </c>
      <c r="O500" s="61">
        <v>-3.394</v>
      </c>
      <c r="P500" s="61">
        <v>0.266</v>
      </c>
      <c r="Q500" s="61">
        <v>-15.433</v>
      </c>
      <c r="R500" s="61">
        <v>0.217</v>
      </c>
      <c r="S500" s="60"/>
      <c r="T500" s="60"/>
      <c r="U500" s="58"/>
      <c r="V500" s="5"/>
      <c r="W500" s="5"/>
      <c r="X500" s="5"/>
      <c r="Y500" s="166"/>
      <c r="Z500" s="60">
        <v>17.3</v>
      </c>
      <c r="AA500" s="60">
        <v>0.007</v>
      </c>
      <c r="AB500" s="60"/>
      <c r="AC500" s="60"/>
      <c r="AD500" s="60"/>
      <c r="AE500" s="60"/>
      <c r="AF500" s="60"/>
      <c r="AG500" s="60"/>
      <c r="AH500" s="60">
        <v>16.21</v>
      </c>
      <c r="AI500" s="60">
        <v>0.02213594362</v>
      </c>
      <c r="AJ500" s="76" t="s">
        <v>759</v>
      </c>
      <c r="AK500" s="64" t="s">
        <v>820</v>
      </c>
      <c r="AL500" s="168"/>
      <c r="AM500" s="7"/>
      <c r="AN500" s="77">
        <v>1250.0</v>
      </c>
      <c r="AO500" s="64">
        <v>50.0</v>
      </c>
      <c r="AP500" s="13"/>
      <c r="AQ500" s="13"/>
      <c r="AR500" s="78"/>
      <c r="AS500" s="97"/>
      <c r="AT500" s="67">
        <v>0.4</v>
      </c>
      <c r="AU500" s="70">
        <v>0.03</v>
      </c>
      <c r="AV500" s="13"/>
      <c r="AW500" s="13"/>
      <c r="AX500" s="73"/>
      <c r="AY500" s="73"/>
      <c r="AZ500" s="68" t="s">
        <v>812</v>
      </c>
      <c r="BA500" s="68" t="s">
        <v>821</v>
      </c>
      <c r="BB500" s="68">
        <v>-73.36</v>
      </c>
      <c r="BC500" s="68">
        <v>13.2</v>
      </c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2"/>
      <c r="DK500" s="12"/>
      <c r="DL500" s="12"/>
      <c r="DM500" s="69"/>
      <c r="DN500" s="69"/>
      <c r="DO500" s="69"/>
      <c r="DP500" s="69"/>
      <c r="DQ500" s="11"/>
      <c r="DR500" s="69"/>
      <c r="DS500" s="69"/>
      <c r="DT500" s="69"/>
      <c r="DU500" s="69"/>
      <c r="DV500" s="97"/>
      <c r="DW500" s="98"/>
      <c r="DX500" s="71">
        <v>1.58E-8</v>
      </c>
      <c r="DY500" s="114">
        <v>2.19E-8</v>
      </c>
      <c r="DZ500" s="64" t="s">
        <v>762</v>
      </c>
      <c r="EA500" s="72" t="s">
        <v>822</v>
      </c>
      <c r="EB500" s="82"/>
    </row>
    <row r="501">
      <c r="A501" s="167" t="s">
        <v>1158</v>
      </c>
      <c r="B501" s="56" t="s">
        <v>1159</v>
      </c>
      <c r="C501" s="3"/>
      <c r="D501" s="4"/>
      <c r="E501" s="4"/>
      <c r="F501" s="57" t="s">
        <v>168</v>
      </c>
      <c r="G501" s="61">
        <v>270.8945</v>
      </c>
      <c r="H501" s="61">
        <v>-24.17012</v>
      </c>
      <c r="I501" s="60" t="s">
        <v>819</v>
      </c>
      <c r="J501" s="60" t="s">
        <v>169</v>
      </c>
      <c r="K501" s="61">
        <v>5.5</v>
      </c>
      <c r="L501" s="60">
        <v>0.44</v>
      </c>
      <c r="M501" s="60">
        <v>2.0</v>
      </c>
      <c r="N501" s="61">
        <v>3863.98763523956</v>
      </c>
      <c r="O501" s="61">
        <v>-1.381</v>
      </c>
      <c r="P501" s="61">
        <v>0.26</v>
      </c>
      <c r="Q501" s="61">
        <v>-3.381</v>
      </c>
      <c r="R501" s="61">
        <v>0.216</v>
      </c>
      <c r="S501" s="60"/>
      <c r="T501" s="60"/>
      <c r="U501" s="58"/>
      <c r="V501" s="5"/>
      <c r="W501" s="5"/>
      <c r="X501" s="5"/>
      <c r="Y501" s="166"/>
      <c r="Z501" s="60">
        <v>17.51</v>
      </c>
      <c r="AA501" s="60">
        <v>0.008</v>
      </c>
      <c r="AB501" s="60"/>
      <c r="AC501" s="60"/>
      <c r="AD501" s="60"/>
      <c r="AE501" s="60"/>
      <c r="AF501" s="60"/>
      <c r="AG501" s="60"/>
      <c r="AH501" s="60">
        <v>16.45</v>
      </c>
      <c r="AI501" s="60">
        <v>0.02340939982</v>
      </c>
      <c r="AJ501" s="76" t="s">
        <v>759</v>
      </c>
      <c r="AK501" s="64" t="s">
        <v>820</v>
      </c>
      <c r="AL501" s="168"/>
      <c r="AM501" s="7"/>
      <c r="AN501" s="77">
        <v>1250.0</v>
      </c>
      <c r="AO501" s="64">
        <v>50.0</v>
      </c>
      <c r="AP501" s="13"/>
      <c r="AQ501" s="13"/>
      <c r="AR501" s="78"/>
      <c r="AS501" s="97"/>
      <c r="AT501" s="67">
        <v>0.4</v>
      </c>
      <c r="AU501" s="70">
        <v>0.03</v>
      </c>
      <c r="AV501" s="13"/>
      <c r="AW501" s="13"/>
      <c r="AX501" s="73"/>
      <c r="AY501" s="73"/>
      <c r="AZ501" s="68" t="s">
        <v>812</v>
      </c>
      <c r="BA501" s="68" t="s">
        <v>821</v>
      </c>
      <c r="BB501" s="68">
        <v>-57.35</v>
      </c>
      <c r="BC501" s="68">
        <v>9.93</v>
      </c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2"/>
      <c r="DK501" s="12"/>
      <c r="DL501" s="12"/>
      <c r="DM501" s="69"/>
      <c r="DN501" s="69"/>
      <c r="DO501" s="69"/>
      <c r="DP501" s="69"/>
      <c r="DQ501" s="11"/>
      <c r="DR501" s="69"/>
      <c r="DS501" s="69"/>
      <c r="DT501" s="69"/>
      <c r="DU501" s="69"/>
      <c r="DV501" s="97"/>
      <c r="DW501" s="98"/>
      <c r="DX501" s="71">
        <v>1.58E-8</v>
      </c>
      <c r="DY501" s="114">
        <v>2.19E-8</v>
      </c>
      <c r="DZ501" s="64" t="s">
        <v>762</v>
      </c>
      <c r="EA501" s="72" t="s">
        <v>822</v>
      </c>
      <c r="EB501" s="82"/>
    </row>
    <row r="502">
      <c r="A502" s="167" t="s">
        <v>1160</v>
      </c>
      <c r="B502" s="56" t="s">
        <v>1161</v>
      </c>
      <c r="C502" s="3"/>
      <c r="D502" s="4"/>
      <c r="E502" s="4"/>
      <c r="F502" s="57" t="s">
        <v>168</v>
      </c>
      <c r="G502" s="61">
        <v>271.08463</v>
      </c>
      <c r="H502" s="61">
        <v>-24.46447</v>
      </c>
      <c r="I502" s="60" t="s">
        <v>819</v>
      </c>
      <c r="J502" s="60" t="s">
        <v>169</v>
      </c>
      <c r="K502" s="61">
        <v>5.0</v>
      </c>
      <c r="L502" s="60">
        <v>0.84</v>
      </c>
      <c r="M502" s="60">
        <v>2.0</v>
      </c>
      <c r="N502" s="61">
        <v>1549.42671211651</v>
      </c>
      <c r="O502" s="61">
        <v>1.917</v>
      </c>
      <c r="P502" s="61">
        <v>0.303</v>
      </c>
      <c r="Q502" s="61">
        <v>-1.943</v>
      </c>
      <c r="R502" s="61">
        <v>0.242</v>
      </c>
      <c r="S502" s="60"/>
      <c r="T502" s="60"/>
      <c r="U502" s="58"/>
      <c r="V502" s="5"/>
      <c r="W502" s="5"/>
      <c r="X502" s="5"/>
      <c r="Y502" s="166"/>
      <c r="Z502" s="60">
        <v>17.97</v>
      </c>
      <c r="AA502" s="60">
        <v>0.015</v>
      </c>
      <c r="AB502" s="60"/>
      <c r="AC502" s="60"/>
      <c r="AD502" s="60"/>
      <c r="AE502" s="60"/>
      <c r="AF502" s="60"/>
      <c r="AG502" s="60"/>
      <c r="AH502" s="60">
        <v>16.54</v>
      </c>
      <c r="AI502" s="60">
        <v>0.03534119409</v>
      </c>
      <c r="AJ502" s="76" t="s">
        <v>759</v>
      </c>
      <c r="AK502" s="64" t="s">
        <v>820</v>
      </c>
      <c r="AL502" s="168"/>
      <c r="AM502" s="7"/>
      <c r="AN502" s="77">
        <v>1250.0</v>
      </c>
      <c r="AO502" s="64">
        <v>50.0</v>
      </c>
      <c r="AP502" s="13"/>
      <c r="AQ502" s="13"/>
      <c r="AR502" s="78"/>
      <c r="AS502" s="97"/>
      <c r="AT502" s="67">
        <v>0.4</v>
      </c>
      <c r="AU502" s="70">
        <v>0.06</v>
      </c>
      <c r="AV502" s="13"/>
      <c r="AW502" s="13"/>
      <c r="AX502" s="73"/>
      <c r="AY502" s="73"/>
      <c r="AZ502" s="68" t="s">
        <v>812</v>
      </c>
      <c r="BA502" s="68" t="s">
        <v>821</v>
      </c>
      <c r="BB502" s="68">
        <v>-127.35</v>
      </c>
      <c r="BC502" s="68">
        <v>23.0</v>
      </c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2"/>
      <c r="DK502" s="12"/>
      <c r="DL502" s="12"/>
      <c r="DM502" s="69"/>
      <c r="DN502" s="69"/>
      <c r="DO502" s="69"/>
      <c r="DP502" s="69"/>
      <c r="DQ502" s="11"/>
      <c r="DR502" s="69"/>
      <c r="DS502" s="69"/>
      <c r="DT502" s="69"/>
      <c r="DU502" s="69"/>
      <c r="DV502" s="97"/>
      <c r="DW502" s="98"/>
      <c r="DX502" s="71">
        <v>1.58E-8</v>
      </c>
      <c r="DY502" s="114">
        <v>2.19E-8</v>
      </c>
      <c r="DZ502" s="64" t="s">
        <v>762</v>
      </c>
      <c r="EA502" s="72" t="s">
        <v>822</v>
      </c>
      <c r="EB502" s="82"/>
    </row>
    <row r="503">
      <c r="A503" s="167" t="s">
        <v>1162</v>
      </c>
      <c r="B503" s="56" t="s">
        <v>1163</v>
      </c>
      <c r="C503" s="3"/>
      <c r="D503" s="4"/>
      <c r="E503" s="4"/>
      <c r="F503" s="57" t="s">
        <v>168</v>
      </c>
      <c r="G503" s="61">
        <v>270.8952</v>
      </c>
      <c r="H503" s="61">
        <v>-24.328</v>
      </c>
      <c r="I503" s="60" t="s">
        <v>819</v>
      </c>
      <c r="J503" s="60" t="s">
        <v>169</v>
      </c>
      <c r="K503" s="61">
        <v>4.6</v>
      </c>
      <c r="L503" s="60">
        <v>0.2</v>
      </c>
      <c r="M503" s="60">
        <v>2.0</v>
      </c>
      <c r="N503" s="61">
        <v>378.257744827325</v>
      </c>
      <c r="O503" s="61">
        <v>-1.072</v>
      </c>
      <c r="P503" s="61">
        <v>0.155</v>
      </c>
      <c r="Q503" s="61">
        <v>-17.552</v>
      </c>
      <c r="R503" s="61">
        <v>0.144</v>
      </c>
      <c r="S503" s="60"/>
      <c r="T503" s="60"/>
      <c r="U503" s="58"/>
      <c r="V503" s="5"/>
      <c r="W503" s="5"/>
      <c r="X503" s="5"/>
      <c r="Y503" s="166"/>
      <c r="Z503" s="60">
        <v>16.43</v>
      </c>
      <c r="AA503" s="60">
        <v>0.003</v>
      </c>
      <c r="AB503" s="60"/>
      <c r="AC503" s="60"/>
      <c r="AD503" s="60"/>
      <c r="AE503" s="60"/>
      <c r="AF503" s="60"/>
      <c r="AG503" s="60"/>
      <c r="AH503" s="60">
        <v>15.63</v>
      </c>
      <c r="AI503" s="60">
        <v>0.008544003745</v>
      </c>
      <c r="AJ503" s="76" t="s">
        <v>759</v>
      </c>
      <c r="AK503" s="64" t="s">
        <v>820</v>
      </c>
      <c r="AL503" s="168"/>
      <c r="AM503" s="7"/>
      <c r="AN503" s="77">
        <v>1250.0</v>
      </c>
      <c r="AO503" s="64">
        <v>50.0</v>
      </c>
      <c r="AP503" s="13"/>
      <c r="AQ503" s="13"/>
      <c r="AR503" s="78"/>
      <c r="AS503" s="97"/>
      <c r="AT503" s="67">
        <v>0.4</v>
      </c>
      <c r="AU503" s="70">
        <v>0.01</v>
      </c>
      <c r="AV503" s="13"/>
      <c r="AW503" s="13"/>
      <c r="AX503" s="73"/>
      <c r="AY503" s="73"/>
      <c r="AZ503" s="68" t="s">
        <v>812</v>
      </c>
      <c r="BA503" s="68" t="s">
        <v>821</v>
      </c>
      <c r="BB503" s="68">
        <v>-33.34</v>
      </c>
      <c r="BC503" s="68">
        <v>6.06</v>
      </c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2"/>
      <c r="DK503" s="12"/>
      <c r="DL503" s="12"/>
      <c r="DM503" s="69"/>
      <c r="DN503" s="69"/>
      <c r="DO503" s="69"/>
      <c r="DP503" s="69"/>
      <c r="DQ503" s="11"/>
      <c r="DR503" s="69"/>
      <c r="DS503" s="69"/>
      <c r="DT503" s="69"/>
      <c r="DU503" s="69"/>
      <c r="DV503" s="97"/>
      <c r="DW503" s="98"/>
      <c r="DX503" s="71">
        <v>2.51E-8</v>
      </c>
      <c r="DY503" s="114">
        <v>3.47E-8</v>
      </c>
      <c r="DZ503" s="64" t="s">
        <v>762</v>
      </c>
      <c r="EA503" s="72" t="s">
        <v>822</v>
      </c>
      <c r="EB503" s="82"/>
    </row>
    <row r="504">
      <c r="A504" s="167" t="s">
        <v>1164</v>
      </c>
      <c r="B504" s="56" t="s">
        <v>1165</v>
      </c>
      <c r="C504" s="3"/>
      <c r="D504" s="4"/>
      <c r="E504" s="4"/>
      <c r="F504" s="57" t="s">
        <v>168</v>
      </c>
      <c r="G504" s="61">
        <v>271.3365</v>
      </c>
      <c r="H504" s="61">
        <v>-24.53191</v>
      </c>
      <c r="I504" s="60" t="s">
        <v>819</v>
      </c>
      <c r="J504" s="60" t="s">
        <v>169</v>
      </c>
      <c r="K504" s="61">
        <v>4.1</v>
      </c>
      <c r="L504" s="60">
        <v>0.16</v>
      </c>
      <c r="M504" s="60">
        <v>2.0</v>
      </c>
      <c r="N504" s="61">
        <v>350.066512637401</v>
      </c>
      <c r="O504" s="61">
        <v>-1.169</v>
      </c>
      <c r="P504" s="61">
        <v>0.102</v>
      </c>
      <c r="Q504" s="61">
        <v>-9.225</v>
      </c>
      <c r="R504" s="61">
        <v>0.088</v>
      </c>
      <c r="S504" s="60"/>
      <c r="T504" s="60"/>
      <c r="U504" s="58"/>
      <c r="V504" s="5"/>
      <c r="W504" s="5"/>
      <c r="X504" s="5"/>
      <c r="Y504" s="166"/>
      <c r="Z504" s="60">
        <v>15.94</v>
      </c>
      <c r="AA504" s="60">
        <v>0.002</v>
      </c>
      <c r="AB504" s="60"/>
      <c r="AC504" s="60"/>
      <c r="AD504" s="60"/>
      <c r="AE504" s="60"/>
      <c r="AF504" s="60"/>
      <c r="AG504" s="60"/>
      <c r="AH504" s="60">
        <v>15.27</v>
      </c>
      <c r="AI504" s="60">
        <v>0.005385164807</v>
      </c>
      <c r="AJ504" s="76" t="s">
        <v>759</v>
      </c>
      <c r="AK504" s="64" t="s">
        <v>820</v>
      </c>
      <c r="AL504" s="168"/>
      <c r="AM504" s="7"/>
      <c r="AN504" s="77">
        <v>1250.0</v>
      </c>
      <c r="AO504" s="64">
        <v>50.0</v>
      </c>
      <c r="AP504" s="13"/>
      <c r="AQ504" s="13"/>
      <c r="AR504" s="78"/>
      <c r="AS504" s="97"/>
      <c r="AT504" s="67">
        <v>0.4</v>
      </c>
      <c r="AU504" s="70">
        <v>0.01</v>
      </c>
      <c r="AV504" s="13"/>
      <c r="AW504" s="13"/>
      <c r="AX504" s="73"/>
      <c r="AY504" s="73"/>
      <c r="AZ504" s="68" t="s">
        <v>812</v>
      </c>
      <c r="BA504" s="68" t="s">
        <v>821</v>
      </c>
      <c r="BB504" s="68">
        <v>-18.76</v>
      </c>
      <c r="BC504" s="68">
        <v>3.35</v>
      </c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2"/>
      <c r="DK504" s="12"/>
      <c r="DL504" s="12"/>
      <c r="DM504" s="69"/>
      <c r="DN504" s="69"/>
      <c r="DO504" s="69"/>
      <c r="DP504" s="69"/>
      <c r="DQ504" s="11"/>
      <c r="DR504" s="69"/>
      <c r="DS504" s="69"/>
      <c r="DT504" s="69"/>
      <c r="DU504" s="69"/>
      <c r="DV504" s="97"/>
      <c r="DW504" s="98"/>
      <c r="DX504" s="71">
        <v>2.51E-8</v>
      </c>
      <c r="DY504" s="114">
        <v>3.47E-8</v>
      </c>
      <c r="DZ504" s="64" t="s">
        <v>762</v>
      </c>
      <c r="EA504" s="72" t="s">
        <v>822</v>
      </c>
      <c r="EB504" s="82"/>
    </row>
    <row r="505">
      <c r="A505" s="167" t="s">
        <v>1166</v>
      </c>
      <c r="B505" s="56" t="s">
        <v>1167</v>
      </c>
      <c r="C505" s="3"/>
      <c r="D505" s="4"/>
      <c r="E505" s="4"/>
      <c r="F505" s="57" t="s">
        <v>168</v>
      </c>
      <c r="G505" s="61">
        <v>271.04388</v>
      </c>
      <c r="H505" s="61">
        <v>-24.44885</v>
      </c>
      <c r="I505" s="60" t="s">
        <v>819</v>
      </c>
      <c r="J505" s="60" t="s">
        <v>169</v>
      </c>
      <c r="K505" s="61">
        <v>4.1</v>
      </c>
      <c r="L505" s="60">
        <v>0.09</v>
      </c>
      <c r="M505" s="5"/>
      <c r="N505" s="61"/>
      <c r="O505" s="61"/>
      <c r="P505" s="61"/>
      <c r="Q505" s="61"/>
      <c r="R505" s="61"/>
      <c r="S505" s="60">
        <v>2.69</v>
      </c>
      <c r="T505" s="60">
        <v>6.08</v>
      </c>
      <c r="U505" s="58"/>
      <c r="V505" s="5"/>
      <c r="W505" s="5"/>
      <c r="X505" s="5"/>
      <c r="Y505" s="166"/>
      <c r="Z505" s="60">
        <v>14.78</v>
      </c>
      <c r="AA505" s="60">
        <v>0.001</v>
      </c>
      <c r="AB505" s="60">
        <v>12.087</v>
      </c>
      <c r="AC505" s="60">
        <v>0.039</v>
      </c>
      <c r="AD505" s="60">
        <v>11.097</v>
      </c>
      <c r="AE505" s="60">
        <v>0.047</v>
      </c>
      <c r="AF505" s="60">
        <v>10.481</v>
      </c>
      <c r="AG505" s="60">
        <v>0.037</v>
      </c>
      <c r="AH505" s="60">
        <v>13.96</v>
      </c>
      <c r="AI505" s="60">
        <v>0.002236067977</v>
      </c>
      <c r="AJ505" s="76" t="s">
        <v>759</v>
      </c>
      <c r="AK505" s="64" t="s">
        <v>820</v>
      </c>
      <c r="AL505" s="168"/>
      <c r="AM505" s="7"/>
      <c r="AN505" s="77">
        <v>1250.0</v>
      </c>
      <c r="AO505" s="64">
        <v>50.0</v>
      </c>
      <c r="AP505" s="13"/>
      <c r="AQ505" s="13"/>
      <c r="AR505" s="78"/>
      <c r="AS505" s="97"/>
      <c r="AT505" s="67">
        <v>0.5</v>
      </c>
      <c r="AU505" s="70">
        <v>0.0</v>
      </c>
      <c r="AV505" s="13"/>
      <c r="AW505" s="13"/>
      <c r="AX505" s="73"/>
      <c r="AY505" s="73"/>
      <c r="AZ505" s="68" t="s">
        <v>812</v>
      </c>
      <c r="BA505" s="68" t="s">
        <v>821</v>
      </c>
      <c r="BB505" s="68">
        <v>-35.75</v>
      </c>
      <c r="BC505" s="68">
        <v>3.15</v>
      </c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2"/>
      <c r="DK505" s="12"/>
      <c r="DL505" s="12"/>
      <c r="DM505" s="69"/>
      <c r="DN505" s="69"/>
      <c r="DO505" s="69"/>
      <c r="DP505" s="69"/>
      <c r="DQ505" s="11"/>
      <c r="DR505" s="69"/>
      <c r="DS505" s="69"/>
      <c r="DT505" s="69"/>
      <c r="DU505" s="69"/>
      <c r="DV505" s="97"/>
      <c r="DW505" s="98"/>
      <c r="DX505" s="71">
        <v>2.51E-7</v>
      </c>
      <c r="DY505" s="114">
        <v>3.47E-7</v>
      </c>
      <c r="DZ505" s="64" t="s">
        <v>762</v>
      </c>
      <c r="EA505" s="72" t="s">
        <v>822</v>
      </c>
      <c r="EB505" s="82"/>
    </row>
    <row r="506">
      <c r="A506" s="167" t="s">
        <v>1168</v>
      </c>
      <c r="B506" s="56" t="s">
        <v>1169</v>
      </c>
      <c r="C506" s="3"/>
      <c r="D506" s="4"/>
      <c r="E506" s="4"/>
      <c r="F506" s="57" t="s">
        <v>168</v>
      </c>
      <c r="G506" s="61">
        <v>270.9383</v>
      </c>
      <c r="H506" s="61">
        <v>-24.39032</v>
      </c>
      <c r="I506" s="60" t="s">
        <v>819</v>
      </c>
      <c r="J506" s="60" t="s">
        <v>169</v>
      </c>
      <c r="K506" s="61">
        <v>4.4</v>
      </c>
      <c r="L506" s="60">
        <v>0.16</v>
      </c>
      <c r="M506" s="5"/>
      <c r="N506" s="61"/>
      <c r="O506" s="61"/>
      <c r="P506" s="61"/>
      <c r="Q506" s="61"/>
      <c r="R506" s="61"/>
      <c r="S506" s="60"/>
      <c r="T506" s="60"/>
      <c r="U506" s="58"/>
      <c r="V506" s="5"/>
      <c r="W506" s="5"/>
      <c r="X506" s="5"/>
      <c r="Y506" s="166"/>
      <c r="Z506" s="60">
        <v>15.66</v>
      </c>
      <c r="AA506" s="60">
        <v>0.002</v>
      </c>
      <c r="AB506" s="60">
        <v>12.493</v>
      </c>
      <c r="AC506" s="60">
        <v>0.033</v>
      </c>
      <c r="AD506" s="60">
        <v>11.206</v>
      </c>
      <c r="AE506" s="60">
        <v>0.047</v>
      </c>
      <c r="AF506" s="60">
        <v>10.389</v>
      </c>
      <c r="AG506" s="60">
        <v>0.035</v>
      </c>
      <c r="AH506" s="60">
        <v>14.22</v>
      </c>
      <c r="AI506" s="60">
        <v>0.005385164807</v>
      </c>
      <c r="AJ506" s="76" t="s">
        <v>759</v>
      </c>
      <c r="AK506" s="64" t="s">
        <v>820</v>
      </c>
      <c r="AL506" s="168"/>
      <c r="AM506" s="7"/>
      <c r="AN506" s="77">
        <v>1250.0</v>
      </c>
      <c r="AO506" s="64">
        <v>50.0</v>
      </c>
      <c r="AP506" s="13"/>
      <c r="AQ506" s="13"/>
      <c r="AR506" s="78"/>
      <c r="AS506" s="97"/>
      <c r="AT506" s="67">
        <v>0.5</v>
      </c>
      <c r="AU506" s="70">
        <v>0.01</v>
      </c>
      <c r="AV506" s="13"/>
      <c r="AW506" s="13"/>
      <c r="AX506" s="73"/>
      <c r="AY506" s="73"/>
      <c r="AZ506" s="68" t="s">
        <v>812</v>
      </c>
      <c r="BA506" s="68" t="s">
        <v>821</v>
      </c>
      <c r="BB506" s="68">
        <v>-138.27</v>
      </c>
      <c r="BC506" s="68">
        <v>30.1</v>
      </c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2"/>
      <c r="DK506" s="12"/>
      <c r="DL506" s="12"/>
      <c r="DM506" s="69"/>
      <c r="DN506" s="69"/>
      <c r="DO506" s="69"/>
      <c r="DP506" s="69"/>
      <c r="DQ506" s="11"/>
      <c r="DR506" s="69"/>
      <c r="DS506" s="69"/>
      <c r="DT506" s="69"/>
      <c r="DU506" s="69"/>
      <c r="DV506" s="97"/>
      <c r="DW506" s="98"/>
      <c r="DX506" s="71">
        <v>3.16E-7</v>
      </c>
      <c r="DY506" s="114">
        <v>4.37E-7</v>
      </c>
      <c r="DZ506" s="64" t="s">
        <v>762</v>
      </c>
      <c r="EA506" s="72" t="s">
        <v>822</v>
      </c>
      <c r="EB506" s="82"/>
    </row>
    <row r="507">
      <c r="A507" s="167" t="s">
        <v>1170</v>
      </c>
      <c r="B507" s="56" t="s">
        <v>1171</v>
      </c>
      <c r="C507" s="3"/>
      <c r="D507" s="4"/>
      <c r="E507" s="4"/>
      <c r="F507" s="57" t="s">
        <v>168</v>
      </c>
      <c r="G507" s="61">
        <v>271.13843</v>
      </c>
      <c r="H507" s="61">
        <v>-24.45494</v>
      </c>
      <c r="I507" s="60" t="s">
        <v>819</v>
      </c>
      <c r="J507" s="60" t="s">
        <v>169</v>
      </c>
      <c r="K507" s="61">
        <v>4.6</v>
      </c>
      <c r="L507" s="60">
        <v>0.13</v>
      </c>
      <c r="M507" s="60">
        <v>2.0</v>
      </c>
      <c r="N507" s="61">
        <v>1170.68602200889</v>
      </c>
      <c r="O507" s="61">
        <v>2.393</v>
      </c>
      <c r="P507" s="61">
        <v>0.101</v>
      </c>
      <c r="Q507" s="61">
        <v>-2.037</v>
      </c>
      <c r="R507" s="61">
        <v>0.081</v>
      </c>
      <c r="S507" s="60"/>
      <c r="T507" s="60"/>
      <c r="U507" s="58"/>
      <c r="V507" s="5"/>
      <c r="W507" s="5"/>
      <c r="X507" s="5"/>
      <c r="Y507" s="166"/>
      <c r="Z507" s="60">
        <v>15.54</v>
      </c>
      <c r="AA507" s="60">
        <v>0.002</v>
      </c>
      <c r="AB507" s="60">
        <v>12.713</v>
      </c>
      <c r="AC507" s="60">
        <v>0.067</v>
      </c>
      <c r="AD507" s="60">
        <v>11.562</v>
      </c>
      <c r="AE507" s="60">
        <v>0.083</v>
      </c>
      <c r="AF507" s="60">
        <v>10.795</v>
      </c>
      <c r="AG507" s="60">
        <v>0.069</v>
      </c>
      <c r="AH507" s="60">
        <v>14.52</v>
      </c>
      <c r="AI507" s="60">
        <v>0.004472135955</v>
      </c>
      <c r="AJ507" s="76" t="s">
        <v>759</v>
      </c>
      <c r="AK507" s="64" t="s">
        <v>820</v>
      </c>
      <c r="AL507" s="168"/>
      <c r="AM507" s="7"/>
      <c r="AN507" s="77">
        <v>1250.0</v>
      </c>
      <c r="AO507" s="64">
        <v>50.0</v>
      </c>
      <c r="AP507" s="13"/>
      <c r="AQ507" s="13"/>
      <c r="AR507" s="78"/>
      <c r="AS507" s="97"/>
      <c r="AT507" s="67">
        <v>0.5</v>
      </c>
      <c r="AU507" s="70">
        <v>0.01</v>
      </c>
      <c r="AV507" s="13"/>
      <c r="AW507" s="13"/>
      <c r="AX507" s="73"/>
      <c r="AY507" s="73"/>
      <c r="AZ507" s="68" t="s">
        <v>812</v>
      </c>
      <c r="BA507" s="68" t="s">
        <v>821</v>
      </c>
      <c r="BB507" s="68">
        <v>-71.66</v>
      </c>
      <c r="BC507" s="68">
        <v>14.0</v>
      </c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2"/>
      <c r="DK507" s="12"/>
      <c r="DL507" s="12"/>
      <c r="DM507" s="69"/>
      <c r="DN507" s="69"/>
      <c r="DO507" s="69"/>
      <c r="DP507" s="69"/>
      <c r="DQ507" s="11"/>
      <c r="DR507" s="69"/>
      <c r="DS507" s="69"/>
      <c r="DT507" s="69"/>
      <c r="DU507" s="69"/>
      <c r="DV507" s="97"/>
      <c r="DW507" s="98"/>
      <c r="DX507" s="71">
        <v>1.58E-7</v>
      </c>
      <c r="DY507" s="114">
        <v>2.19E-7</v>
      </c>
      <c r="DZ507" s="64" t="s">
        <v>762</v>
      </c>
      <c r="EA507" s="72" t="s">
        <v>822</v>
      </c>
      <c r="EB507" s="82"/>
    </row>
    <row r="508">
      <c r="A508" s="167" t="s">
        <v>1172</v>
      </c>
      <c r="B508" s="56" t="s">
        <v>1173</v>
      </c>
      <c r="C508" s="3"/>
      <c r="D508" s="4"/>
      <c r="E508" s="4"/>
      <c r="F508" s="57" t="s">
        <v>168</v>
      </c>
      <c r="G508" s="61">
        <v>271.17038</v>
      </c>
      <c r="H508" s="61">
        <v>-24.2863</v>
      </c>
      <c r="I508" s="60" t="s">
        <v>819</v>
      </c>
      <c r="J508" s="60" t="s">
        <v>169</v>
      </c>
      <c r="K508" s="61">
        <v>4.7</v>
      </c>
      <c r="L508" s="60">
        <v>0.12</v>
      </c>
      <c r="M508" s="60">
        <v>2.0</v>
      </c>
      <c r="N508" s="61">
        <v>831.946755407654</v>
      </c>
      <c r="O508" s="61">
        <v>1.122</v>
      </c>
      <c r="P508" s="61">
        <v>0.187</v>
      </c>
      <c r="Q508" s="61">
        <v>-1.577</v>
      </c>
      <c r="R508" s="61">
        <v>0.171</v>
      </c>
      <c r="S508" s="60">
        <v>-2.02</v>
      </c>
      <c r="T508" s="60">
        <v>1.74</v>
      </c>
      <c r="U508" s="58"/>
      <c r="V508" s="5"/>
      <c r="W508" s="5"/>
      <c r="X508" s="5"/>
      <c r="Y508" s="166"/>
      <c r="Z508" s="60">
        <v>15.47</v>
      </c>
      <c r="AA508" s="60">
        <v>0.002</v>
      </c>
      <c r="AB508" s="60">
        <v>12.751</v>
      </c>
      <c r="AC508" s="60">
        <v>0.026</v>
      </c>
      <c r="AD508" s="60">
        <v>11.698</v>
      </c>
      <c r="AE508" s="60">
        <v>0.033</v>
      </c>
      <c r="AF508" s="60">
        <v>11.0</v>
      </c>
      <c r="AG508" s="60">
        <v>0.029</v>
      </c>
      <c r="AH508" s="60">
        <v>14.6</v>
      </c>
      <c r="AI508" s="60">
        <v>0.004472135955</v>
      </c>
      <c r="AJ508" s="76" t="s">
        <v>759</v>
      </c>
      <c r="AK508" s="64" t="s">
        <v>820</v>
      </c>
      <c r="AL508" s="168"/>
      <c r="AM508" s="7"/>
      <c r="AN508" s="77">
        <v>1250.0</v>
      </c>
      <c r="AO508" s="64">
        <v>50.0</v>
      </c>
      <c r="AP508" s="13"/>
      <c r="AQ508" s="13"/>
      <c r="AR508" s="78"/>
      <c r="AS508" s="97"/>
      <c r="AT508" s="67">
        <v>0.5</v>
      </c>
      <c r="AU508" s="70">
        <v>0.01</v>
      </c>
      <c r="AV508" s="13"/>
      <c r="AW508" s="13"/>
      <c r="AX508" s="73"/>
      <c r="AY508" s="73"/>
      <c r="AZ508" s="68" t="s">
        <v>812</v>
      </c>
      <c r="BA508" s="68" t="s">
        <v>821</v>
      </c>
      <c r="BB508" s="68">
        <v>-50.1</v>
      </c>
      <c r="BC508" s="68">
        <v>4.49</v>
      </c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2"/>
      <c r="DK508" s="12"/>
      <c r="DL508" s="12"/>
      <c r="DM508" s="69"/>
      <c r="DN508" s="69"/>
      <c r="DO508" s="69"/>
      <c r="DP508" s="69"/>
      <c r="DQ508" s="11"/>
      <c r="DR508" s="69"/>
      <c r="DS508" s="69"/>
      <c r="DT508" s="69"/>
      <c r="DU508" s="69"/>
      <c r="DV508" s="97"/>
      <c r="DW508" s="98"/>
      <c r="DX508" s="71">
        <v>1.0E-7</v>
      </c>
      <c r="DY508" s="114">
        <v>1.38E-7</v>
      </c>
      <c r="DZ508" s="64" t="s">
        <v>762</v>
      </c>
      <c r="EA508" s="72" t="s">
        <v>822</v>
      </c>
      <c r="EB508" s="82"/>
    </row>
    <row r="509">
      <c r="A509" s="167" t="s">
        <v>1174</v>
      </c>
      <c r="B509" s="56" t="s">
        <v>1175</v>
      </c>
      <c r="C509" s="3"/>
      <c r="D509" s="4"/>
      <c r="E509" s="4"/>
      <c r="F509" s="57" t="s">
        <v>168</v>
      </c>
      <c r="G509" s="61">
        <v>271.04758</v>
      </c>
      <c r="H509" s="61">
        <v>-24.4545</v>
      </c>
      <c r="I509" s="60" t="s">
        <v>819</v>
      </c>
      <c r="J509" s="60" t="s">
        <v>169</v>
      </c>
      <c r="K509" s="61">
        <v>4.9</v>
      </c>
      <c r="L509" s="60">
        <v>0.15</v>
      </c>
      <c r="M509" s="60">
        <v>2.0</v>
      </c>
      <c r="N509" s="61">
        <v>1404.88901376791</v>
      </c>
      <c r="O509" s="61">
        <v>2.247</v>
      </c>
      <c r="P509" s="61">
        <v>0.09</v>
      </c>
      <c r="Q509" s="61">
        <v>-2.212</v>
      </c>
      <c r="R509" s="61">
        <v>0.072</v>
      </c>
      <c r="S509" s="60">
        <v>0.95</v>
      </c>
      <c r="T509" s="60">
        <v>2.72</v>
      </c>
      <c r="U509" s="58"/>
      <c r="V509" s="5"/>
      <c r="W509" s="5"/>
      <c r="X509" s="5"/>
      <c r="Y509" s="166"/>
      <c r="Z509" s="60">
        <v>15.61</v>
      </c>
      <c r="AA509" s="60">
        <v>0.002</v>
      </c>
      <c r="AB509" s="60">
        <v>12.869</v>
      </c>
      <c r="AC509" s="60">
        <v>0.022</v>
      </c>
      <c r="AD509" s="60">
        <v>11.858</v>
      </c>
      <c r="AE509" s="60">
        <v>0.021</v>
      </c>
      <c r="AF509" s="60">
        <v>11.112</v>
      </c>
      <c r="AG509" s="60">
        <v>0.019</v>
      </c>
      <c r="AH509" s="60">
        <v>14.39</v>
      </c>
      <c r="AI509" s="60">
        <v>0.005385164807</v>
      </c>
      <c r="AJ509" s="76" t="s">
        <v>759</v>
      </c>
      <c r="AK509" s="64" t="s">
        <v>820</v>
      </c>
      <c r="AL509" s="168"/>
      <c r="AM509" s="7"/>
      <c r="AN509" s="77">
        <v>1250.0</v>
      </c>
      <c r="AO509" s="64">
        <v>50.0</v>
      </c>
      <c r="AP509" s="13"/>
      <c r="AQ509" s="13"/>
      <c r="AR509" s="78"/>
      <c r="AS509" s="97"/>
      <c r="AT509" s="67">
        <v>0.5</v>
      </c>
      <c r="AU509" s="70">
        <v>0.01</v>
      </c>
      <c r="AV509" s="13"/>
      <c r="AW509" s="13"/>
      <c r="AX509" s="73"/>
      <c r="AY509" s="73"/>
      <c r="AZ509" s="68" t="s">
        <v>812</v>
      </c>
      <c r="BA509" s="68" t="s">
        <v>821</v>
      </c>
      <c r="BB509" s="68">
        <v>-111.72</v>
      </c>
      <c r="BC509" s="68">
        <v>21.9</v>
      </c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2"/>
      <c r="DK509" s="12"/>
      <c r="DL509" s="12"/>
      <c r="DM509" s="69"/>
      <c r="DN509" s="69"/>
      <c r="DO509" s="69"/>
      <c r="DP509" s="69"/>
      <c r="DQ509" s="11"/>
      <c r="DR509" s="69"/>
      <c r="DS509" s="69"/>
      <c r="DT509" s="69"/>
      <c r="DU509" s="69"/>
      <c r="DV509" s="97"/>
      <c r="DW509" s="98"/>
      <c r="DX509" s="71">
        <v>2.0E-7</v>
      </c>
      <c r="DY509" s="114">
        <v>2.76E-7</v>
      </c>
      <c r="DZ509" s="64" t="s">
        <v>762</v>
      </c>
      <c r="EA509" s="72" t="s">
        <v>822</v>
      </c>
      <c r="EB509" s="82"/>
    </row>
    <row r="510">
      <c r="A510" s="167" t="s">
        <v>1176</v>
      </c>
      <c r="B510" s="56" t="s">
        <v>1177</v>
      </c>
      <c r="C510" s="3"/>
      <c r="D510" s="4"/>
      <c r="E510" s="4"/>
      <c r="F510" s="57" t="s">
        <v>168</v>
      </c>
      <c r="G510" s="61">
        <v>271.0745</v>
      </c>
      <c r="H510" s="61">
        <v>-24.29635</v>
      </c>
      <c r="I510" s="60" t="s">
        <v>819</v>
      </c>
      <c r="J510" s="60" t="s">
        <v>169</v>
      </c>
      <c r="K510" s="61">
        <v>4.2</v>
      </c>
      <c r="L510" s="60">
        <v>0.17</v>
      </c>
      <c r="M510" s="60">
        <v>2.0</v>
      </c>
      <c r="N510" s="61">
        <v>1388.3104262113</v>
      </c>
      <c r="O510" s="61">
        <v>1.375</v>
      </c>
      <c r="P510" s="61">
        <v>0.144</v>
      </c>
      <c r="Q510" s="61">
        <v>-2.302</v>
      </c>
      <c r="R510" s="61">
        <v>0.121</v>
      </c>
      <c r="S510" s="60">
        <v>4.81</v>
      </c>
      <c r="T510" s="60">
        <v>1.64</v>
      </c>
      <c r="U510" s="58"/>
      <c r="V510" s="5"/>
      <c r="W510" s="5"/>
      <c r="X510" s="5"/>
      <c r="Y510" s="166"/>
      <c r="Z510" s="60">
        <v>15.6</v>
      </c>
      <c r="AA510" s="60">
        <v>0.003</v>
      </c>
      <c r="AB510" s="60">
        <v>12.959</v>
      </c>
      <c r="AC510" s="60">
        <v>0.03</v>
      </c>
      <c r="AD510" s="60">
        <v>12.021</v>
      </c>
      <c r="AE510" s="60">
        <v>0.029</v>
      </c>
      <c r="AF510" s="60">
        <v>11.45</v>
      </c>
      <c r="AG510" s="60">
        <v>0.024</v>
      </c>
      <c r="AH510" s="60">
        <v>14.93</v>
      </c>
      <c r="AI510" s="60">
        <v>0.009486832981</v>
      </c>
      <c r="AJ510" s="76" t="s">
        <v>759</v>
      </c>
      <c r="AK510" s="64" t="s">
        <v>820</v>
      </c>
      <c r="AL510" s="168"/>
      <c r="AM510" s="7"/>
      <c r="AN510" s="77">
        <v>1250.0</v>
      </c>
      <c r="AO510" s="64">
        <v>50.0</v>
      </c>
      <c r="AP510" s="13"/>
      <c r="AQ510" s="13"/>
      <c r="AR510" s="78"/>
      <c r="AS510" s="97"/>
      <c r="AT510" s="67">
        <v>0.5</v>
      </c>
      <c r="AU510" s="70">
        <v>0.01</v>
      </c>
      <c r="AV510" s="13"/>
      <c r="AW510" s="13"/>
      <c r="AX510" s="73"/>
      <c r="AY510" s="73"/>
      <c r="AZ510" s="68" t="s">
        <v>812</v>
      </c>
      <c r="BA510" s="68" t="s">
        <v>821</v>
      </c>
      <c r="BB510" s="68">
        <v>-20.4</v>
      </c>
      <c r="BC510" s="68">
        <v>3.47</v>
      </c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2"/>
      <c r="DK510" s="12"/>
      <c r="DL510" s="12"/>
      <c r="DM510" s="69"/>
      <c r="DN510" s="69"/>
      <c r="DO510" s="69"/>
      <c r="DP510" s="69"/>
      <c r="DQ510" s="11"/>
      <c r="DR510" s="69"/>
      <c r="DS510" s="69"/>
      <c r="DT510" s="69"/>
      <c r="DU510" s="69"/>
      <c r="DV510" s="97"/>
      <c r="DW510" s="98"/>
      <c r="DX510" s="71">
        <v>3.98E-8</v>
      </c>
      <c r="DY510" s="114">
        <v>5.5E-8</v>
      </c>
      <c r="DZ510" s="64" t="s">
        <v>762</v>
      </c>
      <c r="EA510" s="72" t="s">
        <v>822</v>
      </c>
      <c r="EB510" s="82"/>
    </row>
    <row r="511">
      <c r="A511" s="167" t="s">
        <v>1178</v>
      </c>
      <c r="B511" s="56" t="s">
        <v>1179</v>
      </c>
      <c r="C511" s="3"/>
      <c r="D511" s="4"/>
      <c r="E511" s="4"/>
      <c r="F511" s="57" t="s">
        <v>168</v>
      </c>
      <c r="G511" s="61">
        <v>271.0835</v>
      </c>
      <c r="H511" s="61">
        <v>-24.38005</v>
      </c>
      <c r="I511" s="60" t="s">
        <v>819</v>
      </c>
      <c r="J511" s="60" t="s">
        <v>169</v>
      </c>
      <c r="K511" s="61">
        <v>4.0</v>
      </c>
      <c r="L511" s="60">
        <v>0.14</v>
      </c>
      <c r="M511" s="60">
        <v>2.0</v>
      </c>
      <c r="N511" s="61">
        <v>906.043308870164</v>
      </c>
      <c r="O511" s="61">
        <v>1.822</v>
      </c>
      <c r="P511" s="61">
        <v>0.252</v>
      </c>
      <c r="Q511" s="61">
        <v>-0.376</v>
      </c>
      <c r="R511" s="61">
        <v>0.214</v>
      </c>
      <c r="S511" s="60"/>
      <c r="T511" s="60"/>
      <c r="U511" s="58"/>
      <c r="V511" s="5"/>
      <c r="W511" s="5"/>
      <c r="X511" s="5"/>
      <c r="Y511" s="166"/>
      <c r="Z511" s="60">
        <v>15.56</v>
      </c>
      <c r="AA511" s="60">
        <v>0.002</v>
      </c>
      <c r="AB511" s="60">
        <v>12.976</v>
      </c>
      <c r="AC511" s="60">
        <v>0.047</v>
      </c>
      <c r="AD511" s="60">
        <v>12.09</v>
      </c>
      <c r="AE511" s="60">
        <v>0.072</v>
      </c>
      <c r="AF511" s="60">
        <v>11.26</v>
      </c>
      <c r="AG511" s="60"/>
      <c r="AH511" s="60">
        <v>14.95</v>
      </c>
      <c r="AI511" s="60">
        <v>0.007280109889</v>
      </c>
      <c r="AJ511" s="76" t="s">
        <v>759</v>
      </c>
      <c r="AK511" s="64" t="s">
        <v>820</v>
      </c>
      <c r="AL511" s="168"/>
      <c r="AM511" s="7"/>
      <c r="AN511" s="77">
        <v>1250.0</v>
      </c>
      <c r="AO511" s="64">
        <v>50.0</v>
      </c>
      <c r="AP511" s="13"/>
      <c r="AQ511" s="13"/>
      <c r="AR511" s="78"/>
      <c r="AS511" s="97"/>
      <c r="AT511" s="67">
        <v>0.5</v>
      </c>
      <c r="AU511" s="70">
        <v>0.01</v>
      </c>
      <c r="AV511" s="13"/>
      <c r="AW511" s="13"/>
      <c r="AX511" s="73"/>
      <c r="AY511" s="73"/>
      <c r="AZ511" s="68" t="s">
        <v>812</v>
      </c>
      <c r="BA511" s="68" t="s">
        <v>821</v>
      </c>
      <c r="BB511" s="68">
        <v>-10.14</v>
      </c>
      <c r="BC511" s="68">
        <v>2.53</v>
      </c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2"/>
      <c r="DK511" s="12"/>
      <c r="DL511" s="12"/>
      <c r="DM511" s="69"/>
      <c r="DN511" s="69"/>
      <c r="DO511" s="69"/>
      <c r="DP511" s="69"/>
      <c r="DQ511" s="11"/>
      <c r="DR511" s="69"/>
      <c r="DS511" s="69"/>
      <c r="DT511" s="69"/>
      <c r="DU511" s="69"/>
      <c r="DV511" s="97"/>
      <c r="DW511" s="98"/>
      <c r="DX511" s="71">
        <v>2.51E-8</v>
      </c>
      <c r="DY511" s="114">
        <v>3.47E-8</v>
      </c>
      <c r="DZ511" s="64" t="s">
        <v>762</v>
      </c>
      <c r="EA511" s="72" t="s">
        <v>822</v>
      </c>
      <c r="EB511" s="82"/>
    </row>
    <row r="512">
      <c r="A512" s="167" t="s">
        <v>1180</v>
      </c>
      <c r="B512" s="56" t="s">
        <v>1181</v>
      </c>
      <c r="C512" s="3"/>
      <c r="D512" s="4"/>
      <c r="E512" s="4"/>
      <c r="F512" s="57" t="s">
        <v>168</v>
      </c>
      <c r="G512" s="61">
        <v>270.94672</v>
      </c>
      <c r="H512" s="61">
        <v>-24.40593</v>
      </c>
      <c r="I512" s="60" t="s">
        <v>819</v>
      </c>
      <c r="J512" s="60" t="s">
        <v>169</v>
      </c>
      <c r="K512" s="61">
        <v>4.9</v>
      </c>
      <c r="L512" s="60">
        <v>0.14</v>
      </c>
      <c r="M512" s="60">
        <v>2.0</v>
      </c>
      <c r="N512" s="61">
        <v>1648.53280580283</v>
      </c>
      <c r="O512" s="61">
        <v>1.901</v>
      </c>
      <c r="P512" s="61">
        <v>0.079</v>
      </c>
      <c r="Q512" s="61">
        <v>-2.447</v>
      </c>
      <c r="R512" s="61">
        <v>0.063</v>
      </c>
      <c r="S512" s="60">
        <v>-2.29</v>
      </c>
      <c r="T512" s="60">
        <v>1.8</v>
      </c>
      <c r="U512" s="58"/>
      <c r="V512" s="5"/>
      <c r="W512" s="5"/>
      <c r="X512" s="5"/>
      <c r="Y512" s="166"/>
      <c r="Z512" s="60">
        <v>15.4</v>
      </c>
      <c r="AA512" s="60">
        <v>0.002</v>
      </c>
      <c r="AB512" s="60">
        <v>13.022</v>
      </c>
      <c r="AC512" s="60">
        <v>0.035</v>
      </c>
      <c r="AD512" s="60">
        <v>12.142</v>
      </c>
      <c r="AE512" s="60">
        <v>0.048</v>
      </c>
      <c r="AF512" s="60">
        <v>11.608</v>
      </c>
      <c r="AG512" s="60">
        <v>0.037</v>
      </c>
      <c r="AH512" s="60">
        <v>14.77</v>
      </c>
      <c r="AI512" s="60">
        <v>0.007280109889</v>
      </c>
      <c r="AJ512" s="76" t="s">
        <v>759</v>
      </c>
      <c r="AK512" s="64" t="s">
        <v>820</v>
      </c>
      <c r="AL512" s="168"/>
      <c r="AM512" s="7"/>
      <c r="AN512" s="77">
        <v>1250.0</v>
      </c>
      <c r="AO512" s="64">
        <v>50.0</v>
      </c>
      <c r="AP512" s="13"/>
      <c r="AQ512" s="13"/>
      <c r="AR512" s="78"/>
      <c r="AS512" s="97"/>
      <c r="AT512" s="67">
        <v>0.5</v>
      </c>
      <c r="AU512" s="70">
        <v>0.01</v>
      </c>
      <c r="AV512" s="13"/>
      <c r="AW512" s="13"/>
      <c r="AX512" s="73"/>
      <c r="AY512" s="73"/>
      <c r="AZ512" s="68" t="s">
        <v>812</v>
      </c>
      <c r="BA512" s="68" t="s">
        <v>821</v>
      </c>
      <c r="BB512" s="68">
        <v>-20.3</v>
      </c>
      <c r="BC512" s="68">
        <v>3.54</v>
      </c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2"/>
      <c r="DK512" s="12"/>
      <c r="DL512" s="12"/>
      <c r="DM512" s="69"/>
      <c r="DN512" s="69"/>
      <c r="DO512" s="69"/>
      <c r="DP512" s="69"/>
      <c r="DQ512" s="11"/>
      <c r="DR512" s="69"/>
      <c r="DS512" s="69"/>
      <c r="DT512" s="69"/>
      <c r="DU512" s="69"/>
      <c r="DV512" s="97"/>
      <c r="DW512" s="98"/>
      <c r="DX512" s="71">
        <v>3.98E-8</v>
      </c>
      <c r="DY512" s="114">
        <v>5.5E-8</v>
      </c>
      <c r="DZ512" s="64" t="s">
        <v>762</v>
      </c>
      <c r="EA512" s="72" t="s">
        <v>822</v>
      </c>
      <c r="EB512" s="82"/>
    </row>
    <row r="513">
      <c r="A513" s="167" t="s">
        <v>1182</v>
      </c>
      <c r="B513" s="56" t="s">
        <v>1183</v>
      </c>
      <c r="C513" s="3"/>
      <c r="D513" s="4"/>
      <c r="E513" s="4"/>
      <c r="F513" s="57" t="s">
        <v>168</v>
      </c>
      <c r="G513" s="61">
        <v>271.12183</v>
      </c>
      <c r="H513" s="61">
        <v>-24.39531</v>
      </c>
      <c r="I513" s="60" t="s">
        <v>819</v>
      </c>
      <c r="J513" s="60" t="s">
        <v>169</v>
      </c>
      <c r="K513" s="61">
        <v>4.5</v>
      </c>
      <c r="L513" s="60">
        <v>0.15</v>
      </c>
      <c r="M513" s="60">
        <v>2.0</v>
      </c>
      <c r="N513" s="61">
        <v>4478.2803403493</v>
      </c>
      <c r="O513" s="61">
        <v>-0.486</v>
      </c>
      <c r="P513" s="61">
        <v>0.275</v>
      </c>
      <c r="Q513" s="61">
        <v>-3.458</v>
      </c>
      <c r="R513" s="61">
        <v>0.234</v>
      </c>
      <c r="S513" s="60">
        <v>1.97</v>
      </c>
      <c r="T513" s="60">
        <v>2.18</v>
      </c>
      <c r="U513" s="58"/>
      <c r="V513" s="5"/>
      <c r="W513" s="5"/>
      <c r="X513" s="5"/>
      <c r="Y513" s="166"/>
      <c r="Z513" s="60">
        <v>15.68</v>
      </c>
      <c r="AA513" s="60">
        <v>0.002</v>
      </c>
      <c r="AB513" s="60">
        <v>13.149</v>
      </c>
      <c r="AC513" s="60">
        <v>0.039</v>
      </c>
      <c r="AD513" s="60">
        <v>12.235</v>
      </c>
      <c r="AE513" s="60">
        <v>0.045</v>
      </c>
      <c r="AF513" s="60">
        <v>11.735</v>
      </c>
      <c r="AG513" s="60">
        <v>0.035</v>
      </c>
      <c r="AH513" s="60">
        <v>15.0</v>
      </c>
      <c r="AI513" s="60">
        <v>0.007280109889</v>
      </c>
      <c r="AJ513" s="76" t="s">
        <v>759</v>
      </c>
      <c r="AK513" s="64" t="s">
        <v>820</v>
      </c>
      <c r="AL513" s="168"/>
      <c r="AM513" s="7"/>
      <c r="AN513" s="77">
        <v>1250.0</v>
      </c>
      <c r="AO513" s="64">
        <v>50.0</v>
      </c>
      <c r="AP513" s="13"/>
      <c r="AQ513" s="13"/>
      <c r="AR513" s="78"/>
      <c r="AS513" s="97"/>
      <c r="AT513" s="67">
        <v>0.5</v>
      </c>
      <c r="AU513" s="70">
        <v>0.01</v>
      </c>
      <c r="AV513" s="13"/>
      <c r="AW513" s="13"/>
      <c r="AX513" s="73"/>
      <c r="AY513" s="73"/>
      <c r="AZ513" s="68" t="s">
        <v>812</v>
      </c>
      <c r="BA513" s="68" t="s">
        <v>821</v>
      </c>
      <c r="BB513" s="68">
        <v>-20.54</v>
      </c>
      <c r="BC513" s="68">
        <v>2.23</v>
      </c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2"/>
      <c r="DK513" s="12"/>
      <c r="DL513" s="12"/>
      <c r="DM513" s="69"/>
      <c r="DN513" s="69"/>
      <c r="DO513" s="69"/>
      <c r="DP513" s="69"/>
      <c r="DQ513" s="11"/>
      <c r="DR513" s="69"/>
      <c r="DS513" s="69"/>
      <c r="DT513" s="69"/>
      <c r="DU513" s="69"/>
      <c r="DV513" s="97"/>
      <c r="DW513" s="98"/>
      <c r="DX513" s="71">
        <v>3.98E-8</v>
      </c>
      <c r="DY513" s="114">
        <v>5.5E-8</v>
      </c>
      <c r="DZ513" s="64" t="s">
        <v>762</v>
      </c>
      <c r="EA513" s="72" t="s">
        <v>822</v>
      </c>
      <c r="EB513" s="82"/>
    </row>
    <row r="514">
      <c r="A514" s="167" t="s">
        <v>1184</v>
      </c>
      <c r="B514" s="56" t="s">
        <v>1185</v>
      </c>
      <c r="C514" s="3"/>
      <c r="D514" s="4"/>
      <c r="E514" s="4"/>
      <c r="F514" s="57" t="s">
        <v>168</v>
      </c>
      <c r="G514" s="61">
        <v>270.99277</v>
      </c>
      <c r="H514" s="61">
        <v>-24.28032</v>
      </c>
      <c r="I514" s="60" t="s">
        <v>819</v>
      </c>
      <c r="J514" s="60" t="s">
        <v>169</v>
      </c>
      <c r="K514" s="61">
        <v>5.5</v>
      </c>
      <c r="L514" s="60">
        <v>0.2</v>
      </c>
      <c r="M514" s="60">
        <v>2.0</v>
      </c>
      <c r="N514" s="61">
        <v>976.181179226864</v>
      </c>
      <c r="O514" s="61">
        <v>1.395</v>
      </c>
      <c r="P514" s="61">
        <v>0.153</v>
      </c>
      <c r="Q514" s="61">
        <v>-1.913</v>
      </c>
      <c r="R514" s="61">
        <v>0.133</v>
      </c>
      <c r="S514" s="60">
        <v>3.23</v>
      </c>
      <c r="T514" s="60">
        <v>1.86</v>
      </c>
      <c r="U514" s="58"/>
      <c r="V514" s="5"/>
      <c r="W514" s="5"/>
      <c r="X514" s="5"/>
      <c r="Y514" s="166"/>
      <c r="Z514" s="60">
        <v>16.25</v>
      </c>
      <c r="AA514" s="60">
        <v>0.003</v>
      </c>
      <c r="AB514" s="60">
        <v>13.258</v>
      </c>
      <c r="AC514" s="60">
        <v>0.028</v>
      </c>
      <c r="AD514" s="60">
        <v>12.242</v>
      </c>
      <c r="AE514" s="60">
        <v>0.028</v>
      </c>
      <c r="AF514" s="60">
        <v>11.53</v>
      </c>
      <c r="AG514" s="60">
        <v>0.024</v>
      </c>
      <c r="AH514" s="60">
        <v>15.3</v>
      </c>
      <c r="AI514" s="60">
        <v>0.008544003745</v>
      </c>
      <c r="AJ514" s="76" t="s">
        <v>759</v>
      </c>
      <c r="AK514" s="64" t="s">
        <v>820</v>
      </c>
      <c r="AL514" s="168"/>
      <c r="AM514" s="7"/>
      <c r="AN514" s="77">
        <v>1250.0</v>
      </c>
      <c r="AO514" s="64">
        <v>50.0</v>
      </c>
      <c r="AP514" s="13"/>
      <c r="AQ514" s="13"/>
      <c r="AR514" s="78"/>
      <c r="AS514" s="97"/>
      <c r="AT514" s="67">
        <v>0.5</v>
      </c>
      <c r="AU514" s="70">
        <v>0.01</v>
      </c>
      <c r="AV514" s="13"/>
      <c r="AW514" s="13"/>
      <c r="AX514" s="73"/>
      <c r="AY514" s="73"/>
      <c r="AZ514" s="68" t="s">
        <v>812</v>
      </c>
      <c r="BA514" s="68" t="s">
        <v>821</v>
      </c>
      <c r="BB514" s="68">
        <v>-58.27</v>
      </c>
      <c r="BC514" s="68">
        <v>11.0</v>
      </c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2"/>
      <c r="DK514" s="12"/>
      <c r="DL514" s="12"/>
      <c r="DM514" s="69"/>
      <c r="DN514" s="69"/>
      <c r="DO514" s="69"/>
      <c r="DP514" s="69"/>
      <c r="DQ514" s="11"/>
      <c r="DR514" s="69"/>
      <c r="DS514" s="69"/>
      <c r="DT514" s="69"/>
      <c r="DU514" s="69"/>
      <c r="DV514" s="97"/>
      <c r="DW514" s="98"/>
      <c r="DX514" s="71">
        <v>5.01E-8</v>
      </c>
      <c r="DY514" s="114">
        <v>6.93E-8</v>
      </c>
      <c r="DZ514" s="64" t="s">
        <v>762</v>
      </c>
      <c r="EA514" s="72" t="s">
        <v>822</v>
      </c>
      <c r="EB514" s="82"/>
    </row>
    <row r="515">
      <c r="A515" s="167" t="s">
        <v>1186</v>
      </c>
      <c r="B515" s="56" t="s">
        <v>1187</v>
      </c>
      <c r="C515" s="3"/>
      <c r="D515" s="4"/>
      <c r="E515" s="4"/>
      <c r="F515" s="57" t="s">
        <v>168</v>
      </c>
      <c r="G515" s="61">
        <v>271.1288</v>
      </c>
      <c r="H515" s="61">
        <v>-24.44584</v>
      </c>
      <c r="I515" s="60" t="s">
        <v>819</v>
      </c>
      <c r="J515" s="60" t="s">
        <v>169</v>
      </c>
      <c r="K515" s="61">
        <v>5.5</v>
      </c>
      <c r="L515" s="60">
        <v>0.18</v>
      </c>
      <c r="M515" s="5"/>
      <c r="N515" s="61"/>
      <c r="O515" s="61"/>
      <c r="P515" s="61"/>
      <c r="Q515" s="61"/>
      <c r="R515" s="61"/>
      <c r="S515" s="60"/>
      <c r="T515" s="60"/>
      <c r="U515" s="58"/>
      <c r="V515" s="5"/>
      <c r="W515" s="5"/>
      <c r="X515" s="5"/>
      <c r="Y515" s="166"/>
      <c r="Z515" s="60">
        <v>16.04</v>
      </c>
      <c r="AA515" s="60">
        <v>0.003</v>
      </c>
      <c r="AB515" s="60">
        <v>13.309</v>
      </c>
      <c r="AC515" s="60">
        <v>0.036</v>
      </c>
      <c r="AD515" s="60">
        <v>12.157</v>
      </c>
      <c r="AE515" s="60">
        <v>0.053</v>
      </c>
      <c r="AF515" s="60">
        <v>11.332</v>
      </c>
      <c r="AG515" s="60">
        <v>0.037</v>
      </c>
      <c r="AH515" s="60">
        <v>15.25</v>
      </c>
      <c r="AI515" s="60">
        <v>0.007615773106</v>
      </c>
      <c r="AJ515" s="76" t="s">
        <v>759</v>
      </c>
      <c r="AK515" s="64" t="s">
        <v>820</v>
      </c>
      <c r="AL515" s="168"/>
      <c r="AM515" s="7"/>
      <c r="AN515" s="77">
        <v>1250.0</v>
      </c>
      <c r="AO515" s="64">
        <v>50.0</v>
      </c>
      <c r="AP515" s="13"/>
      <c r="AQ515" s="13"/>
      <c r="AR515" s="78"/>
      <c r="AS515" s="97"/>
      <c r="AT515" s="67">
        <v>0.5</v>
      </c>
      <c r="AU515" s="70">
        <v>0.01</v>
      </c>
      <c r="AV515" s="13"/>
      <c r="AW515" s="13"/>
      <c r="AX515" s="73"/>
      <c r="AY515" s="73"/>
      <c r="AZ515" s="68" t="s">
        <v>812</v>
      </c>
      <c r="BA515" s="68" t="s">
        <v>821</v>
      </c>
      <c r="BB515" s="68">
        <v>-36.96</v>
      </c>
      <c r="BC515" s="68">
        <v>6.87</v>
      </c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2"/>
      <c r="DK515" s="12"/>
      <c r="DL515" s="12"/>
      <c r="DM515" s="69"/>
      <c r="DN515" s="69"/>
      <c r="DO515" s="69"/>
      <c r="DP515" s="69"/>
      <c r="DQ515" s="11"/>
      <c r="DR515" s="69"/>
      <c r="DS515" s="69"/>
      <c r="DT515" s="69"/>
      <c r="DU515" s="69"/>
      <c r="DV515" s="97"/>
      <c r="DW515" s="98"/>
      <c r="DX515" s="71">
        <v>3.98E-8</v>
      </c>
      <c r="DY515" s="114">
        <v>5.5E-8</v>
      </c>
      <c r="DZ515" s="64" t="s">
        <v>762</v>
      </c>
      <c r="EA515" s="72" t="s">
        <v>822</v>
      </c>
      <c r="EB515" s="82"/>
    </row>
    <row r="516">
      <c r="A516" s="167" t="s">
        <v>1188</v>
      </c>
      <c r="B516" s="56" t="s">
        <v>1189</v>
      </c>
      <c r="C516" s="3"/>
      <c r="D516" s="4"/>
      <c r="E516" s="4"/>
      <c r="F516" s="57" t="s">
        <v>168</v>
      </c>
      <c r="G516" s="61">
        <v>271.18976</v>
      </c>
      <c r="H516" s="61">
        <v>-24.46485</v>
      </c>
      <c r="I516" s="60" t="s">
        <v>819</v>
      </c>
      <c r="J516" s="60" t="s">
        <v>169</v>
      </c>
      <c r="K516" s="61">
        <v>5.0</v>
      </c>
      <c r="L516" s="60">
        <v>0.16</v>
      </c>
      <c r="M516" s="60">
        <v>2.0</v>
      </c>
      <c r="N516" s="61">
        <v>6605.01981505944</v>
      </c>
      <c r="O516" s="61">
        <v>-0.485</v>
      </c>
      <c r="P516" s="61">
        <v>0.309</v>
      </c>
      <c r="Q516" s="61">
        <v>-2.418</v>
      </c>
      <c r="R516" s="61">
        <v>0.266</v>
      </c>
      <c r="S516" s="60"/>
      <c r="T516" s="60"/>
      <c r="U516" s="58"/>
      <c r="V516" s="5"/>
      <c r="W516" s="5"/>
      <c r="X516" s="5"/>
      <c r="Y516" s="166"/>
      <c r="Z516" s="60">
        <v>15.89</v>
      </c>
      <c r="AA516" s="60">
        <v>0.002</v>
      </c>
      <c r="AB516" s="60">
        <v>13.401</v>
      </c>
      <c r="AC516" s="60">
        <v>0.029</v>
      </c>
      <c r="AD516" s="60">
        <v>12.759</v>
      </c>
      <c r="AE516" s="60">
        <v>0.038</v>
      </c>
      <c r="AF516" s="60">
        <v>12.606</v>
      </c>
      <c r="AG516" s="60">
        <v>0.034</v>
      </c>
      <c r="AH516" s="60">
        <v>15.23</v>
      </c>
      <c r="AI516" s="60">
        <v>0.00632455532</v>
      </c>
      <c r="AJ516" s="76" t="s">
        <v>759</v>
      </c>
      <c r="AK516" s="64" t="s">
        <v>820</v>
      </c>
      <c r="AL516" s="168"/>
      <c r="AM516" s="7"/>
      <c r="AN516" s="77">
        <v>1250.0</v>
      </c>
      <c r="AO516" s="64">
        <v>50.0</v>
      </c>
      <c r="AP516" s="13"/>
      <c r="AQ516" s="13"/>
      <c r="AR516" s="78"/>
      <c r="AS516" s="97"/>
      <c r="AT516" s="67">
        <v>0.5</v>
      </c>
      <c r="AU516" s="70">
        <v>0.01</v>
      </c>
      <c r="AV516" s="13"/>
      <c r="AW516" s="13"/>
      <c r="AX516" s="73"/>
      <c r="AY516" s="73"/>
      <c r="AZ516" s="68" t="s">
        <v>812</v>
      </c>
      <c r="BA516" s="68" t="s">
        <v>821</v>
      </c>
      <c r="BB516" s="68">
        <v>-21.25</v>
      </c>
      <c r="BC516" s="68">
        <v>3.76</v>
      </c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2"/>
      <c r="DK516" s="12"/>
      <c r="DL516" s="12"/>
      <c r="DM516" s="69"/>
      <c r="DN516" s="69"/>
      <c r="DO516" s="69"/>
      <c r="DP516" s="69"/>
      <c r="DQ516" s="11"/>
      <c r="DR516" s="69"/>
      <c r="DS516" s="69"/>
      <c r="DT516" s="69"/>
      <c r="DU516" s="69"/>
      <c r="DV516" s="97"/>
      <c r="DW516" s="98"/>
      <c r="DX516" s="71">
        <v>2.51E-8</v>
      </c>
      <c r="DY516" s="114">
        <v>3.47E-8</v>
      </c>
      <c r="DZ516" s="64" t="s">
        <v>762</v>
      </c>
      <c r="EA516" s="72" t="s">
        <v>822</v>
      </c>
      <c r="EB516" s="82"/>
    </row>
    <row r="517">
      <c r="A517" s="167" t="s">
        <v>1190</v>
      </c>
      <c r="B517" s="56" t="s">
        <v>1191</v>
      </c>
      <c r="C517" s="3"/>
      <c r="D517" s="4"/>
      <c r="E517" s="4"/>
      <c r="F517" s="57" t="s">
        <v>168</v>
      </c>
      <c r="G517" s="61">
        <v>271.0214</v>
      </c>
      <c r="H517" s="61">
        <v>-24.4329</v>
      </c>
      <c r="I517" s="60" t="s">
        <v>819</v>
      </c>
      <c r="J517" s="60" t="s">
        <v>169</v>
      </c>
      <c r="K517" s="61">
        <v>5.6</v>
      </c>
      <c r="L517" s="60">
        <v>0.21</v>
      </c>
      <c r="M517" s="5"/>
      <c r="N517" s="61"/>
      <c r="O517" s="61"/>
      <c r="P517" s="61"/>
      <c r="Q517" s="61"/>
      <c r="R517" s="61"/>
      <c r="S517" s="60">
        <v>-105.43</v>
      </c>
      <c r="T517" s="60">
        <v>9.91</v>
      </c>
      <c r="U517" s="58"/>
      <c r="V517" s="5"/>
      <c r="W517" s="5"/>
      <c r="X517" s="5"/>
      <c r="Y517" s="166"/>
      <c r="Z517" s="60">
        <v>16.41</v>
      </c>
      <c r="AA517" s="60">
        <v>0.003</v>
      </c>
      <c r="AB517" s="60">
        <v>13.596</v>
      </c>
      <c r="AC517" s="60">
        <v>0.033</v>
      </c>
      <c r="AD517" s="60">
        <v>13.017</v>
      </c>
      <c r="AE517" s="60">
        <v>0.057</v>
      </c>
      <c r="AF517" s="60">
        <v>12.712</v>
      </c>
      <c r="AG517" s="60">
        <v>0.055</v>
      </c>
      <c r="AH517" s="60">
        <v>15.72</v>
      </c>
      <c r="AI517" s="60">
        <v>0.01140175425</v>
      </c>
      <c r="AJ517" s="76" t="s">
        <v>759</v>
      </c>
      <c r="AK517" s="64" t="s">
        <v>820</v>
      </c>
      <c r="AL517" s="168"/>
      <c r="AM517" s="7"/>
      <c r="AN517" s="77">
        <v>1250.0</v>
      </c>
      <c r="AO517" s="64">
        <v>50.0</v>
      </c>
      <c r="AP517" s="13"/>
      <c r="AQ517" s="13"/>
      <c r="AR517" s="78"/>
      <c r="AS517" s="97"/>
      <c r="AT517" s="67">
        <v>0.5</v>
      </c>
      <c r="AU517" s="70">
        <v>0.01</v>
      </c>
      <c r="AV517" s="13"/>
      <c r="AW517" s="13"/>
      <c r="AX517" s="73"/>
      <c r="AY517" s="73"/>
      <c r="AZ517" s="68" t="s">
        <v>812</v>
      </c>
      <c r="BA517" s="68" t="s">
        <v>821</v>
      </c>
      <c r="BB517" s="68">
        <v>-25.1</v>
      </c>
      <c r="BC517" s="68">
        <v>4.23</v>
      </c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2"/>
      <c r="DK517" s="12"/>
      <c r="DL517" s="12"/>
      <c r="DM517" s="69"/>
      <c r="DN517" s="69"/>
      <c r="DO517" s="69"/>
      <c r="DP517" s="69"/>
      <c r="DQ517" s="11"/>
      <c r="DR517" s="69"/>
      <c r="DS517" s="69"/>
      <c r="DT517" s="69"/>
      <c r="DU517" s="69"/>
      <c r="DV517" s="97"/>
      <c r="DW517" s="98"/>
      <c r="DX517" s="71">
        <v>1.26E-8</v>
      </c>
      <c r="DY517" s="114">
        <v>1.74E-8</v>
      </c>
      <c r="DZ517" s="64" t="s">
        <v>762</v>
      </c>
      <c r="EA517" s="72" t="s">
        <v>822</v>
      </c>
      <c r="EB517" s="82"/>
    </row>
    <row r="518">
      <c r="A518" s="167" t="s">
        <v>1192</v>
      </c>
      <c r="B518" s="56" t="s">
        <v>1193</v>
      </c>
      <c r="C518" s="3"/>
      <c r="D518" s="4"/>
      <c r="E518" s="4"/>
      <c r="F518" s="57" t="s">
        <v>168</v>
      </c>
      <c r="G518" s="61">
        <v>270.95773</v>
      </c>
      <c r="H518" s="61">
        <v>-24.36293</v>
      </c>
      <c r="I518" s="60" t="s">
        <v>819</v>
      </c>
      <c r="J518" s="60" t="s">
        <v>169</v>
      </c>
      <c r="K518" s="61">
        <v>5.5</v>
      </c>
      <c r="L518" s="60">
        <v>0.23</v>
      </c>
      <c r="M518" s="60">
        <v>2.0</v>
      </c>
      <c r="N518" s="61">
        <v>1077.70233861407</v>
      </c>
      <c r="O518" s="61">
        <v>1.196</v>
      </c>
      <c r="P518" s="61">
        <v>0.148</v>
      </c>
      <c r="Q518" s="61">
        <v>-1.69</v>
      </c>
      <c r="R518" s="61">
        <v>0.122</v>
      </c>
      <c r="S518" s="60"/>
      <c r="T518" s="60"/>
      <c r="U518" s="58"/>
      <c r="V518" s="5"/>
      <c r="W518" s="5"/>
      <c r="X518" s="5"/>
      <c r="Y518" s="166"/>
      <c r="Z518" s="60">
        <v>16.47</v>
      </c>
      <c r="AA518" s="60">
        <v>0.004</v>
      </c>
      <c r="AB518" s="60">
        <v>13.597</v>
      </c>
      <c r="AC518" s="60"/>
      <c r="AD518" s="60">
        <v>12.848</v>
      </c>
      <c r="AE518" s="60"/>
      <c r="AF518" s="60">
        <v>12.483</v>
      </c>
      <c r="AG518" s="60"/>
      <c r="AH518" s="60">
        <v>15.53</v>
      </c>
      <c r="AI518" s="60">
        <v>0.01170469991</v>
      </c>
      <c r="AJ518" s="76" t="s">
        <v>759</v>
      </c>
      <c r="AK518" s="64" t="s">
        <v>820</v>
      </c>
      <c r="AL518" s="168"/>
      <c r="AM518" s="7"/>
      <c r="AN518" s="77">
        <v>1250.0</v>
      </c>
      <c r="AO518" s="64">
        <v>50.0</v>
      </c>
      <c r="AP518" s="13"/>
      <c r="AQ518" s="13"/>
      <c r="AR518" s="78"/>
      <c r="AS518" s="97"/>
      <c r="AT518" s="67">
        <v>0.5</v>
      </c>
      <c r="AU518" s="70">
        <v>0.01</v>
      </c>
      <c r="AV518" s="13"/>
      <c r="AW518" s="13"/>
      <c r="AX518" s="73"/>
      <c r="AY518" s="73"/>
      <c r="AZ518" s="68" t="s">
        <v>812</v>
      </c>
      <c r="BA518" s="68" t="s">
        <v>821</v>
      </c>
      <c r="BB518" s="68">
        <v>-57.16</v>
      </c>
      <c r="BC518" s="68">
        <v>10.6</v>
      </c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2"/>
      <c r="DK518" s="12"/>
      <c r="DL518" s="12"/>
      <c r="DM518" s="69"/>
      <c r="DN518" s="69"/>
      <c r="DO518" s="69"/>
      <c r="DP518" s="69"/>
      <c r="DQ518" s="11"/>
      <c r="DR518" s="69"/>
      <c r="DS518" s="69"/>
      <c r="DT518" s="69"/>
      <c r="DU518" s="69"/>
      <c r="DV518" s="97"/>
      <c r="DW518" s="98"/>
      <c r="DX518" s="71">
        <v>3.16E-8</v>
      </c>
      <c r="DY518" s="114">
        <v>4.37E-8</v>
      </c>
      <c r="DZ518" s="64" t="s">
        <v>762</v>
      </c>
      <c r="EA518" s="72" t="s">
        <v>822</v>
      </c>
      <c r="EB518" s="82"/>
    </row>
    <row r="519">
      <c r="A519" s="167" t="s">
        <v>1194</v>
      </c>
      <c r="B519" s="56" t="s">
        <v>1195</v>
      </c>
      <c r="C519" s="3"/>
      <c r="D519" s="4"/>
      <c r="E519" s="4"/>
      <c r="F519" s="57" t="s">
        <v>168</v>
      </c>
      <c r="G519" s="61">
        <v>270.95505</v>
      </c>
      <c r="H519" s="61">
        <v>-24.36903</v>
      </c>
      <c r="I519" s="60" t="s">
        <v>819</v>
      </c>
      <c r="J519" s="60" t="s">
        <v>169</v>
      </c>
      <c r="K519" s="61">
        <v>5.6</v>
      </c>
      <c r="L519" s="60">
        <v>0.21</v>
      </c>
      <c r="M519" s="60">
        <v>2.0</v>
      </c>
      <c r="N519" s="61">
        <v>1751.00682892663</v>
      </c>
      <c r="O519" s="61">
        <v>1.348</v>
      </c>
      <c r="P519" s="61">
        <v>0.14</v>
      </c>
      <c r="Q519" s="61">
        <v>-2.116</v>
      </c>
      <c r="R519" s="61">
        <v>0.118</v>
      </c>
      <c r="S519" s="60">
        <v>-186.4</v>
      </c>
      <c r="T519" s="60">
        <v>7.76</v>
      </c>
      <c r="U519" s="58"/>
      <c r="V519" s="5"/>
      <c r="W519" s="5"/>
      <c r="X519" s="5"/>
      <c r="Y519" s="166"/>
      <c r="Z519" s="60">
        <v>16.05</v>
      </c>
      <c r="AA519" s="60">
        <v>0.003</v>
      </c>
      <c r="AB519" s="60">
        <v>13.623</v>
      </c>
      <c r="AC519" s="60">
        <v>0.041</v>
      </c>
      <c r="AD519" s="60">
        <v>12.883</v>
      </c>
      <c r="AE519" s="60">
        <v>0.06</v>
      </c>
      <c r="AF519" s="60">
        <v>12.613</v>
      </c>
      <c r="AG519" s="60">
        <v>0.044</v>
      </c>
      <c r="AH519" s="60">
        <v>15.44</v>
      </c>
      <c r="AI519" s="60">
        <v>0.01431782106</v>
      </c>
      <c r="AJ519" s="76" t="s">
        <v>759</v>
      </c>
      <c r="AK519" s="64" t="s">
        <v>820</v>
      </c>
      <c r="AL519" s="168"/>
      <c r="AM519" s="7"/>
      <c r="AN519" s="77">
        <v>1250.0</v>
      </c>
      <c r="AO519" s="64">
        <v>50.0</v>
      </c>
      <c r="AP519" s="13"/>
      <c r="AQ519" s="13"/>
      <c r="AR519" s="78"/>
      <c r="AS519" s="97"/>
      <c r="AT519" s="67">
        <v>0.5</v>
      </c>
      <c r="AU519" s="70">
        <v>0.01</v>
      </c>
      <c r="AV519" s="13"/>
      <c r="AW519" s="13"/>
      <c r="AX519" s="73"/>
      <c r="AY519" s="73"/>
      <c r="AZ519" s="68" t="s">
        <v>812</v>
      </c>
      <c r="BA519" s="68" t="s">
        <v>821</v>
      </c>
      <c r="BB519" s="68">
        <v>-16.52</v>
      </c>
      <c r="BC519" s="68">
        <v>2.39</v>
      </c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2"/>
      <c r="DK519" s="12"/>
      <c r="DL519" s="12"/>
      <c r="DM519" s="69"/>
      <c r="DN519" s="69"/>
      <c r="DO519" s="69"/>
      <c r="DP519" s="69"/>
      <c r="DQ519" s="11"/>
      <c r="DR519" s="69"/>
      <c r="DS519" s="69"/>
      <c r="DT519" s="69"/>
      <c r="DU519" s="69"/>
      <c r="DV519" s="97"/>
      <c r="DW519" s="98"/>
      <c r="DX519" s="71">
        <v>1.26E-8</v>
      </c>
      <c r="DY519" s="114">
        <v>1.74E-8</v>
      </c>
      <c r="DZ519" s="64" t="s">
        <v>762</v>
      </c>
      <c r="EA519" s="72" t="s">
        <v>822</v>
      </c>
      <c r="EB519" s="82"/>
    </row>
    <row r="520">
      <c r="A520" s="167" t="s">
        <v>1196</v>
      </c>
      <c r="B520" s="56" t="s">
        <v>1197</v>
      </c>
      <c r="C520" s="3"/>
      <c r="D520" s="4"/>
      <c r="E520" s="4"/>
      <c r="F520" s="57" t="s">
        <v>168</v>
      </c>
      <c r="G520" s="61">
        <v>270.9373</v>
      </c>
      <c r="H520" s="61">
        <v>-24.26905</v>
      </c>
      <c r="I520" s="60" t="s">
        <v>819</v>
      </c>
      <c r="J520" s="60" t="s">
        <v>169</v>
      </c>
      <c r="K520" s="61">
        <v>5.6</v>
      </c>
      <c r="L520" s="60">
        <v>0.22</v>
      </c>
      <c r="M520" s="60">
        <v>2.0</v>
      </c>
      <c r="N520" s="61">
        <v>1530.45607591062</v>
      </c>
      <c r="O520" s="61">
        <v>2.252</v>
      </c>
      <c r="P520" s="61">
        <v>0.179</v>
      </c>
      <c r="Q520" s="61">
        <v>-2.115</v>
      </c>
      <c r="R520" s="61">
        <v>0.156</v>
      </c>
      <c r="S520" s="60"/>
      <c r="T520" s="60"/>
      <c r="U520" s="58"/>
      <c r="V520" s="5"/>
      <c r="W520" s="5"/>
      <c r="X520" s="5"/>
      <c r="Y520" s="166"/>
      <c r="Z520" s="60">
        <v>16.39</v>
      </c>
      <c r="AA520" s="60">
        <v>0.003</v>
      </c>
      <c r="AB520" s="60">
        <v>13.694</v>
      </c>
      <c r="AC520" s="60"/>
      <c r="AD520" s="60">
        <v>13.07</v>
      </c>
      <c r="AE520" s="60">
        <v>0.08</v>
      </c>
      <c r="AF520" s="60">
        <v>12.56</v>
      </c>
      <c r="AG520" s="60">
        <v>0.06</v>
      </c>
      <c r="AH520" s="60">
        <v>15.66</v>
      </c>
      <c r="AI520" s="60">
        <v>0.01044030651</v>
      </c>
      <c r="AJ520" s="76" t="s">
        <v>759</v>
      </c>
      <c r="AK520" s="64" t="s">
        <v>820</v>
      </c>
      <c r="AL520" s="168"/>
      <c r="AM520" s="7"/>
      <c r="AN520" s="77">
        <v>1250.0</v>
      </c>
      <c r="AO520" s="64">
        <v>50.0</v>
      </c>
      <c r="AP520" s="13"/>
      <c r="AQ520" s="13"/>
      <c r="AR520" s="78"/>
      <c r="AS520" s="97"/>
      <c r="AT520" s="67">
        <v>0.5</v>
      </c>
      <c r="AU520" s="70">
        <v>0.01</v>
      </c>
      <c r="AV520" s="13"/>
      <c r="AW520" s="13"/>
      <c r="AX520" s="73"/>
      <c r="AY520" s="73"/>
      <c r="AZ520" s="68" t="s">
        <v>812</v>
      </c>
      <c r="BA520" s="68" t="s">
        <v>821</v>
      </c>
      <c r="BB520" s="68">
        <v>-31.17</v>
      </c>
      <c r="BC520" s="68">
        <v>5.49</v>
      </c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2"/>
      <c r="DK520" s="12"/>
      <c r="DL520" s="12"/>
      <c r="DM520" s="69"/>
      <c r="DN520" s="69"/>
      <c r="DO520" s="69"/>
      <c r="DP520" s="69"/>
      <c r="DQ520" s="11"/>
      <c r="DR520" s="69"/>
      <c r="DS520" s="69"/>
      <c r="DT520" s="69"/>
      <c r="DU520" s="69"/>
      <c r="DV520" s="97"/>
      <c r="DW520" s="98"/>
      <c r="DX520" s="71">
        <v>1.58E-8</v>
      </c>
      <c r="DY520" s="114">
        <v>2.19E-8</v>
      </c>
      <c r="DZ520" s="64" t="s">
        <v>762</v>
      </c>
      <c r="EA520" s="72" t="s">
        <v>822</v>
      </c>
      <c r="EB520" s="82"/>
    </row>
    <row r="521">
      <c r="A521" s="167" t="s">
        <v>1198</v>
      </c>
      <c r="B521" s="56" t="s">
        <v>1199</v>
      </c>
      <c r="C521" s="3"/>
      <c r="D521" s="4"/>
      <c r="E521" s="4"/>
      <c r="F521" s="57" t="s">
        <v>168</v>
      </c>
      <c r="G521" s="61">
        <v>271.0506</v>
      </c>
      <c r="H521" s="61">
        <v>-24.37217</v>
      </c>
      <c r="I521" s="60" t="s">
        <v>819</v>
      </c>
      <c r="J521" s="60" t="s">
        <v>169</v>
      </c>
      <c r="K521" s="61">
        <v>5.5</v>
      </c>
      <c r="L521" s="60">
        <v>0.22</v>
      </c>
      <c r="M521" s="60">
        <v>2.0</v>
      </c>
      <c r="N521" s="61">
        <v>1342.8226131328</v>
      </c>
      <c r="O521" s="61">
        <v>1.187</v>
      </c>
      <c r="P521" s="61">
        <v>0.141</v>
      </c>
      <c r="Q521" s="61">
        <v>-2.32</v>
      </c>
      <c r="R521" s="61">
        <v>0.122</v>
      </c>
      <c r="S521" s="60"/>
      <c r="T521" s="60"/>
      <c r="U521" s="58"/>
      <c r="V521" s="5"/>
      <c r="W521" s="5"/>
      <c r="X521" s="5"/>
      <c r="Y521" s="166"/>
      <c r="Z521" s="60">
        <v>16.22</v>
      </c>
      <c r="AA521" s="60">
        <v>0.003</v>
      </c>
      <c r="AB521" s="60">
        <v>13.696</v>
      </c>
      <c r="AC521" s="60">
        <v>0.032</v>
      </c>
      <c r="AD521" s="60">
        <v>12.748</v>
      </c>
      <c r="AE521" s="60">
        <v>0.027</v>
      </c>
      <c r="AF521" s="60">
        <v>12.101</v>
      </c>
      <c r="AG521" s="60">
        <v>0.033</v>
      </c>
      <c r="AH521" s="60">
        <v>15.62</v>
      </c>
      <c r="AI521" s="60">
        <v>0.01236931688</v>
      </c>
      <c r="AJ521" s="76" t="s">
        <v>759</v>
      </c>
      <c r="AK521" s="64" t="s">
        <v>820</v>
      </c>
      <c r="AL521" s="168"/>
      <c r="AM521" s="7"/>
      <c r="AN521" s="77">
        <v>1250.0</v>
      </c>
      <c r="AO521" s="64">
        <v>50.0</v>
      </c>
      <c r="AP521" s="13"/>
      <c r="AQ521" s="13"/>
      <c r="AR521" s="78"/>
      <c r="AS521" s="97"/>
      <c r="AT521" s="67">
        <v>0.5</v>
      </c>
      <c r="AU521" s="70">
        <v>0.01</v>
      </c>
      <c r="AV521" s="13"/>
      <c r="AW521" s="13"/>
      <c r="AX521" s="73"/>
      <c r="AY521" s="73"/>
      <c r="AZ521" s="68" t="s">
        <v>812</v>
      </c>
      <c r="BA521" s="68" t="s">
        <v>821</v>
      </c>
      <c r="BB521" s="68">
        <v>-12.19</v>
      </c>
      <c r="BC521" s="68">
        <v>1.59</v>
      </c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2"/>
      <c r="DK521" s="12"/>
      <c r="DL521" s="12"/>
      <c r="DM521" s="69"/>
      <c r="DN521" s="69"/>
      <c r="DO521" s="69"/>
      <c r="DP521" s="69"/>
      <c r="DQ521" s="11"/>
      <c r="DR521" s="69"/>
      <c r="DS521" s="69"/>
      <c r="DT521" s="69"/>
      <c r="DU521" s="69"/>
      <c r="DV521" s="97"/>
      <c r="DW521" s="98"/>
      <c r="DX521" s="71">
        <v>1.0E-8</v>
      </c>
      <c r="DY521" s="114">
        <v>1.38E-8</v>
      </c>
      <c r="DZ521" s="64" t="s">
        <v>762</v>
      </c>
      <c r="EA521" s="72" t="s">
        <v>822</v>
      </c>
      <c r="EB521" s="82"/>
    </row>
    <row r="522">
      <c r="A522" s="167" t="s">
        <v>1198</v>
      </c>
      <c r="B522" s="56" t="s">
        <v>1200</v>
      </c>
      <c r="C522" s="3"/>
      <c r="D522" s="4"/>
      <c r="E522" s="4"/>
      <c r="F522" s="57" t="s">
        <v>168</v>
      </c>
      <c r="G522" s="61">
        <v>271.05063</v>
      </c>
      <c r="H522" s="61">
        <v>-24.37217</v>
      </c>
      <c r="I522" s="60" t="s">
        <v>819</v>
      </c>
      <c r="J522" s="60" t="s">
        <v>169</v>
      </c>
      <c r="K522" s="61">
        <v>5.4</v>
      </c>
      <c r="L522" s="60">
        <v>0.21</v>
      </c>
      <c r="M522" s="60">
        <v>2.0</v>
      </c>
      <c r="N522" s="61">
        <v>1342.8226131328</v>
      </c>
      <c r="O522" s="61">
        <v>1.187</v>
      </c>
      <c r="P522" s="61">
        <v>0.141</v>
      </c>
      <c r="Q522" s="61">
        <v>-2.32</v>
      </c>
      <c r="R522" s="61">
        <v>0.122</v>
      </c>
      <c r="S522" s="60"/>
      <c r="T522" s="60"/>
      <c r="U522" s="58"/>
      <c r="V522" s="5"/>
      <c r="W522" s="5"/>
      <c r="X522" s="5"/>
      <c r="Y522" s="166"/>
      <c r="Z522" s="60">
        <v>16.36</v>
      </c>
      <c r="AA522" s="60">
        <v>0.003</v>
      </c>
      <c r="AB522" s="60">
        <v>13.696</v>
      </c>
      <c r="AC522" s="60">
        <v>0.032</v>
      </c>
      <c r="AD522" s="60">
        <v>12.748</v>
      </c>
      <c r="AE522" s="60">
        <v>0.027</v>
      </c>
      <c r="AF522" s="60">
        <v>12.101</v>
      </c>
      <c r="AG522" s="60">
        <v>0.033</v>
      </c>
      <c r="AH522" s="60">
        <v>15.67</v>
      </c>
      <c r="AI522" s="60">
        <v>0.01140175425</v>
      </c>
      <c r="AJ522" s="76" t="s">
        <v>759</v>
      </c>
      <c r="AK522" s="64" t="s">
        <v>820</v>
      </c>
      <c r="AL522" s="168"/>
      <c r="AM522" s="7"/>
      <c r="AN522" s="77">
        <v>1250.0</v>
      </c>
      <c r="AO522" s="64">
        <v>50.0</v>
      </c>
      <c r="AP522" s="13"/>
      <c r="AQ522" s="13"/>
      <c r="AR522" s="78"/>
      <c r="AS522" s="97"/>
      <c r="AT522" s="67">
        <v>0.5</v>
      </c>
      <c r="AU522" s="70">
        <v>0.01</v>
      </c>
      <c r="AV522" s="13"/>
      <c r="AW522" s="13"/>
      <c r="AX522" s="73"/>
      <c r="AY522" s="73"/>
      <c r="AZ522" s="68" t="s">
        <v>812</v>
      </c>
      <c r="BA522" s="68" t="s">
        <v>821</v>
      </c>
      <c r="BB522" s="68">
        <v>-22.77</v>
      </c>
      <c r="BC522" s="68">
        <v>3.78</v>
      </c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2"/>
      <c r="DK522" s="12"/>
      <c r="DL522" s="12"/>
      <c r="DM522" s="69"/>
      <c r="DN522" s="69"/>
      <c r="DO522" s="69"/>
      <c r="DP522" s="69"/>
      <c r="DQ522" s="11"/>
      <c r="DR522" s="69"/>
      <c r="DS522" s="69"/>
      <c r="DT522" s="69"/>
      <c r="DU522" s="69"/>
      <c r="DV522" s="97"/>
      <c r="DW522" s="98"/>
      <c r="DX522" s="71">
        <v>1.58E-8</v>
      </c>
      <c r="DY522" s="114">
        <v>2.19E-8</v>
      </c>
      <c r="DZ522" s="64" t="s">
        <v>762</v>
      </c>
      <c r="EA522" s="72" t="s">
        <v>822</v>
      </c>
      <c r="EB522" s="82"/>
    </row>
    <row r="523">
      <c r="A523" s="167" t="s">
        <v>1201</v>
      </c>
      <c r="B523" s="55" t="s">
        <v>1202</v>
      </c>
      <c r="C523" s="3"/>
      <c r="D523" s="4"/>
      <c r="E523" s="4"/>
      <c r="F523" s="57" t="s">
        <v>168</v>
      </c>
      <c r="G523" s="61">
        <v>271.05188</v>
      </c>
      <c r="H523" s="61">
        <v>-24.19767</v>
      </c>
      <c r="I523" s="60" t="s">
        <v>819</v>
      </c>
      <c r="J523" s="60" t="s">
        <v>169</v>
      </c>
      <c r="K523" s="61">
        <v>5.9</v>
      </c>
      <c r="L523" s="60">
        <v>0.32</v>
      </c>
      <c r="M523" s="60">
        <v>2.0</v>
      </c>
      <c r="N523" s="61">
        <v>1162.52034410602</v>
      </c>
      <c r="O523" s="61">
        <v>0.745</v>
      </c>
      <c r="P523" s="61">
        <v>0.137</v>
      </c>
      <c r="Q523" s="61">
        <v>-1.691</v>
      </c>
      <c r="R523" s="61">
        <v>0.118</v>
      </c>
      <c r="S523" s="60"/>
      <c r="T523" s="60"/>
      <c r="U523" s="58"/>
      <c r="V523" s="5"/>
      <c r="W523" s="5"/>
      <c r="X523" s="5"/>
      <c r="Y523" s="166"/>
      <c r="Z523" s="60">
        <v>16.94</v>
      </c>
      <c r="AA523" s="60">
        <v>0.005</v>
      </c>
      <c r="AB523" s="60">
        <v>13.834</v>
      </c>
      <c r="AC523" s="60">
        <v>0.029</v>
      </c>
      <c r="AD523" s="60">
        <v>12.831</v>
      </c>
      <c r="AE523" s="60">
        <v>0.031</v>
      </c>
      <c r="AF523" s="60">
        <v>12.104</v>
      </c>
      <c r="AG523" s="60">
        <v>0.027</v>
      </c>
      <c r="AH523" s="60">
        <v>15.92</v>
      </c>
      <c r="AI523" s="60">
        <v>0.02158703314</v>
      </c>
      <c r="AJ523" s="76" t="s">
        <v>759</v>
      </c>
      <c r="AK523" s="64" t="s">
        <v>820</v>
      </c>
      <c r="AL523" s="168"/>
      <c r="AM523" s="7"/>
      <c r="AN523" s="77">
        <v>1250.0</v>
      </c>
      <c r="AO523" s="64">
        <v>50.0</v>
      </c>
      <c r="AP523" s="13"/>
      <c r="AQ523" s="13"/>
      <c r="AR523" s="78"/>
      <c r="AS523" s="97"/>
      <c r="AT523" s="67">
        <v>0.5</v>
      </c>
      <c r="AU523" s="70">
        <v>0.02</v>
      </c>
      <c r="AV523" s="13"/>
      <c r="AW523" s="13"/>
      <c r="AX523" s="73"/>
      <c r="AY523" s="73"/>
      <c r="AZ523" s="68" t="s">
        <v>812</v>
      </c>
      <c r="BA523" s="68" t="s">
        <v>821</v>
      </c>
      <c r="BB523" s="68">
        <v>-69.75</v>
      </c>
      <c r="BC523" s="68">
        <v>12.5</v>
      </c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2"/>
      <c r="DK523" s="12"/>
      <c r="DL523" s="12"/>
      <c r="DM523" s="69"/>
      <c r="DN523" s="69"/>
      <c r="DO523" s="69"/>
      <c r="DP523" s="69"/>
      <c r="DQ523" s="11"/>
      <c r="DR523" s="69"/>
      <c r="DS523" s="69"/>
      <c r="DT523" s="69"/>
      <c r="DU523" s="69"/>
      <c r="DV523" s="97"/>
      <c r="DW523" s="98"/>
      <c r="DX523" s="71">
        <v>2.51E-8</v>
      </c>
      <c r="DY523" s="114">
        <v>3.47E-8</v>
      </c>
      <c r="DZ523" s="64" t="s">
        <v>762</v>
      </c>
      <c r="EA523" s="72" t="s">
        <v>822</v>
      </c>
      <c r="EB523" s="82"/>
    </row>
    <row r="524">
      <c r="A524" s="167" t="s">
        <v>1203</v>
      </c>
      <c r="B524" s="56" t="s">
        <v>1204</v>
      </c>
      <c r="C524" s="3"/>
      <c r="D524" s="4"/>
      <c r="E524" s="4"/>
      <c r="F524" s="57" t="s">
        <v>168</v>
      </c>
      <c r="G524" s="61">
        <v>271.06754</v>
      </c>
      <c r="H524" s="61">
        <v>-24.39003</v>
      </c>
      <c r="I524" s="60" t="s">
        <v>819</v>
      </c>
      <c r="J524" s="60" t="s">
        <v>169</v>
      </c>
      <c r="K524" s="61">
        <v>5.7</v>
      </c>
      <c r="L524" s="60">
        <v>0.19</v>
      </c>
      <c r="M524" s="60">
        <v>2.0</v>
      </c>
      <c r="N524" s="61">
        <v>1498.80095923261</v>
      </c>
      <c r="O524" s="61">
        <v>1.201</v>
      </c>
      <c r="P524" s="61">
        <v>0.153</v>
      </c>
      <c r="Q524" s="61">
        <v>-2.087</v>
      </c>
      <c r="R524" s="61">
        <v>0.131</v>
      </c>
      <c r="S524" s="60">
        <v>-3.03</v>
      </c>
      <c r="T524" s="60">
        <v>1.67</v>
      </c>
      <c r="U524" s="58"/>
      <c r="V524" s="5"/>
      <c r="W524" s="5"/>
      <c r="X524" s="5"/>
      <c r="Y524" s="166"/>
      <c r="Z524" s="60">
        <v>16.18</v>
      </c>
      <c r="AA524" s="60">
        <v>0.003</v>
      </c>
      <c r="AB524" s="60">
        <v>13.837</v>
      </c>
      <c r="AC524" s="60"/>
      <c r="AD524" s="60">
        <v>13.067</v>
      </c>
      <c r="AE524" s="60">
        <v>0.081</v>
      </c>
      <c r="AF524" s="60">
        <v>12.726</v>
      </c>
      <c r="AG524" s="60">
        <v>0.065</v>
      </c>
      <c r="AH524" s="60">
        <v>15.5</v>
      </c>
      <c r="AI524" s="60">
        <v>0.01044030651</v>
      </c>
      <c r="AJ524" s="76" t="s">
        <v>759</v>
      </c>
      <c r="AK524" s="64" t="s">
        <v>820</v>
      </c>
      <c r="AL524" s="168"/>
      <c r="AM524" s="7"/>
      <c r="AN524" s="77">
        <v>1250.0</v>
      </c>
      <c r="AO524" s="64">
        <v>50.0</v>
      </c>
      <c r="AP524" s="13"/>
      <c r="AQ524" s="13"/>
      <c r="AR524" s="78"/>
      <c r="AS524" s="97"/>
      <c r="AT524" s="67">
        <v>0.5</v>
      </c>
      <c r="AU524" s="70">
        <v>0.01</v>
      </c>
      <c r="AV524" s="13"/>
      <c r="AW524" s="13"/>
      <c r="AX524" s="73"/>
      <c r="AY524" s="73"/>
      <c r="AZ524" s="68" t="s">
        <v>812</v>
      </c>
      <c r="BA524" s="68" t="s">
        <v>821</v>
      </c>
      <c r="BB524" s="68">
        <v>-25.59</v>
      </c>
      <c r="BC524" s="68">
        <v>4.45</v>
      </c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2"/>
      <c r="DK524" s="12"/>
      <c r="DL524" s="12"/>
      <c r="DM524" s="69"/>
      <c r="DN524" s="69"/>
      <c r="DO524" s="69"/>
      <c r="DP524" s="69"/>
      <c r="DQ524" s="11"/>
      <c r="DR524" s="69"/>
      <c r="DS524" s="69"/>
      <c r="DT524" s="69"/>
      <c r="DU524" s="69"/>
      <c r="DV524" s="97"/>
      <c r="DW524" s="98"/>
      <c r="DX524" s="71">
        <v>1.58E-8</v>
      </c>
      <c r="DY524" s="114">
        <v>2.19E-8</v>
      </c>
      <c r="DZ524" s="64" t="s">
        <v>762</v>
      </c>
      <c r="EA524" s="72" t="s">
        <v>822</v>
      </c>
      <c r="EB524" s="82"/>
    </row>
    <row r="525">
      <c r="A525" s="167" t="s">
        <v>1205</v>
      </c>
      <c r="B525" s="56" t="s">
        <v>1206</v>
      </c>
      <c r="C525" s="3"/>
      <c r="D525" s="4"/>
      <c r="E525" s="4"/>
      <c r="F525" s="57" t="s">
        <v>168</v>
      </c>
      <c r="G525" s="61">
        <v>271.0236</v>
      </c>
      <c r="H525" s="61">
        <v>-24.26096</v>
      </c>
      <c r="I525" s="60" t="s">
        <v>819</v>
      </c>
      <c r="J525" s="60" t="s">
        <v>169</v>
      </c>
      <c r="K525" s="61">
        <v>5.7</v>
      </c>
      <c r="L525" s="60">
        <v>0.21</v>
      </c>
      <c r="M525" s="60">
        <v>2.0</v>
      </c>
      <c r="N525" s="61">
        <v>1293.49372655542</v>
      </c>
      <c r="O525" s="61">
        <v>2.226</v>
      </c>
      <c r="P525" s="61">
        <v>0.166</v>
      </c>
      <c r="Q525" s="61">
        <v>-2.228</v>
      </c>
      <c r="R525" s="61">
        <v>0.147</v>
      </c>
      <c r="S525" s="60">
        <v>-3.51</v>
      </c>
      <c r="T525" s="60">
        <v>0.93</v>
      </c>
      <c r="U525" s="58"/>
      <c r="V525" s="5"/>
      <c r="W525" s="5"/>
      <c r="X525" s="5"/>
      <c r="Y525" s="166"/>
      <c r="Z525" s="60">
        <v>16.34</v>
      </c>
      <c r="AA525" s="60">
        <v>0.003</v>
      </c>
      <c r="AB525" s="60">
        <v>13.901</v>
      </c>
      <c r="AC525" s="60">
        <v>0.03</v>
      </c>
      <c r="AD525" s="60">
        <v>13.099</v>
      </c>
      <c r="AE525" s="60">
        <v>0.046</v>
      </c>
      <c r="AF525" s="60">
        <v>12.723</v>
      </c>
      <c r="AG525" s="60">
        <v>0.04</v>
      </c>
      <c r="AH525" s="60">
        <v>15.65</v>
      </c>
      <c r="AI525" s="60">
        <v>0.01140175425</v>
      </c>
      <c r="AJ525" s="76" t="s">
        <v>759</v>
      </c>
      <c r="AK525" s="64" t="s">
        <v>820</v>
      </c>
      <c r="AL525" s="168"/>
      <c r="AM525" s="7"/>
      <c r="AN525" s="77">
        <v>1250.0</v>
      </c>
      <c r="AO525" s="64">
        <v>50.0</v>
      </c>
      <c r="AP525" s="13"/>
      <c r="AQ525" s="13"/>
      <c r="AR525" s="78"/>
      <c r="AS525" s="97"/>
      <c r="AT525" s="67">
        <v>0.5</v>
      </c>
      <c r="AU525" s="70">
        <v>0.01</v>
      </c>
      <c r="AV525" s="13"/>
      <c r="AW525" s="13"/>
      <c r="AX525" s="73"/>
      <c r="AY525" s="73"/>
      <c r="AZ525" s="68" t="s">
        <v>812</v>
      </c>
      <c r="BA525" s="68" t="s">
        <v>821</v>
      </c>
      <c r="BB525" s="68">
        <v>-26.66</v>
      </c>
      <c r="BC525" s="68">
        <v>4.57</v>
      </c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2"/>
      <c r="DK525" s="12"/>
      <c r="DL525" s="12"/>
      <c r="DM525" s="69"/>
      <c r="DN525" s="69"/>
      <c r="DO525" s="69"/>
      <c r="DP525" s="69"/>
      <c r="DQ525" s="11"/>
      <c r="DR525" s="69"/>
      <c r="DS525" s="69"/>
      <c r="DT525" s="69"/>
      <c r="DU525" s="69"/>
      <c r="DV525" s="97"/>
      <c r="DW525" s="98"/>
      <c r="DX525" s="71">
        <v>1.58E-8</v>
      </c>
      <c r="DY525" s="114">
        <v>2.19E-8</v>
      </c>
      <c r="DZ525" s="64" t="s">
        <v>762</v>
      </c>
      <c r="EA525" s="72" t="s">
        <v>822</v>
      </c>
      <c r="EB525" s="82"/>
    </row>
    <row r="526">
      <c r="A526" s="167" t="s">
        <v>1207</v>
      </c>
      <c r="B526" s="56" t="s">
        <v>1208</v>
      </c>
      <c r="C526" s="3"/>
      <c r="D526" s="4"/>
      <c r="E526" s="4"/>
      <c r="F526" s="57" t="s">
        <v>168</v>
      </c>
      <c r="G526" s="61">
        <v>271.11398</v>
      </c>
      <c r="H526" s="61">
        <v>-24.24087</v>
      </c>
      <c r="I526" s="60" t="s">
        <v>819</v>
      </c>
      <c r="J526" s="60" t="s">
        <v>169</v>
      </c>
      <c r="K526" s="61">
        <v>5.8</v>
      </c>
      <c r="L526" s="60">
        <v>0.36</v>
      </c>
      <c r="M526" s="60">
        <v>2.0</v>
      </c>
      <c r="N526" s="61">
        <v>1425.31356898517</v>
      </c>
      <c r="O526" s="61">
        <v>1.364</v>
      </c>
      <c r="P526" s="61">
        <v>0.183</v>
      </c>
      <c r="Q526" s="61">
        <v>-1.613</v>
      </c>
      <c r="R526" s="61">
        <v>0.153</v>
      </c>
      <c r="S526" s="60">
        <v>271.34</v>
      </c>
      <c r="T526" s="60">
        <v>9.67</v>
      </c>
      <c r="U526" s="58"/>
      <c r="V526" s="5"/>
      <c r="W526" s="5"/>
      <c r="X526" s="5"/>
      <c r="Y526" s="166"/>
      <c r="Z526" s="60">
        <v>17.14</v>
      </c>
      <c r="AA526" s="60">
        <v>0.006</v>
      </c>
      <c r="AB526" s="60">
        <v>14.01</v>
      </c>
      <c r="AC526" s="60">
        <v>0.04</v>
      </c>
      <c r="AD526" s="60">
        <v>12.69</v>
      </c>
      <c r="AE526" s="60">
        <v>0.04</v>
      </c>
      <c r="AF526" s="60">
        <v>11.61</v>
      </c>
      <c r="AG526" s="60">
        <v>0.04</v>
      </c>
      <c r="AH526" s="60">
        <v>15.94</v>
      </c>
      <c r="AI526" s="60">
        <v>0.01252996409</v>
      </c>
      <c r="AJ526" s="76" t="s">
        <v>759</v>
      </c>
      <c r="AK526" s="64" t="s">
        <v>820</v>
      </c>
      <c r="AL526" s="168"/>
      <c r="AM526" s="7"/>
      <c r="AN526" s="77">
        <v>1250.0</v>
      </c>
      <c r="AO526" s="64">
        <v>50.0</v>
      </c>
      <c r="AP526" s="13"/>
      <c r="AQ526" s="13"/>
      <c r="AR526" s="78"/>
      <c r="AS526" s="97"/>
      <c r="AT526" s="67">
        <v>0.5</v>
      </c>
      <c r="AU526" s="70">
        <v>0.02</v>
      </c>
      <c r="AV526" s="13"/>
      <c r="AW526" s="13"/>
      <c r="AX526" s="73"/>
      <c r="AY526" s="73"/>
      <c r="AZ526" s="68" t="s">
        <v>812</v>
      </c>
      <c r="BA526" s="68" t="s">
        <v>821</v>
      </c>
      <c r="BB526" s="68">
        <v>-101.79</v>
      </c>
      <c r="BC526" s="68">
        <v>19.4</v>
      </c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2"/>
      <c r="DK526" s="12"/>
      <c r="DL526" s="12"/>
      <c r="DM526" s="69"/>
      <c r="DN526" s="69"/>
      <c r="DO526" s="69"/>
      <c r="DP526" s="69"/>
      <c r="DQ526" s="11"/>
      <c r="DR526" s="69"/>
      <c r="DS526" s="69"/>
      <c r="DT526" s="69"/>
      <c r="DU526" s="69"/>
      <c r="DV526" s="97"/>
      <c r="DW526" s="98"/>
      <c r="DX526" s="71">
        <v>2.51E-8</v>
      </c>
      <c r="DY526" s="114">
        <v>3.47E-8</v>
      </c>
      <c r="DZ526" s="64" t="s">
        <v>762</v>
      </c>
      <c r="EA526" s="72" t="s">
        <v>822</v>
      </c>
      <c r="EB526" s="82"/>
    </row>
    <row r="527">
      <c r="A527" s="167" t="s">
        <v>1209</v>
      </c>
      <c r="B527" s="56" t="s">
        <v>1210</v>
      </c>
      <c r="C527" s="3"/>
      <c r="D527" s="4"/>
      <c r="E527" s="4"/>
      <c r="F527" s="57" t="s">
        <v>168</v>
      </c>
      <c r="G527" s="61">
        <v>271.0811</v>
      </c>
      <c r="H527" s="61">
        <v>-24.39251</v>
      </c>
      <c r="I527" s="60" t="s">
        <v>819</v>
      </c>
      <c r="J527" s="60" t="s">
        <v>169</v>
      </c>
      <c r="K527" s="61">
        <v>5.7</v>
      </c>
      <c r="L527" s="60">
        <v>0.28</v>
      </c>
      <c r="M527" s="60">
        <v>2.0</v>
      </c>
      <c r="N527" s="61">
        <v>1391.40114094893</v>
      </c>
      <c r="O527" s="61">
        <v>1.377</v>
      </c>
      <c r="P527" s="61">
        <v>0.152</v>
      </c>
      <c r="Q527" s="61">
        <v>-1.979</v>
      </c>
      <c r="R527" s="61">
        <v>0.132</v>
      </c>
      <c r="S527" s="60"/>
      <c r="T527" s="60"/>
      <c r="U527" s="58"/>
      <c r="V527" s="5"/>
      <c r="W527" s="5"/>
      <c r="X527" s="5"/>
      <c r="Y527" s="166"/>
      <c r="Z527" s="60">
        <v>16.53</v>
      </c>
      <c r="AA527" s="60">
        <v>0.005</v>
      </c>
      <c r="AB527" s="60">
        <v>14.173</v>
      </c>
      <c r="AC527" s="60">
        <v>0.032</v>
      </c>
      <c r="AD527" s="60">
        <v>13.459</v>
      </c>
      <c r="AE527" s="60">
        <v>0.045</v>
      </c>
      <c r="AF527" s="60">
        <v>13.158</v>
      </c>
      <c r="AG527" s="60">
        <v>0.043</v>
      </c>
      <c r="AH527" s="60">
        <v>15.93</v>
      </c>
      <c r="AI527" s="60">
        <v>0.01772004515</v>
      </c>
      <c r="AJ527" s="76" t="s">
        <v>759</v>
      </c>
      <c r="AK527" s="64" t="s">
        <v>820</v>
      </c>
      <c r="AL527" s="168"/>
      <c r="AM527" s="7"/>
      <c r="AN527" s="77">
        <v>1250.0</v>
      </c>
      <c r="AO527" s="64">
        <v>50.0</v>
      </c>
      <c r="AP527" s="13"/>
      <c r="AQ527" s="13"/>
      <c r="AR527" s="78"/>
      <c r="AS527" s="97"/>
      <c r="AT527" s="67">
        <v>0.5</v>
      </c>
      <c r="AU527" s="70">
        <v>0.02</v>
      </c>
      <c r="AV527" s="13"/>
      <c r="AW527" s="13"/>
      <c r="AX527" s="73"/>
      <c r="AY527" s="73"/>
      <c r="AZ527" s="68" t="s">
        <v>812</v>
      </c>
      <c r="BA527" s="68" t="s">
        <v>821</v>
      </c>
      <c r="BB527" s="68">
        <v>-13.94</v>
      </c>
      <c r="BC527" s="68">
        <v>1.64</v>
      </c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2"/>
      <c r="DK527" s="12"/>
      <c r="DL527" s="12"/>
      <c r="DM527" s="69"/>
      <c r="DN527" s="69"/>
      <c r="DO527" s="69"/>
      <c r="DP527" s="69"/>
      <c r="DQ527" s="11"/>
      <c r="DR527" s="69"/>
      <c r="DS527" s="69"/>
      <c r="DT527" s="69"/>
      <c r="DU527" s="69"/>
      <c r="DV527" s="97"/>
      <c r="DW527" s="98"/>
      <c r="DX527" s="71">
        <v>6.31E-9</v>
      </c>
      <c r="DY527" s="114">
        <v>8.72E-9</v>
      </c>
      <c r="DZ527" s="64" t="s">
        <v>762</v>
      </c>
      <c r="EA527" s="72" t="s">
        <v>822</v>
      </c>
      <c r="EB527" s="82"/>
    </row>
    <row r="528">
      <c r="A528" s="167" t="s">
        <v>1047</v>
      </c>
      <c r="B528" s="56" t="s">
        <v>1211</v>
      </c>
      <c r="C528" s="3"/>
      <c r="D528" s="4"/>
      <c r="E528" s="4"/>
      <c r="F528" s="57" t="s">
        <v>168</v>
      </c>
      <c r="G528" s="61">
        <v>271.02292</v>
      </c>
      <c r="H528" s="61">
        <v>-24.28422</v>
      </c>
      <c r="I528" s="60" t="s">
        <v>819</v>
      </c>
      <c r="J528" s="60" t="s">
        <v>169</v>
      </c>
      <c r="K528" s="61">
        <v>5.7</v>
      </c>
      <c r="L528" s="60">
        <v>0.32</v>
      </c>
      <c r="M528" s="60">
        <v>2.0</v>
      </c>
      <c r="N528" s="61">
        <v>1231.22383649347</v>
      </c>
      <c r="O528" s="61">
        <v>1.131</v>
      </c>
      <c r="P528" s="61">
        <v>0.173</v>
      </c>
      <c r="Q528" s="61">
        <v>-2.095</v>
      </c>
      <c r="R528" s="61">
        <v>0.147</v>
      </c>
      <c r="S528" s="60"/>
      <c r="T528" s="60"/>
      <c r="U528" s="58"/>
      <c r="V528" s="5"/>
      <c r="W528" s="5"/>
      <c r="X528" s="5"/>
      <c r="Y528" s="166"/>
      <c r="Z528" s="60">
        <v>16.76</v>
      </c>
      <c r="AA528" s="60">
        <v>0.005</v>
      </c>
      <c r="AB528" s="60">
        <v>14.254</v>
      </c>
      <c r="AC528" s="60"/>
      <c r="AD528" s="60">
        <v>13.426</v>
      </c>
      <c r="AE528" s="60"/>
      <c r="AF528" s="60">
        <v>12.99</v>
      </c>
      <c r="AG528" s="60"/>
      <c r="AH528" s="60">
        <v>15.66</v>
      </c>
      <c r="AI528" s="60">
        <v>0.01392838828</v>
      </c>
      <c r="AJ528" s="76" t="s">
        <v>759</v>
      </c>
      <c r="AK528" s="64" t="s">
        <v>820</v>
      </c>
      <c r="AL528" s="168"/>
      <c r="AM528" s="7"/>
      <c r="AN528" s="77">
        <v>1250.0</v>
      </c>
      <c r="AO528" s="64">
        <v>50.0</v>
      </c>
      <c r="AP528" s="13"/>
      <c r="AQ528" s="13"/>
      <c r="AR528" s="78"/>
      <c r="AS528" s="97"/>
      <c r="AT528" s="67">
        <v>0.5</v>
      </c>
      <c r="AU528" s="70">
        <v>0.02</v>
      </c>
      <c r="AV528" s="13"/>
      <c r="AW528" s="13"/>
      <c r="AX528" s="73"/>
      <c r="AY528" s="73"/>
      <c r="AZ528" s="68" t="s">
        <v>812</v>
      </c>
      <c r="BA528" s="68" t="s">
        <v>821</v>
      </c>
      <c r="BB528" s="68">
        <v>-81.69</v>
      </c>
      <c r="BC528" s="68">
        <v>15.3</v>
      </c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2"/>
      <c r="DK528" s="12"/>
      <c r="DL528" s="12"/>
      <c r="DM528" s="69"/>
      <c r="DN528" s="69"/>
      <c r="DO528" s="69"/>
      <c r="DP528" s="69"/>
      <c r="DQ528" s="11"/>
      <c r="DR528" s="69"/>
      <c r="DS528" s="69"/>
      <c r="DT528" s="69"/>
      <c r="DU528" s="69"/>
      <c r="DV528" s="97"/>
      <c r="DW528" s="98"/>
      <c r="DX528" s="71">
        <v>3.16E-8</v>
      </c>
      <c r="DY528" s="114">
        <v>4.37E-8</v>
      </c>
      <c r="DZ528" s="64" t="s">
        <v>762</v>
      </c>
      <c r="EA528" s="72" t="s">
        <v>822</v>
      </c>
      <c r="EB528" s="82"/>
    </row>
    <row r="529">
      <c r="A529" s="167" t="s">
        <v>1212</v>
      </c>
      <c r="B529" s="56" t="s">
        <v>1213</v>
      </c>
      <c r="C529" s="3"/>
      <c r="D529" s="4"/>
      <c r="E529" s="4"/>
      <c r="F529" s="57" t="s">
        <v>168</v>
      </c>
      <c r="G529" s="61">
        <v>270.97467</v>
      </c>
      <c r="H529" s="61">
        <v>-24.3082</v>
      </c>
      <c r="I529" s="60" t="s">
        <v>819</v>
      </c>
      <c r="J529" s="60" t="s">
        <v>169</v>
      </c>
      <c r="K529" s="61">
        <v>6.0</v>
      </c>
      <c r="L529" s="60">
        <v>0.48</v>
      </c>
      <c r="M529" s="60">
        <v>2.0</v>
      </c>
      <c r="N529" s="61">
        <v>984.639621898385</v>
      </c>
      <c r="O529" s="61">
        <v>1.328</v>
      </c>
      <c r="P529" s="61">
        <v>0.285</v>
      </c>
      <c r="Q529" s="61">
        <v>-2.263</v>
      </c>
      <c r="R529" s="61">
        <v>0.231</v>
      </c>
      <c r="S529" s="60"/>
      <c r="T529" s="60"/>
      <c r="U529" s="58"/>
      <c r="V529" s="5"/>
      <c r="W529" s="5"/>
      <c r="X529" s="5"/>
      <c r="Y529" s="166"/>
      <c r="Z529" s="60">
        <v>17.39</v>
      </c>
      <c r="AA529" s="60">
        <v>0.008</v>
      </c>
      <c r="AB529" s="60">
        <v>14.979</v>
      </c>
      <c r="AC529" s="60">
        <v>0.039</v>
      </c>
      <c r="AD529" s="60">
        <v>13.89</v>
      </c>
      <c r="AE529" s="60">
        <v>0.021</v>
      </c>
      <c r="AF529" s="60">
        <v>13.302</v>
      </c>
      <c r="AG529" s="60">
        <v>0.052</v>
      </c>
      <c r="AH529" s="60">
        <v>16.22</v>
      </c>
      <c r="AI529" s="60">
        <v>0.02154065923</v>
      </c>
      <c r="AJ529" s="76" t="s">
        <v>759</v>
      </c>
      <c r="AK529" s="64" t="s">
        <v>820</v>
      </c>
      <c r="AL529" s="168"/>
      <c r="AM529" s="7"/>
      <c r="AN529" s="77">
        <v>1250.0</v>
      </c>
      <c r="AO529" s="64">
        <v>50.0</v>
      </c>
      <c r="AP529" s="13"/>
      <c r="AQ529" s="13"/>
      <c r="AR529" s="78"/>
      <c r="AS529" s="97"/>
      <c r="AT529" s="67">
        <v>0.5</v>
      </c>
      <c r="AU529" s="70">
        <v>0.03</v>
      </c>
      <c r="AV529" s="13"/>
      <c r="AW529" s="13"/>
      <c r="AX529" s="73"/>
      <c r="AY529" s="73"/>
      <c r="AZ529" s="68" t="s">
        <v>812</v>
      </c>
      <c r="BA529" s="68" t="s">
        <v>821</v>
      </c>
      <c r="BB529" s="68">
        <v>-100.82</v>
      </c>
      <c r="BC529" s="68">
        <v>18.7</v>
      </c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2"/>
      <c r="DK529" s="12"/>
      <c r="DL529" s="12"/>
      <c r="DM529" s="69"/>
      <c r="DN529" s="69"/>
      <c r="DO529" s="69"/>
      <c r="DP529" s="69"/>
      <c r="DQ529" s="11"/>
      <c r="DR529" s="69"/>
      <c r="DS529" s="69"/>
      <c r="DT529" s="69"/>
      <c r="DU529" s="69"/>
      <c r="DV529" s="97"/>
      <c r="DW529" s="98"/>
      <c r="DX529" s="71">
        <v>1.26E-8</v>
      </c>
      <c r="DY529" s="114">
        <v>1.74E-8</v>
      </c>
      <c r="DZ529" s="64" t="s">
        <v>762</v>
      </c>
      <c r="EA529" s="72" t="s">
        <v>822</v>
      </c>
      <c r="EB529" s="82"/>
    </row>
    <row r="530">
      <c r="A530" s="167" t="s">
        <v>1214</v>
      </c>
      <c r="B530" s="56" t="s">
        <v>1215</v>
      </c>
      <c r="C530" s="3"/>
      <c r="D530" s="4"/>
      <c r="E530" s="4"/>
      <c r="F530" s="57" t="s">
        <v>168</v>
      </c>
      <c r="G530" s="61">
        <v>271.15387</v>
      </c>
      <c r="H530" s="61">
        <v>-24.34264</v>
      </c>
      <c r="I530" s="60" t="s">
        <v>819</v>
      </c>
      <c r="J530" s="60" t="s">
        <v>169</v>
      </c>
      <c r="K530" s="61">
        <v>6.0</v>
      </c>
      <c r="L530" s="60">
        <v>0.7</v>
      </c>
      <c r="M530" s="5"/>
      <c r="N530" s="61"/>
      <c r="O530" s="61"/>
      <c r="P530" s="61"/>
      <c r="Q530" s="61"/>
      <c r="R530" s="61"/>
      <c r="S530" s="60"/>
      <c r="T530" s="60"/>
      <c r="U530" s="58"/>
      <c r="V530" s="5"/>
      <c r="W530" s="5"/>
      <c r="X530" s="5"/>
      <c r="Y530" s="166"/>
      <c r="Z530" s="60">
        <v>17.9</v>
      </c>
      <c r="AA530" s="60">
        <v>0.012</v>
      </c>
      <c r="AB530" s="60"/>
      <c r="AC530" s="60"/>
      <c r="AD530" s="60"/>
      <c r="AE530" s="60"/>
      <c r="AF530" s="60"/>
      <c r="AG530" s="60"/>
      <c r="AH530" s="60">
        <v>17.23</v>
      </c>
      <c r="AI530" s="60">
        <v>0.03889730068</v>
      </c>
      <c r="AJ530" s="76" t="s">
        <v>759</v>
      </c>
      <c r="AK530" s="64" t="s">
        <v>820</v>
      </c>
      <c r="AL530" s="168"/>
      <c r="AM530" s="7"/>
      <c r="AN530" s="77">
        <v>1250.0</v>
      </c>
      <c r="AO530" s="64">
        <v>50.0</v>
      </c>
      <c r="AP530" s="13"/>
      <c r="AQ530" s="13"/>
      <c r="AR530" s="78"/>
      <c r="AS530" s="97"/>
      <c r="AT530" s="67">
        <v>0.5</v>
      </c>
      <c r="AU530" s="70">
        <v>0.05</v>
      </c>
      <c r="AV530" s="13"/>
      <c r="AW530" s="13"/>
      <c r="AX530" s="73"/>
      <c r="AY530" s="73"/>
      <c r="AZ530" s="68" t="s">
        <v>812</v>
      </c>
      <c r="BA530" s="68" t="s">
        <v>821</v>
      </c>
      <c r="BB530" s="68">
        <v>-20.87</v>
      </c>
      <c r="BC530" s="68">
        <v>1.64</v>
      </c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2"/>
      <c r="DK530" s="12"/>
      <c r="DL530" s="12"/>
      <c r="DM530" s="69"/>
      <c r="DN530" s="69"/>
      <c r="DO530" s="69"/>
      <c r="DP530" s="69"/>
      <c r="DQ530" s="11"/>
      <c r="DR530" s="69"/>
      <c r="DS530" s="69"/>
      <c r="DT530" s="69"/>
      <c r="DU530" s="69"/>
      <c r="DV530" s="97"/>
      <c r="DW530" s="98"/>
      <c r="DX530" s="71">
        <v>1.26E-9</v>
      </c>
      <c r="DY530" s="114">
        <v>1.74E-9</v>
      </c>
      <c r="DZ530" s="64" t="s">
        <v>762</v>
      </c>
      <c r="EA530" s="72" t="s">
        <v>822</v>
      </c>
      <c r="EB530" s="82"/>
    </row>
    <row r="531">
      <c r="A531" s="167" t="s">
        <v>1216</v>
      </c>
      <c r="B531" s="56" t="s">
        <v>1217</v>
      </c>
      <c r="C531" s="3"/>
      <c r="D531" s="4"/>
      <c r="E531" s="4"/>
      <c r="F531" s="57" t="s">
        <v>168</v>
      </c>
      <c r="G531" s="61">
        <v>270.82297</v>
      </c>
      <c r="H531" s="61">
        <v>-24.30043</v>
      </c>
      <c r="I531" s="60" t="s">
        <v>819</v>
      </c>
      <c r="J531" s="60" t="s">
        <v>169</v>
      </c>
      <c r="K531" s="61">
        <v>6.0</v>
      </c>
      <c r="L531" s="60">
        <v>0.68</v>
      </c>
      <c r="M531" s="60">
        <v>2.0</v>
      </c>
      <c r="N531" s="61">
        <v>1183.99242244849</v>
      </c>
      <c r="O531" s="61">
        <v>-3.094</v>
      </c>
      <c r="P531" s="61">
        <v>0.372</v>
      </c>
      <c r="Q531" s="61">
        <v>-4.095</v>
      </c>
      <c r="R531" s="61">
        <v>0.318</v>
      </c>
      <c r="S531" s="60"/>
      <c r="T531" s="60"/>
      <c r="U531" s="58"/>
      <c r="V531" s="5"/>
      <c r="W531" s="5"/>
      <c r="X531" s="5"/>
      <c r="Y531" s="166"/>
      <c r="Z531" s="60">
        <v>17.86</v>
      </c>
      <c r="AA531" s="60">
        <v>0.012</v>
      </c>
      <c r="AB531" s="60"/>
      <c r="AC531" s="60"/>
      <c r="AD531" s="60"/>
      <c r="AE531" s="60"/>
      <c r="AF531" s="60"/>
      <c r="AG531" s="60"/>
      <c r="AH531" s="60">
        <v>17.14</v>
      </c>
      <c r="AI531" s="60">
        <v>0.03889730068</v>
      </c>
      <c r="AJ531" s="76" t="s">
        <v>759</v>
      </c>
      <c r="AK531" s="64" t="s">
        <v>820</v>
      </c>
      <c r="AL531" s="168"/>
      <c r="AM531" s="7"/>
      <c r="AN531" s="77">
        <v>1250.0</v>
      </c>
      <c r="AO531" s="64">
        <v>50.0</v>
      </c>
      <c r="AP531" s="13"/>
      <c r="AQ531" s="13"/>
      <c r="AR531" s="78"/>
      <c r="AS531" s="97"/>
      <c r="AT531" s="67">
        <v>0.5</v>
      </c>
      <c r="AU531" s="70">
        <v>0.05</v>
      </c>
      <c r="AV531" s="13"/>
      <c r="AW531" s="13"/>
      <c r="AX531" s="73"/>
      <c r="AY531" s="73"/>
      <c r="AZ531" s="68" t="s">
        <v>812</v>
      </c>
      <c r="BA531" s="68" t="s">
        <v>821</v>
      </c>
      <c r="BB531" s="68">
        <v>-26.41</v>
      </c>
      <c r="BC531" s="68">
        <v>2.77</v>
      </c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2"/>
      <c r="DK531" s="12"/>
      <c r="DL531" s="12"/>
      <c r="DM531" s="69"/>
      <c r="DN531" s="69"/>
      <c r="DO531" s="69"/>
      <c r="DP531" s="69"/>
      <c r="DQ531" s="11"/>
      <c r="DR531" s="69"/>
      <c r="DS531" s="69"/>
      <c r="DT531" s="69"/>
      <c r="DU531" s="69"/>
      <c r="DV531" s="97"/>
      <c r="DW531" s="98"/>
      <c r="DX531" s="71">
        <v>2.0E-9</v>
      </c>
      <c r="DY531" s="114">
        <v>2.76E-9</v>
      </c>
      <c r="DZ531" s="64" t="s">
        <v>762</v>
      </c>
      <c r="EA531" s="72" t="s">
        <v>822</v>
      </c>
      <c r="EB531" s="82"/>
    </row>
    <row r="532">
      <c r="A532" s="167" t="s">
        <v>1218</v>
      </c>
      <c r="B532" s="56" t="s">
        <v>1219</v>
      </c>
      <c r="C532" s="3"/>
      <c r="D532" s="4"/>
      <c r="E532" s="4"/>
      <c r="F532" s="57" t="s">
        <v>168</v>
      </c>
      <c r="G532" s="61">
        <v>271.34064</v>
      </c>
      <c r="H532" s="61">
        <v>-24.5002</v>
      </c>
      <c r="I532" s="60" t="s">
        <v>819</v>
      </c>
      <c r="J532" s="60" t="s">
        <v>169</v>
      </c>
      <c r="K532" s="61">
        <v>5.8</v>
      </c>
      <c r="L532" s="60">
        <v>0.52</v>
      </c>
      <c r="M532" s="5"/>
      <c r="N532" s="61"/>
      <c r="O532" s="61"/>
      <c r="P532" s="61"/>
      <c r="Q532" s="61"/>
      <c r="R532" s="61"/>
      <c r="S532" s="60"/>
      <c r="T532" s="60"/>
      <c r="U532" s="58"/>
      <c r="V532" s="5"/>
      <c r="W532" s="5"/>
      <c r="X532" s="5"/>
      <c r="Y532" s="166"/>
      <c r="Z532" s="60">
        <v>17.68</v>
      </c>
      <c r="AA532" s="60">
        <v>0.009</v>
      </c>
      <c r="AB532" s="60"/>
      <c r="AC532" s="60"/>
      <c r="AD532" s="60"/>
      <c r="AE532" s="60"/>
      <c r="AF532" s="60"/>
      <c r="AG532" s="60"/>
      <c r="AH532" s="60">
        <v>16.98</v>
      </c>
      <c r="AI532" s="60">
        <v>0.02846049894</v>
      </c>
      <c r="AJ532" s="76" t="s">
        <v>759</v>
      </c>
      <c r="AK532" s="64" t="s">
        <v>820</v>
      </c>
      <c r="AL532" s="168"/>
      <c r="AM532" s="7"/>
      <c r="AN532" s="77">
        <v>1250.0</v>
      </c>
      <c r="AO532" s="64">
        <v>50.0</v>
      </c>
      <c r="AP532" s="13"/>
      <c r="AQ532" s="13"/>
      <c r="AR532" s="78"/>
      <c r="AS532" s="97"/>
      <c r="AT532" s="67">
        <v>0.5</v>
      </c>
      <c r="AU532" s="70">
        <v>0.04</v>
      </c>
      <c r="AV532" s="13"/>
      <c r="AW532" s="13"/>
      <c r="AX532" s="73"/>
      <c r="AY532" s="73"/>
      <c r="AZ532" s="68" t="s">
        <v>812</v>
      </c>
      <c r="BA532" s="68" t="s">
        <v>821</v>
      </c>
      <c r="BB532" s="68">
        <v>-23.82</v>
      </c>
      <c r="BC532" s="68">
        <v>2.96</v>
      </c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2"/>
      <c r="DK532" s="12"/>
      <c r="DL532" s="12"/>
      <c r="DM532" s="69"/>
      <c r="DN532" s="69"/>
      <c r="DO532" s="69"/>
      <c r="DP532" s="69"/>
      <c r="DQ532" s="11"/>
      <c r="DR532" s="69"/>
      <c r="DS532" s="69"/>
      <c r="DT532" s="69"/>
      <c r="DU532" s="69"/>
      <c r="DV532" s="97"/>
      <c r="DW532" s="98"/>
      <c r="DX532" s="71">
        <v>2.0E-9</v>
      </c>
      <c r="DY532" s="114">
        <v>2.76E-9</v>
      </c>
      <c r="DZ532" s="64" t="s">
        <v>762</v>
      </c>
      <c r="EA532" s="72" t="s">
        <v>822</v>
      </c>
      <c r="EB532" s="82"/>
    </row>
    <row r="533">
      <c r="A533" s="167" t="s">
        <v>1220</v>
      </c>
      <c r="B533" s="56" t="s">
        <v>1221</v>
      </c>
      <c r="C533" s="3"/>
      <c r="D533" s="4"/>
      <c r="E533" s="4"/>
      <c r="F533" s="57" t="s">
        <v>168</v>
      </c>
      <c r="G533" s="61">
        <v>270.9066</v>
      </c>
      <c r="H533" s="61">
        <v>-24.53826</v>
      </c>
      <c r="I533" s="60" t="s">
        <v>819</v>
      </c>
      <c r="J533" s="60" t="s">
        <v>169</v>
      </c>
      <c r="K533" s="61">
        <v>6.3</v>
      </c>
      <c r="L533" s="60">
        <v>0.55</v>
      </c>
      <c r="M533" s="60">
        <v>2.0</v>
      </c>
      <c r="N533" s="61">
        <v>826.993053258352</v>
      </c>
      <c r="O533" s="61">
        <v>2.542</v>
      </c>
      <c r="P533" s="61">
        <v>0.389</v>
      </c>
      <c r="Q533" s="61">
        <v>-0.41</v>
      </c>
      <c r="R533" s="61">
        <v>0.316</v>
      </c>
      <c r="S533" s="60"/>
      <c r="T533" s="60"/>
      <c r="U533" s="58"/>
      <c r="V533" s="5"/>
      <c r="W533" s="5"/>
      <c r="X533" s="5"/>
      <c r="Y533" s="166"/>
      <c r="Z533" s="60">
        <v>17.99</v>
      </c>
      <c r="AA533" s="60">
        <v>0.009</v>
      </c>
      <c r="AB533" s="60"/>
      <c r="AC533" s="60"/>
      <c r="AD533" s="60"/>
      <c r="AE533" s="60"/>
      <c r="AF533" s="60"/>
      <c r="AG533" s="60"/>
      <c r="AH533" s="60">
        <v>17.14</v>
      </c>
      <c r="AI533" s="60">
        <v>0.0201246118</v>
      </c>
      <c r="AJ533" s="76" t="s">
        <v>759</v>
      </c>
      <c r="AK533" s="64" t="s">
        <v>820</v>
      </c>
      <c r="AL533" s="168"/>
      <c r="AM533" s="7"/>
      <c r="AN533" s="77">
        <v>1250.0</v>
      </c>
      <c r="AO533" s="64">
        <v>50.0</v>
      </c>
      <c r="AP533" s="13"/>
      <c r="AQ533" s="13"/>
      <c r="AR533" s="78"/>
      <c r="AS533" s="97"/>
      <c r="AT533" s="67">
        <v>0.5</v>
      </c>
      <c r="AU533" s="70">
        <v>0.04</v>
      </c>
      <c r="AV533" s="13"/>
      <c r="AW533" s="13"/>
      <c r="AX533" s="73"/>
      <c r="AY533" s="73"/>
      <c r="AZ533" s="68" t="s">
        <v>812</v>
      </c>
      <c r="BA533" s="68" t="s">
        <v>821</v>
      </c>
      <c r="BB533" s="68">
        <v>-45.84</v>
      </c>
      <c r="BC533" s="68">
        <v>7.77</v>
      </c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2"/>
      <c r="DK533" s="12"/>
      <c r="DL533" s="12"/>
      <c r="DM533" s="69"/>
      <c r="DN533" s="69"/>
      <c r="DO533" s="69"/>
      <c r="DP533" s="69"/>
      <c r="DQ533" s="11"/>
      <c r="DR533" s="69"/>
      <c r="DS533" s="69"/>
      <c r="DT533" s="69"/>
      <c r="DU533" s="69"/>
      <c r="DV533" s="97"/>
      <c r="DW533" s="98"/>
      <c r="DX533" s="71">
        <v>2.51E-9</v>
      </c>
      <c r="DY533" s="114">
        <v>3.47E-9</v>
      </c>
      <c r="DZ533" s="64" t="s">
        <v>762</v>
      </c>
      <c r="EA533" s="72" t="s">
        <v>822</v>
      </c>
      <c r="EB533" s="82"/>
    </row>
    <row r="534">
      <c r="A534" s="167" t="s">
        <v>1222</v>
      </c>
      <c r="B534" s="56" t="s">
        <v>1223</v>
      </c>
      <c r="C534" s="3"/>
      <c r="D534" s="4"/>
      <c r="E534" s="4"/>
      <c r="F534" s="57" t="s">
        <v>168</v>
      </c>
      <c r="G534" s="61">
        <v>270.93857</v>
      </c>
      <c r="H534" s="61">
        <v>-24.54265</v>
      </c>
      <c r="I534" s="60" t="s">
        <v>819</v>
      </c>
      <c r="J534" s="60" t="s">
        <v>169</v>
      </c>
      <c r="K534" s="61">
        <v>6.0</v>
      </c>
      <c r="L534" s="60">
        <v>0.39</v>
      </c>
      <c r="M534" s="60">
        <v>2.0</v>
      </c>
      <c r="N534" s="61">
        <v>1385.42532557495</v>
      </c>
      <c r="O534" s="61">
        <v>-0.114</v>
      </c>
      <c r="P534" s="61">
        <v>0.258</v>
      </c>
      <c r="Q534" s="61">
        <v>-2.678</v>
      </c>
      <c r="R534" s="61">
        <v>0.201</v>
      </c>
      <c r="S534" s="60"/>
      <c r="T534" s="60"/>
      <c r="U534" s="58"/>
      <c r="V534" s="5"/>
      <c r="W534" s="5"/>
      <c r="X534" s="5"/>
      <c r="Y534" s="166"/>
      <c r="Z534" s="60">
        <v>17.55</v>
      </c>
      <c r="AA534" s="60">
        <v>0.006</v>
      </c>
      <c r="AB534" s="60"/>
      <c r="AC534" s="60"/>
      <c r="AD534" s="60"/>
      <c r="AE534" s="60"/>
      <c r="AF534" s="60"/>
      <c r="AG534" s="60"/>
      <c r="AH534" s="60">
        <v>16.84</v>
      </c>
      <c r="AI534" s="60">
        <v>0.01431782106</v>
      </c>
      <c r="AJ534" s="76" t="s">
        <v>759</v>
      </c>
      <c r="AK534" s="64" t="s">
        <v>820</v>
      </c>
      <c r="AL534" s="168"/>
      <c r="AM534" s="7"/>
      <c r="AN534" s="77">
        <v>1250.0</v>
      </c>
      <c r="AO534" s="64">
        <v>50.0</v>
      </c>
      <c r="AP534" s="13"/>
      <c r="AQ534" s="13"/>
      <c r="AR534" s="78"/>
      <c r="AS534" s="97"/>
      <c r="AT534" s="67">
        <v>0.5</v>
      </c>
      <c r="AU534" s="70">
        <v>0.03</v>
      </c>
      <c r="AV534" s="13"/>
      <c r="AW534" s="13"/>
      <c r="AX534" s="73"/>
      <c r="AY534" s="73"/>
      <c r="AZ534" s="68" t="s">
        <v>812</v>
      </c>
      <c r="BA534" s="68" t="s">
        <v>821</v>
      </c>
      <c r="BB534" s="68">
        <v>-24.66</v>
      </c>
      <c r="BC534" s="68">
        <v>3.89</v>
      </c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2"/>
      <c r="DK534" s="12"/>
      <c r="DL534" s="12"/>
      <c r="DM534" s="69"/>
      <c r="DN534" s="69"/>
      <c r="DO534" s="69"/>
      <c r="DP534" s="69"/>
      <c r="DQ534" s="11"/>
      <c r="DR534" s="69"/>
      <c r="DS534" s="69"/>
      <c r="DT534" s="69"/>
      <c r="DU534" s="69"/>
      <c r="DV534" s="97"/>
      <c r="DW534" s="98"/>
      <c r="DX534" s="71">
        <v>2.51E-9</v>
      </c>
      <c r="DY534" s="114">
        <v>3.47E-9</v>
      </c>
      <c r="DZ534" s="64" t="s">
        <v>762</v>
      </c>
      <c r="EA534" s="72" t="s">
        <v>822</v>
      </c>
      <c r="EB534" s="82"/>
    </row>
    <row r="535">
      <c r="A535" s="167" t="s">
        <v>1224</v>
      </c>
      <c r="B535" s="56" t="s">
        <v>1225</v>
      </c>
      <c r="C535" s="3"/>
      <c r="D535" s="4"/>
      <c r="E535" s="4"/>
      <c r="F535" s="57" t="s">
        <v>168</v>
      </c>
      <c r="G535" s="61">
        <v>270.69974</v>
      </c>
      <c r="H535" s="61">
        <v>-24.23678</v>
      </c>
      <c r="I535" s="60" t="s">
        <v>819</v>
      </c>
      <c r="J535" s="60" t="s">
        <v>169</v>
      </c>
      <c r="K535" s="61">
        <v>6.1</v>
      </c>
      <c r="L535" s="60">
        <v>0.44</v>
      </c>
      <c r="M535" s="60">
        <v>2.0</v>
      </c>
      <c r="N535" s="61">
        <v>1962.32339089481</v>
      </c>
      <c r="O535" s="61">
        <v>-1.842</v>
      </c>
      <c r="P535" s="61">
        <v>0.306</v>
      </c>
      <c r="Q535" s="61">
        <v>-5.829</v>
      </c>
      <c r="R535" s="61">
        <v>0.236</v>
      </c>
      <c r="S535" s="60"/>
      <c r="T535" s="60"/>
      <c r="U535" s="58"/>
      <c r="V535" s="5"/>
      <c r="W535" s="5"/>
      <c r="X535" s="5"/>
      <c r="Y535" s="166"/>
      <c r="Z535" s="60">
        <v>17.48</v>
      </c>
      <c r="AA535" s="60">
        <v>0.007</v>
      </c>
      <c r="AB535" s="60"/>
      <c r="AC535" s="60"/>
      <c r="AD535" s="60"/>
      <c r="AE535" s="60"/>
      <c r="AF535" s="60"/>
      <c r="AG535" s="60"/>
      <c r="AH535" s="60">
        <v>16.6</v>
      </c>
      <c r="AI535" s="60">
        <v>0.01838477631</v>
      </c>
      <c r="AJ535" s="76" t="s">
        <v>759</v>
      </c>
      <c r="AK535" s="64" t="s">
        <v>820</v>
      </c>
      <c r="AL535" s="168"/>
      <c r="AM535" s="7"/>
      <c r="AN535" s="77">
        <v>1250.0</v>
      </c>
      <c r="AO535" s="64">
        <v>50.0</v>
      </c>
      <c r="AP535" s="13"/>
      <c r="AQ535" s="13"/>
      <c r="AR535" s="78"/>
      <c r="AS535" s="97"/>
      <c r="AT535" s="67">
        <v>0.5</v>
      </c>
      <c r="AU535" s="70">
        <v>0.03</v>
      </c>
      <c r="AV535" s="13"/>
      <c r="AW535" s="13"/>
      <c r="AX535" s="73"/>
      <c r="AY535" s="73"/>
      <c r="AZ535" s="68" t="s">
        <v>812</v>
      </c>
      <c r="BA535" s="68" t="s">
        <v>821</v>
      </c>
      <c r="BB535" s="68">
        <v>-50.21</v>
      </c>
      <c r="BC535" s="68">
        <v>8.8</v>
      </c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2"/>
      <c r="DK535" s="12"/>
      <c r="DL535" s="12"/>
      <c r="DM535" s="69"/>
      <c r="DN535" s="69"/>
      <c r="DO535" s="69"/>
      <c r="DP535" s="69"/>
      <c r="DQ535" s="11"/>
      <c r="DR535" s="69"/>
      <c r="DS535" s="69"/>
      <c r="DT535" s="69"/>
      <c r="DU535" s="69"/>
      <c r="DV535" s="97"/>
      <c r="DW535" s="98"/>
      <c r="DX535" s="71">
        <v>5.01E-9</v>
      </c>
      <c r="DY535" s="114">
        <v>6.93E-9</v>
      </c>
      <c r="DZ535" s="64" t="s">
        <v>762</v>
      </c>
      <c r="EA535" s="72" t="s">
        <v>822</v>
      </c>
      <c r="EB535" s="82"/>
    </row>
    <row r="536">
      <c r="A536" s="167" t="s">
        <v>1226</v>
      </c>
      <c r="B536" s="56" t="s">
        <v>1227</v>
      </c>
      <c r="C536" s="3"/>
      <c r="D536" s="4"/>
      <c r="E536" s="4"/>
      <c r="F536" s="57" t="s">
        <v>168</v>
      </c>
      <c r="G536" s="61">
        <v>270.71704</v>
      </c>
      <c r="H536" s="61">
        <v>-24.22284</v>
      </c>
      <c r="I536" s="60" t="s">
        <v>819</v>
      </c>
      <c r="J536" s="60" t="s">
        <v>169</v>
      </c>
      <c r="K536" s="61">
        <v>6.2</v>
      </c>
      <c r="L536" s="60">
        <v>0.68</v>
      </c>
      <c r="M536" s="5"/>
      <c r="N536" s="61"/>
      <c r="O536" s="61"/>
      <c r="P536" s="61"/>
      <c r="Q536" s="61"/>
      <c r="R536" s="61"/>
      <c r="S536" s="60"/>
      <c r="T536" s="60"/>
      <c r="U536" s="58"/>
      <c r="V536" s="5"/>
      <c r="W536" s="5"/>
      <c r="X536" s="5"/>
      <c r="Y536" s="166"/>
      <c r="Z536" s="60">
        <v>18.06</v>
      </c>
      <c r="AA536" s="60">
        <v>0.012</v>
      </c>
      <c r="AB536" s="60"/>
      <c r="AC536" s="60"/>
      <c r="AD536" s="60"/>
      <c r="AE536" s="60"/>
      <c r="AF536" s="60"/>
      <c r="AG536" s="60"/>
      <c r="AH536" s="60">
        <v>16.97</v>
      </c>
      <c r="AI536" s="60">
        <v>0.02863564213</v>
      </c>
      <c r="AJ536" s="76" t="s">
        <v>759</v>
      </c>
      <c r="AK536" s="64" t="s">
        <v>820</v>
      </c>
      <c r="AL536" s="168"/>
      <c r="AM536" s="7"/>
      <c r="AN536" s="77">
        <v>1250.0</v>
      </c>
      <c r="AO536" s="64">
        <v>50.0</v>
      </c>
      <c r="AP536" s="13"/>
      <c r="AQ536" s="13"/>
      <c r="AR536" s="78"/>
      <c r="AS536" s="97"/>
      <c r="AT536" s="67">
        <v>0.5</v>
      </c>
      <c r="AU536" s="70">
        <v>0.05</v>
      </c>
      <c r="AV536" s="13"/>
      <c r="AW536" s="13"/>
      <c r="AX536" s="73"/>
      <c r="AY536" s="73"/>
      <c r="AZ536" s="68" t="s">
        <v>812</v>
      </c>
      <c r="BA536" s="68" t="s">
        <v>821</v>
      </c>
      <c r="BB536" s="68">
        <v>-79.26</v>
      </c>
      <c r="BC536" s="68">
        <v>13.9</v>
      </c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2"/>
      <c r="DK536" s="12"/>
      <c r="DL536" s="12"/>
      <c r="DM536" s="69"/>
      <c r="DN536" s="69"/>
      <c r="DO536" s="69"/>
      <c r="DP536" s="69"/>
      <c r="DQ536" s="11"/>
      <c r="DR536" s="69"/>
      <c r="DS536" s="69"/>
      <c r="DT536" s="69"/>
      <c r="DU536" s="69"/>
      <c r="DV536" s="97"/>
      <c r="DW536" s="98"/>
      <c r="DX536" s="71">
        <v>5.01E-9</v>
      </c>
      <c r="DY536" s="114">
        <v>6.93E-9</v>
      </c>
      <c r="DZ536" s="64" t="s">
        <v>762</v>
      </c>
      <c r="EA536" s="72" t="s">
        <v>822</v>
      </c>
      <c r="EB536" s="82"/>
    </row>
    <row r="537">
      <c r="A537" s="167" t="s">
        <v>1228</v>
      </c>
      <c r="B537" s="56" t="s">
        <v>1229</v>
      </c>
      <c r="C537" s="3"/>
      <c r="D537" s="4"/>
      <c r="E537" s="4"/>
      <c r="F537" s="57" t="s">
        <v>168</v>
      </c>
      <c r="G537" s="61">
        <v>271.34946</v>
      </c>
      <c r="H537" s="61">
        <v>-24.48673</v>
      </c>
      <c r="I537" s="60" t="s">
        <v>819</v>
      </c>
      <c r="J537" s="60" t="s">
        <v>169</v>
      </c>
      <c r="K537" s="61">
        <v>5.8</v>
      </c>
      <c r="L537" s="60">
        <v>0.26</v>
      </c>
      <c r="M537" s="60">
        <v>2.0</v>
      </c>
      <c r="N537" s="61">
        <v>1108.77037365561</v>
      </c>
      <c r="O537" s="61">
        <v>-1.632</v>
      </c>
      <c r="P537" s="61">
        <v>0.641</v>
      </c>
      <c r="Q537" s="61">
        <v>7.636</v>
      </c>
      <c r="R537" s="61">
        <v>0.477</v>
      </c>
      <c r="S537" s="60"/>
      <c r="T537" s="60"/>
      <c r="U537" s="58"/>
      <c r="V537" s="5"/>
      <c r="W537" s="5"/>
      <c r="X537" s="5"/>
      <c r="Y537" s="166"/>
      <c r="Z537" s="60">
        <v>16.7</v>
      </c>
      <c r="AA537" s="60">
        <v>0.004</v>
      </c>
      <c r="AB537" s="60"/>
      <c r="AC537" s="60"/>
      <c r="AD537" s="60"/>
      <c r="AE537" s="60"/>
      <c r="AF537" s="60"/>
      <c r="AG537" s="60"/>
      <c r="AH537" s="60">
        <v>16.09</v>
      </c>
      <c r="AI537" s="60">
        <v>0.01264911064</v>
      </c>
      <c r="AJ537" s="76" t="s">
        <v>759</v>
      </c>
      <c r="AK537" s="64" t="s">
        <v>820</v>
      </c>
      <c r="AL537" s="168"/>
      <c r="AM537" s="7"/>
      <c r="AN537" s="77">
        <v>1250.0</v>
      </c>
      <c r="AO537" s="64">
        <v>50.0</v>
      </c>
      <c r="AP537" s="13"/>
      <c r="AQ537" s="13"/>
      <c r="AR537" s="78"/>
      <c r="AS537" s="97"/>
      <c r="AT537" s="67">
        <v>0.5</v>
      </c>
      <c r="AU537" s="70">
        <v>0.02</v>
      </c>
      <c r="AV537" s="13"/>
      <c r="AW537" s="13"/>
      <c r="AX537" s="73"/>
      <c r="AY537" s="73"/>
      <c r="AZ537" s="68" t="s">
        <v>812</v>
      </c>
      <c r="BA537" s="68" t="s">
        <v>821</v>
      </c>
      <c r="BB537" s="68">
        <v>-15.61</v>
      </c>
      <c r="BC537" s="68">
        <v>2.25</v>
      </c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2"/>
      <c r="DK537" s="12"/>
      <c r="DL537" s="12"/>
      <c r="DM537" s="69"/>
      <c r="DN537" s="69"/>
      <c r="DO537" s="69"/>
      <c r="DP537" s="69"/>
      <c r="DQ537" s="11"/>
      <c r="DR537" s="69"/>
      <c r="DS537" s="69"/>
      <c r="DT537" s="69"/>
      <c r="DU537" s="69"/>
      <c r="DV537" s="97"/>
      <c r="DW537" s="98"/>
      <c r="DX537" s="71">
        <v>5.01E-9</v>
      </c>
      <c r="DY537" s="114">
        <v>6.93E-9</v>
      </c>
      <c r="DZ537" s="64" t="s">
        <v>762</v>
      </c>
      <c r="EA537" s="72" t="s">
        <v>822</v>
      </c>
      <c r="EB537" s="82"/>
    </row>
    <row r="538">
      <c r="A538" s="167" t="s">
        <v>1230</v>
      </c>
      <c r="B538" s="56" t="s">
        <v>1231</v>
      </c>
      <c r="C538" s="3"/>
      <c r="D538" s="4"/>
      <c r="E538" s="4"/>
      <c r="F538" s="57" t="s">
        <v>168</v>
      </c>
      <c r="G538" s="61">
        <v>271.07004</v>
      </c>
      <c r="H538" s="61">
        <v>-24.54167</v>
      </c>
      <c r="I538" s="60" t="s">
        <v>819</v>
      </c>
      <c r="J538" s="60" t="s">
        <v>169</v>
      </c>
      <c r="K538" s="61">
        <v>5.9</v>
      </c>
      <c r="L538" s="60">
        <v>0.32</v>
      </c>
      <c r="M538" s="60">
        <v>2.0</v>
      </c>
      <c r="N538" s="61">
        <v>721.292556260819</v>
      </c>
      <c r="O538" s="61">
        <v>10.638</v>
      </c>
      <c r="P538" s="61">
        <v>0.235</v>
      </c>
      <c r="Q538" s="61">
        <v>-2.432</v>
      </c>
      <c r="R538" s="61">
        <v>0.192</v>
      </c>
      <c r="S538" s="60"/>
      <c r="T538" s="60"/>
      <c r="U538" s="58"/>
      <c r="V538" s="5"/>
      <c r="W538" s="5"/>
      <c r="X538" s="5"/>
      <c r="Y538" s="166"/>
      <c r="Z538" s="60">
        <v>17.21</v>
      </c>
      <c r="AA538" s="60">
        <v>0.005</v>
      </c>
      <c r="AB538" s="60"/>
      <c r="AC538" s="60"/>
      <c r="AD538" s="60"/>
      <c r="AE538" s="60"/>
      <c r="AF538" s="60"/>
      <c r="AG538" s="60"/>
      <c r="AH538" s="60">
        <v>16.38</v>
      </c>
      <c r="AI538" s="60">
        <v>0.01118033989</v>
      </c>
      <c r="AJ538" s="76" t="s">
        <v>759</v>
      </c>
      <c r="AK538" s="64" t="s">
        <v>820</v>
      </c>
      <c r="AL538" s="168"/>
      <c r="AM538" s="7"/>
      <c r="AN538" s="77">
        <v>1250.0</v>
      </c>
      <c r="AO538" s="64">
        <v>50.0</v>
      </c>
      <c r="AP538" s="13"/>
      <c r="AQ538" s="13"/>
      <c r="AR538" s="78"/>
      <c r="AS538" s="97"/>
      <c r="AT538" s="67">
        <v>0.5</v>
      </c>
      <c r="AU538" s="70">
        <v>0.02</v>
      </c>
      <c r="AV538" s="13"/>
      <c r="AW538" s="13"/>
      <c r="AX538" s="73"/>
      <c r="AY538" s="73"/>
      <c r="AZ538" s="68" t="s">
        <v>812</v>
      </c>
      <c r="BA538" s="68" t="s">
        <v>821</v>
      </c>
      <c r="BB538" s="68">
        <v>-45.15</v>
      </c>
      <c r="BC538" s="68">
        <v>8.21</v>
      </c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2"/>
      <c r="DK538" s="12"/>
      <c r="DL538" s="12"/>
      <c r="DM538" s="69"/>
      <c r="DN538" s="69"/>
      <c r="DO538" s="69"/>
      <c r="DP538" s="69"/>
      <c r="DQ538" s="11"/>
      <c r="DR538" s="69"/>
      <c r="DS538" s="69"/>
      <c r="DT538" s="69"/>
      <c r="DU538" s="69"/>
      <c r="DV538" s="97"/>
      <c r="DW538" s="98"/>
      <c r="DX538" s="71">
        <v>6.31E-9</v>
      </c>
      <c r="DY538" s="114">
        <v>8.72E-9</v>
      </c>
      <c r="DZ538" s="64" t="s">
        <v>762</v>
      </c>
      <c r="EA538" s="72" t="s">
        <v>822</v>
      </c>
      <c r="EB538" s="82"/>
    </row>
    <row r="539">
      <c r="A539" s="167" t="s">
        <v>1232</v>
      </c>
      <c r="B539" s="56" t="s">
        <v>1233</v>
      </c>
      <c r="C539" s="3"/>
      <c r="D539" s="4"/>
      <c r="E539" s="4"/>
      <c r="F539" s="57" t="s">
        <v>168</v>
      </c>
      <c r="G539" s="61">
        <v>270.66238</v>
      </c>
      <c r="H539" s="61">
        <v>-24.24094</v>
      </c>
      <c r="I539" s="60" t="s">
        <v>819</v>
      </c>
      <c r="J539" s="60" t="s">
        <v>169</v>
      </c>
      <c r="K539" s="61">
        <v>6.3</v>
      </c>
      <c r="L539" s="60">
        <v>0.54</v>
      </c>
      <c r="M539" s="5"/>
      <c r="N539" s="61"/>
      <c r="O539" s="61"/>
      <c r="P539" s="61"/>
      <c r="Q539" s="61"/>
      <c r="R539" s="61"/>
      <c r="S539" s="60"/>
      <c r="T539" s="60"/>
      <c r="U539" s="58"/>
      <c r="V539" s="5"/>
      <c r="W539" s="5"/>
      <c r="X539" s="5"/>
      <c r="Y539" s="166"/>
      <c r="Z539" s="60">
        <v>17.81</v>
      </c>
      <c r="AA539" s="60">
        <v>0.009</v>
      </c>
      <c r="AB539" s="60"/>
      <c r="AC539" s="60"/>
      <c r="AD539" s="60"/>
      <c r="AE539" s="60"/>
      <c r="AF539" s="60"/>
      <c r="AG539" s="60"/>
      <c r="AH539" s="60">
        <v>16.57</v>
      </c>
      <c r="AI539" s="60">
        <v>0.01664331698</v>
      </c>
      <c r="AJ539" s="76" t="s">
        <v>759</v>
      </c>
      <c r="AK539" s="64" t="s">
        <v>820</v>
      </c>
      <c r="AL539" s="168"/>
      <c r="AM539" s="7"/>
      <c r="AN539" s="77">
        <v>1250.0</v>
      </c>
      <c r="AO539" s="64">
        <v>50.0</v>
      </c>
      <c r="AP539" s="13"/>
      <c r="AQ539" s="13"/>
      <c r="AR539" s="78"/>
      <c r="AS539" s="97"/>
      <c r="AT539" s="67">
        <v>0.5</v>
      </c>
      <c r="AU539" s="70">
        <v>0.04</v>
      </c>
      <c r="AV539" s="13"/>
      <c r="AW539" s="13"/>
      <c r="AX539" s="73"/>
      <c r="AY539" s="73"/>
      <c r="AZ539" s="68" t="s">
        <v>812</v>
      </c>
      <c r="BA539" s="68" t="s">
        <v>821</v>
      </c>
      <c r="BB539" s="68">
        <v>-110.99</v>
      </c>
      <c r="BC539" s="68">
        <v>21.0</v>
      </c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2"/>
      <c r="DK539" s="12"/>
      <c r="DL539" s="12"/>
      <c r="DM539" s="69"/>
      <c r="DN539" s="69"/>
      <c r="DO539" s="69"/>
      <c r="DP539" s="69"/>
      <c r="DQ539" s="11"/>
      <c r="DR539" s="69"/>
      <c r="DS539" s="69"/>
      <c r="DT539" s="69"/>
      <c r="DU539" s="69"/>
      <c r="DV539" s="97"/>
      <c r="DW539" s="98"/>
      <c r="DX539" s="71">
        <v>7.94E-9</v>
      </c>
      <c r="DY539" s="114">
        <v>1.1E-8</v>
      </c>
      <c r="DZ539" s="64" t="s">
        <v>762</v>
      </c>
      <c r="EA539" s="72" t="s">
        <v>822</v>
      </c>
      <c r="EB539" s="82"/>
    </row>
    <row r="540">
      <c r="A540" s="167" t="s">
        <v>1234</v>
      </c>
      <c r="B540" s="56" t="s">
        <v>1235</v>
      </c>
      <c r="C540" s="3"/>
      <c r="D540" s="4"/>
      <c r="E540" s="4"/>
      <c r="F540" s="57" t="s">
        <v>168</v>
      </c>
      <c r="G540" s="61">
        <v>271.04926</v>
      </c>
      <c r="H540" s="61">
        <v>-24.39147</v>
      </c>
      <c r="I540" s="60" t="s">
        <v>819</v>
      </c>
      <c r="J540" s="60" t="s">
        <v>169</v>
      </c>
      <c r="K540" s="61">
        <v>6.1</v>
      </c>
      <c r="L540" s="60">
        <v>0.61</v>
      </c>
      <c r="M540" s="60">
        <v>2.0</v>
      </c>
      <c r="N540" s="61">
        <v>1331.02622121655</v>
      </c>
      <c r="O540" s="61">
        <v>1.304</v>
      </c>
      <c r="P540" s="61">
        <v>0.254</v>
      </c>
      <c r="Q540" s="61">
        <v>-1.99</v>
      </c>
      <c r="R540" s="61">
        <v>0.207</v>
      </c>
      <c r="S540" s="60"/>
      <c r="T540" s="60"/>
      <c r="U540" s="58"/>
      <c r="V540" s="5"/>
      <c r="W540" s="5"/>
      <c r="X540" s="5"/>
      <c r="Y540" s="166"/>
      <c r="Z540" s="60">
        <v>17.56</v>
      </c>
      <c r="AA540" s="60">
        <v>0.011</v>
      </c>
      <c r="AB540" s="60"/>
      <c r="AC540" s="60"/>
      <c r="AD540" s="60"/>
      <c r="AE540" s="60"/>
      <c r="AF540" s="60"/>
      <c r="AG540" s="60"/>
      <c r="AH540" s="60">
        <v>16.19</v>
      </c>
      <c r="AI540" s="60">
        <v>0.02731300057</v>
      </c>
      <c r="AJ540" s="76" t="s">
        <v>759</v>
      </c>
      <c r="AK540" s="64" t="s">
        <v>820</v>
      </c>
      <c r="AL540" s="168"/>
      <c r="AM540" s="7"/>
      <c r="AN540" s="77">
        <v>1250.0</v>
      </c>
      <c r="AO540" s="64">
        <v>50.0</v>
      </c>
      <c r="AP540" s="13"/>
      <c r="AQ540" s="13"/>
      <c r="AR540" s="78"/>
      <c r="AS540" s="97"/>
      <c r="AT540" s="67">
        <v>0.5</v>
      </c>
      <c r="AU540" s="70">
        <v>0.04</v>
      </c>
      <c r="AV540" s="13"/>
      <c r="AW540" s="13"/>
      <c r="AX540" s="73"/>
      <c r="AY540" s="73"/>
      <c r="AZ540" s="68" t="s">
        <v>812</v>
      </c>
      <c r="BA540" s="68" t="s">
        <v>821</v>
      </c>
      <c r="BB540" s="68">
        <v>-137.65</v>
      </c>
      <c r="BC540" s="68">
        <v>25.7</v>
      </c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2"/>
      <c r="DK540" s="12"/>
      <c r="DL540" s="12"/>
      <c r="DM540" s="69"/>
      <c r="DN540" s="69"/>
      <c r="DO540" s="69"/>
      <c r="DP540" s="69"/>
      <c r="DQ540" s="11"/>
      <c r="DR540" s="69"/>
      <c r="DS540" s="69"/>
      <c r="DT540" s="69"/>
      <c r="DU540" s="69"/>
      <c r="DV540" s="97"/>
      <c r="DW540" s="98"/>
      <c r="DX540" s="71">
        <v>1.58E-8</v>
      </c>
      <c r="DY540" s="114">
        <v>2.19E-8</v>
      </c>
      <c r="DZ540" s="64" t="s">
        <v>762</v>
      </c>
      <c r="EA540" s="72" t="s">
        <v>822</v>
      </c>
      <c r="EB540" s="82"/>
    </row>
    <row r="541">
      <c r="A541" s="167" t="s">
        <v>1236</v>
      </c>
      <c r="B541" s="56" t="s">
        <v>1237</v>
      </c>
      <c r="C541" s="3"/>
      <c r="D541" s="4"/>
      <c r="E541" s="4"/>
      <c r="F541" s="57" t="s">
        <v>168</v>
      </c>
      <c r="G541" s="61">
        <v>270.67072</v>
      </c>
      <c r="H541" s="61">
        <v>-24.20452</v>
      </c>
      <c r="I541" s="60" t="s">
        <v>819</v>
      </c>
      <c r="J541" s="60" t="s">
        <v>169</v>
      </c>
      <c r="K541" s="61">
        <v>5.7</v>
      </c>
      <c r="L541" s="60">
        <v>0.23</v>
      </c>
      <c r="M541" s="60">
        <v>2.0</v>
      </c>
      <c r="N541" s="61">
        <v>1508.97842160857</v>
      </c>
      <c r="O541" s="61">
        <v>1.711</v>
      </c>
      <c r="P541" s="61">
        <v>0.203</v>
      </c>
      <c r="Q541" s="61">
        <v>-1.666</v>
      </c>
      <c r="R541" s="61">
        <v>0.188</v>
      </c>
      <c r="S541" s="60"/>
      <c r="T541" s="60"/>
      <c r="U541" s="58"/>
      <c r="V541" s="5"/>
      <c r="W541" s="5"/>
      <c r="X541" s="5"/>
      <c r="Y541" s="166"/>
      <c r="Z541" s="60">
        <v>16.59</v>
      </c>
      <c r="AA541" s="60">
        <v>0.004</v>
      </c>
      <c r="AB541" s="60"/>
      <c r="AC541" s="60"/>
      <c r="AD541" s="60"/>
      <c r="AE541" s="60"/>
      <c r="AF541" s="60"/>
      <c r="AG541" s="60"/>
      <c r="AH541" s="60">
        <v>15.77</v>
      </c>
      <c r="AI541" s="60">
        <v>0.009848857802</v>
      </c>
      <c r="AJ541" s="76" t="s">
        <v>759</v>
      </c>
      <c r="AK541" s="64" t="s">
        <v>820</v>
      </c>
      <c r="AL541" s="168"/>
      <c r="AM541" s="7"/>
      <c r="AN541" s="77">
        <v>1250.0</v>
      </c>
      <c r="AO541" s="64">
        <v>50.0</v>
      </c>
      <c r="AP541" s="13"/>
      <c r="AQ541" s="13"/>
      <c r="AR541" s="78"/>
      <c r="AS541" s="97"/>
      <c r="AT541" s="67">
        <v>0.5</v>
      </c>
      <c r="AU541" s="70">
        <v>0.01</v>
      </c>
      <c r="AV541" s="13"/>
      <c r="AW541" s="13"/>
      <c r="AX541" s="73"/>
      <c r="AY541" s="73"/>
      <c r="AZ541" s="68" t="s">
        <v>812</v>
      </c>
      <c r="BA541" s="68" t="s">
        <v>821</v>
      </c>
      <c r="BB541" s="68">
        <v>-39.45</v>
      </c>
      <c r="BC541" s="68">
        <v>7.23</v>
      </c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2"/>
      <c r="DK541" s="12"/>
      <c r="DL541" s="12"/>
      <c r="DM541" s="69"/>
      <c r="DN541" s="69"/>
      <c r="DO541" s="69"/>
      <c r="DP541" s="69"/>
      <c r="DQ541" s="11"/>
      <c r="DR541" s="69"/>
      <c r="DS541" s="69"/>
      <c r="DT541" s="69"/>
      <c r="DU541" s="69"/>
      <c r="DV541" s="97"/>
      <c r="DW541" s="98"/>
      <c r="DX541" s="71">
        <v>2.0E-8</v>
      </c>
      <c r="DY541" s="114">
        <v>2.76E-8</v>
      </c>
      <c r="DZ541" s="64" t="s">
        <v>762</v>
      </c>
      <c r="EA541" s="72" t="s">
        <v>822</v>
      </c>
      <c r="EB541" s="82"/>
    </row>
    <row r="542">
      <c r="A542" s="167" t="s">
        <v>1238</v>
      </c>
      <c r="B542" s="56" t="s">
        <v>1239</v>
      </c>
      <c r="C542" s="3"/>
      <c r="D542" s="4"/>
      <c r="E542" s="4"/>
      <c r="F542" s="57" t="s">
        <v>168</v>
      </c>
      <c r="G542" s="61">
        <v>271.12106</v>
      </c>
      <c r="H542" s="61">
        <v>-24.38526</v>
      </c>
      <c r="I542" s="60" t="s">
        <v>819</v>
      </c>
      <c r="J542" s="60" t="s">
        <v>169</v>
      </c>
      <c r="K542" s="61">
        <v>6.0</v>
      </c>
      <c r="L542" s="60">
        <v>0.58</v>
      </c>
      <c r="M542" s="60">
        <v>2.0</v>
      </c>
      <c r="N542" s="61">
        <v>928.16038611472</v>
      </c>
      <c r="O542" s="61">
        <v>0.781</v>
      </c>
      <c r="P542" s="61">
        <v>0.279</v>
      </c>
      <c r="Q542" s="61">
        <v>-1.722</v>
      </c>
      <c r="R542" s="61">
        <v>0.226</v>
      </c>
      <c r="S542" s="60"/>
      <c r="T542" s="60"/>
      <c r="U542" s="58"/>
      <c r="V542" s="5"/>
      <c r="W542" s="5"/>
      <c r="X542" s="5"/>
      <c r="Y542" s="166"/>
      <c r="Z542" s="60">
        <v>17.52</v>
      </c>
      <c r="AA542" s="60">
        <v>0.01</v>
      </c>
      <c r="AB542" s="60"/>
      <c r="AC542" s="60"/>
      <c r="AD542" s="60"/>
      <c r="AE542" s="60"/>
      <c r="AF542" s="60"/>
      <c r="AG542" s="60"/>
      <c r="AH542" s="60">
        <v>16.01</v>
      </c>
      <c r="AI542" s="60">
        <v>0.02147091055</v>
      </c>
      <c r="AJ542" s="76" t="s">
        <v>759</v>
      </c>
      <c r="AK542" s="64" t="s">
        <v>820</v>
      </c>
      <c r="AL542" s="168"/>
      <c r="AM542" s="7"/>
      <c r="AN542" s="77">
        <v>1250.0</v>
      </c>
      <c r="AO542" s="64">
        <v>50.0</v>
      </c>
      <c r="AP542" s="13"/>
      <c r="AQ542" s="13"/>
      <c r="AR542" s="78"/>
      <c r="AS542" s="97"/>
      <c r="AT542" s="67">
        <v>0.5</v>
      </c>
      <c r="AU542" s="70">
        <v>0.04</v>
      </c>
      <c r="AV542" s="13"/>
      <c r="AW542" s="13"/>
      <c r="AX542" s="73"/>
      <c r="AY542" s="73"/>
      <c r="AZ542" s="68" t="s">
        <v>812</v>
      </c>
      <c r="BA542" s="68" t="s">
        <v>821</v>
      </c>
      <c r="BB542" s="68">
        <v>-170.3</v>
      </c>
      <c r="BC542" s="68">
        <v>32.5</v>
      </c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2"/>
      <c r="DK542" s="12"/>
      <c r="DL542" s="12"/>
      <c r="DM542" s="69"/>
      <c r="DN542" s="69"/>
      <c r="DO542" s="69"/>
      <c r="DP542" s="69"/>
      <c r="DQ542" s="11"/>
      <c r="DR542" s="69"/>
      <c r="DS542" s="69"/>
      <c r="DT542" s="69"/>
      <c r="DU542" s="69"/>
      <c r="DV542" s="97"/>
      <c r="DW542" s="98"/>
      <c r="DX542" s="71">
        <v>2.51E-8</v>
      </c>
      <c r="DY542" s="114">
        <v>3.47E-8</v>
      </c>
      <c r="DZ542" s="64" t="s">
        <v>762</v>
      </c>
      <c r="EA542" s="72" t="s">
        <v>822</v>
      </c>
      <c r="EB542" s="82"/>
    </row>
    <row r="543">
      <c r="A543" s="167" t="s">
        <v>1240</v>
      </c>
      <c r="B543" s="56" t="s">
        <v>1241</v>
      </c>
      <c r="C543" s="3"/>
      <c r="D543" s="4"/>
      <c r="E543" s="4"/>
      <c r="F543" s="57" t="s">
        <v>168</v>
      </c>
      <c r="G543" s="61">
        <v>271.1462</v>
      </c>
      <c r="H543" s="61">
        <v>-24.43684</v>
      </c>
      <c r="I543" s="60" t="s">
        <v>819</v>
      </c>
      <c r="J543" s="60" t="s">
        <v>169</v>
      </c>
      <c r="K543" s="61">
        <v>5.5</v>
      </c>
      <c r="L543" s="60">
        <v>0.18</v>
      </c>
      <c r="M543" s="60">
        <v>2.0</v>
      </c>
      <c r="N543" s="61">
        <v>1323.62673726009</v>
      </c>
      <c r="O543" s="61">
        <v>1.594</v>
      </c>
      <c r="P543" s="61">
        <v>0.118</v>
      </c>
      <c r="Q543" s="61">
        <v>-2.314</v>
      </c>
      <c r="R543" s="61">
        <v>0.101</v>
      </c>
      <c r="S543" s="60">
        <v>1.7</v>
      </c>
      <c r="T543" s="60">
        <v>1.65</v>
      </c>
      <c r="U543" s="58"/>
      <c r="V543" s="5"/>
      <c r="W543" s="5"/>
      <c r="X543" s="5"/>
      <c r="Y543" s="166"/>
      <c r="Z543" s="60">
        <v>16.07</v>
      </c>
      <c r="AA543" s="60">
        <v>0.003</v>
      </c>
      <c r="AB543" s="60"/>
      <c r="AC543" s="60"/>
      <c r="AD543" s="60">
        <v>12.757</v>
      </c>
      <c r="AE543" s="60">
        <v>0.051</v>
      </c>
      <c r="AF543" s="60">
        <v>11.974</v>
      </c>
      <c r="AG543" s="60">
        <v>0.051</v>
      </c>
      <c r="AH543" s="60">
        <v>15.27</v>
      </c>
      <c r="AI543" s="60">
        <v>0.007615773106</v>
      </c>
      <c r="AJ543" s="76" t="s">
        <v>759</v>
      </c>
      <c r="AK543" s="64" t="s">
        <v>820</v>
      </c>
      <c r="AL543" s="168"/>
      <c r="AM543" s="7"/>
      <c r="AN543" s="77">
        <v>1250.0</v>
      </c>
      <c r="AO543" s="64">
        <v>50.0</v>
      </c>
      <c r="AP543" s="13"/>
      <c r="AQ543" s="13"/>
      <c r="AR543" s="78"/>
      <c r="AS543" s="97"/>
      <c r="AT543" s="67">
        <v>0.5</v>
      </c>
      <c r="AU543" s="70">
        <v>0.01</v>
      </c>
      <c r="AV543" s="13"/>
      <c r="AW543" s="13"/>
      <c r="AX543" s="73"/>
      <c r="AY543" s="73"/>
      <c r="AZ543" s="68" t="s">
        <v>812</v>
      </c>
      <c r="BA543" s="68" t="s">
        <v>821</v>
      </c>
      <c r="BB543" s="68">
        <v>-45.92</v>
      </c>
      <c r="BC543" s="68">
        <v>3.25</v>
      </c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2"/>
      <c r="DK543" s="12"/>
      <c r="DL543" s="12"/>
      <c r="DM543" s="69"/>
      <c r="DN543" s="69"/>
      <c r="DO543" s="69"/>
      <c r="DP543" s="69"/>
      <c r="DQ543" s="11"/>
      <c r="DR543" s="69"/>
      <c r="DS543" s="69"/>
      <c r="DT543" s="69"/>
      <c r="DU543" s="69"/>
      <c r="DV543" s="97"/>
      <c r="DW543" s="98"/>
      <c r="DX543" s="71">
        <v>3.98E-8</v>
      </c>
      <c r="DY543" s="114">
        <v>5.5E-8</v>
      </c>
      <c r="DZ543" s="64" t="s">
        <v>762</v>
      </c>
      <c r="EA543" s="72" t="s">
        <v>822</v>
      </c>
      <c r="EB543" s="82"/>
    </row>
    <row r="544">
      <c r="A544" s="167" t="s">
        <v>1242</v>
      </c>
      <c r="B544" s="56" t="s">
        <v>1243</v>
      </c>
      <c r="C544" s="3"/>
      <c r="D544" s="4"/>
      <c r="E544" s="4"/>
      <c r="F544" s="57" t="s">
        <v>168</v>
      </c>
      <c r="G544" s="61">
        <v>271.08487</v>
      </c>
      <c r="H544" s="61">
        <v>-24.47207</v>
      </c>
      <c r="I544" s="60" t="s">
        <v>819</v>
      </c>
      <c r="J544" s="60" t="s">
        <v>169</v>
      </c>
      <c r="K544" s="61">
        <v>4.1</v>
      </c>
      <c r="L544" s="60">
        <v>0.07</v>
      </c>
      <c r="M544" s="60">
        <v>2.0</v>
      </c>
      <c r="N544" s="61">
        <v>1183.71212121212</v>
      </c>
      <c r="O544" s="61">
        <v>1.42</v>
      </c>
      <c r="P544" s="61">
        <v>0.057</v>
      </c>
      <c r="Q544" s="61">
        <v>-2.937</v>
      </c>
      <c r="R544" s="61">
        <v>0.046</v>
      </c>
      <c r="S544" s="60"/>
      <c r="T544" s="60"/>
      <c r="U544" s="58"/>
      <c r="V544" s="5"/>
      <c r="W544" s="5"/>
      <c r="X544" s="5"/>
      <c r="Y544" s="166"/>
      <c r="Z544" s="60">
        <v>14.33</v>
      </c>
      <c r="AA544" s="60">
        <v>0.001</v>
      </c>
      <c r="AB544" s="60">
        <v>11.918</v>
      </c>
      <c r="AC544" s="60">
        <v>0.033</v>
      </c>
      <c r="AD544" s="60">
        <v>11.139</v>
      </c>
      <c r="AE544" s="60">
        <v>0.042</v>
      </c>
      <c r="AF544" s="60">
        <v>10.909</v>
      </c>
      <c r="AG544" s="60">
        <v>0.046</v>
      </c>
      <c r="AH544" s="60">
        <v>13.72</v>
      </c>
      <c r="AI544" s="60">
        <v>0.002236067977</v>
      </c>
      <c r="AJ544" s="76" t="s">
        <v>759</v>
      </c>
      <c r="AK544" s="64" t="s">
        <v>820</v>
      </c>
      <c r="AL544" s="168"/>
      <c r="AM544" s="7"/>
      <c r="AN544" s="77">
        <v>1250.0</v>
      </c>
      <c r="AO544" s="64">
        <v>50.0</v>
      </c>
      <c r="AP544" s="13"/>
      <c r="AQ544" s="13"/>
      <c r="AR544" s="78"/>
      <c r="AS544" s="97"/>
      <c r="AT544" s="67">
        <v>0.6</v>
      </c>
      <c r="AU544" s="70">
        <v>0.0</v>
      </c>
      <c r="AV544" s="13"/>
      <c r="AW544" s="13"/>
      <c r="AX544" s="73"/>
      <c r="AY544" s="73"/>
      <c r="AZ544" s="68" t="s">
        <v>812</v>
      </c>
      <c r="BA544" s="68" t="s">
        <v>821</v>
      </c>
      <c r="BB544" s="68">
        <v>-17.38</v>
      </c>
      <c r="BC544" s="68">
        <v>2.37</v>
      </c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2"/>
      <c r="DK544" s="12"/>
      <c r="DL544" s="12"/>
      <c r="DM544" s="69"/>
      <c r="DN544" s="69"/>
      <c r="DO544" s="69"/>
      <c r="DP544" s="69"/>
      <c r="DQ544" s="11"/>
      <c r="DR544" s="69"/>
      <c r="DS544" s="69"/>
      <c r="DT544" s="69"/>
      <c r="DU544" s="69"/>
      <c r="DV544" s="97"/>
      <c r="DW544" s="98"/>
      <c r="DX544" s="71">
        <v>1.58E-7</v>
      </c>
      <c r="DY544" s="114">
        <v>2.19E-7</v>
      </c>
      <c r="DZ544" s="64" t="s">
        <v>762</v>
      </c>
      <c r="EA544" s="72" t="s">
        <v>822</v>
      </c>
      <c r="EB544" s="82"/>
    </row>
    <row r="545">
      <c r="A545" s="167" t="s">
        <v>1244</v>
      </c>
      <c r="B545" s="56" t="s">
        <v>1245</v>
      </c>
      <c r="C545" s="3"/>
      <c r="D545" s="4"/>
      <c r="E545" s="4"/>
      <c r="F545" s="57" t="s">
        <v>168</v>
      </c>
      <c r="G545" s="61">
        <v>270.96133</v>
      </c>
      <c r="H545" s="61">
        <v>-24.33694</v>
      </c>
      <c r="I545" s="60" t="s">
        <v>819</v>
      </c>
      <c r="J545" s="60" t="s">
        <v>169</v>
      </c>
      <c r="K545" s="61">
        <v>5.4</v>
      </c>
      <c r="L545" s="60">
        <v>0.12</v>
      </c>
      <c r="M545" s="5"/>
      <c r="N545" s="61"/>
      <c r="O545" s="61">
        <v>3.76</v>
      </c>
      <c r="P545" s="61">
        <v>0.25</v>
      </c>
      <c r="Q545" s="61">
        <v>-1.339</v>
      </c>
      <c r="R545" s="61">
        <v>0.21</v>
      </c>
      <c r="S545" s="60"/>
      <c r="T545" s="60"/>
      <c r="U545" s="58"/>
      <c r="V545" s="5"/>
      <c r="W545" s="5"/>
      <c r="X545" s="5"/>
      <c r="Y545" s="166"/>
      <c r="Z545" s="60">
        <v>15.46</v>
      </c>
      <c r="AA545" s="60">
        <v>0.002</v>
      </c>
      <c r="AB545" s="60">
        <v>13.006</v>
      </c>
      <c r="AC545" s="60">
        <v>0.065</v>
      </c>
      <c r="AD545" s="60">
        <v>11.929</v>
      </c>
      <c r="AE545" s="60">
        <v>0.022</v>
      </c>
      <c r="AF545" s="60">
        <v>11.244</v>
      </c>
      <c r="AG545" s="60">
        <v>0.02</v>
      </c>
      <c r="AH545" s="60">
        <v>14.54</v>
      </c>
      <c r="AI545" s="60">
        <v>0.004472135955</v>
      </c>
      <c r="AJ545" s="76" t="s">
        <v>759</v>
      </c>
      <c r="AK545" s="64" t="s">
        <v>820</v>
      </c>
      <c r="AL545" s="168"/>
      <c r="AM545" s="7"/>
      <c r="AN545" s="77">
        <v>1250.0</v>
      </c>
      <c r="AO545" s="64">
        <v>50.0</v>
      </c>
      <c r="AP545" s="13"/>
      <c r="AQ545" s="13"/>
      <c r="AR545" s="78"/>
      <c r="AS545" s="97"/>
      <c r="AT545" s="67">
        <v>0.6</v>
      </c>
      <c r="AU545" s="70">
        <v>0.0</v>
      </c>
      <c r="AV545" s="13"/>
      <c r="AW545" s="13"/>
      <c r="AX545" s="73"/>
      <c r="AY545" s="73"/>
      <c r="AZ545" s="68" t="s">
        <v>812</v>
      </c>
      <c r="BA545" s="68" t="s">
        <v>821</v>
      </c>
      <c r="BB545" s="68">
        <v>-61.15</v>
      </c>
      <c r="BC545" s="68">
        <v>11.8</v>
      </c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2"/>
      <c r="DK545" s="12"/>
      <c r="DL545" s="12"/>
      <c r="DM545" s="69"/>
      <c r="DN545" s="69"/>
      <c r="DO545" s="69"/>
      <c r="DP545" s="69"/>
      <c r="DQ545" s="11"/>
      <c r="DR545" s="69"/>
      <c r="DS545" s="69"/>
      <c r="DT545" s="69"/>
      <c r="DU545" s="69"/>
      <c r="DV545" s="97"/>
      <c r="DW545" s="98"/>
      <c r="DX545" s="71">
        <v>1.0E-7</v>
      </c>
      <c r="DY545" s="114">
        <v>1.38E-7</v>
      </c>
      <c r="DZ545" s="64" t="s">
        <v>762</v>
      </c>
      <c r="EA545" s="72" t="s">
        <v>822</v>
      </c>
      <c r="EB545" s="82"/>
    </row>
    <row r="546">
      <c r="A546" s="167" t="s">
        <v>1246</v>
      </c>
      <c r="B546" s="56" t="s">
        <v>1247</v>
      </c>
      <c r="C546" s="3"/>
      <c r="D546" s="4"/>
      <c r="E546" s="4"/>
      <c r="F546" s="57" t="s">
        <v>168</v>
      </c>
      <c r="G546" s="61">
        <v>271.16617</v>
      </c>
      <c r="H546" s="61">
        <v>-24.38471</v>
      </c>
      <c r="I546" s="60" t="s">
        <v>819</v>
      </c>
      <c r="J546" s="60" t="s">
        <v>169</v>
      </c>
      <c r="K546" s="61">
        <v>5.8</v>
      </c>
      <c r="L546" s="60">
        <v>0.17</v>
      </c>
      <c r="M546" s="60">
        <v>2.0</v>
      </c>
      <c r="N546" s="61">
        <v>1624.43144899285</v>
      </c>
      <c r="O546" s="61">
        <v>1.412</v>
      </c>
      <c r="P546" s="61">
        <v>0.138</v>
      </c>
      <c r="Q546" s="61">
        <v>-2.149</v>
      </c>
      <c r="R546" s="61">
        <v>0.117</v>
      </c>
      <c r="S546" s="60"/>
      <c r="T546" s="60"/>
      <c r="U546" s="58"/>
      <c r="V546" s="5"/>
      <c r="W546" s="5"/>
      <c r="X546" s="5"/>
      <c r="Y546" s="166"/>
      <c r="Z546" s="60">
        <v>16.22</v>
      </c>
      <c r="AA546" s="60">
        <v>0.003</v>
      </c>
      <c r="AB546" s="60">
        <v>13.495</v>
      </c>
      <c r="AC546" s="60">
        <v>0.023</v>
      </c>
      <c r="AD546" s="60">
        <v>12.28</v>
      </c>
      <c r="AE546" s="60">
        <v>0.03</v>
      </c>
      <c r="AF546" s="60">
        <v>11.453</v>
      </c>
      <c r="AG546" s="60">
        <v>0.027</v>
      </c>
      <c r="AH546" s="60">
        <v>14.65</v>
      </c>
      <c r="AI546" s="60">
        <v>0.005</v>
      </c>
      <c r="AJ546" s="76" t="s">
        <v>759</v>
      </c>
      <c r="AK546" s="64" t="s">
        <v>820</v>
      </c>
      <c r="AL546" s="168"/>
      <c r="AM546" s="7"/>
      <c r="AN546" s="77">
        <v>1250.0</v>
      </c>
      <c r="AO546" s="64">
        <v>50.0</v>
      </c>
      <c r="AP546" s="13"/>
      <c r="AQ546" s="13"/>
      <c r="AR546" s="78"/>
      <c r="AS546" s="97"/>
      <c r="AT546" s="67">
        <v>0.6</v>
      </c>
      <c r="AU546" s="70">
        <v>0.01</v>
      </c>
      <c r="AV546" s="13"/>
      <c r="AW546" s="13"/>
      <c r="AX546" s="73"/>
      <c r="AY546" s="73"/>
      <c r="AZ546" s="68" t="s">
        <v>812</v>
      </c>
      <c r="BA546" s="68" t="s">
        <v>821</v>
      </c>
      <c r="BB546" s="68">
        <v>-202.39</v>
      </c>
      <c r="BC546" s="68">
        <v>40.0</v>
      </c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2"/>
      <c r="DK546" s="12"/>
      <c r="DL546" s="12"/>
      <c r="DM546" s="69"/>
      <c r="DN546" s="69"/>
      <c r="DO546" s="69"/>
      <c r="DP546" s="69"/>
      <c r="DQ546" s="11"/>
      <c r="DR546" s="69"/>
      <c r="DS546" s="69"/>
      <c r="DT546" s="69"/>
      <c r="DU546" s="69"/>
      <c r="DV546" s="97"/>
      <c r="DW546" s="98"/>
      <c r="DX546" s="71">
        <v>1.0E-7</v>
      </c>
      <c r="DY546" s="114">
        <v>1.38E-7</v>
      </c>
      <c r="DZ546" s="64" t="s">
        <v>762</v>
      </c>
      <c r="EA546" s="72" t="s">
        <v>822</v>
      </c>
      <c r="EB546" s="82"/>
    </row>
    <row r="547">
      <c r="A547" s="167" t="s">
        <v>1248</v>
      </c>
      <c r="B547" s="56" t="s">
        <v>1249</v>
      </c>
      <c r="C547" s="3"/>
      <c r="D547" s="4"/>
      <c r="E547" s="4"/>
      <c r="F547" s="57" t="s">
        <v>168</v>
      </c>
      <c r="G547" s="61">
        <v>271.1176</v>
      </c>
      <c r="H547" s="61">
        <v>-24.43</v>
      </c>
      <c r="I547" s="60" t="s">
        <v>819</v>
      </c>
      <c r="J547" s="60" t="s">
        <v>169</v>
      </c>
      <c r="K547" s="61">
        <v>5.7</v>
      </c>
      <c r="L547" s="60">
        <v>0.17</v>
      </c>
      <c r="M547" s="60">
        <v>2.0</v>
      </c>
      <c r="N547" s="61">
        <v>606.796116504854</v>
      </c>
      <c r="O547" s="61">
        <v>0.24</v>
      </c>
      <c r="P547" s="61">
        <v>0.233</v>
      </c>
      <c r="Q547" s="61">
        <v>-1.867</v>
      </c>
      <c r="R547" s="61">
        <v>0.195</v>
      </c>
      <c r="S547" s="60"/>
      <c r="T547" s="60"/>
      <c r="U547" s="58"/>
      <c r="V547" s="5"/>
      <c r="W547" s="5"/>
      <c r="X547" s="5"/>
      <c r="Y547" s="166"/>
      <c r="Z547" s="60">
        <v>15.84</v>
      </c>
      <c r="AA547" s="60">
        <v>0.003</v>
      </c>
      <c r="AB547" s="60">
        <v>13.505</v>
      </c>
      <c r="AC547" s="60">
        <v>0.067</v>
      </c>
      <c r="AD547" s="60">
        <v>12.375</v>
      </c>
      <c r="AE547" s="60">
        <v>0.068</v>
      </c>
      <c r="AF547" s="60">
        <v>11.58</v>
      </c>
      <c r="AG547" s="60">
        <v>0.037</v>
      </c>
      <c r="AH547" s="60">
        <v>15.05</v>
      </c>
      <c r="AI547" s="60">
        <v>0.008544003745</v>
      </c>
      <c r="AJ547" s="76" t="s">
        <v>759</v>
      </c>
      <c r="AK547" s="64" t="s">
        <v>820</v>
      </c>
      <c r="AL547" s="168"/>
      <c r="AM547" s="7"/>
      <c r="AN547" s="77">
        <v>1250.0</v>
      </c>
      <c r="AO547" s="64">
        <v>50.0</v>
      </c>
      <c r="AP547" s="13"/>
      <c r="AQ547" s="13"/>
      <c r="AR547" s="78"/>
      <c r="AS547" s="97"/>
      <c r="AT547" s="67">
        <v>0.6</v>
      </c>
      <c r="AU547" s="70">
        <v>0.01</v>
      </c>
      <c r="AV547" s="13"/>
      <c r="AW547" s="13"/>
      <c r="AX547" s="73"/>
      <c r="AY547" s="73"/>
      <c r="AZ547" s="68" t="s">
        <v>812</v>
      </c>
      <c r="BA547" s="68" t="s">
        <v>821</v>
      </c>
      <c r="BB547" s="68">
        <v>-42.96</v>
      </c>
      <c r="BC547" s="68">
        <v>8.02</v>
      </c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2"/>
      <c r="DK547" s="12"/>
      <c r="DL547" s="12"/>
      <c r="DM547" s="69"/>
      <c r="DN547" s="69"/>
      <c r="DO547" s="69"/>
      <c r="DP547" s="69"/>
      <c r="DQ547" s="11"/>
      <c r="DR547" s="69"/>
      <c r="DS547" s="69"/>
      <c r="DT547" s="69"/>
      <c r="DU547" s="69"/>
      <c r="DV547" s="97"/>
      <c r="DW547" s="98"/>
      <c r="DX547" s="71">
        <v>3.98E-8</v>
      </c>
      <c r="DY547" s="114">
        <v>5.5E-8</v>
      </c>
      <c r="DZ547" s="64" t="s">
        <v>762</v>
      </c>
      <c r="EA547" s="72" t="s">
        <v>822</v>
      </c>
      <c r="EB547" s="82"/>
    </row>
    <row r="548">
      <c r="A548" s="167" t="s">
        <v>1250</v>
      </c>
      <c r="B548" s="56" t="s">
        <v>1251</v>
      </c>
      <c r="C548" s="3"/>
      <c r="D548" s="4"/>
      <c r="E548" s="4"/>
      <c r="F548" s="57" t="s">
        <v>168</v>
      </c>
      <c r="G548" s="61">
        <v>270.9557</v>
      </c>
      <c r="H548" s="61">
        <v>-24.39377</v>
      </c>
      <c r="I548" s="60" t="s">
        <v>819</v>
      </c>
      <c r="J548" s="60" t="s">
        <v>169</v>
      </c>
      <c r="K548" s="61">
        <v>5.8</v>
      </c>
      <c r="L548" s="60">
        <v>0.18</v>
      </c>
      <c r="M548" s="60">
        <v>2.0</v>
      </c>
      <c r="N548" s="61">
        <v>1416.63125088539</v>
      </c>
      <c r="O548" s="61">
        <v>1.865</v>
      </c>
      <c r="P548" s="61">
        <v>0.123</v>
      </c>
      <c r="Q548" s="61">
        <v>-2.633</v>
      </c>
      <c r="R548" s="61">
        <v>0.103</v>
      </c>
      <c r="S548" s="60">
        <v>-3.32</v>
      </c>
      <c r="T548" s="60">
        <v>3.85</v>
      </c>
      <c r="U548" s="58"/>
      <c r="V548" s="5"/>
      <c r="W548" s="5"/>
      <c r="X548" s="5"/>
      <c r="Y548" s="166"/>
      <c r="Z548" s="60">
        <v>16.08</v>
      </c>
      <c r="AA548" s="60">
        <v>0.003</v>
      </c>
      <c r="AB548" s="60">
        <v>13.708</v>
      </c>
      <c r="AC548" s="60">
        <v>0.03</v>
      </c>
      <c r="AD548" s="60">
        <v>12.985</v>
      </c>
      <c r="AE548" s="60">
        <v>0.038</v>
      </c>
      <c r="AF548" s="60">
        <v>12.673</v>
      </c>
      <c r="AG548" s="60">
        <v>0.052</v>
      </c>
      <c r="AH548" s="60">
        <v>15.44</v>
      </c>
      <c r="AI548" s="60">
        <v>0.009486832981</v>
      </c>
      <c r="AJ548" s="76" t="s">
        <v>759</v>
      </c>
      <c r="AK548" s="64" t="s">
        <v>820</v>
      </c>
      <c r="AL548" s="168"/>
      <c r="AM548" s="7"/>
      <c r="AN548" s="77">
        <v>1250.0</v>
      </c>
      <c r="AO548" s="64">
        <v>50.0</v>
      </c>
      <c r="AP548" s="13"/>
      <c r="AQ548" s="13"/>
      <c r="AR548" s="78"/>
      <c r="AS548" s="97"/>
      <c r="AT548" s="67">
        <v>0.6</v>
      </c>
      <c r="AU548" s="70">
        <v>0.01</v>
      </c>
      <c r="AV548" s="13"/>
      <c r="AW548" s="13"/>
      <c r="AX548" s="73"/>
      <c r="AY548" s="73"/>
      <c r="AZ548" s="68" t="s">
        <v>812</v>
      </c>
      <c r="BA548" s="68" t="s">
        <v>821</v>
      </c>
      <c r="BB548" s="68">
        <v>-23.5</v>
      </c>
      <c r="BC548" s="68">
        <v>4.05</v>
      </c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2"/>
      <c r="DK548" s="12"/>
      <c r="DL548" s="12"/>
      <c r="DM548" s="69"/>
      <c r="DN548" s="69"/>
      <c r="DO548" s="69"/>
      <c r="DP548" s="69"/>
      <c r="DQ548" s="11"/>
      <c r="DR548" s="69"/>
      <c r="DS548" s="69"/>
      <c r="DT548" s="69"/>
      <c r="DU548" s="69"/>
      <c r="DV548" s="97"/>
      <c r="DW548" s="98"/>
      <c r="DX548" s="71">
        <v>1.26E-8</v>
      </c>
      <c r="DY548" s="114">
        <v>1.74E-8</v>
      </c>
      <c r="DZ548" s="64" t="s">
        <v>762</v>
      </c>
      <c r="EA548" s="72" t="s">
        <v>822</v>
      </c>
      <c r="EB548" s="82"/>
    </row>
    <row r="549">
      <c r="A549" s="167" t="s">
        <v>1252</v>
      </c>
      <c r="B549" s="56" t="s">
        <v>1253</v>
      </c>
      <c r="C549" s="3"/>
      <c r="D549" s="4"/>
      <c r="E549" s="4"/>
      <c r="F549" s="57" t="s">
        <v>168</v>
      </c>
      <c r="G549" s="61">
        <v>271.26254</v>
      </c>
      <c r="H549" s="61">
        <v>-24.42256</v>
      </c>
      <c r="I549" s="60" t="s">
        <v>819</v>
      </c>
      <c r="J549" s="60" t="s">
        <v>169</v>
      </c>
      <c r="K549" s="61">
        <v>5.8</v>
      </c>
      <c r="L549" s="60">
        <v>0.23</v>
      </c>
      <c r="M549" s="5"/>
      <c r="N549" s="61"/>
      <c r="O549" s="61"/>
      <c r="P549" s="61"/>
      <c r="Q549" s="61"/>
      <c r="R549" s="61"/>
      <c r="S549" s="60"/>
      <c r="T549" s="60"/>
      <c r="U549" s="58"/>
      <c r="V549" s="5"/>
      <c r="W549" s="5"/>
      <c r="X549" s="5"/>
      <c r="Y549" s="166"/>
      <c r="Z549" s="60">
        <v>16.36</v>
      </c>
      <c r="AA549" s="60">
        <v>0.003</v>
      </c>
      <c r="AB549" s="60"/>
      <c r="AC549" s="60"/>
      <c r="AD549" s="60"/>
      <c r="AE549" s="60"/>
      <c r="AF549" s="60"/>
      <c r="AG549" s="60"/>
      <c r="AH549" s="60">
        <v>15.79</v>
      </c>
      <c r="AI549" s="60">
        <v>0.01044030651</v>
      </c>
      <c r="AJ549" s="76" t="s">
        <v>759</v>
      </c>
      <c r="AK549" s="64" t="s">
        <v>820</v>
      </c>
      <c r="AL549" s="168"/>
      <c r="AM549" s="7"/>
      <c r="AN549" s="77">
        <v>1250.0</v>
      </c>
      <c r="AO549" s="64">
        <v>50.0</v>
      </c>
      <c r="AP549" s="13"/>
      <c r="AQ549" s="13"/>
      <c r="AR549" s="78"/>
      <c r="AS549" s="97"/>
      <c r="AT549" s="67">
        <v>0.6</v>
      </c>
      <c r="AU549" s="70">
        <v>0.01</v>
      </c>
      <c r="AV549" s="13"/>
      <c r="AW549" s="13"/>
      <c r="AX549" s="73"/>
      <c r="AY549" s="73"/>
      <c r="AZ549" s="68" t="s">
        <v>812</v>
      </c>
      <c r="BA549" s="68" t="s">
        <v>821</v>
      </c>
      <c r="BB549" s="68">
        <v>-16.38</v>
      </c>
      <c r="BC549" s="68">
        <v>2.56</v>
      </c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2"/>
      <c r="DK549" s="12"/>
      <c r="DL549" s="12"/>
      <c r="DM549" s="69"/>
      <c r="DN549" s="69"/>
      <c r="DO549" s="69"/>
      <c r="DP549" s="69"/>
      <c r="DQ549" s="11"/>
      <c r="DR549" s="69"/>
      <c r="DS549" s="69"/>
      <c r="DT549" s="69"/>
      <c r="DU549" s="69"/>
      <c r="DV549" s="97"/>
      <c r="DW549" s="98"/>
      <c r="DX549" s="71">
        <v>6.31E-9</v>
      </c>
      <c r="DY549" s="114">
        <v>8.72E-9</v>
      </c>
      <c r="DZ549" s="64" t="s">
        <v>762</v>
      </c>
      <c r="EA549" s="72" t="s">
        <v>822</v>
      </c>
      <c r="EB549" s="82"/>
    </row>
    <row r="550">
      <c r="A550" s="167" t="s">
        <v>1254</v>
      </c>
      <c r="B550" s="56" t="s">
        <v>1255</v>
      </c>
      <c r="C550" s="3"/>
      <c r="D550" s="4"/>
      <c r="E550" s="4"/>
      <c r="F550" s="57" t="s">
        <v>168</v>
      </c>
      <c r="G550" s="61">
        <v>271.3618</v>
      </c>
      <c r="H550" s="61">
        <v>-24.50418</v>
      </c>
      <c r="I550" s="60" t="s">
        <v>819</v>
      </c>
      <c r="J550" s="60" t="s">
        <v>169</v>
      </c>
      <c r="K550" s="61">
        <v>6.4</v>
      </c>
      <c r="L550" s="60">
        <v>0.6</v>
      </c>
      <c r="M550" s="5"/>
      <c r="N550" s="61"/>
      <c r="O550" s="61"/>
      <c r="P550" s="61"/>
      <c r="Q550" s="61"/>
      <c r="R550" s="61"/>
      <c r="S550" s="60"/>
      <c r="T550" s="60"/>
      <c r="U550" s="58"/>
      <c r="V550" s="5"/>
      <c r="W550" s="5"/>
      <c r="X550" s="5"/>
      <c r="Y550" s="166"/>
      <c r="Z550" s="60">
        <v>17.76</v>
      </c>
      <c r="AA550" s="60">
        <v>0.01</v>
      </c>
      <c r="AB550" s="60"/>
      <c r="AC550" s="60"/>
      <c r="AD550" s="60"/>
      <c r="AE550" s="60"/>
      <c r="AF550" s="60"/>
      <c r="AG550" s="60"/>
      <c r="AH550" s="60">
        <v>16.46</v>
      </c>
      <c r="AI550" s="60">
        <v>0.026</v>
      </c>
      <c r="AJ550" s="76" t="s">
        <v>759</v>
      </c>
      <c r="AK550" s="64" t="s">
        <v>820</v>
      </c>
      <c r="AL550" s="168"/>
      <c r="AM550" s="7"/>
      <c r="AN550" s="77">
        <v>1250.0</v>
      </c>
      <c r="AO550" s="64">
        <v>50.0</v>
      </c>
      <c r="AP550" s="13"/>
      <c r="AQ550" s="13"/>
      <c r="AR550" s="78"/>
      <c r="AS550" s="97"/>
      <c r="AT550" s="67">
        <v>0.6</v>
      </c>
      <c r="AU550" s="70">
        <v>0.04</v>
      </c>
      <c r="AV550" s="13"/>
      <c r="AW550" s="13"/>
      <c r="AX550" s="73"/>
      <c r="AY550" s="73"/>
      <c r="AZ550" s="68" t="s">
        <v>812</v>
      </c>
      <c r="BA550" s="68" t="s">
        <v>821</v>
      </c>
      <c r="BB550" s="68">
        <v>-128.73</v>
      </c>
      <c r="BC550" s="68">
        <v>23.9</v>
      </c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2"/>
      <c r="DK550" s="12"/>
      <c r="DL550" s="12"/>
      <c r="DM550" s="69"/>
      <c r="DN550" s="69"/>
      <c r="DO550" s="69"/>
      <c r="DP550" s="69"/>
      <c r="DQ550" s="11"/>
      <c r="DR550" s="69"/>
      <c r="DS550" s="69"/>
      <c r="DT550" s="69"/>
      <c r="DU550" s="69"/>
      <c r="DV550" s="97"/>
      <c r="DW550" s="98"/>
      <c r="DX550" s="71">
        <v>7.94E-9</v>
      </c>
      <c r="DY550" s="114">
        <v>1.1E-8</v>
      </c>
      <c r="DZ550" s="64" t="s">
        <v>762</v>
      </c>
      <c r="EA550" s="72" t="s">
        <v>822</v>
      </c>
      <c r="EB550" s="82"/>
    </row>
    <row r="551">
      <c r="A551" s="167" t="s">
        <v>1256</v>
      </c>
      <c r="B551" s="56" t="s">
        <v>1257</v>
      </c>
      <c r="C551" s="3"/>
      <c r="D551" s="4"/>
      <c r="E551" s="4"/>
      <c r="F551" s="57" t="s">
        <v>168</v>
      </c>
      <c r="G551" s="61">
        <v>270.70227</v>
      </c>
      <c r="H551" s="61">
        <v>-24.20112</v>
      </c>
      <c r="I551" s="60" t="s">
        <v>819</v>
      </c>
      <c r="J551" s="60" t="s">
        <v>169</v>
      </c>
      <c r="K551" s="61">
        <v>5.7</v>
      </c>
      <c r="L551" s="60">
        <v>0.15</v>
      </c>
      <c r="M551" s="60">
        <v>2.0</v>
      </c>
      <c r="N551" s="61">
        <v>1214.03423576544</v>
      </c>
      <c r="O551" s="61">
        <v>1.888</v>
      </c>
      <c r="P551" s="61">
        <v>0.107</v>
      </c>
      <c r="Q551" s="61">
        <v>-1.677</v>
      </c>
      <c r="R551" s="61">
        <v>0.09</v>
      </c>
      <c r="S551" s="60"/>
      <c r="T551" s="60"/>
      <c r="U551" s="58"/>
      <c r="V551" s="5"/>
      <c r="W551" s="5"/>
      <c r="X551" s="5"/>
      <c r="Y551" s="166"/>
      <c r="Z551" s="60">
        <v>15.84</v>
      </c>
      <c r="AA551" s="60">
        <v>0.002</v>
      </c>
      <c r="AB551" s="60"/>
      <c r="AC551" s="60"/>
      <c r="AD551" s="60"/>
      <c r="AE551" s="60"/>
      <c r="AF551" s="60"/>
      <c r="AG551" s="60"/>
      <c r="AH551" s="60">
        <v>15.3</v>
      </c>
      <c r="AI551" s="60">
        <v>0.00632455532</v>
      </c>
      <c r="AJ551" s="76" t="s">
        <v>759</v>
      </c>
      <c r="AK551" s="64" t="s">
        <v>820</v>
      </c>
      <c r="AL551" s="168"/>
      <c r="AM551" s="7"/>
      <c r="AN551" s="77">
        <v>1250.0</v>
      </c>
      <c r="AO551" s="64">
        <v>50.0</v>
      </c>
      <c r="AP551" s="13"/>
      <c r="AQ551" s="13"/>
      <c r="AR551" s="78"/>
      <c r="AS551" s="97"/>
      <c r="AT551" s="67">
        <v>0.6</v>
      </c>
      <c r="AU551" s="70">
        <v>0.01</v>
      </c>
      <c r="AV551" s="13"/>
      <c r="AW551" s="13"/>
      <c r="AX551" s="73"/>
      <c r="AY551" s="73"/>
      <c r="AZ551" s="68" t="s">
        <v>812</v>
      </c>
      <c r="BA551" s="68" t="s">
        <v>821</v>
      </c>
      <c r="BB551" s="68">
        <v>-12.83</v>
      </c>
      <c r="BC551" s="68">
        <v>2.12</v>
      </c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2"/>
      <c r="DK551" s="12"/>
      <c r="DL551" s="12"/>
      <c r="DM551" s="69"/>
      <c r="DN551" s="69"/>
      <c r="DO551" s="69"/>
      <c r="DP551" s="69"/>
      <c r="DQ551" s="11"/>
      <c r="DR551" s="69"/>
      <c r="DS551" s="69"/>
      <c r="DT551" s="69"/>
      <c r="DU551" s="69"/>
      <c r="DV551" s="97"/>
      <c r="DW551" s="98"/>
      <c r="DX551" s="71">
        <v>1.0E-8</v>
      </c>
      <c r="DY551" s="114">
        <v>1.38E-8</v>
      </c>
      <c r="DZ551" s="64" t="s">
        <v>762</v>
      </c>
      <c r="EA551" s="72" t="s">
        <v>822</v>
      </c>
      <c r="EB551" s="82"/>
    </row>
    <row r="552">
      <c r="A552" s="167" t="s">
        <v>1258</v>
      </c>
      <c r="B552" s="56" t="s">
        <v>1259</v>
      </c>
      <c r="C552" s="3"/>
      <c r="D552" s="4"/>
      <c r="E552" s="4"/>
      <c r="F552" s="57" t="s">
        <v>168</v>
      </c>
      <c r="G552" s="61">
        <v>271.03262</v>
      </c>
      <c r="H552" s="61">
        <v>-24.38686</v>
      </c>
      <c r="I552" s="60" t="s">
        <v>819</v>
      </c>
      <c r="J552" s="60" t="s">
        <v>169</v>
      </c>
      <c r="K552" s="61">
        <v>5.3</v>
      </c>
      <c r="L552" s="60">
        <v>0.1</v>
      </c>
      <c r="M552" s="60">
        <v>2.0</v>
      </c>
      <c r="N552" s="61">
        <v>1613.94448030987</v>
      </c>
      <c r="O552" s="61">
        <v>0.628</v>
      </c>
      <c r="P552" s="61">
        <v>0.091</v>
      </c>
      <c r="Q552" s="61">
        <v>-2.132</v>
      </c>
      <c r="R552" s="61">
        <v>0.075</v>
      </c>
      <c r="S552" s="60"/>
      <c r="T552" s="60"/>
      <c r="U552" s="58"/>
      <c r="V552" s="5"/>
      <c r="W552" s="5"/>
      <c r="X552" s="5"/>
      <c r="Y552" s="166"/>
      <c r="Z552" s="60">
        <v>15.22</v>
      </c>
      <c r="AA552" s="60">
        <v>0.001</v>
      </c>
      <c r="AB552" s="60"/>
      <c r="AC552" s="60"/>
      <c r="AD552" s="60"/>
      <c r="AE552" s="60"/>
      <c r="AF552" s="60"/>
      <c r="AG552" s="60"/>
      <c r="AH552" s="60">
        <v>14.6</v>
      </c>
      <c r="AI552" s="60">
        <v>0.004123105626</v>
      </c>
      <c r="AJ552" s="76" t="s">
        <v>759</v>
      </c>
      <c r="AK552" s="64" t="s">
        <v>820</v>
      </c>
      <c r="AL552" s="168"/>
      <c r="AM552" s="7"/>
      <c r="AN552" s="77">
        <v>1250.0</v>
      </c>
      <c r="AO552" s="64">
        <v>50.0</v>
      </c>
      <c r="AP552" s="13"/>
      <c r="AQ552" s="13"/>
      <c r="AR552" s="78"/>
      <c r="AS552" s="97"/>
      <c r="AT552" s="67">
        <v>0.6</v>
      </c>
      <c r="AU552" s="70">
        <v>0.0</v>
      </c>
      <c r="AV552" s="13"/>
      <c r="AW552" s="13"/>
      <c r="AX552" s="73"/>
      <c r="AY552" s="73"/>
      <c r="AZ552" s="68" t="s">
        <v>812</v>
      </c>
      <c r="BA552" s="68" t="s">
        <v>821</v>
      </c>
      <c r="BB552" s="68">
        <v>-33.5</v>
      </c>
      <c r="BC552" s="68">
        <v>4.69</v>
      </c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2"/>
      <c r="DK552" s="12"/>
      <c r="DL552" s="12"/>
      <c r="DM552" s="69"/>
      <c r="DN552" s="69"/>
      <c r="DO552" s="69"/>
      <c r="DP552" s="69"/>
      <c r="DQ552" s="11"/>
      <c r="DR552" s="69"/>
      <c r="DS552" s="69"/>
      <c r="DT552" s="69"/>
      <c r="DU552" s="69"/>
      <c r="DV552" s="97"/>
      <c r="DW552" s="98"/>
      <c r="DX552" s="71">
        <v>3.98E-8</v>
      </c>
      <c r="DY552" s="114">
        <v>5.5E-8</v>
      </c>
      <c r="DZ552" s="64" t="s">
        <v>762</v>
      </c>
      <c r="EA552" s="72" t="s">
        <v>822</v>
      </c>
      <c r="EB552" s="82"/>
    </row>
    <row r="553">
      <c r="A553" s="167" t="s">
        <v>1260</v>
      </c>
      <c r="B553" s="56" t="s">
        <v>1261</v>
      </c>
      <c r="C553" s="3"/>
      <c r="D553" s="4"/>
      <c r="E553" s="4"/>
      <c r="F553" s="57" t="s">
        <v>168</v>
      </c>
      <c r="G553" s="61">
        <v>270.7262</v>
      </c>
      <c r="H553" s="61">
        <v>-24.34903</v>
      </c>
      <c r="I553" s="60" t="s">
        <v>819</v>
      </c>
      <c r="J553" s="60" t="s">
        <v>169</v>
      </c>
      <c r="K553" s="61">
        <v>4.6</v>
      </c>
      <c r="L553" s="60">
        <v>0.06</v>
      </c>
      <c r="M553" s="60">
        <v>2.0</v>
      </c>
      <c r="N553" s="61">
        <v>268.132457433972</v>
      </c>
      <c r="O553" s="61">
        <v>-5.884</v>
      </c>
      <c r="P553" s="61">
        <v>0.732</v>
      </c>
      <c r="Q553" s="61">
        <v>2.284</v>
      </c>
      <c r="R553" s="61">
        <v>0.563</v>
      </c>
      <c r="S553" s="60"/>
      <c r="T553" s="60"/>
      <c r="U553" s="58"/>
      <c r="V553" s="5"/>
      <c r="W553" s="5"/>
      <c r="X553" s="5"/>
      <c r="Y553" s="166"/>
      <c r="Z553" s="60">
        <v>14.35</v>
      </c>
      <c r="AA553" s="60">
        <v>0.001</v>
      </c>
      <c r="AB553" s="60">
        <v>12.149</v>
      </c>
      <c r="AC553" s="60">
        <v>0.022</v>
      </c>
      <c r="AD553" s="60">
        <v>11.227</v>
      </c>
      <c r="AE553" s="60">
        <v>0.022</v>
      </c>
      <c r="AF553" s="60">
        <v>10.456</v>
      </c>
      <c r="AG553" s="60">
        <v>0.023</v>
      </c>
      <c r="AH553" s="60">
        <v>13.74</v>
      </c>
      <c r="AI553" s="60">
        <v>0.002236067977</v>
      </c>
      <c r="AJ553" s="76" t="s">
        <v>759</v>
      </c>
      <c r="AK553" s="64" t="s">
        <v>820</v>
      </c>
      <c r="AL553" s="168"/>
      <c r="AM553" s="7"/>
      <c r="AN553" s="77">
        <v>1250.0</v>
      </c>
      <c r="AO553" s="64">
        <v>50.0</v>
      </c>
      <c r="AP553" s="13"/>
      <c r="AQ553" s="13"/>
      <c r="AR553" s="78"/>
      <c r="AS553" s="97"/>
      <c r="AT553" s="67">
        <v>0.8</v>
      </c>
      <c r="AU553" s="70">
        <v>0.0</v>
      </c>
      <c r="AV553" s="13"/>
      <c r="AW553" s="13"/>
      <c r="AX553" s="73"/>
      <c r="AY553" s="73"/>
      <c r="AZ553" s="68" t="s">
        <v>812</v>
      </c>
      <c r="BA553" s="68" t="s">
        <v>821</v>
      </c>
      <c r="BB553" s="68">
        <v>-22.35</v>
      </c>
      <c r="BC553" s="68">
        <v>4.31</v>
      </c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2"/>
      <c r="DK553" s="12"/>
      <c r="DL553" s="12"/>
      <c r="DM553" s="69"/>
      <c r="DN553" s="69"/>
      <c r="DO553" s="69"/>
      <c r="DP553" s="69"/>
      <c r="DQ553" s="11"/>
      <c r="DR553" s="69"/>
      <c r="DS553" s="69"/>
      <c r="DT553" s="69"/>
      <c r="DU553" s="69"/>
      <c r="DV553" s="97"/>
      <c r="DW553" s="98"/>
      <c r="DX553" s="71">
        <v>1.26E-7</v>
      </c>
      <c r="DY553" s="114">
        <v>1.74E-7</v>
      </c>
      <c r="DZ553" s="64" t="s">
        <v>762</v>
      </c>
      <c r="EA553" s="72" t="s">
        <v>822</v>
      </c>
      <c r="EB553" s="82"/>
    </row>
    <row r="554">
      <c r="A554" s="167" t="s">
        <v>1262</v>
      </c>
      <c r="B554" s="56" t="s">
        <v>1263</v>
      </c>
      <c r="C554" s="3"/>
      <c r="D554" s="4"/>
      <c r="E554" s="4"/>
      <c r="F554" s="57" t="s">
        <v>168</v>
      </c>
      <c r="G554" s="61">
        <v>270.9511</v>
      </c>
      <c r="H554" s="61">
        <v>-24.37316</v>
      </c>
      <c r="I554" s="60" t="s">
        <v>819</v>
      </c>
      <c r="J554" s="60" t="s">
        <v>169</v>
      </c>
      <c r="K554" s="61">
        <v>5.1</v>
      </c>
      <c r="L554" s="60">
        <v>0.07</v>
      </c>
      <c r="M554" s="60">
        <v>2.0</v>
      </c>
      <c r="N554" s="61">
        <v>1123.46927311538</v>
      </c>
      <c r="O554" s="61">
        <v>1.094</v>
      </c>
      <c r="P554" s="61">
        <v>0.073</v>
      </c>
      <c r="Q554" s="61">
        <v>-2.134</v>
      </c>
      <c r="R554" s="61">
        <v>0.061</v>
      </c>
      <c r="S554" s="60">
        <v>-4.91</v>
      </c>
      <c r="T554" s="60">
        <v>2.43</v>
      </c>
      <c r="U554" s="58"/>
      <c r="V554" s="5"/>
      <c r="W554" s="5"/>
      <c r="X554" s="5"/>
      <c r="Y554" s="166"/>
      <c r="Z554" s="60">
        <v>14.3</v>
      </c>
      <c r="AA554" s="60">
        <v>0.001</v>
      </c>
      <c r="AB554" s="60">
        <v>12.339</v>
      </c>
      <c r="AC554" s="60">
        <v>0.032</v>
      </c>
      <c r="AD554" s="60">
        <v>11.743</v>
      </c>
      <c r="AE554" s="60">
        <v>0.061</v>
      </c>
      <c r="AF554" s="60">
        <v>11.497</v>
      </c>
      <c r="AG554" s="60">
        <v>0.04</v>
      </c>
      <c r="AH554" s="60">
        <v>13.73</v>
      </c>
      <c r="AI554" s="60">
        <v>0.00316227766</v>
      </c>
      <c r="AJ554" s="76" t="s">
        <v>759</v>
      </c>
      <c r="AK554" s="64" t="s">
        <v>820</v>
      </c>
      <c r="AL554" s="168"/>
      <c r="AM554" s="7"/>
      <c r="AN554" s="77">
        <v>1250.0</v>
      </c>
      <c r="AO554" s="64">
        <v>50.0</v>
      </c>
      <c r="AP554" s="13"/>
      <c r="AQ554" s="13"/>
      <c r="AR554" s="78"/>
      <c r="AS554" s="97"/>
      <c r="AT554" s="67">
        <v>0.8</v>
      </c>
      <c r="AU554" s="70">
        <v>0.0</v>
      </c>
      <c r="AV554" s="13"/>
      <c r="AW554" s="13"/>
      <c r="AX554" s="73"/>
      <c r="AY554" s="73"/>
      <c r="AZ554" s="68" t="s">
        <v>812</v>
      </c>
      <c r="BA554" s="68" t="s">
        <v>821</v>
      </c>
      <c r="BB554" s="68">
        <v>-19.76</v>
      </c>
      <c r="BC554" s="68">
        <v>3.72</v>
      </c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2"/>
      <c r="DK554" s="12"/>
      <c r="DL554" s="12"/>
      <c r="DM554" s="69"/>
      <c r="DN554" s="69"/>
      <c r="DO554" s="69"/>
      <c r="DP554" s="69"/>
      <c r="DQ554" s="11"/>
      <c r="DR554" s="69"/>
      <c r="DS554" s="69"/>
      <c r="DT554" s="69"/>
      <c r="DU554" s="69"/>
      <c r="DV554" s="97"/>
      <c r="DW554" s="98"/>
      <c r="DX554" s="71">
        <v>1.0E-7</v>
      </c>
      <c r="DY554" s="114">
        <v>1.38E-7</v>
      </c>
      <c r="DZ554" s="64" t="s">
        <v>762</v>
      </c>
      <c r="EA554" s="72" t="s">
        <v>822</v>
      </c>
      <c r="EB554" s="82"/>
    </row>
    <row r="555">
      <c r="A555" s="167" t="s">
        <v>1264</v>
      </c>
      <c r="B555" s="56" t="s">
        <v>1265</v>
      </c>
      <c r="C555" s="3"/>
      <c r="D555" s="4"/>
      <c r="E555" s="4"/>
      <c r="F555" s="57" t="s">
        <v>168</v>
      </c>
      <c r="G555" s="61">
        <v>271.06885</v>
      </c>
      <c r="H555" s="61">
        <v>-24.48577</v>
      </c>
      <c r="I555" s="60" t="s">
        <v>819</v>
      </c>
      <c r="J555" s="60" t="s">
        <v>169</v>
      </c>
      <c r="K555" s="61">
        <v>5.9</v>
      </c>
      <c r="L555" s="60">
        <v>0.14</v>
      </c>
      <c r="M555" s="60">
        <v>2.0</v>
      </c>
      <c r="N555" s="61">
        <v>578.938227291148</v>
      </c>
      <c r="O555" s="61">
        <v>0.417</v>
      </c>
      <c r="P555" s="61">
        <v>0.103</v>
      </c>
      <c r="Q555" s="61">
        <v>-6.9</v>
      </c>
      <c r="R555" s="61">
        <v>0.087</v>
      </c>
      <c r="S555" s="60"/>
      <c r="T555" s="60"/>
      <c r="U555" s="58"/>
      <c r="V555" s="5"/>
      <c r="W555" s="5"/>
      <c r="X555" s="5"/>
      <c r="Y555" s="166"/>
      <c r="Z555" s="60">
        <v>15.92</v>
      </c>
      <c r="AA555" s="60">
        <v>0.002</v>
      </c>
      <c r="AB555" s="60">
        <v>14.095</v>
      </c>
      <c r="AC555" s="60">
        <v>0.041</v>
      </c>
      <c r="AD555" s="60">
        <v>13.503</v>
      </c>
      <c r="AE555" s="60">
        <v>0.076</v>
      </c>
      <c r="AF555" s="60">
        <v>13.337</v>
      </c>
      <c r="AG555" s="60">
        <v>0.069</v>
      </c>
      <c r="AH555" s="60">
        <v>15.27</v>
      </c>
      <c r="AI555" s="60">
        <v>0.004472135955</v>
      </c>
      <c r="AJ555" s="76" t="s">
        <v>759</v>
      </c>
      <c r="AK555" s="64" t="s">
        <v>820</v>
      </c>
      <c r="AL555" s="168"/>
      <c r="AM555" s="7"/>
      <c r="AN555" s="77">
        <v>1250.0</v>
      </c>
      <c r="AO555" s="64">
        <v>50.0</v>
      </c>
      <c r="AP555" s="13"/>
      <c r="AQ555" s="13"/>
      <c r="AR555" s="78"/>
      <c r="AS555" s="97"/>
      <c r="AT555" s="67">
        <v>0.8</v>
      </c>
      <c r="AU555" s="70">
        <v>0.01</v>
      </c>
      <c r="AV555" s="13"/>
      <c r="AW555" s="13"/>
      <c r="AX555" s="73"/>
      <c r="AY555" s="73"/>
      <c r="AZ555" s="68" t="s">
        <v>812</v>
      </c>
      <c r="BA555" s="68" t="s">
        <v>821</v>
      </c>
      <c r="BB555" s="68">
        <v>-30.99</v>
      </c>
      <c r="BC555" s="68">
        <v>5.84</v>
      </c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2"/>
      <c r="DK555" s="12"/>
      <c r="DL555" s="12"/>
      <c r="DM555" s="69"/>
      <c r="DN555" s="69"/>
      <c r="DO555" s="69"/>
      <c r="DP555" s="69"/>
      <c r="DQ555" s="11"/>
      <c r="DR555" s="69"/>
      <c r="DS555" s="69"/>
      <c r="DT555" s="69"/>
      <c r="DU555" s="69"/>
      <c r="DV555" s="97"/>
      <c r="DW555" s="98"/>
      <c r="DX555" s="71">
        <v>1.58E-8</v>
      </c>
      <c r="DY555" s="114">
        <v>2.19E-8</v>
      </c>
      <c r="DZ555" s="64" t="s">
        <v>762</v>
      </c>
      <c r="EA555" s="72" t="s">
        <v>822</v>
      </c>
      <c r="EB555" s="82"/>
    </row>
    <row r="556">
      <c r="A556" s="167" t="s">
        <v>1266</v>
      </c>
      <c r="B556" s="56" t="s">
        <v>1267</v>
      </c>
      <c r="C556" s="3"/>
      <c r="D556" s="4"/>
      <c r="E556" s="4"/>
      <c r="F556" s="57" t="s">
        <v>168</v>
      </c>
      <c r="G556" s="61">
        <v>270.7186</v>
      </c>
      <c r="H556" s="61">
        <v>-24.31234</v>
      </c>
      <c r="I556" s="60" t="s">
        <v>819</v>
      </c>
      <c r="J556" s="60" t="s">
        <v>169</v>
      </c>
      <c r="K556" s="61">
        <v>4.9</v>
      </c>
      <c r="L556" s="60">
        <v>0.06</v>
      </c>
      <c r="M556" s="60">
        <v>2.0</v>
      </c>
      <c r="N556" s="61">
        <v>1466.49068778413</v>
      </c>
      <c r="O556" s="61">
        <v>1.779</v>
      </c>
      <c r="P556" s="61">
        <v>0.069</v>
      </c>
      <c r="Q556" s="61">
        <v>-1.832</v>
      </c>
      <c r="R556" s="61">
        <v>0.054</v>
      </c>
      <c r="S556" s="60"/>
      <c r="T556" s="60"/>
      <c r="U556" s="58"/>
      <c r="V556" s="5"/>
      <c r="W556" s="5"/>
      <c r="X556" s="5"/>
      <c r="Y556" s="166"/>
      <c r="Z556" s="60">
        <v>13.91</v>
      </c>
      <c r="AA556" s="60">
        <v>0.001</v>
      </c>
      <c r="AB556" s="60">
        <v>11.613</v>
      </c>
      <c r="AC556" s="60">
        <v>0.028</v>
      </c>
      <c r="AD556" s="60">
        <v>10.717</v>
      </c>
      <c r="AE556" s="60">
        <v>0.038</v>
      </c>
      <c r="AF556" s="60">
        <v>9.966</v>
      </c>
      <c r="AG556" s="60">
        <v>0.027</v>
      </c>
      <c r="AH556" s="60">
        <v>13.07</v>
      </c>
      <c r="AI556" s="60">
        <v>0.001414213562</v>
      </c>
      <c r="AJ556" s="76" t="s">
        <v>759</v>
      </c>
      <c r="AK556" s="64" t="s">
        <v>820</v>
      </c>
      <c r="AL556" s="168"/>
      <c r="AM556" s="7"/>
      <c r="AN556" s="77">
        <v>1250.0</v>
      </c>
      <c r="AO556" s="64">
        <v>50.0</v>
      </c>
      <c r="AP556" s="13"/>
      <c r="AQ556" s="13"/>
      <c r="AR556" s="78"/>
      <c r="AS556" s="97"/>
      <c r="AT556" s="67">
        <v>0.9</v>
      </c>
      <c r="AU556" s="70">
        <v>0.0</v>
      </c>
      <c r="AV556" s="13"/>
      <c r="AW556" s="13"/>
      <c r="AX556" s="73"/>
      <c r="AY556" s="73"/>
      <c r="AZ556" s="68" t="s">
        <v>812</v>
      </c>
      <c r="BA556" s="68" t="s">
        <v>821</v>
      </c>
      <c r="BB556" s="68">
        <v>-53.36</v>
      </c>
      <c r="BC556" s="68">
        <v>10.5</v>
      </c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2"/>
      <c r="DK556" s="12"/>
      <c r="DL556" s="12"/>
      <c r="DM556" s="69"/>
      <c r="DN556" s="69"/>
      <c r="DO556" s="69"/>
      <c r="DP556" s="69"/>
      <c r="DQ556" s="11"/>
      <c r="DR556" s="69"/>
      <c r="DS556" s="69"/>
      <c r="DT556" s="69"/>
      <c r="DU556" s="69"/>
      <c r="DV556" s="97"/>
      <c r="DW556" s="98"/>
      <c r="DX556" s="71">
        <v>5.01E-7</v>
      </c>
      <c r="DY556" s="114">
        <v>6.93E-7</v>
      </c>
      <c r="DZ556" s="64" t="s">
        <v>762</v>
      </c>
      <c r="EA556" s="72" t="s">
        <v>822</v>
      </c>
      <c r="EB556" s="82"/>
    </row>
    <row r="557">
      <c r="A557" s="167" t="s">
        <v>1268</v>
      </c>
      <c r="B557" s="56" t="s">
        <v>1269</v>
      </c>
      <c r="C557" s="3"/>
      <c r="D557" s="4"/>
      <c r="E557" s="4"/>
      <c r="F557" s="57" t="s">
        <v>168</v>
      </c>
      <c r="G557" s="61">
        <v>270.63358</v>
      </c>
      <c r="H557" s="61">
        <v>-24.25888</v>
      </c>
      <c r="I557" s="60" t="s">
        <v>819</v>
      </c>
      <c r="J557" s="60" t="s">
        <v>169</v>
      </c>
      <c r="K557" s="61">
        <v>5.6</v>
      </c>
      <c r="L557" s="60">
        <v>0.08</v>
      </c>
      <c r="M557" s="60">
        <v>2.0</v>
      </c>
      <c r="N557" s="61">
        <v>779.11959485781</v>
      </c>
      <c r="O557" s="61">
        <v>-5.787</v>
      </c>
      <c r="P557" s="61">
        <v>0.086</v>
      </c>
      <c r="Q557" s="61">
        <v>-5.759</v>
      </c>
      <c r="R557" s="61">
        <v>0.069</v>
      </c>
      <c r="S557" s="60"/>
      <c r="T557" s="60"/>
      <c r="U557" s="58"/>
      <c r="V557" s="5"/>
      <c r="W557" s="5"/>
      <c r="X557" s="5"/>
      <c r="Y557" s="166"/>
      <c r="Z557" s="60">
        <v>14.83</v>
      </c>
      <c r="AA557" s="60">
        <v>0.001</v>
      </c>
      <c r="AB557" s="60"/>
      <c r="AC557" s="60"/>
      <c r="AD557" s="60"/>
      <c r="AE557" s="60"/>
      <c r="AF557" s="60"/>
      <c r="AG557" s="60"/>
      <c r="AH557" s="60">
        <v>14.38</v>
      </c>
      <c r="AI557" s="60">
        <v>0.002236067977</v>
      </c>
      <c r="AJ557" s="76" t="s">
        <v>759</v>
      </c>
      <c r="AK557" s="64" t="s">
        <v>820</v>
      </c>
      <c r="AL557" s="168"/>
      <c r="AM557" s="7"/>
      <c r="AN557" s="77">
        <v>1250.0</v>
      </c>
      <c r="AO557" s="64">
        <v>50.0</v>
      </c>
      <c r="AP557" s="13"/>
      <c r="AQ557" s="13"/>
      <c r="AR557" s="78"/>
      <c r="AS557" s="97"/>
      <c r="AT557" s="67">
        <v>1.0</v>
      </c>
      <c r="AU557" s="70">
        <v>0.0</v>
      </c>
      <c r="AV557" s="13"/>
      <c r="AW557" s="13"/>
      <c r="AX557" s="73"/>
      <c r="AY557" s="73"/>
      <c r="AZ557" s="68" t="s">
        <v>812</v>
      </c>
      <c r="BA557" s="68" t="s">
        <v>821</v>
      </c>
      <c r="BB557" s="68">
        <v>-14.34</v>
      </c>
      <c r="BC557" s="68">
        <v>2.66</v>
      </c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2"/>
      <c r="DK557" s="12"/>
      <c r="DL557" s="12"/>
      <c r="DM557" s="69"/>
      <c r="DN557" s="69"/>
      <c r="DO557" s="69"/>
      <c r="DP557" s="69"/>
      <c r="DQ557" s="11"/>
      <c r="DR557" s="69"/>
      <c r="DS557" s="69"/>
      <c r="DT557" s="69"/>
      <c r="DU557" s="69"/>
      <c r="DV557" s="97"/>
      <c r="DW557" s="98"/>
      <c r="DX557" s="71">
        <v>2.0E-8</v>
      </c>
      <c r="DY557" s="114">
        <v>2.76E-8</v>
      </c>
      <c r="DZ557" s="64" t="s">
        <v>762</v>
      </c>
      <c r="EA557" s="72" t="s">
        <v>822</v>
      </c>
      <c r="EB557" s="82"/>
    </row>
    <row r="558">
      <c r="A558" s="167" t="s">
        <v>1270</v>
      </c>
      <c r="B558" s="56" t="s">
        <v>1271</v>
      </c>
      <c r="C558" s="3"/>
      <c r="D558" s="4"/>
      <c r="E558" s="4"/>
      <c r="F558" s="57" t="s">
        <v>168</v>
      </c>
      <c r="G558" s="61">
        <v>270.94885</v>
      </c>
      <c r="H558" s="61">
        <v>-24.41882</v>
      </c>
      <c r="I558" s="60" t="s">
        <v>819</v>
      </c>
      <c r="J558" s="60" t="s">
        <v>169</v>
      </c>
      <c r="K558" s="61">
        <v>5.5</v>
      </c>
      <c r="L558" s="60">
        <v>0.08</v>
      </c>
      <c r="M558" s="60">
        <v>2.0</v>
      </c>
      <c r="N558" s="61">
        <v>530.278926715452</v>
      </c>
      <c r="O558" s="61">
        <v>-2.01</v>
      </c>
      <c r="P558" s="61">
        <v>0.062</v>
      </c>
      <c r="Q558" s="61">
        <v>-10.771</v>
      </c>
      <c r="R558" s="61">
        <v>0.05</v>
      </c>
      <c r="S558" s="60"/>
      <c r="T558" s="60"/>
      <c r="U558" s="58"/>
      <c r="V558" s="5"/>
      <c r="W558" s="5"/>
      <c r="X558" s="5"/>
      <c r="Y558" s="166"/>
      <c r="Z558" s="60">
        <v>14.48</v>
      </c>
      <c r="AA558" s="60">
        <v>0.001</v>
      </c>
      <c r="AB558" s="60"/>
      <c r="AC558" s="60"/>
      <c r="AD558" s="60"/>
      <c r="AE558" s="60"/>
      <c r="AF558" s="60"/>
      <c r="AG558" s="60"/>
      <c r="AH558" s="60">
        <v>13.93</v>
      </c>
      <c r="AI558" s="60">
        <v>0.00316227766</v>
      </c>
      <c r="AJ558" s="76" t="s">
        <v>759</v>
      </c>
      <c r="AK558" s="64" t="s">
        <v>820</v>
      </c>
      <c r="AL558" s="168"/>
      <c r="AM558" s="7"/>
      <c r="AN558" s="77">
        <v>1250.0</v>
      </c>
      <c r="AO558" s="64">
        <v>50.0</v>
      </c>
      <c r="AP558" s="13"/>
      <c r="AQ558" s="13"/>
      <c r="AR558" s="78"/>
      <c r="AS558" s="97"/>
      <c r="AT558" s="67">
        <v>1.0</v>
      </c>
      <c r="AU558" s="70">
        <v>0.0</v>
      </c>
      <c r="AV558" s="13"/>
      <c r="AW558" s="13"/>
      <c r="AX558" s="73"/>
      <c r="AY558" s="73"/>
      <c r="AZ558" s="68" t="s">
        <v>812</v>
      </c>
      <c r="BA558" s="68" t="s">
        <v>821</v>
      </c>
      <c r="BB558" s="68">
        <v>-25.07</v>
      </c>
      <c r="BC558" s="68">
        <v>4.75</v>
      </c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2"/>
      <c r="DK558" s="12"/>
      <c r="DL558" s="12"/>
      <c r="DM558" s="69"/>
      <c r="DN558" s="69"/>
      <c r="DO558" s="69"/>
      <c r="DP558" s="69"/>
      <c r="DQ558" s="11"/>
      <c r="DR558" s="69"/>
      <c r="DS558" s="69"/>
      <c r="DT558" s="69"/>
      <c r="DU558" s="69"/>
      <c r="DV558" s="97"/>
      <c r="DW558" s="98"/>
      <c r="DX558" s="71">
        <v>6.31E-8</v>
      </c>
      <c r="DY558" s="114">
        <v>8.72E-8</v>
      </c>
      <c r="DZ558" s="64" t="s">
        <v>762</v>
      </c>
      <c r="EA558" s="72" t="s">
        <v>822</v>
      </c>
      <c r="EB558" s="82"/>
    </row>
    <row r="559">
      <c r="A559" s="167" t="s">
        <v>1272</v>
      </c>
      <c r="B559" s="56" t="s">
        <v>1273</v>
      </c>
      <c r="C559" s="3"/>
      <c r="D559" s="4"/>
      <c r="E559" s="4"/>
      <c r="F559" s="57" t="s">
        <v>168</v>
      </c>
      <c r="G559" s="61">
        <v>270.85678</v>
      </c>
      <c r="H559" s="61">
        <v>-24.34915</v>
      </c>
      <c r="I559" s="60" t="s">
        <v>819</v>
      </c>
      <c r="J559" s="60" t="s">
        <v>169</v>
      </c>
      <c r="K559" s="61">
        <v>6.2</v>
      </c>
      <c r="L559" s="60">
        <v>0.14</v>
      </c>
      <c r="M559" s="60">
        <v>2.0</v>
      </c>
      <c r="N559" s="61">
        <v>1272.1027859051</v>
      </c>
      <c r="O559" s="61">
        <v>3.629</v>
      </c>
      <c r="P559" s="61">
        <v>0.095</v>
      </c>
      <c r="Q559" s="61">
        <v>0.273</v>
      </c>
      <c r="R559" s="61">
        <v>0.074</v>
      </c>
      <c r="S559" s="60"/>
      <c r="T559" s="60"/>
      <c r="U559" s="58"/>
      <c r="V559" s="5"/>
      <c r="W559" s="5"/>
      <c r="X559" s="5"/>
      <c r="Y559" s="166"/>
      <c r="Z559" s="60">
        <v>15.42</v>
      </c>
      <c r="AA559" s="60">
        <v>0.002</v>
      </c>
      <c r="AB559" s="60">
        <v>14.0</v>
      </c>
      <c r="AC559" s="60">
        <v>0.03</v>
      </c>
      <c r="AD559" s="60">
        <v>13.689</v>
      </c>
      <c r="AE559" s="60">
        <v>0.022</v>
      </c>
      <c r="AF559" s="60">
        <v>13.526</v>
      </c>
      <c r="AG559" s="60">
        <v>0.046</v>
      </c>
      <c r="AH559" s="60">
        <v>14.87</v>
      </c>
      <c r="AI559" s="60">
        <v>0.007280109889</v>
      </c>
      <c r="AJ559" s="76" t="s">
        <v>759</v>
      </c>
      <c r="AK559" s="64" t="s">
        <v>820</v>
      </c>
      <c r="AL559" s="168"/>
      <c r="AM559" s="7"/>
      <c r="AN559" s="77">
        <v>1250.0</v>
      </c>
      <c r="AO559" s="64">
        <v>50.0</v>
      </c>
      <c r="AP559" s="13"/>
      <c r="AQ559" s="13"/>
      <c r="AR559" s="78"/>
      <c r="AS559" s="97"/>
      <c r="AT559" s="67">
        <v>1.3</v>
      </c>
      <c r="AU559" s="70">
        <v>0.01</v>
      </c>
      <c r="AV559" s="13"/>
      <c r="AW559" s="13"/>
      <c r="AX559" s="73"/>
      <c r="AY559" s="73"/>
      <c r="AZ559" s="68" t="s">
        <v>812</v>
      </c>
      <c r="BA559" s="68" t="s">
        <v>821</v>
      </c>
      <c r="BB559" s="68">
        <v>-32.99</v>
      </c>
      <c r="BC559" s="68">
        <v>6.08</v>
      </c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2"/>
      <c r="DK559" s="12"/>
      <c r="DL559" s="12"/>
      <c r="DM559" s="69"/>
      <c r="DN559" s="69"/>
      <c r="DO559" s="69"/>
      <c r="DP559" s="69"/>
      <c r="DQ559" s="11"/>
      <c r="DR559" s="69"/>
      <c r="DS559" s="69"/>
      <c r="DT559" s="69"/>
      <c r="DU559" s="69"/>
      <c r="DV559" s="97"/>
      <c r="DW559" s="98"/>
      <c r="DX559" s="71">
        <v>1.26E-8</v>
      </c>
      <c r="DY559" s="114">
        <v>1.74E-8</v>
      </c>
      <c r="DZ559" s="64" t="s">
        <v>762</v>
      </c>
      <c r="EA559" s="72" t="s">
        <v>822</v>
      </c>
      <c r="EB559" s="82"/>
    </row>
    <row r="560">
      <c r="A560" s="167" t="s">
        <v>1274</v>
      </c>
      <c r="B560" s="56" t="s">
        <v>1275</v>
      </c>
      <c r="C560" s="3"/>
      <c r="D560" s="4"/>
      <c r="E560" s="4"/>
      <c r="F560" s="57" t="s">
        <v>168</v>
      </c>
      <c r="G560" s="61">
        <v>271.37637</v>
      </c>
      <c r="H560" s="61">
        <v>-24.26638</v>
      </c>
      <c r="I560" s="60" t="s">
        <v>819</v>
      </c>
      <c r="J560" s="60" t="s">
        <v>169</v>
      </c>
      <c r="K560" s="61">
        <v>5.4</v>
      </c>
      <c r="L560" s="60">
        <v>0.06</v>
      </c>
      <c r="M560" s="60">
        <v>2.0</v>
      </c>
      <c r="N560" s="61">
        <v>549.118664543407</v>
      </c>
      <c r="O560" s="61">
        <v>-13.829</v>
      </c>
      <c r="P560" s="61">
        <v>0.116</v>
      </c>
      <c r="Q560" s="61">
        <v>-28.819</v>
      </c>
      <c r="R560" s="61">
        <v>0.091</v>
      </c>
      <c r="S560" s="60"/>
      <c r="T560" s="60"/>
      <c r="U560" s="58"/>
      <c r="V560" s="5"/>
      <c r="W560" s="5"/>
      <c r="X560" s="5"/>
      <c r="Y560" s="166"/>
      <c r="Z560" s="60">
        <v>14.11</v>
      </c>
      <c r="AA560" s="60">
        <v>0.001</v>
      </c>
      <c r="AB560" s="60"/>
      <c r="AC560" s="60"/>
      <c r="AD560" s="60"/>
      <c r="AE560" s="60"/>
      <c r="AF560" s="60"/>
      <c r="AG560" s="60"/>
      <c r="AH560" s="60">
        <v>13.7</v>
      </c>
      <c r="AI560" s="60">
        <v>0.002236067977</v>
      </c>
      <c r="AJ560" s="76" t="s">
        <v>759</v>
      </c>
      <c r="AK560" s="64" t="s">
        <v>820</v>
      </c>
      <c r="AL560" s="168"/>
      <c r="AM560" s="7"/>
      <c r="AN560" s="77">
        <v>1250.0</v>
      </c>
      <c r="AO560" s="64">
        <v>50.0</v>
      </c>
      <c r="AP560" s="13"/>
      <c r="AQ560" s="13"/>
      <c r="AR560" s="78"/>
      <c r="AS560" s="97"/>
      <c r="AT560" s="67">
        <v>1.3</v>
      </c>
      <c r="AU560" s="70">
        <v>0.0</v>
      </c>
      <c r="AV560" s="13"/>
      <c r="AW560" s="13"/>
      <c r="AX560" s="73"/>
      <c r="AY560" s="73"/>
      <c r="AZ560" s="68" t="s">
        <v>812</v>
      </c>
      <c r="BA560" s="68" t="s">
        <v>821</v>
      </c>
      <c r="BB560" s="68">
        <v>-12.65</v>
      </c>
      <c r="BC560" s="68">
        <v>2.36</v>
      </c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2"/>
      <c r="DK560" s="12"/>
      <c r="DL560" s="12"/>
      <c r="DM560" s="69"/>
      <c r="DN560" s="69"/>
      <c r="DO560" s="69"/>
      <c r="DP560" s="69"/>
      <c r="DQ560" s="11"/>
      <c r="DR560" s="69"/>
      <c r="DS560" s="69"/>
      <c r="DT560" s="69"/>
      <c r="DU560" s="69"/>
      <c r="DV560" s="97"/>
      <c r="DW560" s="98"/>
      <c r="DX560" s="71">
        <v>3.98E-8</v>
      </c>
      <c r="DY560" s="114">
        <v>5.5E-8</v>
      </c>
      <c r="DZ560" s="64" t="s">
        <v>762</v>
      </c>
      <c r="EA560" s="72" t="s">
        <v>822</v>
      </c>
      <c r="EB560" s="82"/>
    </row>
    <row r="561">
      <c r="A561" s="167" t="s">
        <v>1276</v>
      </c>
      <c r="B561" s="56" t="s">
        <v>1277</v>
      </c>
      <c r="C561" s="3"/>
      <c r="D561" s="4"/>
      <c r="E561" s="4"/>
      <c r="F561" s="57" t="s">
        <v>168</v>
      </c>
      <c r="G561" s="61">
        <v>271.1644</v>
      </c>
      <c r="H561" s="61">
        <v>-24.47338</v>
      </c>
      <c r="I561" s="60" t="s">
        <v>819</v>
      </c>
      <c r="J561" s="60" t="s">
        <v>169</v>
      </c>
      <c r="K561" s="61">
        <v>5.4</v>
      </c>
      <c r="L561" s="60">
        <v>0.06</v>
      </c>
      <c r="M561" s="60">
        <v>2.0</v>
      </c>
      <c r="N561" s="61">
        <v>1139.99088007295</v>
      </c>
      <c r="O561" s="61">
        <v>-2.811</v>
      </c>
      <c r="P561" s="61">
        <v>0.054</v>
      </c>
      <c r="Q561" s="61">
        <v>2.511</v>
      </c>
      <c r="R561" s="61">
        <v>0.044</v>
      </c>
      <c r="S561" s="60"/>
      <c r="T561" s="60"/>
      <c r="U561" s="58"/>
      <c r="V561" s="5"/>
      <c r="W561" s="5"/>
      <c r="X561" s="5"/>
      <c r="Y561" s="166"/>
      <c r="Z561" s="60">
        <v>13.81</v>
      </c>
      <c r="AA561" s="60">
        <v>0.001</v>
      </c>
      <c r="AB561" s="60"/>
      <c r="AC561" s="60"/>
      <c r="AD561" s="60"/>
      <c r="AE561" s="60"/>
      <c r="AF561" s="60"/>
      <c r="AG561" s="60"/>
      <c r="AH561" s="60">
        <v>13.4</v>
      </c>
      <c r="AI561" s="60">
        <v>0.001414213562</v>
      </c>
      <c r="AJ561" s="76" t="s">
        <v>759</v>
      </c>
      <c r="AK561" s="64" t="s">
        <v>820</v>
      </c>
      <c r="AL561" s="168"/>
      <c r="AM561" s="7"/>
      <c r="AN561" s="77">
        <v>1250.0</v>
      </c>
      <c r="AO561" s="64">
        <v>50.0</v>
      </c>
      <c r="AP561" s="13"/>
      <c r="AQ561" s="13"/>
      <c r="AR561" s="78"/>
      <c r="AS561" s="97"/>
      <c r="AT561" s="67">
        <v>1.4</v>
      </c>
      <c r="AU561" s="70">
        <v>0.0</v>
      </c>
      <c r="AV561" s="13"/>
      <c r="AW561" s="13"/>
      <c r="AX561" s="73"/>
      <c r="AY561" s="73"/>
      <c r="AZ561" s="68" t="s">
        <v>812</v>
      </c>
      <c r="BA561" s="68" t="s">
        <v>821</v>
      </c>
      <c r="BB561" s="68">
        <v>-14.0</v>
      </c>
      <c r="BC561" s="68">
        <v>2.65</v>
      </c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2"/>
      <c r="DK561" s="12"/>
      <c r="DL561" s="12"/>
      <c r="DM561" s="69"/>
      <c r="DN561" s="69"/>
      <c r="DO561" s="69"/>
      <c r="DP561" s="69"/>
      <c r="DQ561" s="11"/>
      <c r="DR561" s="69"/>
      <c r="DS561" s="69"/>
      <c r="DT561" s="69"/>
      <c r="DU561" s="69"/>
      <c r="DV561" s="97"/>
      <c r="DW561" s="98"/>
      <c r="DX561" s="71">
        <v>5.01E-8</v>
      </c>
      <c r="DY561" s="114">
        <v>6.93E-8</v>
      </c>
      <c r="DZ561" s="64" t="s">
        <v>762</v>
      </c>
      <c r="EA561" s="72" t="s">
        <v>822</v>
      </c>
      <c r="EB561" s="82"/>
    </row>
    <row r="562">
      <c r="A562" s="167" t="s">
        <v>1258</v>
      </c>
      <c r="B562" s="56" t="s">
        <v>1278</v>
      </c>
      <c r="C562" s="3"/>
      <c r="D562" s="4"/>
      <c r="E562" s="4"/>
      <c r="F562" s="57" t="s">
        <v>168</v>
      </c>
      <c r="G562" s="61">
        <v>271.0326</v>
      </c>
      <c r="H562" s="61">
        <v>-24.38677</v>
      </c>
      <c r="I562" s="60" t="s">
        <v>819</v>
      </c>
      <c r="J562" s="60" t="s">
        <v>169</v>
      </c>
      <c r="K562" s="61">
        <v>6.1</v>
      </c>
      <c r="L562" s="60">
        <v>0.1</v>
      </c>
      <c r="M562" s="60">
        <v>2.0</v>
      </c>
      <c r="N562" s="61">
        <v>1613.94448030987</v>
      </c>
      <c r="O562" s="61">
        <v>0.628</v>
      </c>
      <c r="P562" s="61">
        <v>0.091</v>
      </c>
      <c r="Q562" s="61">
        <v>-2.132</v>
      </c>
      <c r="R562" s="61">
        <v>0.075</v>
      </c>
      <c r="S562" s="60"/>
      <c r="T562" s="60"/>
      <c r="U562" s="58"/>
      <c r="V562" s="5"/>
      <c r="W562" s="5"/>
      <c r="X562" s="5"/>
      <c r="Y562" s="166"/>
      <c r="Z562" s="60">
        <v>15.03</v>
      </c>
      <c r="AA562" s="60">
        <v>0.001</v>
      </c>
      <c r="AB562" s="60"/>
      <c r="AC562" s="60"/>
      <c r="AD562" s="60"/>
      <c r="AE562" s="60"/>
      <c r="AF562" s="60"/>
      <c r="AG562" s="60"/>
      <c r="AH562" s="60">
        <v>14.22</v>
      </c>
      <c r="AI562" s="60">
        <v>0.004123105626</v>
      </c>
      <c r="AJ562" s="76" t="s">
        <v>759</v>
      </c>
      <c r="AK562" s="64" t="s">
        <v>820</v>
      </c>
      <c r="AL562" s="168"/>
      <c r="AM562" s="7"/>
      <c r="AN562" s="77">
        <v>1250.0</v>
      </c>
      <c r="AO562" s="64">
        <v>50.0</v>
      </c>
      <c r="AP562" s="13"/>
      <c r="AQ562" s="13"/>
      <c r="AR562" s="78"/>
      <c r="AS562" s="97"/>
      <c r="AT562" s="67">
        <v>1.5</v>
      </c>
      <c r="AU562" s="70">
        <v>0.0</v>
      </c>
      <c r="AV562" s="13"/>
      <c r="AW562" s="13"/>
      <c r="AX562" s="73"/>
      <c r="AY562" s="73"/>
      <c r="AZ562" s="68" t="s">
        <v>812</v>
      </c>
      <c r="BA562" s="68" t="s">
        <v>821</v>
      </c>
      <c r="BB562" s="68">
        <v>-70.9</v>
      </c>
      <c r="BC562" s="68">
        <v>13.8</v>
      </c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2"/>
      <c r="DK562" s="12"/>
      <c r="DL562" s="12"/>
      <c r="DM562" s="69"/>
      <c r="DN562" s="69"/>
      <c r="DO562" s="69"/>
      <c r="DP562" s="69"/>
      <c r="DQ562" s="11"/>
      <c r="DR562" s="69"/>
      <c r="DS562" s="69"/>
      <c r="DT562" s="69"/>
      <c r="DU562" s="69"/>
      <c r="DV562" s="97"/>
      <c r="DW562" s="98"/>
      <c r="DX562" s="71">
        <v>3.98E-8</v>
      </c>
      <c r="DY562" s="114">
        <v>5.5E-8</v>
      </c>
      <c r="DZ562" s="64" t="s">
        <v>762</v>
      </c>
      <c r="EA562" s="72" t="s">
        <v>822</v>
      </c>
      <c r="EB562" s="82"/>
    </row>
    <row r="563">
      <c r="A563" s="167" t="s">
        <v>1279</v>
      </c>
      <c r="B563" s="56" t="s">
        <v>1280</v>
      </c>
      <c r="C563" s="3"/>
      <c r="D563" s="4"/>
      <c r="E563" s="4"/>
      <c r="F563" s="57" t="s">
        <v>168</v>
      </c>
      <c r="G563" s="61">
        <v>271.03252</v>
      </c>
      <c r="H563" s="61">
        <v>-24.38652</v>
      </c>
      <c r="I563" s="60" t="s">
        <v>819</v>
      </c>
      <c r="J563" s="60" t="s">
        <v>169</v>
      </c>
      <c r="K563" s="61">
        <v>5.6</v>
      </c>
      <c r="L563" s="60">
        <v>0.06</v>
      </c>
      <c r="M563" s="60">
        <v>2.0</v>
      </c>
      <c r="N563" s="61">
        <v>1277.13920817369</v>
      </c>
      <c r="O563" s="61">
        <v>0.526</v>
      </c>
      <c r="P563" s="61">
        <v>0.126</v>
      </c>
      <c r="Q563" s="61">
        <v>-1.876</v>
      </c>
      <c r="R563" s="61">
        <v>0.104</v>
      </c>
      <c r="S563" s="60"/>
      <c r="T563" s="60"/>
      <c r="U563" s="58"/>
      <c r="V563" s="5"/>
      <c r="W563" s="5"/>
      <c r="X563" s="5"/>
      <c r="Y563" s="166"/>
      <c r="Z563" s="60">
        <v>15.07</v>
      </c>
      <c r="AA563" s="60">
        <v>0.002</v>
      </c>
      <c r="AB563" s="60"/>
      <c r="AC563" s="60"/>
      <c r="AD563" s="60"/>
      <c r="AE563" s="60"/>
      <c r="AF563" s="60"/>
      <c r="AG563" s="60"/>
      <c r="AH563" s="60">
        <v>14.5</v>
      </c>
      <c r="AI563" s="60">
        <v>0.009219544457</v>
      </c>
      <c r="AJ563" s="76" t="s">
        <v>759</v>
      </c>
      <c r="AK563" s="64" t="s">
        <v>820</v>
      </c>
      <c r="AL563" s="168"/>
      <c r="AM563" s="7"/>
      <c r="AN563" s="77">
        <v>1250.0</v>
      </c>
      <c r="AO563" s="64">
        <v>50.0</v>
      </c>
      <c r="AP563" s="13"/>
      <c r="AQ563" s="13"/>
      <c r="AR563" s="78"/>
      <c r="AS563" s="97"/>
      <c r="AT563" s="67">
        <v>1.6</v>
      </c>
      <c r="AU563" s="70">
        <v>0.0</v>
      </c>
      <c r="AV563" s="13"/>
      <c r="AW563" s="13"/>
      <c r="AX563" s="73"/>
      <c r="AY563" s="73"/>
      <c r="AZ563" s="68" t="s">
        <v>812</v>
      </c>
      <c r="BA563" s="68" t="s">
        <v>821</v>
      </c>
      <c r="BB563" s="68">
        <v>-12.83</v>
      </c>
      <c r="BC563" s="68">
        <v>2.43</v>
      </c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2"/>
      <c r="DK563" s="12"/>
      <c r="DL563" s="12"/>
      <c r="DM563" s="69"/>
      <c r="DN563" s="69"/>
      <c r="DO563" s="69"/>
      <c r="DP563" s="69"/>
      <c r="DQ563" s="11"/>
      <c r="DR563" s="69"/>
      <c r="DS563" s="69"/>
      <c r="DT563" s="69"/>
      <c r="DU563" s="69"/>
      <c r="DV563" s="97"/>
      <c r="DW563" s="98"/>
      <c r="DX563" s="71">
        <v>1.0E-7</v>
      </c>
      <c r="DY563" s="114">
        <v>1.38E-7</v>
      </c>
      <c r="DZ563" s="64" t="s">
        <v>762</v>
      </c>
      <c r="EA563" s="72" t="s">
        <v>822</v>
      </c>
      <c r="EB563" s="82"/>
    </row>
    <row r="564">
      <c r="A564" s="167" t="s">
        <v>1281</v>
      </c>
      <c r="B564" s="56" t="s">
        <v>1282</v>
      </c>
      <c r="C564" s="3"/>
      <c r="D564" s="4"/>
      <c r="E564" s="4"/>
      <c r="F564" s="57" t="s">
        <v>168</v>
      </c>
      <c r="G564" s="61">
        <v>271.17102</v>
      </c>
      <c r="H564" s="61">
        <v>-24.47049</v>
      </c>
      <c r="I564" s="60" t="s">
        <v>819</v>
      </c>
      <c r="J564" s="60" t="s">
        <v>169</v>
      </c>
      <c r="K564" s="61">
        <v>5.7</v>
      </c>
      <c r="L564" s="60">
        <v>0.06</v>
      </c>
      <c r="M564" s="60">
        <v>2.0</v>
      </c>
      <c r="N564" s="61">
        <v>1176.19383674429</v>
      </c>
      <c r="O564" s="61">
        <v>-1.075</v>
      </c>
      <c r="P564" s="61">
        <v>0.056</v>
      </c>
      <c r="Q564" s="61">
        <v>-1.01</v>
      </c>
      <c r="R564" s="61">
        <v>0.045</v>
      </c>
      <c r="S564" s="60"/>
      <c r="T564" s="60"/>
      <c r="U564" s="58"/>
      <c r="V564" s="5"/>
      <c r="W564" s="5"/>
      <c r="X564" s="5"/>
      <c r="Y564" s="166"/>
      <c r="Z564" s="60">
        <v>13.81</v>
      </c>
      <c r="AA564" s="60">
        <v>0.001</v>
      </c>
      <c r="AB564" s="60">
        <v>12.713</v>
      </c>
      <c r="AC564" s="60">
        <v>0.039</v>
      </c>
      <c r="AD564" s="60">
        <v>12.467</v>
      </c>
      <c r="AE564" s="60">
        <v>0.066</v>
      </c>
      <c r="AF564" s="60">
        <v>12.31</v>
      </c>
      <c r="AG564" s="60">
        <v>0.055</v>
      </c>
      <c r="AH564" s="60">
        <v>13.49</v>
      </c>
      <c r="AI564" s="60">
        <v>0.002236067977</v>
      </c>
      <c r="AJ564" s="76" t="s">
        <v>759</v>
      </c>
      <c r="AK564" s="64" t="s">
        <v>820</v>
      </c>
      <c r="AL564" s="168"/>
      <c r="AM564" s="7"/>
      <c r="AN564" s="77">
        <v>1250.0</v>
      </c>
      <c r="AO564" s="64">
        <v>50.0</v>
      </c>
      <c r="AP564" s="13"/>
      <c r="AQ564" s="13"/>
      <c r="AR564" s="78"/>
      <c r="AS564" s="97"/>
      <c r="AT564" s="67">
        <v>2.2</v>
      </c>
      <c r="AU564" s="70">
        <v>0.0</v>
      </c>
      <c r="AV564" s="13"/>
      <c r="AW564" s="13"/>
      <c r="AX564" s="73"/>
      <c r="AY564" s="73"/>
      <c r="AZ564" s="68" t="s">
        <v>812</v>
      </c>
      <c r="BA564" s="68" t="s">
        <v>821</v>
      </c>
      <c r="BB564" s="68">
        <v>-10.69</v>
      </c>
      <c r="BC564" s="68">
        <v>1.98</v>
      </c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2"/>
      <c r="DK564" s="12"/>
      <c r="DL564" s="12"/>
      <c r="DM564" s="69"/>
      <c r="DN564" s="69"/>
      <c r="DO564" s="69"/>
      <c r="DP564" s="69"/>
      <c r="DQ564" s="11"/>
      <c r="DR564" s="69"/>
      <c r="DS564" s="69"/>
      <c r="DT564" s="69"/>
      <c r="DU564" s="69"/>
      <c r="DV564" s="97"/>
      <c r="DW564" s="98"/>
      <c r="DX564" s="71">
        <v>2.0E-8</v>
      </c>
      <c r="DY564" s="114">
        <v>2.76E-8</v>
      </c>
      <c r="DZ564" s="64" t="s">
        <v>762</v>
      </c>
      <c r="EA564" s="72" t="s">
        <v>822</v>
      </c>
      <c r="EB564" s="82"/>
    </row>
    <row r="565">
      <c r="A565" s="107" t="s">
        <v>1283</v>
      </c>
      <c r="B565" s="99" t="s">
        <v>1284</v>
      </c>
      <c r="C565" s="4"/>
      <c r="D565" s="4"/>
      <c r="E565" s="57" t="s">
        <v>137</v>
      </c>
      <c r="F565" s="57" t="s">
        <v>168</v>
      </c>
      <c r="G565" s="61">
        <v>63.6970945833333</v>
      </c>
      <c r="H565" s="61">
        <v>26.7740038888888</v>
      </c>
      <c r="I565" s="6" t="s">
        <v>199</v>
      </c>
      <c r="J565" s="6" t="s">
        <v>169</v>
      </c>
      <c r="K565" s="61">
        <v>0.758577575</v>
      </c>
      <c r="L565" s="5"/>
      <c r="M565" s="59">
        <v>2.0</v>
      </c>
      <c r="N565" s="61">
        <v>128.473605097832</v>
      </c>
      <c r="O565" s="61">
        <v>9.48</v>
      </c>
      <c r="P565" s="61">
        <v>0.119</v>
      </c>
      <c r="Q565" s="61">
        <v>-22.688</v>
      </c>
      <c r="R565" s="61">
        <v>0.078</v>
      </c>
      <c r="S565" s="60">
        <v>17.4</v>
      </c>
      <c r="T565" s="60">
        <v>0.187</v>
      </c>
      <c r="U565" s="61">
        <v>0.24</v>
      </c>
      <c r="V565" s="5"/>
      <c r="W565" s="5"/>
      <c r="X565" s="5"/>
      <c r="Y565" s="62" t="s">
        <v>248</v>
      </c>
      <c r="Z565" s="60"/>
      <c r="AA565" s="60"/>
      <c r="AB565" s="60">
        <v>9.897</v>
      </c>
      <c r="AC565" s="60">
        <v>0.021</v>
      </c>
      <c r="AD565" s="60">
        <v>9.175</v>
      </c>
      <c r="AE565" s="60">
        <v>0.022</v>
      </c>
      <c r="AF565" s="60">
        <v>8.873</v>
      </c>
      <c r="AG565" s="60">
        <v>0.019</v>
      </c>
      <c r="AH565" s="6"/>
      <c r="AI565" s="6"/>
      <c r="AJ565" s="63" t="s">
        <v>248</v>
      </c>
      <c r="AK565" s="64" t="s">
        <v>202</v>
      </c>
      <c r="AL565" s="64">
        <v>2000.0</v>
      </c>
      <c r="AM565" s="7"/>
      <c r="AN565" s="8"/>
      <c r="AO565" s="13"/>
      <c r="AP565" s="64" t="s">
        <v>1285</v>
      </c>
      <c r="AQ565" s="7"/>
      <c r="AR565" s="9"/>
      <c r="AS565" s="7"/>
      <c r="AT565" s="67">
        <v>0.22</v>
      </c>
      <c r="AU565" s="7"/>
      <c r="AV565" s="13"/>
      <c r="AW565" s="7"/>
      <c r="AX565" s="73"/>
      <c r="AY565" s="7"/>
      <c r="AZ565" s="68" t="s">
        <v>1286</v>
      </c>
      <c r="BA565" s="68" t="s">
        <v>1287</v>
      </c>
      <c r="BB565" s="68">
        <v>-32.0</v>
      </c>
      <c r="BC565" s="11"/>
      <c r="BD565" s="11"/>
      <c r="BE565" s="11"/>
      <c r="BF565" s="68"/>
      <c r="BG565" s="11"/>
      <c r="BH565" s="11"/>
      <c r="BI565" s="11"/>
      <c r="BJ565" s="68"/>
      <c r="BK565" s="11"/>
      <c r="BL565" s="11"/>
      <c r="BM565" s="11"/>
      <c r="BN565" s="68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68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2"/>
      <c r="DK565" s="12"/>
      <c r="DL565" s="12"/>
      <c r="DM565" s="80">
        <v>-0.1</v>
      </c>
      <c r="DN565" s="69"/>
      <c r="DO565" s="69"/>
      <c r="DP565" s="69"/>
      <c r="DQ565" s="68">
        <v>0.58</v>
      </c>
      <c r="DR565" s="69"/>
      <c r="DS565" s="69"/>
      <c r="DT565" s="69"/>
      <c r="DU565" s="69"/>
      <c r="DV565" s="97"/>
      <c r="DW565" s="10"/>
      <c r="DX565" s="81">
        <f>10^(-9)</f>
        <v>0.000000001</v>
      </c>
      <c r="DY565" s="7"/>
      <c r="DZ565" s="64" t="s">
        <v>643</v>
      </c>
      <c r="EA565" s="72" t="s">
        <v>166</v>
      </c>
      <c r="EB565" s="82"/>
    </row>
    <row r="566">
      <c r="A566" s="74" t="s">
        <v>1288</v>
      </c>
      <c r="B566" s="99" t="s">
        <v>1288</v>
      </c>
      <c r="C566" s="4"/>
      <c r="D566" s="4"/>
      <c r="E566" s="4"/>
      <c r="F566" s="57" t="s">
        <v>168</v>
      </c>
      <c r="G566" s="61">
        <v>68.9869383333333</v>
      </c>
      <c r="H566" s="61">
        <v>22.9099516666666</v>
      </c>
      <c r="I566" s="6" t="s">
        <v>199</v>
      </c>
      <c r="J566" s="60" t="s">
        <v>169</v>
      </c>
      <c r="K566" s="61">
        <v>1.698243652</v>
      </c>
      <c r="L566" s="5"/>
      <c r="M566" s="59"/>
      <c r="N566" s="61"/>
      <c r="O566" s="61"/>
      <c r="P566" s="61"/>
      <c r="Q566" s="61"/>
      <c r="R566" s="61"/>
      <c r="S566" s="60">
        <v>16.0</v>
      </c>
      <c r="T566" s="60">
        <v>0.157</v>
      </c>
      <c r="U566" s="61">
        <v>1.77</v>
      </c>
      <c r="V566" s="5"/>
      <c r="W566" s="5"/>
      <c r="X566" s="5"/>
      <c r="Y566" s="62" t="s">
        <v>248</v>
      </c>
      <c r="Z566" s="60"/>
      <c r="AA566" s="60"/>
      <c r="AB566" s="60">
        <v>11.142</v>
      </c>
      <c r="AC566" s="60">
        <v>0.022</v>
      </c>
      <c r="AD566" s="60">
        <v>10.055</v>
      </c>
      <c r="AE566" s="60">
        <v>0.022</v>
      </c>
      <c r="AF566" s="60">
        <v>9.531</v>
      </c>
      <c r="AG566" s="60">
        <v>0.02</v>
      </c>
      <c r="AH566" s="6"/>
      <c r="AI566" s="6"/>
      <c r="AJ566" s="63" t="s">
        <v>248</v>
      </c>
      <c r="AK566" s="64" t="s">
        <v>641</v>
      </c>
      <c r="AL566" s="64">
        <v>2001.0</v>
      </c>
      <c r="AM566" s="7"/>
      <c r="AN566" s="8"/>
      <c r="AO566" s="13"/>
      <c r="AP566" s="64" t="s">
        <v>1285</v>
      </c>
      <c r="AQ566" s="7"/>
      <c r="AR566" s="9"/>
      <c r="AS566" s="7"/>
      <c r="AT566" s="67">
        <v>0.23</v>
      </c>
      <c r="AU566" s="7"/>
      <c r="AV566" s="7"/>
      <c r="AW566" s="7"/>
      <c r="AX566" s="73"/>
      <c r="AY566" s="7"/>
      <c r="AZ566" s="68" t="s">
        <v>1286</v>
      </c>
      <c r="BA566" s="68" t="s">
        <v>1287</v>
      </c>
      <c r="BB566" s="68">
        <v>-48.0</v>
      </c>
      <c r="BC566" s="11"/>
      <c r="BD566" s="11"/>
      <c r="BE566" s="12"/>
      <c r="BF566" s="68">
        <v>-30.0</v>
      </c>
      <c r="BG566" s="11"/>
      <c r="BH566" s="11"/>
      <c r="BI566" s="11"/>
      <c r="BJ566" s="68">
        <v>-25.0</v>
      </c>
      <c r="BK566" s="11"/>
      <c r="BL566" s="11"/>
      <c r="BM566" s="11"/>
      <c r="BN566" s="68">
        <v>-25.0</v>
      </c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2"/>
      <c r="CM566" s="12"/>
      <c r="CN566" s="11"/>
      <c r="CO566" s="11"/>
      <c r="CP566" s="11"/>
      <c r="CQ566" s="11"/>
      <c r="CR566" s="11"/>
      <c r="CS566" s="11"/>
      <c r="CT566" s="68">
        <v>-2.2</v>
      </c>
      <c r="CU566" s="11"/>
      <c r="CV566" s="12"/>
      <c r="CW566" s="11"/>
      <c r="CX566" s="12"/>
      <c r="CY566" s="11"/>
      <c r="CZ566" s="11"/>
      <c r="DA566" s="12"/>
      <c r="DB566" s="11"/>
      <c r="DC566" s="11"/>
      <c r="DD566" s="11"/>
      <c r="DE566" s="11"/>
      <c r="DF566" s="11"/>
      <c r="DG566" s="11"/>
      <c r="DH566" s="11"/>
      <c r="DI566" s="11"/>
      <c r="DJ566" s="69"/>
      <c r="DK566" s="69"/>
      <c r="DL566" s="69"/>
      <c r="DM566" s="80">
        <v>-0.1</v>
      </c>
      <c r="DN566" s="69"/>
      <c r="DO566" s="69"/>
      <c r="DP566" s="69"/>
      <c r="DQ566" s="68">
        <v>0.6</v>
      </c>
      <c r="DR566" s="69"/>
      <c r="DS566" s="69"/>
      <c r="DT566" s="69"/>
      <c r="DU566" s="69"/>
      <c r="DV566" s="73"/>
      <c r="DW566" s="10"/>
      <c r="DX566" s="71">
        <v>2.0E-9</v>
      </c>
      <c r="DY566" s="7"/>
      <c r="DZ566" s="64" t="s">
        <v>643</v>
      </c>
      <c r="EA566" s="72" t="s">
        <v>166</v>
      </c>
      <c r="EB566" s="82" t="s">
        <v>599</v>
      </c>
    </row>
    <row r="567">
      <c r="A567" s="107" t="s">
        <v>1289</v>
      </c>
      <c r="B567" s="99" t="s">
        <v>1290</v>
      </c>
      <c r="C567" s="4"/>
      <c r="D567" s="4"/>
      <c r="E567" s="4"/>
      <c r="F567" s="57" t="s">
        <v>168</v>
      </c>
      <c r="G567" s="61">
        <v>67.9005816666666</v>
      </c>
      <c r="H567" s="61">
        <v>18.2286599999999</v>
      </c>
      <c r="I567" s="6" t="s">
        <v>199</v>
      </c>
      <c r="J567" s="6" t="s">
        <v>169</v>
      </c>
      <c r="K567" s="61">
        <v>0.1</v>
      </c>
      <c r="L567" s="5"/>
      <c r="M567" s="59">
        <v>2.0</v>
      </c>
      <c r="N567" s="61">
        <v>102.600933668496</v>
      </c>
      <c r="O567" s="61">
        <v>11.776</v>
      </c>
      <c r="P567" s="61">
        <v>1.07</v>
      </c>
      <c r="Q567" s="61">
        <v>-17.996</v>
      </c>
      <c r="R567" s="61">
        <v>0.569</v>
      </c>
      <c r="S567" s="60"/>
      <c r="T567" s="60"/>
      <c r="U567" s="61">
        <v>13.6</v>
      </c>
      <c r="V567" s="5"/>
      <c r="W567" s="5"/>
      <c r="X567" s="5"/>
      <c r="Y567" s="62" t="s">
        <v>248</v>
      </c>
      <c r="Z567" s="60"/>
      <c r="AA567" s="60"/>
      <c r="AB567" s="60">
        <v>12.79</v>
      </c>
      <c r="AC567" s="60">
        <v>0.03</v>
      </c>
      <c r="AD567" s="60">
        <v>10.922</v>
      </c>
      <c r="AE567" s="60">
        <v>0.029</v>
      </c>
      <c r="AF567" s="60">
        <v>9.687</v>
      </c>
      <c r="AG567" s="60">
        <v>0.021</v>
      </c>
      <c r="AH567" s="6"/>
      <c r="AI567" s="6"/>
      <c r="AJ567" s="63" t="s">
        <v>248</v>
      </c>
      <c r="AK567" s="64" t="s">
        <v>641</v>
      </c>
      <c r="AL567" s="64">
        <v>2001.0</v>
      </c>
      <c r="AM567" s="7"/>
      <c r="AN567" s="8"/>
      <c r="AO567" s="13"/>
      <c r="AP567" s="64" t="s">
        <v>434</v>
      </c>
      <c r="AQ567" s="7"/>
      <c r="AR567" s="9"/>
      <c r="AS567" s="7"/>
      <c r="AT567" s="67">
        <v>0.23</v>
      </c>
      <c r="AU567" s="7"/>
      <c r="AV567" s="7"/>
      <c r="AW567" s="7"/>
      <c r="AX567" s="73"/>
      <c r="AY567" s="7"/>
      <c r="AZ567" s="68" t="s">
        <v>1286</v>
      </c>
      <c r="BA567" s="68" t="s">
        <v>1287</v>
      </c>
      <c r="BB567" s="68">
        <v>-63.0</v>
      </c>
      <c r="BC567" s="11"/>
      <c r="BD567" s="11"/>
      <c r="BE567" s="12"/>
      <c r="BF567" s="68">
        <v>-22.0</v>
      </c>
      <c r="BG567" s="11"/>
      <c r="BH567" s="11"/>
      <c r="BI567" s="11"/>
      <c r="BJ567" s="68"/>
      <c r="BK567" s="11"/>
      <c r="BL567" s="11"/>
      <c r="BM567" s="11"/>
      <c r="BN567" s="68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2"/>
      <c r="CM567" s="12"/>
      <c r="CN567" s="11"/>
      <c r="CO567" s="11"/>
      <c r="CP567" s="11"/>
      <c r="CQ567" s="11"/>
      <c r="CR567" s="11"/>
      <c r="CS567" s="11"/>
      <c r="CT567" s="68">
        <v>-1.9</v>
      </c>
      <c r="CU567" s="11"/>
      <c r="CV567" s="12"/>
      <c r="CW567" s="11"/>
      <c r="CX567" s="12"/>
      <c r="CY567" s="11"/>
      <c r="CZ567" s="11"/>
      <c r="DA567" s="12"/>
      <c r="DB567" s="11"/>
      <c r="DC567" s="11"/>
      <c r="DD567" s="11"/>
      <c r="DE567" s="11"/>
      <c r="DF567" s="11"/>
      <c r="DG567" s="11"/>
      <c r="DH567" s="11"/>
      <c r="DI567" s="11"/>
      <c r="DJ567" s="69"/>
      <c r="DK567" s="69"/>
      <c r="DL567" s="69"/>
      <c r="DM567" s="80">
        <v>-5.1</v>
      </c>
      <c r="DN567" s="69"/>
      <c r="DO567" s="69"/>
      <c r="DP567" s="69"/>
      <c r="DQ567" s="68">
        <v>0.4</v>
      </c>
      <c r="DR567" s="69"/>
      <c r="DS567" s="69"/>
      <c r="DT567" s="69"/>
      <c r="DU567" s="69"/>
      <c r="DV567" s="73"/>
      <c r="DW567" s="10"/>
      <c r="DX567" s="71">
        <v>3.16E-9</v>
      </c>
      <c r="DY567" s="7"/>
      <c r="DZ567" s="64" t="s">
        <v>643</v>
      </c>
      <c r="EA567" s="72" t="s">
        <v>166</v>
      </c>
      <c r="EB567" s="82"/>
    </row>
    <row r="568">
      <c r="A568" s="107" t="s">
        <v>1289</v>
      </c>
      <c r="B568" s="99" t="s">
        <v>1290</v>
      </c>
      <c r="C568" s="4"/>
      <c r="D568" s="4"/>
      <c r="E568" s="4"/>
      <c r="F568" s="57" t="s">
        <v>168</v>
      </c>
      <c r="G568" s="61">
        <v>67.9005816666666</v>
      </c>
      <c r="H568" s="61">
        <v>18.2286599999999</v>
      </c>
      <c r="I568" s="6" t="s">
        <v>199</v>
      </c>
      <c r="J568" s="6" t="s">
        <v>169</v>
      </c>
      <c r="K568" s="61">
        <v>0.1</v>
      </c>
      <c r="L568" s="5"/>
      <c r="M568" s="59">
        <v>2.0</v>
      </c>
      <c r="N568" s="61">
        <v>102.600933668496</v>
      </c>
      <c r="O568" s="61">
        <v>11.776</v>
      </c>
      <c r="P568" s="61">
        <v>1.07</v>
      </c>
      <c r="Q568" s="61">
        <v>-17.996</v>
      </c>
      <c r="R568" s="61">
        <v>0.569</v>
      </c>
      <c r="S568" s="60"/>
      <c r="T568" s="60"/>
      <c r="U568" s="61">
        <v>13.6</v>
      </c>
      <c r="V568" s="5"/>
      <c r="W568" s="5"/>
      <c r="X568" s="5"/>
      <c r="Y568" s="62" t="s">
        <v>248</v>
      </c>
      <c r="Z568" s="60"/>
      <c r="AA568" s="60"/>
      <c r="AB568" s="60">
        <v>12.79</v>
      </c>
      <c r="AC568" s="60">
        <v>0.03</v>
      </c>
      <c r="AD568" s="60">
        <v>10.922</v>
      </c>
      <c r="AE568" s="60">
        <v>0.029</v>
      </c>
      <c r="AF568" s="60">
        <v>9.687</v>
      </c>
      <c r="AG568" s="60">
        <v>0.021</v>
      </c>
      <c r="AH568" s="6"/>
      <c r="AI568" s="6"/>
      <c r="AJ568" s="63" t="s">
        <v>248</v>
      </c>
      <c r="AK568" s="64" t="s">
        <v>202</v>
      </c>
      <c r="AL568" s="64">
        <v>2000.0</v>
      </c>
      <c r="AM568" s="7"/>
      <c r="AN568" s="8"/>
      <c r="AO568" s="13"/>
      <c r="AP568" s="64" t="s">
        <v>434</v>
      </c>
      <c r="AQ568" s="7"/>
      <c r="AR568" s="9"/>
      <c r="AS568" s="7"/>
      <c r="AT568" s="67">
        <v>0.23</v>
      </c>
      <c r="AU568" s="7"/>
      <c r="AV568" s="13"/>
      <c r="AW568" s="7"/>
      <c r="AX568" s="73"/>
      <c r="AY568" s="7"/>
      <c r="AZ568" s="68" t="s">
        <v>1286</v>
      </c>
      <c r="BA568" s="68" t="s">
        <v>1287</v>
      </c>
      <c r="BB568" s="68">
        <v>-62.0</v>
      </c>
      <c r="BC568" s="11"/>
      <c r="BD568" s="11"/>
      <c r="BE568" s="11"/>
      <c r="BF568" s="68"/>
      <c r="BG568" s="11"/>
      <c r="BH568" s="11"/>
      <c r="BI568" s="11"/>
      <c r="BJ568" s="68"/>
      <c r="BK568" s="11"/>
      <c r="BL568" s="11"/>
      <c r="BM568" s="11"/>
      <c r="BN568" s="68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68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2"/>
      <c r="DK568" s="12"/>
      <c r="DL568" s="12"/>
      <c r="DM568" s="80">
        <v>-7.8</v>
      </c>
      <c r="DN568" s="69"/>
      <c r="DO568" s="69"/>
      <c r="DP568" s="69"/>
      <c r="DQ568" s="68">
        <v>0.58</v>
      </c>
      <c r="DR568" s="69"/>
      <c r="DS568" s="69"/>
      <c r="DT568" s="69"/>
      <c r="DU568" s="69"/>
      <c r="DV568" s="97"/>
      <c r="DW568" s="10"/>
      <c r="DX568" s="81">
        <f>10^(-8.5)</f>
        <v>0.00000000316227766</v>
      </c>
      <c r="DY568" s="7"/>
      <c r="DZ568" s="64" t="s">
        <v>643</v>
      </c>
      <c r="EA568" s="72" t="s">
        <v>166</v>
      </c>
      <c r="EB568" s="82"/>
    </row>
    <row r="569">
      <c r="A569" s="167" t="s">
        <v>1291</v>
      </c>
      <c r="B569" s="74" t="s">
        <v>1291</v>
      </c>
      <c r="C569" s="3"/>
      <c r="D569" s="4"/>
      <c r="E569" s="4"/>
      <c r="F569" s="57" t="s">
        <v>168</v>
      </c>
      <c r="G569" s="61">
        <v>236.531369</v>
      </c>
      <c r="H569" s="61">
        <v>-62.967846</v>
      </c>
      <c r="I569" s="60" t="s">
        <v>1292</v>
      </c>
      <c r="J569" s="60"/>
      <c r="K569" s="61">
        <v>55.0</v>
      </c>
      <c r="L569" s="60"/>
      <c r="M569" s="60">
        <v>2.0</v>
      </c>
      <c r="N569" s="61">
        <v>59.2</v>
      </c>
      <c r="O569" s="61">
        <v>-42.681</v>
      </c>
      <c r="P569" s="61">
        <v>0.097</v>
      </c>
      <c r="Q569" s="61">
        <v>-61.538</v>
      </c>
      <c r="R569" s="61">
        <v>0.098</v>
      </c>
      <c r="S569" s="60">
        <v>-4.4</v>
      </c>
      <c r="T569" s="60">
        <v>0.9</v>
      </c>
      <c r="U569" s="58"/>
      <c r="V569" s="5"/>
      <c r="W569" s="5"/>
      <c r="X569" s="5"/>
      <c r="Y569" s="166"/>
      <c r="Z569" s="60"/>
      <c r="AA569" s="60"/>
      <c r="AB569" s="60">
        <v>11.247</v>
      </c>
      <c r="AC569" s="60">
        <v>0.026</v>
      </c>
      <c r="AD569" s="60">
        <v>10.64</v>
      </c>
      <c r="AE569" s="60">
        <v>0.022</v>
      </c>
      <c r="AF569" s="60">
        <v>10.202</v>
      </c>
      <c r="AG569" s="60">
        <v>0.021</v>
      </c>
      <c r="AH569" s="60"/>
      <c r="AI569" s="60"/>
      <c r="AJ569" s="76" t="s">
        <v>1293</v>
      </c>
      <c r="AK569" s="64" t="s">
        <v>650</v>
      </c>
      <c r="AL569" s="70">
        <v>2018.0</v>
      </c>
      <c r="AM569" s="7"/>
      <c r="AN569" s="77">
        <v>59.2</v>
      </c>
      <c r="AO569" s="64">
        <v>0.3</v>
      </c>
      <c r="AP569" s="64" t="s">
        <v>371</v>
      </c>
      <c r="AQ569" s="13"/>
      <c r="AR569" s="66">
        <v>2940.0</v>
      </c>
      <c r="AS569" s="97"/>
      <c r="AT569" s="67">
        <v>0.11</v>
      </c>
      <c r="AU569" s="70"/>
      <c r="AV569" s="64">
        <v>0.014</v>
      </c>
      <c r="AW569" s="13"/>
      <c r="AX569" s="70">
        <v>0.461</v>
      </c>
      <c r="AY569" s="73"/>
      <c r="AZ569" s="68" t="s">
        <v>162</v>
      </c>
      <c r="BA569" s="68" t="s">
        <v>1294</v>
      </c>
      <c r="BB569" s="68">
        <v>-210.0</v>
      </c>
      <c r="BC569" s="68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68">
        <v>-1.6</v>
      </c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2"/>
      <c r="DK569" s="12"/>
      <c r="DL569" s="12"/>
      <c r="DM569" s="69"/>
      <c r="DN569" s="69"/>
      <c r="DO569" s="69"/>
      <c r="DP569" s="69"/>
      <c r="DQ569" s="68">
        <v>0.43</v>
      </c>
      <c r="DR569" s="69"/>
      <c r="DS569" s="69"/>
      <c r="DT569" s="69"/>
      <c r="DU569" s="69"/>
      <c r="DV569" s="97"/>
      <c r="DW569" s="98"/>
      <c r="DX569" s="71">
        <v>1.3E-10</v>
      </c>
      <c r="DY569" s="114"/>
      <c r="DZ569" s="64" t="s">
        <v>269</v>
      </c>
      <c r="EA569" s="72"/>
      <c r="EB569" s="82"/>
    </row>
    <row r="570">
      <c r="A570" s="74" t="s">
        <v>601</v>
      </c>
      <c r="B570" s="56" t="s">
        <v>602</v>
      </c>
      <c r="C570" s="3" t="s">
        <v>156</v>
      </c>
      <c r="D570" s="57">
        <v>1.77</v>
      </c>
      <c r="E570" s="4"/>
      <c r="F570" s="57" t="s">
        <v>157</v>
      </c>
      <c r="G570" s="60">
        <v>51.8958</v>
      </c>
      <c r="H570" s="60">
        <v>-55.2656</v>
      </c>
      <c r="I570" s="115" t="s">
        <v>603</v>
      </c>
      <c r="J570" s="5"/>
      <c r="K570" s="60">
        <v>30.0</v>
      </c>
      <c r="L570" s="60"/>
      <c r="M570" s="60"/>
      <c r="N570" s="6"/>
      <c r="O570" s="60">
        <v>100.2</v>
      </c>
      <c r="P570" s="60">
        <v>2.0</v>
      </c>
      <c r="Q570" s="60">
        <v>-47.0</v>
      </c>
      <c r="R570" s="60">
        <v>2.4</v>
      </c>
      <c r="S570" s="60">
        <v>4.0</v>
      </c>
      <c r="T570" s="60">
        <v>2.0</v>
      </c>
      <c r="U570" s="60">
        <v>0.0582</v>
      </c>
      <c r="V570" s="5"/>
      <c r="W570" s="5"/>
      <c r="X570" s="5"/>
      <c r="Y570" s="83" t="s">
        <v>604</v>
      </c>
      <c r="Z570" s="5"/>
      <c r="AA570" s="5"/>
      <c r="AB570" s="60">
        <v>15.4</v>
      </c>
      <c r="AC570" s="60">
        <v>0.3</v>
      </c>
      <c r="AD570" s="60">
        <v>14.2</v>
      </c>
      <c r="AE570" s="60">
        <v>0.2</v>
      </c>
      <c r="AF570" s="60">
        <v>13.6</v>
      </c>
      <c r="AG570" s="60">
        <v>0.2</v>
      </c>
      <c r="AH570" s="6"/>
      <c r="AI570" s="5"/>
      <c r="AJ570" s="76" t="s">
        <v>605</v>
      </c>
      <c r="AK570" s="13" t="s">
        <v>595</v>
      </c>
      <c r="AL570" s="64">
        <v>2018.0</v>
      </c>
      <c r="AM570" s="7"/>
      <c r="AN570" s="77">
        <v>47.2</v>
      </c>
      <c r="AO570" s="64">
        <v>3.1</v>
      </c>
      <c r="AP570" s="7" t="s">
        <v>193</v>
      </c>
      <c r="AQ570" s="7"/>
      <c r="AR570" s="116">
        <v>1801.0</v>
      </c>
      <c r="AS570" s="7"/>
      <c r="AT570" s="67">
        <v>0.012</v>
      </c>
      <c r="AU570" s="7"/>
      <c r="AV570" s="13">
        <v>2.6302679918953814E-4</v>
      </c>
      <c r="AW570" s="7"/>
      <c r="AX570" s="73">
        <v>0.163</v>
      </c>
      <c r="AY570" s="7"/>
      <c r="AZ570" s="68" t="s">
        <v>162</v>
      </c>
      <c r="BA570" s="118" t="s">
        <v>1295</v>
      </c>
      <c r="BB570" s="68">
        <v>-135.0</v>
      </c>
      <c r="BC570" s="68">
        <v>5.0</v>
      </c>
      <c r="BD570" s="80">
        <v>1.28E-15</v>
      </c>
      <c r="BE570" s="80">
        <v>7.0E-17</v>
      </c>
      <c r="BF570" s="11"/>
      <c r="BG570" s="11"/>
      <c r="BH570" s="80">
        <v>1.39E-16</v>
      </c>
      <c r="BI570" s="80">
        <v>1.0E-17</v>
      </c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68">
        <v>-1.9</v>
      </c>
      <c r="CY570" s="68">
        <v>0.2</v>
      </c>
      <c r="CZ570" s="80">
        <v>1.8E-17</v>
      </c>
      <c r="DA570" s="80">
        <v>3.0E-18</v>
      </c>
      <c r="DB570" s="68">
        <v>-1.0</v>
      </c>
      <c r="DC570" s="68">
        <v>0.1</v>
      </c>
      <c r="DD570" s="80">
        <v>1.5E-17</v>
      </c>
      <c r="DE570" s="80">
        <v>4.0E-18</v>
      </c>
      <c r="DF570" s="11"/>
      <c r="DG570" s="11"/>
      <c r="DH570" s="11"/>
      <c r="DI570" s="11"/>
      <c r="DJ570" s="11"/>
      <c r="DK570" s="11"/>
      <c r="DL570" s="11"/>
      <c r="DM570" s="12"/>
      <c r="DN570" s="12"/>
      <c r="DO570" s="12"/>
      <c r="DP570" s="12"/>
      <c r="DQ570" s="11"/>
      <c r="DR570" s="12"/>
      <c r="DS570" s="12"/>
      <c r="DT570" s="12"/>
      <c r="DU570" s="12"/>
      <c r="DV570" s="64">
        <v>-6.55</v>
      </c>
      <c r="DW570" s="98">
        <v>0.37</v>
      </c>
      <c r="DX570" s="81">
        <v>1.699656982032162E-7</v>
      </c>
      <c r="DY570" s="114"/>
      <c r="DZ570" s="114" t="s">
        <v>476</v>
      </c>
      <c r="EA570" s="64" t="s">
        <v>722</v>
      </c>
      <c r="EB570" s="7"/>
    </row>
    <row r="571">
      <c r="A571" s="74" t="s">
        <v>185</v>
      </c>
      <c r="B571" s="56" t="s">
        <v>186</v>
      </c>
      <c r="C571" s="3" t="s">
        <v>156</v>
      </c>
      <c r="D571" s="57">
        <v>8.7</v>
      </c>
      <c r="E571" s="4"/>
      <c r="F571" s="57" t="s">
        <v>187</v>
      </c>
      <c r="G571" s="58">
        <v>246.8333</v>
      </c>
      <c r="H571" s="58">
        <v>-24.5831</v>
      </c>
      <c r="I571" s="6" t="s">
        <v>158</v>
      </c>
      <c r="J571" s="6" t="s">
        <v>189</v>
      </c>
      <c r="K571" s="58">
        <v>1.0</v>
      </c>
      <c r="L571" s="5"/>
      <c r="M571" s="5"/>
      <c r="N571" s="60"/>
      <c r="O571" s="60">
        <v>-5.9</v>
      </c>
      <c r="P571" s="60">
        <v>0.5</v>
      </c>
      <c r="Q571" s="60">
        <v>-24.4</v>
      </c>
      <c r="R571" s="60">
        <v>0.4</v>
      </c>
      <c r="S571" s="5"/>
      <c r="T571" s="5"/>
      <c r="U571" s="58">
        <v>1.77</v>
      </c>
      <c r="V571" s="58">
        <v>0.71</v>
      </c>
      <c r="W571" s="5"/>
      <c r="X571" s="5"/>
      <c r="Y571" s="75" t="s">
        <v>190</v>
      </c>
      <c r="Z571" s="5"/>
      <c r="AA571" s="6"/>
      <c r="AB571" s="60">
        <v>16.069</v>
      </c>
      <c r="AC571" s="60">
        <v>0.01</v>
      </c>
      <c r="AD571" s="61">
        <v>15.321</v>
      </c>
      <c r="AE571" s="61">
        <v>0.09</v>
      </c>
      <c r="AF571" s="59">
        <v>14.57</v>
      </c>
      <c r="AG571" s="60">
        <v>0.009</v>
      </c>
      <c r="AH571" s="6"/>
      <c r="AI571" s="6"/>
      <c r="AJ571" s="76" t="s">
        <v>191</v>
      </c>
      <c r="AK571" s="64" t="s">
        <v>192</v>
      </c>
      <c r="AL571" s="64">
        <v>2016.0</v>
      </c>
      <c r="AM571" s="64">
        <v>4.0</v>
      </c>
      <c r="AN571" s="77">
        <v>125.0</v>
      </c>
      <c r="AO571" s="64">
        <v>25.0</v>
      </c>
      <c r="AP571" s="13" t="s">
        <v>193</v>
      </c>
      <c r="AQ571" s="64">
        <v>1.0</v>
      </c>
      <c r="AR571" s="78">
        <v>2600.0</v>
      </c>
      <c r="AS571" s="64">
        <v>100.0</v>
      </c>
      <c r="AT571" s="79">
        <v>0.013</v>
      </c>
      <c r="AU571" s="64">
        <v>0.007</v>
      </c>
      <c r="AV571" s="13"/>
      <c r="AW571" s="7"/>
      <c r="AX571" s="73">
        <v>0.19</v>
      </c>
      <c r="AY571" s="7"/>
      <c r="AZ571" s="11" t="s">
        <v>162</v>
      </c>
      <c r="BA571" s="68" t="s">
        <v>1295</v>
      </c>
      <c r="BB571" s="68">
        <v>-57.39</v>
      </c>
      <c r="BC571" s="68">
        <v>17.71</v>
      </c>
      <c r="BD571" s="80">
        <v>1.34E-15</v>
      </c>
      <c r="BE571" s="80">
        <v>5.0E-17</v>
      </c>
      <c r="BF571" s="68">
        <v>-46.9</v>
      </c>
      <c r="BG571" s="68">
        <v>4.21</v>
      </c>
      <c r="BH571" s="80">
        <v>2.19E-16</v>
      </c>
      <c r="BI571" s="80">
        <v>3.0E-18</v>
      </c>
      <c r="BJ571" s="68">
        <v>-23.06</v>
      </c>
      <c r="BK571" s="68">
        <v>2.28</v>
      </c>
      <c r="BL571" s="80">
        <v>6.57E-16</v>
      </c>
      <c r="BM571" s="80">
        <v>4.0E-18</v>
      </c>
      <c r="BN571" s="11"/>
      <c r="BO571" s="11"/>
      <c r="BP571" s="11"/>
      <c r="BQ571" s="11"/>
      <c r="BR571" s="11"/>
      <c r="BS571" s="11"/>
      <c r="BT571" s="11"/>
      <c r="BU571" s="11"/>
      <c r="BV571" s="68">
        <v>-9.37</v>
      </c>
      <c r="BW571" s="68">
        <v>0.44</v>
      </c>
      <c r="BX571" s="80">
        <v>8.93E-17</v>
      </c>
      <c r="BY571" s="80">
        <v>1.2E-18</v>
      </c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2"/>
      <c r="DK571" s="12"/>
      <c r="DL571" s="12"/>
      <c r="DM571" s="69"/>
      <c r="DN571" s="69"/>
      <c r="DO571" s="69"/>
      <c r="DP571" s="69"/>
      <c r="DQ571" s="11"/>
      <c r="DR571" s="68">
        <v>-6.97</v>
      </c>
      <c r="DS571" s="68">
        <v>0.5</v>
      </c>
      <c r="DT571" s="80">
        <v>1.61E-16</v>
      </c>
      <c r="DU571" s="80">
        <v>1.29E-16</v>
      </c>
      <c r="DV571" s="97">
        <v>-6.89279003</v>
      </c>
      <c r="DW571" s="10">
        <f>log10(0.000000036)</f>
        <v>-7.443697499</v>
      </c>
      <c r="DX571" s="81">
        <v>5.99E-13</v>
      </c>
      <c r="DY571" s="114">
        <v>5.99E-13</v>
      </c>
      <c r="DZ571" s="64" t="s">
        <v>352</v>
      </c>
      <c r="EA571" s="82"/>
      <c r="EB571" s="82" t="s">
        <v>196</v>
      </c>
    </row>
    <row r="572">
      <c r="A572" s="74" t="s">
        <v>601</v>
      </c>
      <c r="B572" s="56" t="s">
        <v>602</v>
      </c>
      <c r="C572" s="3" t="s">
        <v>156</v>
      </c>
      <c r="D572" s="57">
        <v>1.77</v>
      </c>
      <c r="E572" s="4"/>
      <c r="F572" s="57" t="s">
        <v>157</v>
      </c>
      <c r="G572" s="60">
        <v>51.8958</v>
      </c>
      <c r="H572" s="60">
        <v>-55.2656</v>
      </c>
      <c r="I572" s="115" t="s">
        <v>603</v>
      </c>
      <c r="J572" s="5"/>
      <c r="K572" s="60">
        <v>30.0</v>
      </c>
      <c r="L572" s="60"/>
      <c r="M572" s="60"/>
      <c r="N572" s="6"/>
      <c r="O572" s="60">
        <v>100.2</v>
      </c>
      <c r="P572" s="60">
        <v>2.0</v>
      </c>
      <c r="Q572" s="60">
        <v>-47.0</v>
      </c>
      <c r="R572" s="60">
        <v>2.4</v>
      </c>
      <c r="S572" s="60">
        <v>4.0</v>
      </c>
      <c r="T572" s="60">
        <v>2.0</v>
      </c>
      <c r="U572" s="60">
        <v>0.0582</v>
      </c>
      <c r="V572" s="5"/>
      <c r="W572" s="5"/>
      <c r="X572" s="5"/>
      <c r="Y572" s="83" t="s">
        <v>604</v>
      </c>
      <c r="Z572" s="5"/>
      <c r="AA572" s="5"/>
      <c r="AB572" s="60">
        <v>15.4</v>
      </c>
      <c r="AC572" s="60">
        <v>0.3</v>
      </c>
      <c r="AD572" s="60">
        <v>14.2</v>
      </c>
      <c r="AE572" s="60">
        <v>0.2</v>
      </c>
      <c r="AF572" s="60">
        <v>13.6</v>
      </c>
      <c r="AG572" s="60">
        <v>0.2</v>
      </c>
      <c r="AH572" s="6"/>
      <c r="AI572" s="5"/>
      <c r="AJ572" s="76" t="s">
        <v>605</v>
      </c>
      <c r="AK572" s="13" t="s">
        <v>595</v>
      </c>
      <c r="AL572" s="64">
        <v>2018.0</v>
      </c>
      <c r="AM572" s="7"/>
      <c r="AN572" s="77">
        <v>47.2</v>
      </c>
      <c r="AO572" s="64">
        <v>3.1</v>
      </c>
      <c r="AP572" s="7" t="s">
        <v>193</v>
      </c>
      <c r="AQ572" s="7"/>
      <c r="AR572" s="116">
        <v>1801.0</v>
      </c>
      <c r="AS572" s="7"/>
      <c r="AT572" s="67">
        <v>0.012</v>
      </c>
      <c r="AU572" s="7"/>
      <c r="AV572" s="13">
        <v>2.6302679918953814E-4</v>
      </c>
      <c r="AW572" s="7"/>
      <c r="AX572" s="73">
        <v>0.163</v>
      </c>
      <c r="AY572" s="7"/>
      <c r="AZ572" s="68" t="s">
        <v>162</v>
      </c>
      <c r="BA572" s="118" t="s">
        <v>1296</v>
      </c>
      <c r="BB572" s="68">
        <v>-135.0</v>
      </c>
      <c r="BC572" s="68">
        <v>5.0</v>
      </c>
      <c r="BD572" s="80">
        <v>1.28E-15</v>
      </c>
      <c r="BE572" s="80">
        <v>7.0E-17</v>
      </c>
      <c r="BF572" s="11"/>
      <c r="BG572" s="11"/>
      <c r="BH572" s="80">
        <v>1.39E-16</v>
      </c>
      <c r="BI572" s="80">
        <v>1.0E-17</v>
      </c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68">
        <v>-1.9</v>
      </c>
      <c r="CY572" s="68">
        <v>0.2</v>
      </c>
      <c r="CZ572" s="80">
        <v>1.8E-17</v>
      </c>
      <c r="DA572" s="80">
        <v>3.0E-18</v>
      </c>
      <c r="DB572" s="68">
        <v>-1.0</v>
      </c>
      <c r="DC572" s="68">
        <v>0.1</v>
      </c>
      <c r="DD572" s="80">
        <v>1.5E-17</v>
      </c>
      <c r="DE572" s="80">
        <v>4.0E-18</v>
      </c>
      <c r="DF572" s="11"/>
      <c r="DG572" s="11"/>
      <c r="DH572" s="11"/>
      <c r="DI572" s="11"/>
      <c r="DJ572" s="11"/>
      <c r="DK572" s="11"/>
      <c r="DL572" s="11"/>
      <c r="DM572" s="69"/>
      <c r="DN572" s="69"/>
      <c r="DO572" s="69"/>
      <c r="DP572" s="69"/>
      <c r="DQ572" s="11"/>
      <c r="DR572" s="69"/>
      <c r="DS572" s="69"/>
      <c r="DT572" s="69"/>
      <c r="DU572" s="69"/>
      <c r="DV572" s="64">
        <v>-6.43</v>
      </c>
      <c r="DW572" s="98">
        <v>0.41</v>
      </c>
      <c r="DX572" s="81">
        <v>2.2405842697983397E-7</v>
      </c>
      <c r="DY572" s="114"/>
      <c r="DZ572" s="114" t="s">
        <v>476</v>
      </c>
      <c r="EA572" s="64" t="s">
        <v>722</v>
      </c>
      <c r="EB572" s="7"/>
    </row>
    <row r="573">
      <c r="A573" s="74" t="s">
        <v>601</v>
      </c>
      <c r="B573" s="56" t="s">
        <v>602</v>
      </c>
      <c r="C573" s="3" t="s">
        <v>156</v>
      </c>
      <c r="D573" s="57">
        <v>1.77</v>
      </c>
      <c r="E573" s="4"/>
      <c r="F573" s="57" t="s">
        <v>157</v>
      </c>
      <c r="G573" s="60">
        <v>51.8958</v>
      </c>
      <c r="H573" s="60">
        <v>-55.2656</v>
      </c>
      <c r="I573" s="115" t="s">
        <v>603</v>
      </c>
      <c r="J573" s="5"/>
      <c r="K573" s="60">
        <v>30.0</v>
      </c>
      <c r="L573" s="60"/>
      <c r="M573" s="60"/>
      <c r="N573" s="6"/>
      <c r="O573" s="60">
        <v>100.2</v>
      </c>
      <c r="P573" s="60">
        <v>2.0</v>
      </c>
      <c r="Q573" s="60">
        <v>-47.0</v>
      </c>
      <c r="R573" s="60">
        <v>2.4</v>
      </c>
      <c r="S573" s="60">
        <v>4.0</v>
      </c>
      <c r="T573" s="60">
        <v>2.0</v>
      </c>
      <c r="U573" s="60">
        <v>0.0582</v>
      </c>
      <c r="V573" s="5"/>
      <c r="W573" s="5"/>
      <c r="X573" s="5"/>
      <c r="Y573" s="83" t="s">
        <v>604</v>
      </c>
      <c r="Z573" s="5"/>
      <c r="AA573" s="5"/>
      <c r="AB573" s="60">
        <v>15.4</v>
      </c>
      <c r="AC573" s="60">
        <v>0.3</v>
      </c>
      <c r="AD573" s="60">
        <v>14.2</v>
      </c>
      <c r="AE573" s="60">
        <v>0.2</v>
      </c>
      <c r="AF573" s="60">
        <v>13.6</v>
      </c>
      <c r="AG573" s="60">
        <v>0.2</v>
      </c>
      <c r="AH573" s="6"/>
      <c r="AI573" s="5"/>
      <c r="AJ573" s="76" t="s">
        <v>605</v>
      </c>
      <c r="AK573" s="13" t="s">
        <v>595</v>
      </c>
      <c r="AL573" s="64">
        <v>2018.0</v>
      </c>
      <c r="AM573" s="7"/>
      <c r="AN573" s="77">
        <v>47.2</v>
      </c>
      <c r="AO573" s="64">
        <v>3.1</v>
      </c>
      <c r="AP573" s="7" t="s">
        <v>193</v>
      </c>
      <c r="AQ573" s="7"/>
      <c r="AR573" s="116">
        <v>1801.0</v>
      </c>
      <c r="AS573" s="7"/>
      <c r="AT573" s="67">
        <v>0.012</v>
      </c>
      <c r="AU573" s="7"/>
      <c r="AV573" s="13">
        <v>2.6302679918953814E-4</v>
      </c>
      <c r="AW573" s="7"/>
      <c r="AX573" s="73">
        <v>0.163</v>
      </c>
      <c r="AY573" s="7"/>
      <c r="AZ573" s="68" t="s">
        <v>162</v>
      </c>
      <c r="BA573" s="68" t="s">
        <v>1297</v>
      </c>
      <c r="BB573" s="68">
        <v>-135.0</v>
      </c>
      <c r="BC573" s="68">
        <v>5.0</v>
      </c>
      <c r="BD573" s="80">
        <v>1.28E-15</v>
      </c>
      <c r="BE573" s="80">
        <v>7.0E-17</v>
      </c>
      <c r="BF573" s="11"/>
      <c r="BG573" s="11"/>
      <c r="BH573" s="80">
        <v>1.39E-16</v>
      </c>
      <c r="BI573" s="80">
        <v>1.0E-17</v>
      </c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68">
        <v>-1.9</v>
      </c>
      <c r="CY573" s="68">
        <v>0.2</v>
      </c>
      <c r="CZ573" s="80">
        <v>1.8E-17</v>
      </c>
      <c r="DA573" s="80">
        <v>3.0E-18</v>
      </c>
      <c r="DB573" s="68">
        <v>-1.0</v>
      </c>
      <c r="DC573" s="68">
        <v>0.1</v>
      </c>
      <c r="DD573" s="80">
        <v>1.5E-17</v>
      </c>
      <c r="DE573" s="80">
        <v>4.0E-18</v>
      </c>
      <c r="DF573" s="11"/>
      <c r="DG573" s="11"/>
      <c r="DH573" s="11"/>
      <c r="DI573" s="11"/>
      <c r="DJ573" s="11"/>
      <c r="DK573" s="11"/>
      <c r="DL573" s="11"/>
      <c r="DM573" s="12"/>
      <c r="DN573" s="12"/>
      <c r="DO573" s="12"/>
      <c r="DP573" s="12"/>
      <c r="DQ573" s="11"/>
      <c r="DR573" s="12"/>
      <c r="DS573" s="12"/>
      <c r="DT573" s="12"/>
      <c r="DU573" s="12"/>
      <c r="DV573" s="64">
        <v>-6.13</v>
      </c>
      <c r="DW573" s="98">
        <v>0.56</v>
      </c>
      <c r="DX573" s="81">
        <v>4.470553357040699E-7</v>
      </c>
      <c r="DY573" s="114"/>
      <c r="DZ573" s="114" t="s">
        <v>476</v>
      </c>
      <c r="EA573" s="64" t="s">
        <v>722</v>
      </c>
      <c r="EB573" s="7"/>
    </row>
    <row r="574">
      <c r="A574" s="74" t="s">
        <v>185</v>
      </c>
      <c r="B574" s="56" t="s">
        <v>186</v>
      </c>
      <c r="C574" s="3" t="s">
        <v>156</v>
      </c>
      <c r="D574" s="57">
        <v>8.7</v>
      </c>
      <c r="E574" s="4"/>
      <c r="F574" s="57" t="s">
        <v>187</v>
      </c>
      <c r="G574" s="58">
        <v>246.8333</v>
      </c>
      <c r="H574" s="58">
        <v>-24.5831</v>
      </c>
      <c r="I574" s="6" t="s">
        <v>158</v>
      </c>
      <c r="J574" s="6" t="s">
        <v>189</v>
      </c>
      <c r="K574" s="58">
        <v>1.0</v>
      </c>
      <c r="L574" s="5"/>
      <c r="M574" s="5"/>
      <c r="N574" s="60"/>
      <c r="O574" s="60">
        <v>-5.9</v>
      </c>
      <c r="P574" s="60">
        <v>0.5</v>
      </c>
      <c r="Q574" s="60">
        <v>-24.4</v>
      </c>
      <c r="R574" s="60">
        <v>0.4</v>
      </c>
      <c r="S574" s="5"/>
      <c r="T574" s="5"/>
      <c r="U574" s="58">
        <v>1.77</v>
      </c>
      <c r="V574" s="58">
        <v>0.71</v>
      </c>
      <c r="W574" s="5"/>
      <c r="X574" s="5"/>
      <c r="Y574" s="75" t="s">
        <v>190</v>
      </c>
      <c r="Z574" s="5"/>
      <c r="AA574" s="6"/>
      <c r="AB574" s="60">
        <v>16.069</v>
      </c>
      <c r="AC574" s="60">
        <v>0.01</v>
      </c>
      <c r="AD574" s="61">
        <v>15.321</v>
      </c>
      <c r="AE574" s="61">
        <v>0.09</v>
      </c>
      <c r="AF574" s="59">
        <v>14.57</v>
      </c>
      <c r="AG574" s="60">
        <v>0.009</v>
      </c>
      <c r="AH574" s="6"/>
      <c r="AI574" s="6"/>
      <c r="AJ574" s="76" t="s">
        <v>191</v>
      </c>
      <c r="AK574" s="64" t="s">
        <v>192</v>
      </c>
      <c r="AL574" s="64">
        <v>2016.0</v>
      </c>
      <c r="AM574" s="64">
        <v>4.0</v>
      </c>
      <c r="AN574" s="77">
        <v>125.0</v>
      </c>
      <c r="AO574" s="64">
        <v>25.0</v>
      </c>
      <c r="AP574" s="13" t="s">
        <v>193</v>
      </c>
      <c r="AQ574" s="64">
        <v>1.0</v>
      </c>
      <c r="AR574" s="78">
        <v>2600.0</v>
      </c>
      <c r="AS574" s="64">
        <v>100.0</v>
      </c>
      <c r="AT574" s="79">
        <v>0.013</v>
      </c>
      <c r="AU574" s="64">
        <v>0.007</v>
      </c>
      <c r="AV574" s="13"/>
      <c r="AW574" s="7"/>
      <c r="AX574" s="73">
        <v>0.19</v>
      </c>
      <c r="AY574" s="7"/>
      <c r="AZ574" s="11" t="s">
        <v>162</v>
      </c>
      <c r="BA574" s="68" t="s">
        <v>1298</v>
      </c>
      <c r="BB574" s="68">
        <v>-57.39</v>
      </c>
      <c r="BC574" s="68">
        <v>17.71</v>
      </c>
      <c r="BD574" s="80">
        <v>1.34E-15</v>
      </c>
      <c r="BE574" s="80">
        <v>5.0E-17</v>
      </c>
      <c r="BF574" s="68">
        <v>-46.9</v>
      </c>
      <c r="BG574" s="68">
        <v>4.21</v>
      </c>
      <c r="BH574" s="80">
        <v>2.19E-16</v>
      </c>
      <c r="BI574" s="80">
        <v>3.0E-18</v>
      </c>
      <c r="BJ574" s="68">
        <v>-23.06</v>
      </c>
      <c r="BK574" s="68">
        <v>2.28</v>
      </c>
      <c r="BL574" s="80">
        <v>6.57E-16</v>
      </c>
      <c r="BM574" s="80">
        <v>4.0E-18</v>
      </c>
      <c r="BN574" s="11"/>
      <c r="BO574" s="11"/>
      <c r="BP574" s="11"/>
      <c r="BQ574" s="11"/>
      <c r="BR574" s="11"/>
      <c r="BS574" s="11"/>
      <c r="BT574" s="11"/>
      <c r="BU574" s="11"/>
      <c r="BV574" s="68">
        <v>-9.37</v>
      </c>
      <c r="BW574" s="68">
        <v>0.44</v>
      </c>
      <c r="BX574" s="80">
        <v>8.93E-17</v>
      </c>
      <c r="BY574" s="80">
        <v>1.2E-18</v>
      </c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2"/>
      <c r="DK574" s="12"/>
      <c r="DL574" s="12"/>
      <c r="DM574" s="69"/>
      <c r="DN574" s="69"/>
      <c r="DO574" s="69"/>
      <c r="DP574" s="69"/>
      <c r="DQ574" s="11"/>
      <c r="DR574" s="68">
        <v>-6.97</v>
      </c>
      <c r="DS574" s="68">
        <v>0.5</v>
      </c>
      <c r="DT574" s="80">
        <v>1.61E-16</v>
      </c>
      <c r="DU574" s="80">
        <v>1.29E-16</v>
      </c>
      <c r="DV574" s="97">
        <v>-5.417936637</v>
      </c>
      <c r="DW574" s="10">
        <f>log10(0.000001)</f>
        <v>-6</v>
      </c>
      <c r="DX574" s="81">
        <v>1.79E-12</v>
      </c>
      <c r="DY574" s="114">
        <v>1.26E-12</v>
      </c>
      <c r="DZ574" s="64" t="s">
        <v>352</v>
      </c>
      <c r="EA574" s="82"/>
      <c r="EB574" s="82" t="s">
        <v>196</v>
      </c>
    </row>
    <row r="575">
      <c r="A575" s="74" t="s">
        <v>185</v>
      </c>
      <c r="B575" s="56" t="s">
        <v>186</v>
      </c>
      <c r="C575" s="3" t="s">
        <v>156</v>
      </c>
      <c r="D575" s="57">
        <v>8.7</v>
      </c>
      <c r="E575" s="4"/>
      <c r="F575" s="57" t="s">
        <v>187</v>
      </c>
      <c r="G575" s="58">
        <v>246.8333</v>
      </c>
      <c r="H575" s="58">
        <v>-24.5831</v>
      </c>
      <c r="I575" s="6" t="s">
        <v>158</v>
      </c>
      <c r="J575" s="6" t="s">
        <v>189</v>
      </c>
      <c r="K575" s="58">
        <v>1.0</v>
      </c>
      <c r="L575" s="5"/>
      <c r="M575" s="5"/>
      <c r="N575" s="60"/>
      <c r="O575" s="60">
        <v>-5.9</v>
      </c>
      <c r="P575" s="60">
        <v>0.5</v>
      </c>
      <c r="Q575" s="60">
        <v>-24.4</v>
      </c>
      <c r="R575" s="60">
        <v>0.4</v>
      </c>
      <c r="S575" s="5"/>
      <c r="T575" s="5"/>
      <c r="U575" s="58">
        <v>1.77</v>
      </c>
      <c r="V575" s="58">
        <v>0.71</v>
      </c>
      <c r="W575" s="5"/>
      <c r="X575" s="5"/>
      <c r="Y575" s="75" t="s">
        <v>190</v>
      </c>
      <c r="Z575" s="5"/>
      <c r="AA575" s="6"/>
      <c r="AB575" s="60">
        <v>16.069</v>
      </c>
      <c r="AC575" s="60">
        <v>0.01</v>
      </c>
      <c r="AD575" s="61">
        <v>15.321</v>
      </c>
      <c r="AE575" s="61">
        <v>0.09</v>
      </c>
      <c r="AF575" s="59">
        <v>14.57</v>
      </c>
      <c r="AG575" s="60">
        <v>0.009</v>
      </c>
      <c r="AH575" s="6"/>
      <c r="AI575" s="6"/>
      <c r="AJ575" s="76" t="s">
        <v>191</v>
      </c>
      <c r="AK575" s="64" t="s">
        <v>192</v>
      </c>
      <c r="AL575" s="64">
        <v>2016.0</v>
      </c>
      <c r="AM575" s="64">
        <v>4.0</v>
      </c>
      <c r="AN575" s="77">
        <v>125.0</v>
      </c>
      <c r="AO575" s="64">
        <v>25.0</v>
      </c>
      <c r="AP575" s="13" t="s">
        <v>193</v>
      </c>
      <c r="AQ575" s="64">
        <v>1.0</v>
      </c>
      <c r="AR575" s="78">
        <v>2600.0</v>
      </c>
      <c r="AS575" s="64">
        <v>100.0</v>
      </c>
      <c r="AT575" s="79">
        <v>0.013</v>
      </c>
      <c r="AU575" s="64">
        <v>0.007</v>
      </c>
      <c r="AV575" s="13"/>
      <c r="AW575" s="7"/>
      <c r="AX575" s="73">
        <v>0.19</v>
      </c>
      <c r="AY575" s="7"/>
      <c r="AZ575" s="11" t="s">
        <v>162</v>
      </c>
      <c r="BA575" s="68" t="s">
        <v>1299</v>
      </c>
      <c r="BB575" s="68">
        <v>-57.39</v>
      </c>
      <c r="BC575" s="68">
        <v>17.71</v>
      </c>
      <c r="BD575" s="80">
        <v>1.34E-15</v>
      </c>
      <c r="BE575" s="80">
        <v>5.0E-17</v>
      </c>
      <c r="BF575" s="68">
        <v>-46.9</v>
      </c>
      <c r="BG575" s="68">
        <v>4.21</v>
      </c>
      <c r="BH575" s="80">
        <v>2.19E-16</v>
      </c>
      <c r="BI575" s="80">
        <v>3.0E-18</v>
      </c>
      <c r="BJ575" s="68">
        <v>-23.06</v>
      </c>
      <c r="BK575" s="68">
        <v>2.28</v>
      </c>
      <c r="BL575" s="80">
        <v>6.57E-16</v>
      </c>
      <c r="BM575" s="80">
        <v>4.0E-18</v>
      </c>
      <c r="BN575" s="11"/>
      <c r="BO575" s="11"/>
      <c r="BP575" s="11"/>
      <c r="BQ575" s="11"/>
      <c r="BR575" s="11"/>
      <c r="BS575" s="11"/>
      <c r="BT575" s="11"/>
      <c r="BU575" s="11"/>
      <c r="BV575" s="68">
        <v>-9.37</v>
      </c>
      <c r="BW575" s="68">
        <v>0.44</v>
      </c>
      <c r="BX575" s="80">
        <v>8.93E-17</v>
      </c>
      <c r="BY575" s="80">
        <v>1.2E-18</v>
      </c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2"/>
      <c r="DK575" s="12"/>
      <c r="DL575" s="12"/>
      <c r="DM575" s="69"/>
      <c r="DN575" s="69"/>
      <c r="DO575" s="69"/>
      <c r="DP575" s="69"/>
      <c r="DQ575" s="11"/>
      <c r="DR575" s="68">
        <v>-6.97</v>
      </c>
      <c r="DS575" s="68">
        <v>0.5</v>
      </c>
      <c r="DT575" s="80">
        <v>1.61E-16</v>
      </c>
      <c r="DU575" s="80">
        <v>1.29E-16</v>
      </c>
      <c r="DV575" s="97">
        <v>-5.596879479</v>
      </c>
      <c r="DW575" s="10">
        <f>log10(0.00000069)</f>
        <v>-6.161150909</v>
      </c>
      <c r="DX575" s="81">
        <v>1.18E-12</v>
      </c>
      <c r="DY575" s="114">
        <v>4.25E-13</v>
      </c>
      <c r="DZ575" s="64" t="s">
        <v>352</v>
      </c>
      <c r="EA575" s="82"/>
      <c r="EB575" s="82" t="s">
        <v>196</v>
      </c>
    </row>
    <row r="576">
      <c r="A576" s="74" t="s">
        <v>185</v>
      </c>
      <c r="B576" s="56" t="s">
        <v>186</v>
      </c>
      <c r="C576" s="3" t="s">
        <v>156</v>
      </c>
      <c r="D576" s="57">
        <v>8.7</v>
      </c>
      <c r="E576" s="4"/>
      <c r="F576" s="57" t="s">
        <v>187</v>
      </c>
      <c r="G576" s="58">
        <v>246.8333</v>
      </c>
      <c r="H576" s="58">
        <v>-24.5831</v>
      </c>
      <c r="I576" s="6" t="s">
        <v>158</v>
      </c>
      <c r="J576" s="6" t="s">
        <v>189</v>
      </c>
      <c r="K576" s="58">
        <v>1.0</v>
      </c>
      <c r="L576" s="5"/>
      <c r="M576" s="5"/>
      <c r="N576" s="60"/>
      <c r="O576" s="60">
        <v>-5.9</v>
      </c>
      <c r="P576" s="60">
        <v>0.5</v>
      </c>
      <c r="Q576" s="60">
        <v>-24.4</v>
      </c>
      <c r="R576" s="60">
        <v>0.4</v>
      </c>
      <c r="S576" s="5"/>
      <c r="T576" s="5"/>
      <c r="U576" s="58">
        <v>1.77</v>
      </c>
      <c r="V576" s="58">
        <v>0.71</v>
      </c>
      <c r="W576" s="5"/>
      <c r="X576" s="5"/>
      <c r="Y576" s="75" t="s">
        <v>190</v>
      </c>
      <c r="Z576" s="5"/>
      <c r="AA576" s="6"/>
      <c r="AB576" s="60">
        <v>16.069</v>
      </c>
      <c r="AC576" s="60">
        <v>0.01</v>
      </c>
      <c r="AD576" s="61">
        <v>15.321</v>
      </c>
      <c r="AE576" s="61">
        <v>0.09</v>
      </c>
      <c r="AF576" s="59">
        <v>14.57</v>
      </c>
      <c r="AG576" s="60">
        <v>0.009</v>
      </c>
      <c r="AH576" s="6"/>
      <c r="AI576" s="6"/>
      <c r="AJ576" s="76" t="s">
        <v>191</v>
      </c>
      <c r="AK576" s="64" t="s">
        <v>192</v>
      </c>
      <c r="AL576" s="64">
        <v>2016.0</v>
      </c>
      <c r="AM576" s="64">
        <v>4.0</v>
      </c>
      <c r="AN576" s="77">
        <v>125.0</v>
      </c>
      <c r="AO576" s="64">
        <v>25.0</v>
      </c>
      <c r="AP576" s="13" t="s">
        <v>193</v>
      </c>
      <c r="AQ576" s="64">
        <v>1.0</v>
      </c>
      <c r="AR576" s="78">
        <v>2600.0</v>
      </c>
      <c r="AS576" s="64">
        <v>100.0</v>
      </c>
      <c r="AT576" s="79">
        <v>0.013</v>
      </c>
      <c r="AU576" s="64">
        <v>0.007</v>
      </c>
      <c r="AV576" s="13"/>
      <c r="AW576" s="7"/>
      <c r="AX576" s="73">
        <v>0.19</v>
      </c>
      <c r="AY576" s="7"/>
      <c r="AZ576" s="11" t="s">
        <v>162</v>
      </c>
      <c r="BA576" s="68" t="s">
        <v>1300</v>
      </c>
      <c r="BB576" s="68">
        <v>-57.39</v>
      </c>
      <c r="BC576" s="68">
        <v>17.71</v>
      </c>
      <c r="BD576" s="80">
        <v>1.34E-15</v>
      </c>
      <c r="BE576" s="80">
        <v>5.0E-17</v>
      </c>
      <c r="BF576" s="68">
        <v>-46.9</v>
      </c>
      <c r="BG576" s="68">
        <v>4.21</v>
      </c>
      <c r="BH576" s="80">
        <v>2.19E-16</v>
      </c>
      <c r="BI576" s="80">
        <v>3.0E-18</v>
      </c>
      <c r="BJ576" s="68">
        <v>-23.06</v>
      </c>
      <c r="BK576" s="68">
        <v>2.28</v>
      </c>
      <c r="BL576" s="80">
        <v>6.57E-16</v>
      </c>
      <c r="BM576" s="80">
        <v>4.0E-18</v>
      </c>
      <c r="BN576" s="11"/>
      <c r="BO576" s="11"/>
      <c r="BP576" s="11"/>
      <c r="BQ576" s="11"/>
      <c r="BR576" s="11"/>
      <c r="BS576" s="11"/>
      <c r="BT576" s="11"/>
      <c r="BU576" s="11"/>
      <c r="BV576" s="68">
        <v>-9.37</v>
      </c>
      <c r="BW576" s="68">
        <v>0.44</v>
      </c>
      <c r="BX576" s="80">
        <v>8.93E-17</v>
      </c>
      <c r="BY576" s="80">
        <v>1.2E-18</v>
      </c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2"/>
      <c r="DK576" s="12"/>
      <c r="DL576" s="12"/>
      <c r="DM576" s="69"/>
      <c r="DN576" s="69"/>
      <c r="DO576" s="69"/>
      <c r="DP576" s="69"/>
      <c r="DQ576" s="11"/>
      <c r="DR576" s="68">
        <v>-6.97</v>
      </c>
      <c r="DS576" s="68">
        <v>0.5</v>
      </c>
      <c r="DT576" s="80">
        <v>1.61E-16</v>
      </c>
      <c r="DU576" s="80">
        <v>1.29E-16</v>
      </c>
      <c r="DV576" s="97">
        <v>-4.872895202</v>
      </c>
      <c r="DW576" s="10">
        <f>log10(0.000009)</f>
        <v>-5.045757491</v>
      </c>
      <c r="DX576" s="81">
        <v>6.28E-12</v>
      </c>
      <c r="DY576" s="114">
        <v>5.88E-12</v>
      </c>
      <c r="DZ576" s="64" t="s">
        <v>225</v>
      </c>
      <c r="EA576" s="82"/>
      <c r="EB576" s="82" t="s">
        <v>196</v>
      </c>
    </row>
    <row r="577">
      <c r="A577" s="55" t="s">
        <v>1301</v>
      </c>
      <c r="B577" s="56" t="s">
        <v>1301</v>
      </c>
      <c r="C577" s="4"/>
      <c r="D577" s="4"/>
      <c r="E577" s="57" t="s">
        <v>137</v>
      </c>
      <c r="F577" s="57" t="s">
        <v>157</v>
      </c>
      <c r="G577" s="58">
        <v>246.923376</v>
      </c>
      <c r="H577" s="58">
        <v>-24.779095</v>
      </c>
      <c r="I577" s="6" t="s">
        <v>158</v>
      </c>
      <c r="J577" s="6" t="s">
        <v>169</v>
      </c>
      <c r="K577" s="58">
        <v>1.0</v>
      </c>
      <c r="L577" s="5"/>
      <c r="M577" s="59"/>
      <c r="N577" s="60"/>
      <c r="O577" s="60">
        <v>0.8</v>
      </c>
      <c r="P577" s="60">
        <v>2.9</v>
      </c>
      <c r="Q577" s="60">
        <v>-25.3</v>
      </c>
      <c r="R577" s="60">
        <v>3.2</v>
      </c>
      <c r="S577" s="60"/>
      <c r="T577" s="60"/>
      <c r="U577" s="58">
        <v>3.54</v>
      </c>
      <c r="V577" s="5"/>
      <c r="W577" s="61">
        <v>1.0</v>
      </c>
      <c r="X577" s="5"/>
      <c r="Y577" s="62" t="s">
        <v>160</v>
      </c>
      <c r="Z577" s="60"/>
      <c r="AA577" s="60"/>
      <c r="AB577" s="60">
        <v>17.203</v>
      </c>
      <c r="AC577" s="60">
        <v>0.204</v>
      </c>
      <c r="AD577" s="60">
        <v>15.334</v>
      </c>
      <c r="AE577" s="60">
        <v>0.079</v>
      </c>
      <c r="AF577" s="60">
        <v>13.548</v>
      </c>
      <c r="AG577" s="60">
        <v>0.049</v>
      </c>
      <c r="AH577" s="6"/>
      <c r="AI577" s="6"/>
      <c r="AJ577" s="63" t="s">
        <v>160</v>
      </c>
      <c r="AK577" s="64" t="s">
        <v>1302</v>
      </c>
      <c r="AL577" s="64">
        <v>2004.0</v>
      </c>
      <c r="AM577" s="7"/>
      <c r="AN577" s="8"/>
      <c r="AO577" s="13"/>
      <c r="AP577" s="13"/>
      <c r="AQ577" s="7"/>
      <c r="AR577" s="66">
        <v>2290.867653</v>
      </c>
      <c r="AS577" s="7"/>
      <c r="AT577" s="67">
        <v>0.005888436554</v>
      </c>
      <c r="AU577" s="7"/>
      <c r="AV577" s="64">
        <v>8.511380382E-4</v>
      </c>
      <c r="AW577" s="7"/>
      <c r="AX577" s="73">
        <v>0.19</v>
      </c>
      <c r="AY577" s="7"/>
      <c r="AZ577" s="11" t="s">
        <v>162</v>
      </c>
      <c r="BA577" s="68" t="s">
        <v>1303</v>
      </c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68" t="s">
        <v>181</v>
      </c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2"/>
      <c r="DK577" s="12"/>
      <c r="DL577" s="12"/>
      <c r="DM577" s="69"/>
      <c r="DN577" s="69"/>
      <c r="DO577" s="69"/>
      <c r="DP577" s="69"/>
      <c r="DQ577" s="11"/>
      <c r="DR577" s="69"/>
      <c r="DS577" s="69"/>
      <c r="DT577" s="69"/>
      <c r="DU577" s="69"/>
      <c r="DV577" s="70">
        <v>-5.01</v>
      </c>
      <c r="DW577" s="10"/>
      <c r="DX577" s="71">
        <v>8.51E-12</v>
      </c>
      <c r="DY577" s="7"/>
      <c r="DZ577" s="64" t="s">
        <v>165</v>
      </c>
      <c r="EA577" s="72" t="s">
        <v>166</v>
      </c>
      <c r="EB577" s="7"/>
    </row>
    <row r="578">
      <c r="A578" s="55" t="s">
        <v>214</v>
      </c>
      <c r="B578" s="55" t="s">
        <v>214</v>
      </c>
      <c r="C578" s="3"/>
      <c r="D578" s="3"/>
      <c r="E578" s="57" t="s">
        <v>137</v>
      </c>
      <c r="F578" s="57" t="s">
        <v>187</v>
      </c>
      <c r="G578" s="58">
        <v>246.592788</v>
      </c>
      <c r="H578" s="58">
        <v>-24.401962</v>
      </c>
      <c r="I578" s="6" t="s">
        <v>158</v>
      </c>
      <c r="J578" s="6" t="s">
        <v>169</v>
      </c>
      <c r="K578" s="58">
        <v>1.0</v>
      </c>
      <c r="L578" s="5"/>
      <c r="M578" s="59"/>
      <c r="N578" s="60"/>
      <c r="O578" s="60"/>
      <c r="P578" s="60"/>
      <c r="Q578" s="60"/>
      <c r="R578" s="60"/>
      <c r="S578" s="60"/>
      <c r="T578" s="60"/>
      <c r="U578" s="58">
        <v>7.8</v>
      </c>
      <c r="V578" s="5"/>
      <c r="W578" s="61">
        <v>0.6</v>
      </c>
      <c r="X578" s="5"/>
      <c r="Y578" s="62" t="s">
        <v>160</v>
      </c>
      <c r="Z578" s="60"/>
      <c r="AA578" s="60"/>
      <c r="AB578" s="60">
        <v>16.451</v>
      </c>
      <c r="AC578" s="60">
        <v>0.136</v>
      </c>
      <c r="AD578" s="60">
        <v>15.086</v>
      </c>
      <c r="AE578" s="60">
        <v>0.075</v>
      </c>
      <c r="AF578" s="60">
        <v>13.935</v>
      </c>
      <c r="AG578" s="60">
        <v>0.056</v>
      </c>
      <c r="AH578" s="6"/>
      <c r="AI578" s="6"/>
      <c r="AJ578" s="63" t="s">
        <v>160</v>
      </c>
      <c r="AK578" s="64" t="s">
        <v>1302</v>
      </c>
      <c r="AL578" s="64">
        <v>2004.0</v>
      </c>
      <c r="AM578" s="7"/>
      <c r="AN578" s="8"/>
      <c r="AO578" s="13"/>
      <c r="AP578" s="13" t="s">
        <v>318</v>
      </c>
      <c r="AQ578" s="64"/>
      <c r="AR578" s="66">
        <v>2344.228815</v>
      </c>
      <c r="AS578" s="7"/>
      <c r="AT578" s="67">
        <v>0.006918309709</v>
      </c>
      <c r="AU578" s="7"/>
      <c r="AV578" s="64">
        <v>0.001122018454</v>
      </c>
      <c r="AW578" s="7"/>
      <c r="AX578" s="73">
        <v>0.2</v>
      </c>
      <c r="AY578" s="7"/>
      <c r="AZ578" s="11" t="s">
        <v>162</v>
      </c>
      <c r="BA578" s="68" t="s">
        <v>1303</v>
      </c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68" t="s">
        <v>172</v>
      </c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2"/>
      <c r="DK578" s="12"/>
      <c r="DL578" s="12"/>
      <c r="DM578" s="69"/>
      <c r="DN578" s="69"/>
      <c r="DO578" s="69"/>
      <c r="DP578" s="69"/>
      <c r="DQ578" s="11"/>
      <c r="DR578" s="69"/>
      <c r="DS578" s="69"/>
      <c r="DT578" s="69"/>
      <c r="DU578" s="69"/>
      <c r="DV578" s="70">
        <v>-5.73</v>
      </c>
      <c r="DW578" s="10"/>
      <c r="DX578" s="71">
        <v>1.55E-12</v>
      </c>
      <c r="DY578" s="7"/>
      <c r="DZ578" s="64" t="s">
        <v>165</v>
      </c>
      <c r="EA578" s="72" t="s">
        <v>166</v>
      </c>
      <c r="EB578" s="82" t="s">
        <v>1304</v>
      </c>
    </row>
    <row r="579">
      <c r="A579" s="74" t="s">
        <v>214</v>
      </c>
      <c r="B579" s="74" t="s">
        <v>214</v>
      </c>
      <c r="C579" s="4"/>
      <c r="D579" s="4"/>
      <c r="E579" s="57" t="s">
        <v>137</v>
      </c>
      <c r="F579" s="57" t="s">
        <v>187</v>
      </c>
      <c r="G579" s="61">
        <v>246.592787916666</v>
      </c>
      <c r="H579" s="61">
        <v>-24.4019619444444</v>
      </c>
      <c r="I579" s="6" t="s">
        <v>158</v>
      </c>
      <c r="J579" s="6" t="s">
        <v>169</v>
      </c>
      <c r="K579" s="58">
        <v>1.0</v>
      </c>
      <c r="L579" s="5"/>
      <c r="M579" s="59"/>
      <c r="N579" s="61"/>
      <c r="O579" s="61"/>
      <c r="P579" s="61"/>
      <c r="Q579" s="61"/>
      <c r="R579" s="61"/>
      <c r="S579" s="60"/>
      <c r="T579" s="60"/>
      <c r="U579" s="61">
        <v>7.0</v>
      </c>
      <c r="V579" s="5"/>
      <c r="W579" s="5"/>
      <c r="X579" s="5"/>
      <c r="Y579" s="93" t="s">
        <v>269</v>
      </c>
      <c r="Z579" s="60"/>
      <c r="AA579" s="60"/>
      <c r="AB579" s="60">
        <v>16.451</v>
      </c>
      <c r="AC579" s="60">
        <v>0.136</v>
      </c>
      <c r="AD579" s="60">
        <v>15.086</v>
      </c>
      <c r="AE579" s="60">
        <v>0.075</v>
      </c>
      <c r="AF579" s="60">
        <v>13.935</v>
      </c>
      <c r="AG579" s="60">
        <v>0.056</v>
      </c>
      <c r="AH579" s="6"/>
      <c r="AI579" s="6"/>
      <c r="AJ579" s="63" t="s">
        <v>269</v>
      </c>
      <c r="AK579" s="64" t="s">
        <v>637</v>
      </c>
      <c r="AL579" s="97">
        <v>2003.0</v>
      </c>
      <c r="AM579" s="7"/>
      <c r="AN579" s="77">
        <v>150.0</v>
      </c>
      <c r="AO579" s="13"/>
      <c r="AP579" s="64" t="s">
        <v>213</v>
      </c>
      <c r="AQ579" s="97">
        <v>0.5</v>
      </c>
      <c r="AR579" s="66">
        <v>2400.0</v>
      </c>
      <c r="AS579" s="73">
        <v>100.0</v>
      </c>
      <c r="AT579" s="67">
        <v>0.009541984733</v>
      </c>
      <c r="AU579" s="7"/>
      <c r="AV579" s="64">
        <v>0.007943282347</v>
      </c>
      <c r="AW579" s="7"/>
      <c r="AX579" s="73"/>
      <c r="AY579" s="7"/>
      <c r="AZ579" s="69" t="s">
        <v>162</v>
      </c>
      <c r="BA579" s="68" t="s">
        <v>1303</v>
      </c>
      <c r="BB579" s="68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68">
        <v>-0.7</v>
      </c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68">
        <v>-2.1</v>
      </c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69"/>
      <c r="DN579" s="69"/>
      <c r="DO579" s="69"/>
      <c r="DP579" s="69"/>
      <c r="DQ579" s="11"/>
      <c r="DR579" s="69"/>
      <c r="DS579" s="69"/>
      <c r="DT579" s="69"/>
      <c r="DU579" s="69"/>
      <c r="DV579" s="7"/>
      <c r="DW579" s="10"/>
      <c r="DX579" s="71">
        <v>5.01E-11</v>
      </c>
      <c r="DY579" s="7"/>
      <c r="DZ579" s="64" t="s">
        <v>248</v>
      </c>
      <c r="EA579" s="72" t="s">
        <v>166</v>
      </c>
      <c r="EB579" s="13"/>
    </row>
    <row r="580">
      <c r="A580" s="74" t="s">
        <v>185</v>
      </c>
      <c r="B580" s="55" t="s">
        <v>186</v>
      </c>
      <c r="C580" s="3" t="s">
        <v>156</v>
      </c>
      <c r="D580" s="57">
        <v>8.7</v>
      </c>
      <c r="E580" s="4"/>
      <c r="F580" s="57" t="s">
        <v>187</v>
      </c>
      <c r="G580" s="58">
        <v>246.8333</v>
      </c>
      <c r="H580" s="58">
        <v>-24.5831</v>
      </c>
      <c r="I580" s="6" t="s">
        <v>158</v>
      </c>
      <c r="J580" s="6" t="s">
        <v>189</v>
      </c>
      <c r="K580" s="58">
        <v>1.0</v>
      </c>
      <c r="L580" s="5"/>
      <c r="M580" s="5"/>
      <c r="N580" s="60"/>
      <c r="O580" s="60">
        <v>-5.9</v>
      </c>
      <c r="P580" s="60">
        <v>0.5</v>
      </c>
      <c r="Q580" s="60">
        <v>-24.4</v>
      </c>
      <c r="R580" s="60">
        <v>0.4</v>
      </c>
      <c r="S580" s="5"/>
      <c r="T580" s="5"/>
      <c r="U580" s="58">
        <v>1.77</v>
      </c>
      <c r="V580" s="58">
        <v>0.71</v>
      </c>
      <c r="W580" s="5"/>
      <c r="X580" s="5"/>
      <c r="Y580" s="75" t="s">
        <v>190</v>
      </c>
      <c r="Z580" s="5"/>
      <c r="AA580" s="6"/>
      <c r="AB580" s="60">
        <v>16.069</v>
      </c>
      <c r="AC580" s="60">
        <v>0.01</v>
      </c>
      <c r="AD580" s="61">
        <v>15.321</v>
      </c>
      <c r="AE580" s="61">
        <v>0.09</v>
      </c>
      <c r="AF580" s="59">
        <v>14.57</v>
      </c>
      <c r="AG580" s="60">
        <v>0.009</v>
      </c>
      <c r="AH580" s="6"/>
      <c r="AI580" s="6"/>
      <c r="AJ580" s="76" t="s">
        <v>191</v>
      </c>
      <c r="AK580" s="64" t="s">
        <v>192</v>
      </c>
      <c r="AL580" s="64">
        <v>2016.0</v>
      </c>
      <c r="AM580" s="64">
        <v>4.0</v>
      </c>
      <c r="AN580" s="77">
        <v>125.0</v>
      </c>
      <c r="AO580" s="64">
        <v>25.0</v>
      </c>
      <c r="AP580" s="13" t="s">
        <v>193</v>
      </c>
      <c r="AQ580" s="64">
        <v>1.0</v>
      </c>
      <c r="AR580" s="78">
        <v>2600.0</v>
      </c>
      <c r="AS580" s="64">
        <v>100.0</v>
      </c>
      <c r="AT580" s="79">
        <v>0.013</v>
      </c>
      <c r="AU580" s="64">
        <v>0.007</v>
      </c>
      <c r="AV580" s="13"/>
      <c r="AW580" s="7"/>
      <c r="AX580" s="73">
        <v>0.19</v>
      </c>
      <c r="AY580" s="7"/>
      <c r="AZ580" s="11" t="s">
        <v>162</v>
      </c>
      <c r="BA580" s="68" t="s">
        <v>1303</v>
      </c>
      <c r="BB580" s="68">
        <v>-57.39</v>
      </c>
      <c r="BC580" s="68">
        <v>17.71</v>
      </c>
      <c r="BD580" s="80">
        <v>1.34E-15</v>
      </c>
      <c r="BE580" s="80">
        <v>5.0E-17</v>
      </c>
      <c r="BF580" s="68">
        <v>-46.9</v>
      </c>
      <c r="BG580" s="68">
        <v>4.21</v>
      </c>
      <c r="BH580" s="80">
        <v>2.19E-16</v>
      </c>
      <c r="BI580" s="80">
        <v>3.0E-18</v>
      </c>
      <c r="BJ580" s="68">
        <v>-23.06</v>
      </c>
      <c r="BK580" s="68">
        <v>2.28</v>
      </c>
      <c r="BL580" s="80">
        <v>6.57E-16</v>
      </c>
      <c r="BM580" s="80">
        <v>4.0E-18</v>
      </c>
      <c r="BN580" s="11"/>
      <c r="BO580" s="11"/>
      <c r="BP580" s="11"/>
      <c r="BQ580" s="11"/>
      <c r="BR580" s="11"/>
      <c r="BS580" s="11"/>
      <c r="BT580" s="11"/>
      <c r="BU580" s="11"/>
      <c r="BV580" s="68">
        <v>-9.37</v>
      </c>
      <c r="BW580" s="68">
        <v>0.44</v>
      </c>
      <c r="BX580" s="80">
        <v>8.93E-17</v>
      </c>
      <c r="BY580" s="80">
        <v>1.2E-18</v>
      </c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69"/>
      <c r="DN580" s="69"/>
      <c r="DO580" s="69"/>
      <c r="DP580" s="69"/>
      <c r="DQ580" s="11"/>
      <c r="DR580" s="68">
        <v>-6.97</v>
      </c>
      <c r="DS580" s="68">
        <v>0.5</v>
      </c>
      <c r="DT580" s="80">
        <v>1.61E-16</v>
      </c>
      <c r="DU580" s="80">
        <v>1.29E-16</v>
      </c>
      <c r="DV580" s="13">
        <f>log10(0.000000859)</f>
        <v>-6.066006836</v>
      </c>
      <c r="DW580" s="10">
        <f>log10(0.00000029)</f>
        <v>-6.537602002</v>
      </c>
      <c r="DX580" s="81">
        <v>4.02E-13</v>
      </c>
      <c r="DY580" s="114">
        <v>2.95E-13</v>
      </c>
      <c r="DZ580" s="64" t="s">
        <v>1305</v>
      </c>
      <c r="EA580" s="82"/>
      <c r="EB580" s="82" t="s">
        <v>196</v>
      </c>
    </row>
    <row r="581">
      <c r="A581" s="55" t="s">
        <v>299</v>
      </c>
      <c r="B581" s="55" t="s">
        <v>300</v>
      </c>
      <c r="C581" s="3" t="s">
        <v>156</v>
      </c>
      <c r="D581" s="57">
        <v>2.19</v>
      </c>
      <c r="E581" s="4"/>
      <c r="F581" s="57" t="s">
        <v>187</v>
      </c>
      <c r="G581" s="58">
        <v>245.47771</v>
      </c>
      <c r="H581" s="58">
        <v>-20.71884</v>
      </c>
      <c r="I581" s="6" t="s">
        <v>301</v>
      </c>
      <c r="J581" s="6" t="s">
        <v>189</v>
      </c>
      <c r="K581" s="61">
        <v>5.0</v>
      </c>
      <c r="L581" s="60">
        <v>6.0</v>
      </c>
      <c r="M581" s="5"/>
      <c r="N581" s="58">
        <v>145.0</v>
      </c>
      <c r="O581" s="5"/>
      <c r="P581" s="5"/>
      <c r="Q581" s="5"/>
      <c r="R581" s="5"/>
      <c r="S581" s="5"/>
      <c r="T581" s="5"/>
      <c r="U581" s="61">
        <v>0.5</v>
      </c>
      <c r="V581" s="60">
        <v>0.2</v>
      </c>
      <c r="W581" s="5"/>
      <c r="X581" s="5"/>
      <c r="Y581" s="83" t="s">
        <v>302</v>
      </c>
      <c r="Z581" s="5"/>
      <c r="AA581" s="5"/>
      <c r="AB581" s="60">
        <v>16.25</v>
      </c>
      <c r="AC581" s="60">
        <v>0.04</v>
      </c>
      <c r="AD581" s="60">
        <v>15.55</v>
      </c>
      <c r="AE581" s="60">
        <v>0.04</v>
      </c>
      <c r="AF581" s="60">
        <v>14.95</v>
      </c>
      <c r="AG581" s="60">
        <v>0.03</v>
      </c>
      <c r="AH581" s="6"/>
      <c r="AI581" s="96"/>
      <c r="AJ581" s="76" t="s">
        <v>296</v>
      </c>
      <c r="AK581" s="64" t="s">
        <v>1306</v>
      </c>
      <c r="AL581" s="70">
        <v>2010.0</v>
      </c>
      <c r="AM581" s="64">
        <v>4.0</v>
      </c>
      <c r="AN581" s="77">
        <v>145.0</v>
      </c>
      <c r="AO581" s="64">
        <v>2.0</v>
      </c>
      <c r="AP581" s="64" t="s">
        <v>193</v>
      </c>
      <c r="AQ581" s="64">
        <v>1.0</v>
      </c>
      <c r="AR581" s="78">
        <v>2700.0</v>
      </c>
      <c r="AS581" s="97">
        <v>200.0</v>
      </c>
      <c r="AT581" s="67">
        <v>0.0133</v>
      </c>
      <c r="AU581" s="70">
        <v>0.0019</v>
      </c>
      <c r="AV581" s="13">
        <f>10^(-3.04)</f>
        <v>0.0009120108394</v>
      </c>
      <c r="AW581" s="13">
        <f>(0.1*AV581)/0.434</f>
        <v>0.0002101407464</v>
      </c>
      <c r="AX581" s="73">
        <v>0.180882</v>
      </c>
      <c r="AY581" s="73">
        <v>0.050245</v>
      </c>
      <c r="AZ581" s="68" t="s">
        <v>162</v>
      </c>
      <c r="BA581" s="68" t="s">
        <v>1303</v>
      </c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68">
        <v>-11.4</v>
      </c>
      <c r="CA581" s="68">
        <v>0.3</v>
      </c>
      <c r="CB581" s="80">
        <v>1.12E-15</v>
      </c>
      <c r="CC581" s="80">
        <v>3.0E-17</v>
      </c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2"/>
      <c r="DK581" s="12"/>
      <c r="DL581" s="12"/>
      <c r="DM581" s="69"/>
      <c r="DN581" s="69"/>
      <c r="DO581" s="69"/>
      <c r="DP581" s="69"/>
      <c r="DQ581" s="11"/>
      <c r="DR581" s="69"/>
      <c r="DS581" s="69"/>
      <c r="DT581" s="69"/>
      <c r="DU581" s="69"/>
      <c r="DV581" s="70">
        <v>-4.4</v>
      </c>
      <c r="DW581" s="98">
        <v>1.3</v>
      </c>
      <c r="DX581" s="81">
        <f>10^(-10.7)</f>
        <v>0</v>
      </c>
      <c r="DY581" s="92">
        <f>(1.3*DX581)/0.434</f>
        <v>0</v>
      </c>
      <c r="DZ581" s="64" t="s">
        <v>269</v>
      </c>
      <c r="EA581" s="72" t="s">
        <v>1307</v>
      </c>
      <c r="EB581" s="82"/>
    </row>
    <row r="582">
      <c r="A582" s="55" t="s">
        <v>214</v>
      </c>
      <c r="B582" s="55" t="s">
        <v>214</v>
      </c>
      <c r="C582" s="4"/>
      <c r="D582" s="4"/>
      <c r="E582" s="4" t="s">
        <v>137</v>
      </c>
      <c r="F582" s="57" t="s">
        <v>187</v>
      </c>
      <c r="G582" s="58">
        <v>246.592788</v>
      </c>
      <c r="H582" s="58">
        <v>-24.401962</v>
      </c>
      <c r="I582" s="6" t="s">
        <v>158</v>
      </c>
      <c r="J582" s="6" t="s">
        <v>169</v>
      </c>
      <c r="K582" s="58">
        <v>1.0</v>
      </c>
      <c r="L582" s="5"/>
      <c r="M582" s="5"/>
      <c r="N582" s="6"/>
      <c r="O582" s="6"/>
      <c r="P582" s="6"/>
      <c r="Q582" s="6"/>
      <c r="R582" s="6"/>
      <c r="S582" s="5"/>
      <c r="T582" s="5"/>
      <c r="U582" s="6">
        <f>W582/0.243</f>
        <v>9.053497942</v>
      </c>
      <c r="V582" s="6">
        <f>U582*SQRT((X582/W582)^2 + (0.004/0.243)^2)</f>
        <v>4.117923917</v>
      </c>
      <c r="W582" s="60">
        <v>2.2</v>
      </c>
      <c r="X582" s="60">
        <v>1.0</v>
      </c>
      <c r="Y582" s="83" t="s">
        <v>1308</v>
      </c>
      <c r="Z582" s="6"/>
      <c r="AA582" s="6"/>
      <c r="AB582" s="59">
        <v>16.45</v>
      </c>
      <c r="AC582" s="60">
        <v>0.136</v>
      </c>
      <c r="AD582" s="61">
        <v>15.086</v>
      </c>
      <c r="AE582" s="61">
        <v>0.075</v>
      </c>
      <c r="AF582" s="59">
        <v>13.94</v>
      </c>
      <c r="AG582" s="60">
        <v>0.056</v>
      </c>
      <c r="AH582" s="6"/>
      <c r="AI582" s="6"/>
      <c r="AJ582" s="76" t="s">
        <v>1309</v>
      </c>
      <c r="AK582" s="64" t="s">
        <v>1310</v>
      </c>
      <c r="AL582" s="64">
        <v>2005.0</v>
      </c>
      <c r="AM582" s="13"/>
      <c r="AN582" s="77">
        <v>150.0</v>
      </c>
      <c r="AO582" s="13"/>
      <c r="AP582" s="13" t="s">
        <v>213</v>
      </c>
      <c r="AQ582" s="73">
        <v>0.5</v>
      </c>
      <c r="AR582" s="78">
        <v>2400.0</v>
      </c>
      <c r="AS582" s="73">
        <v>150.0</v>
      </c>
      <c r="AT582" s="79">
        <v>0.015</v>
      </c>
      <c r="AU582" s="7"/>
      <c r="AV582" s="64">
        <v>0.01</v>
      </c>
      <c r="AW582" s="7"/>
      <c r="AX582" s="73"/>
      <c r="AY582" s="7"/>
      <c r="AZ582" s="11" t="s">
        <v>162</v>
      </c>
      <c r="BA582" s="68" t="s">
        <v>1303</v>
      </c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68">
        <v>0.7</v>
      </c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68">
        <v>2.7</v>
      </c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69"/>
      <c r="DN582" s="69"/>
      <c r="DO582" s="69"/>
      <c r="DP582" s="69"/>
      <c r="DQ582" s="11"/>
      <c r="DR582" s="69"/>
      <c r="DS582" s="69"/>
      <c r="DT582" s="69"/>
      <c r="DU582" s="69"/>
      <c r="DV582" s="7"/>
      <c r="DW582" s="10"/>
      <c r="DX582" s="81">
        <v>1.48E-11</v>
      </c>
      <c r="DY582" s="64"/>
      <c r="DZ582" s="64" t="s">
        <v>1311</v>
      </c>
      <c r="EA582" s="7"/>
      <c r="EB582" s="7"/>
    </row>
    <row r="583">
      <c r="A583" s="55" t="s">
        <v>1312</v>
      </c>
      <c r="B583" s="55" t="s">
        <v>1312</v>
      </c>
      <c r="C583" s="4"/>
      <c r="D583" s="3"/>
      <c r="E583" s="57" t="s">
        <v>137</v>
      </c>
      <c r="F583" s="57" t="s">
        <v>187</v>
      </c>
      <c r="G583" s="58">
        <v>246.737166</v>
      </c>
      <c r="H583" s="58">
        <v>-24.476965</v>
      </c>
      <c r="I583" s="6" t="s">
        <v>158</v>
      </c>
      <c r="J583" s="6" t="s">
        <v>159</v>
      </c>
      <c r="K583" s="58">
        <v>1.0</v>
      </c>
      <c r="L583" s="5"/>
      <c r="M583" s="59"/>
      <c r="N583" s="60"/>
      <c r="O583" s="60"/>
      <c r="P583" s="60"/>
      <c r="Q583" s="60"/>
      <c r="R583" s="60"/>
      <c r="S583" s="60"/>
      <c r="T583" s="60"/>
      <c r="U583" s="59">
        <v>13.47</v>
      </c>
      <c r="V583" s="5"/>
      <c r="W583" s="61">
        <v>3.8</v>
      </c>
      <c r="X583" s="5"/>
      <c r="Y583" s="62" t="s">
        <v>160</v>
      </c>
      <c r="Z583" s="60"/>
      <c r="AA583" s="60"/>
      <c r="AB583" s="60">
        <v>18.2</v>
      </c>
      <c r="AC583" s="60">
        <v>0.08</v>
      </c>
      <c r="AD583" s="60">
        <v>14.749</v>
      </c>
      <c r="AE583" s="60">
        <v>0.063</v>
      </c>
      <c r="AF583" s="60">
        <v>12.806</v>
      </c>
      <c r="AG583" s="60">
        <v>0.03</v>
      </c>
      <c r="AH583" s="6"/>
      <c r="AI583" s="6"/>
      <c r="AJ583" s="63" t="s">
        <v>160</v>
      </c>
      <c r="AK583" s="64" t="s">
        <v>1302</v>
      </c>
      <c r="AL583" s="64">
        <v>2004.0</v>
      </c>
      <c r="AM583" s="7"/>
      <c r="AN583" s="8"/>
      <c r="AO583" s="13"/>
      <c r="AP583" s="64" t="s">
        <v>1285</v>
      </c>
      <c r="AQ583" s="65"/>
      <c r="AR583" s="66">
        <v>2570.395783</v>
      </c>
      <c r="AS583" s="7"/>
      <c r="AT583" s="67">
        <v>0.02818382931</v>
      </c>
      <c r="AU583" s="7"/>
      <c r="AV583" s="64">
        <v>0.01148153621</v>
      </c>
      <c r="AW583" s="7"/>
      <c r="AX583" s="7"/>
      <c r="AY583" s="7"/>
      <c r="AZ583" s="11" t="s">
        <v>162</v>
      </c>
      <c r="BA583" s="68" t="s">
        <v>1303</v>
      </c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68" t="s">
        <v>1313</v>
      </c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2"/>
      <c r="DK583" s="12"/>
      <c r="DL583" s="12"/>
      <c r="DM583" s="69"/>
      <c r="DN583" s="69"/>
      <c r="DO583" s="69"/>
      <c r="DP583" s="69"/>
      <c r="DQ583" s="11"/>
      <c r="DR583" s="69"/>
      <c r="DS583" s="69"/>
      <c r="DT583" s="69"/>
      <c r="DU583" s="69"/>
      <c r="DV583" s="70">
        <v>-3.85</v>
      </c>
      <c r="DW583" s="10"/>
      <c r="DX583" s="71">
        <v>7.59E-11</v>
      </c>
      <c r="DY583" s="7"/>
      <c r="DZ583" s="64" t="s">
        <v>165</v>
      </c>
      <c r="EA583" s="72" t="s">
        <v>166</v>
      </c>
      <c r="EB583" s="82" t="s">
        <v>1304</v>
      </c>
    </row>
    <row r="584">
      <c r="A584" s="55" t="s">
        <v>632</v>
      </c>
      <c r="B584" s="55" t="s">
        <v>633</v>
      </c>
      <c r="C584" s="4"/>
      <c r="D584" s="3"/>
      <c r="E584" s="3" t="s">
        <v>137</v>
      </c>
      <c r="F584" s="57" t="s">
        <v>187</v>
      </c>
      <c r="G584" s="61">
        <v>166.907248749999</v>
      </c>
      <c r="H584" s="61">
        <v>-77.5918883333333</v>
      </c>
      <c r="I584" s="6" t="s">
        <v>268</v>
      </c>
      <c r="J584" s="6" t="s">
        <v>169</v>
      </c>
      <c r="K584" s="58">
        <v>2.0</v>
      </c>
      <c r="L584" s="5"/>
      <c r="M584" s="59">
        <v>2.0</v>
      </c>
      <c r="N584" s="61">
        <v>184.240101700536</v>
      </c>
      <c r="O584" s="61">
        <v>-22.803</v>
      </c>
      <c r="P584" s="61">
        <v>0.49</v>
      </c>
      <c r="Q584" s="61">
        <v>1.298</v>
      </c>
      <c r="R584" s="61">
        <v>0.499</v>
      </c>
      <c r="S584" s="60">
        <v>13.7</v>
      </c>
      <c r="T584" s="60">
        <v>0.2</v>
      </c>
      <c r="U584" s="61">
        <v>0.3</v>
      </c>
      <c r="V584" s="5"/>
      <c r="W584" s="5"/>
      <c r="X584" s="5"/>
      <c r="Y584" s="93" t="s">
        <v>269</v>
      </c>
      <c r="Z584" s="60"/>
      <c r="AA584" s="60"/>
      <c r="AB584" s="60">
        <v>13.613</v>
      </c>
      <c r="AC584" s="60">
        <v>0.03</v>
      </c>
      <c r="AD584" s="60">
        <v>12.9</v>
      </c>
      <c r="AE584" s="60">
        <v>0.026</v>
      </c>
      <c r="AF584" s="60">
        <v>12.421</v>
      </c>
      <c r="AG584" s="60">
        <v>0.03</v>
      </c>
      <c r="AH584" s="6"/>
      <c r="AI584" s="6"/>
      <c r="AJ584" s="63" t="s">
        <v>269</v>
      </c>
      <c r="AK584" s="64" t="s">
        <v>637</v>
      </c>
      <c r="AL584" s="97">
        <v>2003.0</v>
      </c>
      <c r="AM584" s="13"/>
      <c r="AN584" s="102">
        <v>160.0</v>
      </c>
      <c r="AO584" s="13"/>
      <c r="AP584" s="64" t="s">
        <v>318</v>
      </c>
      <c r="AQ584" s="97">
        <v>0.5</v>
      </c>
      <c r="AR584" s="66">
        <v>2690.0</v>
      </c>
      <c r="AS584" s="73">
        <v>150.0</v>
      </c>
      <c r="AT584" s="67">
        <v>0.0286259542</v>
      </c>
      <c r="AU584" s="7"/>
      <c r="AV584" s="70">
        <v>0.00645654229</v>
      </c>
      <c r="AW584" s="64">
        <v>1.584893192</v>
      </c>
      <c r="AX584" s="13"/>
      <c r="AY584" s="7"/>
      <c r="AZ584" s="11" t="s">
        <v>162</v>
      </c>
      <c r="BA584" s="68" t="s">
        <v>1303</v>
      </c>
      <c r="BB584" s="68"/>
      <c r="BC584" s="11"/>
      <c r="BD584" s="11"/>
      <c r="BE584" s="11"/>
      <c r="BF584" s="11"/>
      <c r="BG584" s="11"/>
      <c r="BH584" s="11"/>
      <c r="BI584" s="12"/>
      <c r="BJ584" s="11"/>
      <c r="BK584" s="11"/>
      <c r="BL584" s="12"/>
      <c r="BM584" s="12"/>
      <c r="BN584" s="12"/>
      <c r="BO584" s="12"/>
      <c r="BP584" s="12"/>
      <c r="BQ584" s="12"/>
      <c r="BR584" s="12"/>
      <c r="BS584" s="12"/>
      <c r="BT584" s="12"/>
      <c r="BU584" s="11"/>
      <c r="BV584" s="11"/>
      <c r="BW584" s="11"/>
      <c r="BX584" s="11"/>
      <c r="BY584" s="11"/>
      <c r="BZ584" s="90">
        <v>-0.6</v>
      </c>
      <c r="CA584" s="11"/>
      <c r="CB584" s="11"/>
      <c r="CC584" s="11"/>
      <c r="CD584" s="11"/>
      <c r="CE584" s="11"/>
      <c r="CF584" s="11"/>
      <c r="CG584" s="11"/>
      <c r="CH584" s="12"/>
      <c r="CI584" s="11"/>
      <c r="CJ584" s="11"/>
      <c r="CK584" s="11"/>
      <c r="CL584" s="90">
        <v>-1.0</v>
      </c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69"/>
      <c r="DN584" s="69"/>
      <c r="DO584" s="69"/>
      <c r="DP584" s="69"/>
      <c r="DQ584" s="11"/>
      <c r="DR584" s="69"/>
      <c r="DS584" s="69"/>
      <c r="DT584" s="69"/>
      <c r="DU584" s="69"/>
      <c r="DV584" s="7"/>
      <c r="DW584" s="10"/>
      <c r="DX584" s="71">
        <v>7.94E-12</v>
      </c>
      <c r="DY584" s="7"/>
      <c r="DZ584" s="64" t="s">
        <v>248</v>
      </c>
      <c r="EA584" s="72" t="s">
        <v>166</v>
      </c>
      <c r="EB584" s="7"/>
    </row>
    <row r="585">
      <c r="A585" s="87" t="s">
        <v>655</v>
      </c>
      <c r="B585" s="87" t="s">
        <v>656</v>
      </c>
      <c r="C585" s="4"/>
      <c r="D585" s="3"/>
      <c r="E585" s="3" t="s">
        <v>137</v>
      </c>
      <c r="F585" s="57" t="s">
        <v>187</v>
      </c>
      <c r="G585" s="61">
        <v>167.121911249999</v>
      </c>
      <c r="H585" s="61">
        <v>-77.6554952777777</v>
      </c>
      <c r="I585" s="6" t="s">
        <v>268</v>
      </c>
      <c r="J585" s="6" t="s">
        <v>169</v>
      </c>
      <c r="K585" s="58">
        <v>2.0</v>
      </c>
      <c r="L585" s="5"/>
      <c r="M585" s="59">
        <v>2.0</v>
      </c>
      <c r="N585" s="61">
        <v>189.605809522003</v>
      </c>
      <c r="O585" s="61">
        <v>-23.914</v>
      </c>
      <c r="P585" s="61">
        <v>0.556</v>
      </c>
      <c r="Q585" s="61">
        <v>1.752</v>
      </c>
      <c r="R585" s="61">
        <v>0.495</v>
      </c>
      <c r="S585" s="60"/>
      <c r="T585" s="60"/>
      <c r="U585" s="61">
        <v>0.0</v>
      </c>
      <c r="V585" s="5"/>
      <c r="W585" s="6"/>
      <c r="X585" s="5"/>
      <c r="Y585" s="93" t="s">
        <v>269</v>
      </c>
      <c r="Z585" s="60"/>
      <c r="AA585" s="60"/>
      <c r="AB585" s="60">
        <v>14.586</v>
      </c>
      <c r="AC585" s="60">
        <v>0.047</v>
      </c>
      <c r="AD585" s="60">
        <v>13.918</v>
      </c>
      <c r="AE585" s="60">
        <v>0.03</v>
      </c>
      <c r="AF585" s="60">
        <v>13.545</v>
      </c>
      <c r="AG585" s="60">
        <v>0.049</v>
      </c>
      <c r="AH585" s="6"/>
      <c r="AI585" s="6"/>
      <c r="AJ585" s="63" t="s">
        <v>269</v>
      </c>
      <c r="AK585" s="64" t="s">
        <v>637</v>
      </c>
      <c r="AL585" s="97">
        <v>2003.0</v>
      </c>
      <c r="AM585" s="13"/>
      <c r="AN585" s="102">
        <v>160.0</v>
      </c>
      <c r="AO585" s="13"/>
      <c r="AP585" s="64" t="s">
        <v>318</v>
      </c>
      <c r="AQ585" s="97">
        <v>0.5</v>
      </c>
      <c r="AR585" s="66">
        <v>2690.0</v>
      </c>
      <c r="AS585" s="73">
        <v>150.0</v>
      </c>
      <c r="AT585" s="67">
        <v>0.0286259542</v>
      </c>
      <c r="AU585" s="7"/>
      <c r="AV585" s="70">
        <v>0.003630780548</v>
      </c>
      <c r="AW585" s="64">
        <v>1.584893192</v>
      </c>
      <c r="AX585" s="13"/>
      <c r="AY585" s="7"/>
      <c r="AZ585" s="11" t="s">
        <v>162</v>
      </c>
      <c r="BA585" s="68" t="s">
        <v>1303</v>
      </c>
      <c r="BB585" s="68"/>
      <c r="BC585" s="11"/>
      <c r="BD585" s="11"/>
      <c r="BE585" s="11"/>
      <c r="BF585" s="11"/>
      <c r="BG585" s="11"/>
      <c r="BH585" s="11"/>
      <c r="BI585" s="12"/>
      <c r="BJ585" s="11"/>
      <c r="BK585" s="11"/>
      <c r="BL585" s="12"/>
      <c r="BM585" s="12"/>
      <c r="BN585" s="12"/>
      <c r="BO585" s="12"/>
      <c r="BP585" s="12"/>
      <c r="BQ585" s="12"/>
      <c r="BR585" s="12"/>
      <c r="BS585" s="12"/>
      <c r="BT585" s="12"/>
      <c r="BU585" s="11"/>
      <c r="BV585" s="11"/>
      <c r="BW585" s="11"/>
      <c r="BX585" s="11"/>
      <c r="BY585" s="11"/>
      <c r="BZ585" s="90">
        <v>-0.3</v>
      </c>
      <c r="CA585" s="11"/>
      <c r="CB585" s="11"/>
      <c r="CC585" s="11"/>
      <c r="CD585" s="11"/>
      <c r="CE585" s="11"/>
      <c r="CF585" s="11"/>
      <c r="CG585" s="11"/>
      <c r="CH585" s="12"/>
      <c r="CI585" s="11"/>
      <c r="CJ585" s="11"/>
      <c r="CK585" s="11"/>
      <c r="CL585" s="90">
        <v>-0.9</v>
      </c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69"/>
      <c r="DN585" s="69"/>
      <c r="DO585" s="69"/>
      <c r="DP585" s="69"/>
      <c r="DQ585" s="11"/>
      <c r="DR585" s="69"/>
      <c r="DS585" s="69"/>
      <c r="DT585" s="69"/>
      <c r="DU585" s="69"/>
      <c r="DV585" s="7"/>
      <c r="DW585" s="10"/>
      <c r="DX585" s="71">
        <v>7.94E-13</v>
      </c>
      <c r="DY585" s="13"/>
      <c r="DZ585" s="64" t="s">
        <v>248</v>
      </c>
      <c r="EA585" s="72" t="s">
        <v>166</v>
      </c>
      <c r="EB585" s="92"/>
    </row>
    <row r="586">
      <c r="A586" s="74" t="s">
        <v>1314</v>
      </c>
      <c r="B586" s="169" t="s">
        <v>1315</v>
      </c>
      <c r="C586" s="4"/>
      <c r="D586" s="4"/>
      <c r="E586" s="57" t="s">
        <v>137</v>
      </c>
      <c r="F586" s="57" t="s">
        <v>187</v>
      </c>
      <c r="G586" s="61">
        <v>246.592440833333</v>
      </c>
      <c r="H586" s="61">
        <v>-24.3978769444444</v>
      </c>
      <c r="I586" s="6" t="s">
        <v>158</v>
      </c>
      <c r="J586" s="6" t="s">
        <v>169</v>
      </c>
      <c r="K586" s="58">
        <v>1.0</v>
      </c>
      <c r="L586" s="59"/>
      <c r="M586" s="59"/>
      <c r="N586" s="61"/>
      <c r="O586" s="61"/>
      <c r="P586" s="61"/>
      <c r="Q586" s="61"/>
      <c r="R586" s="61"/>
      <c r="S586" s="60"/>
      <c r="T586" s="60"/>
      <c r="U586" s="61">
        <v>18.0</v>
      </c>
      <c r="V586" s="5"/>
      <c r="W586" s="5"/>
      <c r="X586" s="5"/>
      <c r="Y586" s="93" t="s">
        <v>269</v>
      </c>
      <c r="Z586" s="60"/>
      <c r="AA586" s="60"/>
      <c r="AB586" s="60">
        <v>15.702</v>
      </c>
      <c r="AC586" s="60">
        <v>0.064</v>
      </c>
      <c r="AD586" s="60">
        <v>13.5</v>
      </c>
      <c r="AE586" s="60">
        <v>0.027</v>
      </c>
      <c r="AF586" s="60">
        <v>12.223</v>
      </c>
      <c r="AG586" s="60">
        <v>0.019</v>
      </c>
      <c r="AH586" s="6"/>
      <c r="AI586" s="6"/>
      <c r="AJ586" s="63" t="s">
        <v>269</v>
      </c>
      <c r="AK586" s="64" t="s">
        <v>637</v>
      </c>
      <c r="AL586" s="97">
        <v>2003.0</v>
      </c>
      <c r="AM586" s="7"/>
      <c r="AN586" s="77">
        <v>150.0</v>
      </c>
      <c r="AO586" s="13"/>
      <c r="AP586" s="64" t="s">
        <v>213</v>
      </c>
      <c r="AQ586" s="97">
        <v>0.5</v>
      </c>
      <c r="AR586" s="66">
        <v>2350.0</v>
      </c>
      <c r="AS586" s="73">
        <v>100.0</v>
      </c>
      <c r="AT586" s="67">
        <v>0.0286259542</v>
      </c>
      <c r="AU586" s="130"/>
      <c r="AV586" s="114">
        <v>0.03630780548</v>
      </c>
      <c r="AW586" s="126"/>
      <c r="AX586" s="126"/>
      <c r="AY586" s="130"/>
      <c r="AZ586" s="69" t="s">
        <v>162</v>
      </c>
      <c r="BA586" s="68" t="s">
        <v>1303</v>
      </c>
      <c r="BB586" s="68"/>
      <c r="BC586" s="69"/>
      <c r="BD586" s="105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68">
        <v>-0.5</v>
      </c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68">
        <v>-1.0</v>
      </c>
      <c r="CM586" s="69"/>
      <c r="CN586" s="69"/>
      <c r="CO586" s="69"/>
      <c r="CP586" s="69"/>
      <c r="CQ586" s="69"/>
      <c r="CR586" s="69"/>
      <c r="CS586" s="69"/>
      <c r="CT586" s="11"/>
      <c r="CU586" s="11"/>
      <c r="CV586" s="11"/>
      <c r="CW586" s="69"/>
      <c r="CX586" s="69"/>
      <c r="CY586" s="69"/>
      <c r="CZ586" s="69"/>
      <c r="DA586" s="11"/>
      <c r="DB586" s="69"/>
      <c r="DC586" s="69"/>
      <c r="DD586" s="69"/>
      <c r="DE586" s="69"/>
      <c r="DF586" s="129"/>
      <c r="DG586" s="129"/>
      <c r="DH586" s="129"/>
      <c r="DI586" s="129"/>
      <c r="DJ586" s="11"/>
      <c r="DK586" s="11"/>
      <c r="DL586" s="11"/>
      <c r="DM586" s="69"/>
      <c r="DN586" s="69"/>
      <c r="DO586" s="69"/>
      <c r="DP586" s="69"/>
      <c r="DQ586" s="11"/>
      <c r="DR586" s="69"/>
      <c r="DS586" s="69"/>
      <c r="DT586" s="69"/>
      <c r="DU586" s="69"/>
      <c r="DV586" s="130"/>
      <c r="DW586" s="10"/>
      <c r="DX586" s="71">
        <v>1.0E-9</v>
      </c>
      <c r="DY586" s="130"/>
      <c r="DZ586" s="64" t="s">
        <v>248</v>
      </c>
      <c r="EA586" s="72" t="s">
        <v>166</v>
      </c>
      <c r="EB586" s="131"/>
    </row>
    <row r="587">
      <c r="A587" s="55" t="s">
        <v>1316</v>
      </c>
      <c r="B587" s="55" t="s">
        <v>1316</v>
      </c>
      <c r="C587" s="4"/>
      <c r="D587" s="3"/>
      <c r="E587" s="3"/>
      <c r="F587" s="57" t="s">
        <v>187</v>
      </c>
      <c r="G587" s="58">
        <v>246.764962</v>
      </c>
      <c r="H587" s="58">
        <v>-24.334846</v>
      </c>
      <c r="I587" s="6" t="s">
        <v>158</v>
      </c>
      <c r="J587" s="6" t="s">
        <v>169</v>
      </c>
      <c r="K587" s="58">
        <v>1.0</v>
      </c>
      <c r="L587" s="5"/>
      <c r="M587" s="59"/>
      <c r="N587" s="60"/>
      <c r="O587" s="60"/>
      <c r="P587" s="60"/>
      <c r="Q587" s="60"/>
      <c r="R587" s="60"/>
      <c r="S587" s="60"/>
      <c r="T587" s="60"/>
      <c r="U587" s="59">
        <v>13.12</v>
      </c>
      <c r="V587" s="5"/>
      <c r="W587" s="61">
        <v>3.7</v>
      </c>
      <c r="X587" s="5"/>
      <c r="Y587" s="62" t="s">
        <v>160</v>
      </c>
      <c r="Z587" s="60"/>
      <c r="AA587" s="60"/>
      <c r="AB587" s="60">
        <v>17.244</v>
      </c>
      <c r="AC587" s="60">
        <v>0.238</v>
      </c>
      <c r="AD587" s="60">
        <v>14.914</v>
      </c>
      <c r="AE587" s="60">
        <v>0.058</v>
      </c>
      <c r="AF587" s="60">
        <v>13.559</v>
      </c>
      <c r="AG587" s="60">
        <v>0.043</v>
      </c>
      <c r="AH587" s="6"/>
      <c r="AI587" s="6"/>
      <c r="AJ587" s="63" t="s">
        <v>160</v>
      </c>
      <c r="AK587" s="64" t="s">
        <v>1302</v>
      </c>
      <c r="AL587" s="64">
        <v>2004.0</v>
      </c>
      <c r="AM587" s="7"/>
      <c r="AN587" s="8"/>
      <c r="AO587" s="13"/>
      <c r="AP587" s="13" t="s">
        <v>558</v>
      </c>
      <c r="AQ587" s="64"/>
      <c r="AR587" s="66">
        <v>2570.395783</v>
      </c>
      <c r="AS587" s="7"/>
      <c r="AT587" s="67">
        <v>0.02951209227</v>
      </c>
      <c r="AU587" s="7"/>
      <c r="AV587" s="64">
        <v>0.01258925412</v>
      </c>
      <c r="AW587" s="7"/>
      <c r="AX587" s="73">
        <v>0.57</v>
      </c>
      <c r="AY587" s="7"/>
      <c r="AZ587" s="11" t="s">
        <v>162</v>
      </c>
      <c r="BA587" s="68" t="s">
        <v>1303</v>
      </c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68">
        <v>-5.0</v>
      </c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70">
        <v>-3.27</v>
      </c>
      <c r="DW587" s="10"/>
      <c r="DX587" s="71">
        <v>2.82E-10</v>
      </c>
      <c r="DY587" s="7"/>
      <c r="DZ587" s="64" t="s">
        <v>165</v>
      </c>
      <c r="EA587" s="72" t="s">
        <v>166</v>
      </c>
      <c r="EB587" s="82" t="s">
        <v>1304</v>
      </c>
    </row>
    <row r="588">
      <c r="A588" s="55" t="s">
        <v>1317</v>
      </c>
      <c r="B588" s="55" t="s">
        <v>1317</v>
      </c>
      <c r="C588" s="4"/>
      <c r="D588" s="4"/>
      <c r="E588" s="4"/>
      <c r="F588" s="57" t="s">
        <v>187</v>
      </c>
      <c r="G588" s="58">
        <v>246.940778</v>
      </c>
      <c r="H588" s="58">
        <v>-24.748295</v>
      </c>
      <c r="I588" s="6" t="s">
        <v>158</v>
      </c>
      <c r="J588" s="6" t="s">
        <v>169</v>
      </c>
      <c r="K588" s="58">
        <v>1.0</v>
      </c>
      <c r="L588" s="5"/>
      <c r="M588" s="59"/>
      <c r="N588" s="60"/>
      <c r="O588" s="60">
        <v>-10.4</v>
      </c>
      <c r="P588" s="60">
        <v>3.0</v>
      </c>
      <c r="Q588" s="60">
        <v>-28.7</v>
      </c>
      <c r="R588" s="60">
        <v>2.9</v>
      </c>
      <c r="S588" s="60"/>
      <c r="T588" s="60"/>
      <c r="U588" s="59">
        <v>14.18</v>
      </c>
      <c r="V588" s="5"/>
      <c r="W588" s="60">
        <v>4.0</v>
      </c>
      <c r="X588" s="5"/>
      <c r="Y588" s="62" t="s">
        <v>160</v>
      </c>
      <c r="Z588" s="60"/>
      <c r="AA588" s="60"/>
      <c r="AB588" s="60">
        <v>17.382</v>
      </c>
      <c r="AC588" s="60">
        <v>0.238</v>
      </c>
      <c r="AD588" s="60">
        <v>14.536</v>
      </c>
      <c r="AE588" s="60">
        <v>0.063</v>
      </c>
      <c r="AF588" s="60">
        <v>12.455</v>
      </c>
      <c r="AG588" s="60">
        <v>0.038</v>
      </c>
      <c r="AH588" s="6"/>
      <c r="AI588" s="6"/>
      <c r="AJ588" s="63" t="s">
        <v>160</v>
      </c>
      <c r="AK588" s="64" t="s">
        <v>1302</v>
      </c>
      <c r="AL588" s="64">
        <v>2004.0</v>
      </c>
      <c r="AM588" s="7"/>
      <c r="AN588" s="8"/>
      <c r="AO588" s="13"/>
      <c r="AP588" s="64" t="s">
        <v>353</v>
      </c>
      <c r="AQ588" s="64"/>
      <c r="AR588" s="66">
        <v>2630.267992</v>
      </c>
      <c r="AS588" s="7"/>
      <c r="AT588" s="67">
        <v>0.03311311215</v>
      </c>
      <c r="AU588" s="7"/>
      <c r="AV588" s="64">
        <v>0.01513561248</v>
      </c>
      <c r="AW588" s="7"/>
      <c r="AX588" s="73">
        <v>0.59</v>
      </c>
      <c r="AY588" s="7"/>
      <c r="AZ588" s="11" t="s">
        <v>162</v>
      </c>
      <c r="BA588" s="68" t="s">
        <v>1303</v>
      </c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68">
        <v>-15.7</v>
      </c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2"/>
      <c r="DK588" s="12"/>
      <c r="DL588" s="12"/>
      <c r="DM588" s="69"/>
      <c r="DN588" s="69"/>
      <c r="DO588" s="69"/>
      <c r="DP588" s="69"/>
      <c r="DQ588" s="11"/>
      <c r="DR588" s="69"/>
      <c r="DS588" s="69"/>
      <c r="DT588" s="69"/>
      <c r="DU588" s="69"/>
      <c r="DV588" s="70">
        <v>-2.49</v>
      </c>
      <c r="DW588" s="10"/>
      <c r="DX588" s="71">
        <v>1.62E-9</v>
      </c>
      <c r="DY588" s="7"/>
      <c r="DZ588" s="64" t="s">
        <v>165</v>
      </c>
      <c r="EA588" s="72" t="s">
        <v>166</v>
      </c>
      <c r="EB588" s="7"/>
    </row>
    <row r="589">
      <c r="A589" s="55" t="s">
        <v>663</v>
      </c>
      <c r="B589" s="55" t="s">
        <v>663</v>
      </c>
      <c r="C589" s="4"/>
      <c r="D589" s="3"/>
      <c r="E589" s="57" t="s">
        <v>137</v>
      </c>
      <c r="F589" s="57" t="s">
        <v>187</v>
      </c>
      <c r="G589" s="58">
        <v>246.859264</v>
      </c>
      <c r="H589" s="58">
        <v>-24.323055</v>
      </c>
      <c r="I589" s="6" t="s">
        <v>158</v>
      </c>
      <c r="J589" s="6" t="s">
        <v>169</v>
      </c>
      <c r="K589" s="58">
        <v>1.0</v>
      </c>
      <c r="L589" s="5"/>
      <c r="M589" s="59"/>
      <c r="N589" s="60"/>
      <c r="O589" s="60"/>
      <c r="P589" s="60"/>
      <c r="Q589" s="60"/>
      <c r="R589" s="60"/>
      <c r="S589" s="60"/>
      <c r="T589" s="60"/>
      <c r="U589" s="5"/>
      <c r="V589" s="5"/>
      <c r="W589" s="61">
        <v>3.1</v>
      </c>
      <c r="X589" s="5"/>
      <c r="Y589" s="62" t="s">
        <v>160</v>
      </c>
      <c r="Z589" s="60"/>
      <c r="AA589" s="60"/>
      <c r="AB589" s="60">
        <v>16.398</v>
      </c>
      <c r="AC589" s="60">
        <v>0.104</v>
      </c>
      <c r="AD589" s="60">
        <v>14.244</v>
      </c>
      <c r="AE589" s="60">
        <v>0.048</v>
      </c>
      <c r="AF589" s="60">
        <v>12.926</v>
      </c>
      <c r="AG589" s="60">
        <v>0.029</v>
      </c>
      <c r="AH589" s="6"/>
      <c r="AI589" s="6"/>
      <c r="AJ589" s="63" t="s">
        <v>160</v>
      </c>
      <c r="AK589" s="64" t="s">
        <v>1302</v>
      </c>
      <c r="AL589" s="64">
        <v>2004.0</v>
      </c>
      <c r="AM589" s="7"/>
      <c r="AN589" s="8"/>
      <c r="AO589" s="13"/>
      <c r="AP589" s="13" t="s">
        <v>334</v>
      </c>
      <c r="AQ589" s="64"/>
      <c r="AR589" s="66">
        <v>2630.267992</v>
      </c>
      <c r="AS589" s="7"/>
      <c r="AT589" s="67">
        <v>0.03467368505</v>
      </c>
      <c r="AU589" s="7"/>
      <c r="AV589" s="64">
        <v>0.01621810097</v>
      </c>
      <c r="AW589" s="7"/>
      <c r="AX589" s="73">
        <v>0.61</v>
      </c>
      <c r="AY589" s="7"/>
      <c r="AZ589" s="11" t="s">
        <v>162</v>
      </c>
      <c r="BA589" s="68" t="s">
        <v>1303</v>
      </c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68" t="s">
        <v>170</v>
      </c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2"/>
      <c r="DK589" s="12"/>
      <c r="DL589" s="12"/>
      <c r="DM589" s="69"/>
      <c r="DN589" s="69"/>
      <c r="DO589" s="69"/>
      <c r="DP589" s="69"/>
      <c r="DQ589" s="11"/>
      <c r="DR589" s="69"/>
      <c r="DS589" s="69"/>
      <c r="DT589" s="69"/>
      <c r="DU589" s="69"/>
      <c r="DV589" s="70">
        <v>-4.07</v>
      </c>
      <c r="DW589" s="10"/>
      <c r="DX589" s="71">
        <v>4.17E-11</v>
      </c>
      <c r="DY589" s="7"/>
      <c r="DZ589" s="64" t="s">
        <v>165</v>
      </c>
      <c r="EA589" s="72" t="s">
        <v>166</v>
      </c>
      <c r="EB589" s="85" t="s">
        <v>1318</v>
      </c>
    </row>
    <row r="590">
      <c r="A590" s="55" t="s">
        <v>636</v>
      </c>
      <c r="B590" s="55" t="s">
        <v>636</v>
      </c>
      <c r="C590" s="4"/>
      <c r="D590" s="4"/>
      <c r="E590" s="4"/>
      <c r="F590" s="57" t="s">
        <v>187</v>
      </c>
      <c r="G590" s="61">
        <v>246.591284583333</v>
      </c>
      <c r="H590" s="61">
        <v>-24.7443666666666</v>
      </c>
      <c r="I590" s="6" t="s">
        <v>158</v>
      </c>
      <c r="J590" s="6" t="s">
        <v>169</v>
      </c>
      <c r="K590" s="58">
        <v>1.0</v>
      </c>
      <c r="L590" s="5"/>
      <c r="M590" s="59">
        <v>2.0</v>
      </c>
      <c r="N590" s="61">
        <v>151.258470474346</v>
      </c>
      <c r="O590" s="61">
        <v>-8.227</v>
      </c>
      <c r="P590" s="61">
        <v>0.457</v>
      </c>
      <c r="Q590" s="61">
        <v>-25.155</v>
      </c>
      <c r="R590" s="61">
        <v>0.347</v>
      </c>
      <c r="S590" s="60"/>
      <c r="T590" s="60"/>
      <c r="U590" s="61">
        <v>2.0</v>
      </c>
      <c r="V590" s="5"/>
      <c r="W590" s="5"/>
      <c r="X590" s="5"/>
      <c r="Y590" s="93" t="s">
        <v>269</v>
      </c>
      <c r="Z590" s="60">
        <v>17.95</v>
      </c>
      <c r="AA590" s="60"/>
      <c r="AB590" s="60">
        <v>12.34</v>
      </c>
      <c r="AC590" s="60">
        <v>0.023</v>
      </c>
      <c r="AD590" s="60">
        <v>11.48</v>
      </c>
      <c r="AE590" s="60">
        <v>0.022</v>
      </c>
      <c r="AF590" s="60">
        <v>10.857</v>
      </c>
      <c r="AG590" s="60">
        <v>0.023</v>
      </c>
      <c r="AH590" s="6"/>
      <c r="AI590" s="6"/>
      <c r="AJ590" s="63" t="s">
        <v>269</v>
      </c>
      <c r="AK590" s="64" t="s">
        <v>637</v>
      </c>
      <c r="AL590" s="97">
        <v>2003.0</v>
      </c>
      <c r="AM590" s="7"/>
      <c r="AN590" s="77">
        <v>150.0</v>
      </c>
      <c r="AO590" s="13"/>
      <c r="AP590" s="64" t="s">
        <v>232</v>
      </c>
      <c r="AQ590" s="97">
        <v>0.5</v>
      </c>
      <c r="AR590" s="66">
        <v>2600.0</v>
      </c>
      <c r="AS590" s="73">
        <v>100.0</v>
      </c>
      <c r="AT590" s="67">
        <v>0.03816793893</v>
      </c>
      <c r="AU590" s="7"/>
      <c r="AV590" s="64">
        <v>0.06025595861</v>
      </c>
      <c r="AW590" s="7"/>
      <c r="AX590" s="73">
        <v>1.21</v>
      </c>
      <c r="AY590" s="7"/>
      <c r="AZ590" s="69" t="s">
        <v>162</v>
      </c>
      <c r="BA590" s="68" t="s">
        <v>1303</v>
      </c>
      <c r="BB590" s="68">
        <v>-50.0</v>
      </c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68">
        <v>-0.4</v>
      </c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68">
        <v>-0.9</v>
      </c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69"/>
      <c r="DN590" s="69"/>
      <c r="DO590" s="69"/>
      <c r="DP590" s="69"/>
      <c r="DQ590" s="11"/>
      <c r="DR590" s="69"/>
      <c r="DS590" s="69"/>
      <c r="DT590" s="69"/>
      <c r="DU590" s="69"/>
      <c r="DV590" s="7"/>
      <c r="DW590" s="10"/>
      <c r="DX590" s="71">
        <v>1.58E-10</v>
      </c>
      <c r="DY590" s="7"/>
      <c r="DZ590" s="64" t="s">
        <v>248</v>
      </c>
      <c r="EA590" s="72" t="s">
        <v>166</v>
      </c>
      <c r="EB590" s="13"/>
    </row>
    <row r="591">
      <c r="A591" s="55" t="s">
        <v>630</v>
      </c>
      <c r="B591" s="170" t="s">
        <v>631</v>
      </c>
      <c r="C591" s="4"/>
      <c r="D591" s="3"/>
      <c r="E591" s="3" t="s">
        <v>137</v>
      </c>
      <c r="F591" s="57" t="s">
        <v>187</v>
      </c>
      <c r="G591" s="61">
        <v>166.819455833333</v>
      </c>
      <c r="H591" s="61">
        <v>-77.5981172222222</v>
      </c>
      <c r="I591" s="6" t="s">
        <v>268</v>
      </c>
      <c r="J591" s="6" t="s">
        <v>169</v>
      </c>
      <c r="K591" s="58">
        <v>2.0</v>
      </c>
      <c r="L591" s="58"/>
      <c r="M591" s="58">
        <v>2.0</v>
      </c>
      <c r="N591" s="61">
        <v>196.803904589467</v>
      </c>
      <c r="O591" s="61">
        <v>-22.448</v>
      </c>
      <c r="P591" s="61">
        <v>0.26</v>
      </c>
      <c r="Q591" s="61">
        <v>1.006</v>
      </c>
      <c r="R591" s="61">
        <v>0.244</v>
      </c>
      <c r="S591" s="60">
        <v>15.5</v>
      </c>
      <c r="T591" s="60">
        <v>0.2</v>
      </c>
      <c r="U591" s="61">
        <v>0.2</v>
      </c>
      <c r="V591" s="5"/>
      <c r="W591" s="5"/>
      <c r="X591" s="5"/>
      <c r="Y591" s="93" t="s">
        <v>269</v>
      </c>
      <c r="Z591" s="60"/>
      <c r="AA591" s="60"/>
      <c r="AB591" s="60">
        <v>13.342</v>
      </c>
      <c r="AC591" s="60">
        <v>0.024</v>
      </c>
      <c r="AD591" s="60">
        <v>12.668</v>
      </c>
      <c r="AE591" s="60">
        <v>0.026</v>
      </c>
      <c r="AF591" s="60">
        <v>12.174</v>
      </c>
      <c r="AG591" s="60">
        <v>0.024</v>
      </c>
      <c r="AH591" s="6"/>
      <c r="AI591" s="6"/>
      <c r="AJ591" s="63" t="s">
        <v>269</v>
      </c>
      <c r="AK591" s="64" t="s">
        <v>637</v>
      </c>
      <c r="AL591" s="97">
        <v>2003.0</v>
      </c>
      <c r="AM591" s="13"/>
      <c r="AN591" s="102">
        <v>160.0</v>
      </c>
      <c r="AO591" s="13"/>
      <c r="AP591" s="64" t="s">
        <v>232</v>
      </c>
      <c r="AQ591" s="97">
        <v>0.5</v>
      </c>
      <c r="AR591" s="66">
        <v>2770.0</v>
      </c>
      <c r="AS591" s="73">
        <v>150.0</v>
      </c>
      <c r="AT591" s="67">
        <v>0.03816793893</v>
      </c>
      <c r="AU591" s="7"/>
      <c r="AV591" s="70">
        <v>0.01096478196</v>
      </c>
      <c r="AW591" s="64">
        <v>1.584893192</v>
      </c>
      <c r="AX591" s="97">
        <v>0.46</v>
      </c>
      <c r="AY591" s="7"/>
      <c r="AZ591" s="11" t="s">
        <v>162</v>
      </c>
      <c r="BA591" s="68" t="s">
        <v>1303</v>
      </c>
      <c r="BB591" s="90">
        <v>-35.0</v>
      </c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68">
        <v>-0.3</v>
      </c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68">
        <v>-1.0</v>
      </c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69"/>
      <c r="DN591" s="69"/>
      <c r="DO591" s="69"/>
      <c r="DP591" s="69"/>
      <c r="DQ591" s="11"/>
      <c r="DR591" s="69"/>
      <c r="DS591" s="69"/>
      <c r="DT591" s="69"/>
      <c r="DU591" s="69"/>
      <c r="DV591" s="13"/>
      <c r="DW591" s="10"/>
      <c r="DX591" s="71">
        <v>3.98E-12</v>
      </c>
      <c r="DY591" s="7"/>
      <c r="DZ591" s="64" t="s">
        <v>248</v>
      </c>
      <c r="EA591" s="72" t="s">
        <v>166</v>
      </c>
      <c r="EB591" s="85" t="s">
        <v>638</v>
      </c>
    </row>
    <row r="592">
      <c r="A592" s="74" t="s">
        <v>667</v>
      </c>
      <c r="B592" s="74" t="s">
        <v>668</v>
      </c>
      <c r="C592" s="4"/>
      <c r="D592" s="3"/>
      <c r="E592" s="57" t="s">
        <v>137</v>
      </c>
      <c r="F592" s="57" t="s">
        <v>187</v>
      </c>
      <c r="G592" s="61">
        <v>167.100237916666</v>
      </c>
      <c r="H592" s="61">
        <v>-77.6583455555555</v>
      </c>
      <c r="I592" s="6" t="s">
        <v>268</v>
      </c>
      <c r="J592" s="6" t="s">
        <v>169</v>
      </c>
      <c r="K592" s="58">
        <v>2.0</v>
      </c>
      <c r="L592" s="5"/>
      <c r="M592" s="59">
        <v>2.0</v>
      </c>
      <c r="N592" s="61">
        <v>194.768517616812</v>
      </c>
      <c r="O592" s="61">
        <v>-22.89</v>
      </c>
      <c r="P592" s="61">
        <v>0.463</v>
      </c>
      <c r="Q592" s="61">
        <v>-0.253</v>
      </c>
      <c r="R592" s="61">
        <v>0.412</v>
      </c>
      <c r="S592" s="60"/>
      <c r="T592" s="60"/>
      <c r="U592" s="61">
        <v>0.1</v>
      </c>
      <c r="V592" s="5"/>
      <c r="W592" s="5"/>
      <c r="X592" s="5"/>
      <c r="Y592" s="93" t="s">
        <v>269</v>
      </c>
      <c r="Z592" s="60"/>
      <c r="AA592" s="60"/>
      <c r="AB592" s="60">
        <v>14.31</v>
      </c>
      <c r="AC592" s="60">
        <v>0.03</v>
      </c>
      <c r="AD592" s="60">
        <v>13.577</v>
      </c>
      <c r="AE592" s="60">
        <v>0.035</v>
      </c>
      <c r="AF592" s="60">
        <v>13.242</v>
      </c>
      <c r="AG592" s="60">
        <v>0.036</v>
      </c>
      <c r="AH592" s="6"/>
      <c r="AI592" s="6"/>
      <c r="AJ592" s="63" t="s">
        <v>269</v>
      </c>
      <c r="AK592" s="64" t="s">
        <v>637</v>
      </c>
      <c r="AL592" s="97">
        <v>2003.0</v>
      </c>
      <c r="AM592" s="13"/>
      <c r="AN592" s="102">
        <v>160.0</v>
      </c>
      <c r="AO592" s="13"/>
      <c r="AP592" s="64" t="s">
        <v>232</v>
      </c>
      <c r="AQ592" s="97">
        <v>0.5</v>
      </c>
      <c r="AR592" s="66">
        <v>2770.0</v>
      </c>
      <c r="AS592" s="73">
        <v>150.0</v>
      </c>
      <c r="AT592" s="67">
        <v>0.03816793893</v>
      </c>
      <c r="AU592" s="7"/>
      <c r="AV592" s="70">
        <v>0.005248074602</v>
      </c>
      <c r="AW592" s="64">
        <v>1.584893192</v>
      </c>
      <c r="AX592" s="13"/>
      <c r="AY592" s="7"/>
      <c r="AZ592" s="11" t="s">
        <v>162</v>
      </c>
      <c r="BA592" s="68" t="s">
        <v>1303</v>
      </c>
      <c r="BB592" s="68"/>
      <c r="BC592" s="11"/>
      <c r="BD592" s="11"/>
      <c r="BE592" s="11"/>
      <c r="BF592" s="11"/>
      <c r="BG592" s="11"/>
      <c r="BH592" s="11"/>
      <c r="BI592" s="12"/>
      <c r="BJ592" s="11"/>
      <c r="BK592" s="11"/>
      <c r="BL592" s="12"/>
      <c r="BM592" s="12"/>
      <c r="BN592" s="12"/>
      <c r="BO592" s="12"/>
      <c r="BP592" s="12"/>
      <c r="BQ592" s="12"/>
      <c r="BR592" s="12"/>
      <c r="BS592" s="12"/>
      <c r="BT592" s="12"/>
      <c r="BU592" s="11"/>
      <c r="BV592" s="11"/>
      <c r="BW592" s="11"/>
      <c r="BX592" s="11"/>
      <c r="BY592" s="11"/>
      <c r="BZ592" s="90">
        <v>-0.3</v>
      </c>
      <c r="CA592" s="11"/>
      <c r="CB592" s="11"/>
      <c r="CC592" s="11"/>
      <c r="CD592" s="11"/>
      <c r="CE592" s="11"/>
      <c r="CF592" s="11"/>
      <c r="CG592" s="11"/>
      <c r="CH592" s="12"/>
      <c r="CI592" s="11"/>
      <c r="CJ592" s="11"/>
      <c r="CK592" s="11"/>
      <c r="CL592" s="90">
        <v>-0.9</v>
      </c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69"/>
      <c r="DN592" s="69"/>
      <c r="DO592" s="69"/>
      <c r="DP592" s="69"/>
      <c r="DQ592" s="11"/>
      <c r="DR592" s="69"/>
      <c r="DS592" s="69"/>
      <c r="DT592" s="69"/>
      <c r="DU592" s="69"/>
      <c r="DV592" s="7"/>
      <c r="DW592" s="10"/>
      <c r="DX592" s="71">
        <v>1.0E-12</v>
      </c>
      <c r="DY592" s="7"/>
      <c r="DZ592" s="64" t="s">
        <v>248</v>
      </c>
      <c r="EA592" s="72" t="s">
        <v>166</v>
      </c>
      <c r="EB592" s="7"/>
    </row>
    <row r="593">
      <c r="A593" s="55" t="s">
        <v>1319</v>
      </c>
      <c r="B593" s="55" t="s">
        <v>1319</v>
      </c>
      <c r="C593" s="3"/>
      <c r="D593" s="3"/>
      <c r="E593" s="3"/>
      <c r="F593" s="57" t="s">
        <v>187</v>
      </c>
      <c r="G593" s="61">
        <v>246.578418749999</v>
      </c>
      <c r="H593" s="61">
        <v>-24.4362558333333</v>
      </c>
      <c r="I593" s="6" t="s">
        <v>158</v>
      </c>
      <c r="J593" s="6" t="s">
        <v>169</v>
      </c>
      <c r="K593" s="58">
        <v>1.0</v>
      </c>
      <c r="L593" s="6"/>
      <c r="M593" s="59"/>
      <c r="N593" s="60"/>
      <c r="O593" s="60"/>
      <c r="P593" s="60"/>
      <c r="Q593" s="60"/>
      <c r="R593" s="60"/>
      <c r="S593" s="60"/>
      <c r="T593" s="60"/>
      <c r="U593" s="61">
        <v>8.0</v>
      </c>
      <c r="V593" s="6"/>
      <c r="W593" s="6"/>
      <c r="X593" s="6"/>
      <c r="Y593" s="93" t="s">
        <v>269</v>
      </c>
      <c r="Z593" s="60"/>
      <c r="AA593" s="60"/>
      <c r="AB593" s="60">
        <v>14.844</v>
      </c>
      <c r="AC593" s="60">
        <v>0.038</v>
      </c>
      <c r="AD593" s="60">
        <v>13.2</v>
      </c>
      <c r="AE593" s="60">
        <v>0.033</v>
      </c>
      <c r="AF593" s="60">
        <v>12.143</v>
      </c>
      <c r="AG593" s="60">
        <v>0.024</v>
      </c>
      <c r="AH593" s="132"/>
      <c r="AI593" s="6"/>
      <c r="AJ593" s="63" t="s">
        <v>269</v>
      </c>
      <c r="AK593" s="64" t="s">
        <v>637</v>
      </c>
      <c r="AL593" s="97">
        <v>2003.0</v>
      </c>
      <c r="AM593" s="13"/>
      <c r="AN593" s="77">
        <v>150.0</v>
      </c>
      <c r="AO593" s="7"/>
      <c r="AP593" s="64" t="s">
        <v>345</v>
      </c>
      <c r="AQ593" s="97">
        <v>0.5</v>
      </c>
      <c r="AR593" s="66">
        <v>2650.0</v>
      </c>
      <c r="AS593" s="97">
        <v>100.0</v>
      </c>
      <c r="AT593" s="67">
        <v>0.03816793893</v>
      </c>
      <c r="AU593" s="92"/>
      <c r="AV593" s="114">
        <v>0.03981071706</v>
      </c>
      <c r="AW593" s="92"/>
      <c r="AX593" s="81">
        <v>0.91</v>
      </c>
      <c r="AY593" s="7"/>
      <c r="AZ593" s="69" t="s">
        <v>162</v>
      </c>
      <c r="BA593" s="68" t="s">
        <v>1303</v>
      </c>
      <c r="BB593" s="68"/>
      <c r="BC593" s="69"/>
      <c r="BD593" s="12"/>
      <c r="BE593" s="12"/>
      <c r="BF593" s="11"/>
      <c r="BG593" s="12"/>
      <c r="BH593" s="12"/>
      <c r="BI593" s="69"/>
      <c r="BJ593" s="12"/>
      <c r="BK593" s="12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8">
        <v>-1.8</v>
      </c>
      <c r="CA593" s="11"/>
      <c r="CB593" s="69"/>
      <c r="CC593" s="11"/>
      <c r="CD593" s="11"/>
      <c r="CE593" s="11"/>
      <c r="CF593" s="11"/>
      <c r="CG593" s="11"/>
      <c r="CH593" s="11"/>
      <c r="CI593" s="69"/>
      <c r="CJ593" s="11"/>
      <c r="CK593" s="11"/>
      <c r="CL593" s="68">
        <v>-1.0</v>
      </c>
      <c r="CM593" s="12"/>
      <c r="CN593" s="69"/>
      <c r="CO593" s="69"/>
      <c r="CP593" s="69"/>
      <c r="CQ593" s="69"/>
      <c r="CR593" s="69"/>
      <c r="CS593" s="69"/>
      <c r="CT593" s="69"/>
      <c r="CU593" s="69"/>
      <c r="CV593" s="12"/>
      <c r="CW593" s="69"/>
      <c r="CX593" s="12"/>
      <c r="CY593" s="69"/>
      <c r="CZ593" s="69"/>
      <c r="DA593" s="12"/>
      <c r="DB593" s="69"/>
      <c r="DC593" s="69"/>
      <c r="DD593" s="69"/>
      <c r="DE593" s="69"/>
      <c r="DF593" s="12"/>
      <c r="DG593" s="12"/>
      <c r="DH593" s="12"/>
      <c r="DI593" s="12"/>
      <c r="DJ593" s="12"/>
      <c r="DK593" s="12"/>
      <c r="DL593" s="12"/>
      <c r="DM593" s="69"/>
      <c r="DN593" s="69"/>
      <c r="DO593" s="69"/>
      <c r="DP593" s="69"/>
      <c r="DQ593" s="12"/>
      <c r="DR593" s="69"/>
      <c r="DS593" s="69"/>
      <c r="DT593" s="69"/>
      <c r="DU593" s="69"/>
      <c r="DV593" s="13"/>
      <c r="DW593" s="10"/>
      <c r="DX593" s="71">
        <v>5.01E-10</v>
      </c>
      <c r="DY593" s="7"/>
      <c r="DZ593" s="64" t="s">
        <v>248</v>
      </c>
      <c r="EA593" s="72" t="s">
        <v>166</v>
      </c>
      <c r="EB593" s="7"/>
    </row>
    <row r="594">
      <c r="A594" s="55" t="s">
        <v>1319</v>
      </c>
      <c r="B594" s="55" t="s">
        <v>1319</v>
      </c>
      <c r="C594" s="4"/>
      <c r="D594" s="3"/>
      <c r="E594" s="3"/>
      <c r="F594" s="57" t="s">
        <v>187</v>
      </c>
      <c r="G594" s="58">
        <v>246.578419</v>
      </c>
      <c r="H594" s="58">
        <v>-24.436256</v>
      </c>
      <c r="I594" s="6" t="s">
        <v>158</v>
      </c>
      <c r="J594" s="6" t="s">
        <v>169</v>
      </c>
      <c r="K594" s="58">
        <v>1.0</v>
      </c>
      <c r="L594" s="5"/>
      <c r="M594" s="59"/>
      <c r="N594" s="60"/>
      <c r="O594" s="60"/>
      <c r="P594" s="60"/>
      <c r="Q594" s="60"/>
      <c r="R594" s="60"/>
      <c r="S594" s="60"/>
      <c r="T594" s="60"/>
      <c r="U594" s="59">
        <v>8.5</v>
      </c>
      <c r="V594" s="5"/>
      <c r="W594" s="61">
        <v>1.8</v>
      </c>
      <c r="X594" s="5"/>
      <c r="Y594" s="62" t="s">
        <v>160</v>
      </c>
      <c r="Z594" s="60"/>
      <c r="AA594" s="60"/>
      <c r="AB594" s="60">
        <v>14.844</v>
      </c>
      <c r="AC594" s="60">
        <v>0.038</v>
      </c>
      <c r="AD594" s="60">
        <v>13.2</v>
      </c>
      <c r="AE594" s="60">
        <v>0.033</v>
      </c>
      <c r="AF594" s="60">
        <v>12.143</v>
      </c>
      <c r="AG594" s="60">
        <v>0.024</v>
      </c>
      <c r="AH594" s="6"/>
      <c r="AI594" s="6"/>
      <c r="AJ594" s="63" t="s">
        <v>160</v>
      </c>
      <c r="AK594" s="64" t="s">
        <v>1302</v>
      </c>
      <c r="AL594" s="64">
        <v>2004.0</v>
      </c>
      <c r="AM594" s="7"/>
      <c r="AN594" s="8"/>
      <c r="AO594" s="13"/>
      <c r="AP594" s="64" t="s">
        <v>345</v>
      </c>
      <c r="AQ594" s="65"/>
      <c r="AR594" s="66">
        <v>2630.267992</v>
      </c>
      <c r="AS594" s="7"/>
      <c r="AT594" s="67">
        <v>0.03981071706</v>
      </c>
      <c r="AU594" s="7"/>
      <c r="AV594" s="64">
        <v>0.02041737945</v>
      </c>
      <c r="AW594" s="7"/>
      <c r="AX594" s="73">
        <v>0.69</v>
      </c>
      <c r="AY594" s="7"/>
      <c r="AZ594" s="11" t="s">
        <v>162</v>
      </c>
      <c r="BA594" s="68" t="s">
        <v>1303</v>
      </c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68">
        <v>-1.8</v>
      </c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2"/>
      <c r="DK594" s="12"/>
      <c r="DL594" s="12"/>
      <c r="DM594" s="69"/>
      <c r="DN594" s="69"/>
      <c r="DO594" s="69"/>
      <c r="DP594" s="69"/>
      <c r="DQ594" s="11"/>
      <c r="DR594" s="69"/>
      <c r="DS594" s="69"/>
      <c r="DT594" s="69"/>
      <c r="DU594" s="69"/>
      <c r="DV594" s="70">
        <v>-3.61</v>
      </c>
      <c r="DW594" s="10"/>
      <c r="DX594" s="71">
        <v>1.17E-10</v>
      </c>
      <c r="DY594" s="7"/>
      <c r="DZ594" s="64" t="s">
        <v>165</v>
      </c>
      <c r="EA594" s="72" t="s">
        <v>166</v>
      </c>
      <c r="EB594" s="82" t="s">
        <v>1304</v>
      </c>
    </row>
    <row r="595">
      <c r="A595" s="55" t="s">
        <v>1319</v>
      </c>
      <c r="B595" s="55" t="s">
        <v>1319</v>
      </c>
      <c r="C595" s="4"/>
      <c r="D595" s="3"/>
      <c r="E595" s="3"/>
      <c r="F595" s="57" t="s">
        <v>187</v>
      </c>
      <c r="G595" s="58">
        <v>246.578419</v>
      </c>
      <c r="H595" s="58">
        <v>-24.436256</v>
      </c>
      <c r="I595" s="6" t="s">
        <v>158</v>
      </c>
      <c r="J595" s="6" t="s">
        <v>169</v>
      </c>
      <c r="K595" s="58">
        <v>1.0</v>
      </c>
      <c r="L595" s="5"/>
      <c r="M595" s="5"/>
      <c r="N595" s="6"/>
      <c r="O595" s="6"/>
      <c r="P595" s="6"/>
      <c r="Q595" s="6"/>
      <c r="R595" s="6"/>
      <c r="S595" s="5"/>
      <c r="T595" s="5"/>
      <c r="U595" s="6">
        <f>W595/0.243</f>
        <v>9.87654321</v>
      </c>
      <c r="V595" s="6">
        <f>U595*SQRT((X595/W595)^2 + (0.004/0.243)^2)</f>
        <v>4.11843648</v>
      </c>
      <c r="W595" s="60">
        <v>2.4</v>
      </c>
      <c r="X595" s="60">
        <v>1.0</v>
      </c>
      <c r="Y595" s="83" t="s">
        <v>1308</v>
      </c>
      <c r="Z595" s="6"/>
      <c r="AA595" s="6"/>
      <c r="AB595" s="58">
        <v>14.84</v>
      </c>
      <c r="AC595" s="60">
        <v>0.038</v>
      </c>
      <c r="AD595" s="61">
        <v>13.2</v>
      </c>
      <c r="AE595" s="61">
        <v>0.033</v>
      </c>
      <c r="AF595" s="59">
        <v>12.14</v>
      </c>
      <c r="AG595" s="60">
        <v>0.024</v>
      </c>
      <c r="AH595" s="6"/>
      <c r="AI595" s="6"/>
      <c r="AJ595" s="76" t="s">
        <v>1309</v>
      </c>
      <c r="AK595" s="64" t="s">
        <v>1310</v>
      </c>
      <c r="AL595" s="64">
        <v>2005.0</v>
      </c>
      <c r="AM595" s="13"/>
      <c r="AN595" s="77">
        <v>150.0</v>
      </c>
      <c r="AO595" s="13"/>
      <c r="AP595" s="13" t="s">
        <v>345</v>
      </c>
      <c r="AQ595" s="97">
        <v>2.0</v>
      </c>
      <c r="AR595" s="78">
        <v>2650.0</v>
      </c>
      <c r="AS595" s="73">
        <v>150.0</v>
      </c>
      <c r="AT595" s="79">
        <v>0.04</v>
      </c>
      <c r="AU595" s="7"/>
      <c r="AV595" s="64">
        <v>0.04</v>
      </c>
      <c r="AW595" s="7"/>
      <c r="AX595" s="70"/>
      <c r="AY595" s="7"/>
      <c r="AZ595" s="11" t="s">
        <v>162</v>
      </c>
      <c r="BA595" s="68" t="s">
        <v>1303</v>
      </c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68">
        <v>1.2</v>
      </c>
      <c r="CA595" s="68">
        <v>0.2</v>
      </c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68">
        <v>1.6</v>
      </c>
      <c r="CM595" s="68">
        <v>0.2</v>
      </c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69"/>
      <c r="DN595" s="69"/>
      <c r="DO595" s="69"/>
      <c r="DP595" s="69"/>
      <c r="DQ595" s="11"/>
      <c r="DR595" s="69"/>
      <c r="DS595" s="69"/>
      <c r="DT595" s="69"/>
      <c r="DU595" s="69"/>
      <c r="DV595" s="7"/>
      <c r="DW595" s="10"/>
      <c r="DX595" s="81">
        <v>2.04E-10</v>
      </c>
      <c r="DY595" s="64"/>
      <c r="DZ595" s="64" t="s">
        <v>1311</v>
      </c>
      <c r="EA595" s="13"/>
      <c r="EB595" s="13"/>
    </row>
    <row r="596">
      <c r="A596" s="74" t="s">
        <v>1320</v>
      </c>
      <c r="B596" s="169" t="s">
        <v>1320</v>
      </c>
      <c r="C596" s="125"/>
      <c r="D596" s="125"/>
      <c r="E596" s="125"/>
      <c r="F596" s="57" t="s">
        <v>187</v>
      </c>
      <c r="G596" s="61">
        <v>246.905946666666</v>
      </c>
      <c r="H596" s="61">
        <v>-24.2985986111111</v>
      </c>
      <c r="I596" s="6" t="s">
        <v>158</v>
      </c>
      <c r="J596" s="6" t="s">
        <v>169</v>
      </c>
      <c r="K596" s="58">
        <v>1.0</v>
      </c>
      <c r="L596" s="59"/>
      <c r="M596" s="59">
        <v>2.0</v>
      </c>
      <c r="N596" s="61">
        <v>142.696100115583</v>
      </c>
      <c r="O596" s="61">
        <v>-4.693</v>
      </c>
      <c r="P596" s="61">
        <v>2.667</v>
      </c>
      <c r="Q596" s="61">
        <v>-26.314</v>
      </c>
      <c r="R596" s="61">
        <v>1.903</v>
      </c>
      <c r="S596" s="60"/>
      <c r="T596" s="60"/>
      <c r="U596" s="61">
        <v>6.0</v>
      </c>
      <c r="V596" s="5"/>
      <c r="W596" s="5"/>
      <c r="X596" s="5"/>
      <c r="Y596" s="93" t="s">
        <v>269</v>
      </c>
      <c r="Z596" s="60"/>
      <c r="AA596" s="60"/>
      <c r="AB596" s="60">
        <v>14.148</v>
      </c>
      <c r="AC596" s="60">
        <v>0.028</v>
      </c>
      <c r="AD596" s="60">
        <v>12.758</v>
      </c>
      <c r="AE596" s="60">
        <v>0.029</v>
      </c>
      <c r="AF596" s="60">
        <v>11.947</v>
      </c>
      <c r="AG596" s="60">
        <v>0.033</v>
      </c>
      <c r="AH596" s="6"/>
      <c r="AI596" s="6"/>
      <c r="AJ596" s="63" t="s">
        <v>269</v>
      </c>
      <c r="AK596" s="64" t="s">
        <v>637</v>
      </c>
      <c r="AL596" s="97">
        <v>2003.0</v>
      </c>
      <c r="AM596" s="7"/>
      <c r="AN596" s="77">
        <v>150.0</v>
      </c>
      <c r="AO596" s="13"/>
      <c r="AP596" s="64" t="s">
        <v>353</v>
      </c>
      <c r="AQ596" s="97">
        <v>0.5</v>
      </c>
      <c r="AR596" s="66">
        <v>2700.0</v>
      </c>
      <c r="AS596" s="73">
        <v>100.0</v>
      </c>
      <c r="AT596" s="67">
        <v>0.0429389313</v>
      </c>
      <c r="AU596" s="130"/>
      <c r="AV596" s="114">
        <v>0.03981071706</v>
      </c>
      <c r="AW596" s="126"/>
      <c r="AX596" s="126"/>
      <c r="AY596" s="130"/>
      <c r="AZ596" s="69" t="s">
        <v>162</v>
      </c>
      <c r="BA596" s="68" t="s">
        <v>1303</v>
      </c>
      <c r="BB596" s="68"/>
      <c r="BC596" s="69"/>
      <c r="BD596" s="105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68">
        <v>-3.3</v>
      </c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68">
        <v>-4.0</v>
      </c>
      <c r="CM596" s="69"/>
      <c r="CN596" s="69"/>
      <c r="CO596" s="69"/>
      <c r="CP596" s="69"/>
      <c r="CQ596" s="69"/>
      <c r="CR596" s="69"/>
      <c r="CS596" s="69"/>
      <c r="CT596" s="11"/>
      <c r="CU596" s="11"/>
      <c r="CV596" s="11"/>
      <c r="CW596" s="69"/>
      <c r="CX596" s="69"/>
      <c r="CY596" s="69"/>
      <c r="CZ596" s="69"/>
      <c r="DA596" s="11"/>
      <c r="DB596" s="69"/>
      <c r="DC596" s="69"/>
      <c r="DD596" s="69"/>
      <c r="DE596" s="69"/>
      <c r="DF596" s="129"/>
      <c r="DG596" s="129"/>
      <c r="DH596" s="129"/>
      <c r="DI596" s="129"/>
      <c r="DJ596" s="11"/>
      <c r="DK596" s="11"/>
      <c r="DL596" s="11"/>
      <c r="DM596" s="69"/>
      <c r="DN596" s="69"/>
      <c r="DO596" s="69"/>
      <c r="DP596" s="69"/>
      <c r="DQ596" s="11"/>
      <c r="DR596" s="69"/>
      <c r="DS596" s="69"/>
      <c r="DT596" s="69"/>
      <c r="DU596" s="69"/>
      <c r="DV596" s="130"/>
      <c r="DW596" s="10"/>
      <c r="DX596" s="71">
        <v>1.0E-9</v>
      </c>
      <c r="DY596" s="130"/>
      <c r="DZ596" s="64" t="s">
        <v>248</v>
      </c>
      <c r="EA596" s="72" t="s">
        <v>166</v>
      </c>
      <c r="EB596" s="131"/>
    </row>
    <row r="597">
      <c r="A597" s="55" t="s">
        <v>1320</v>
      </c>
      <c r="B597" s="55" t="s">
        <v>1320</v>
      </c>
      <c r="C597" s="4"/>
      <c r="D597" s="4"/>
      <c r="E597" s="4"/>
      <c r="F597" s="57" t="s">
        <v>187</v>
      </c>
      <c r="G597" s="58">
        <v>246.9059468</v>
      </c>
      <c r="H597" s="58">
        <v>-24.29859876</v>
      </c>
      <c r="I597" s="6" t="s">
        <v>158</v>
      </c>
      <c r="J597" s="6" t="s">
        <v>169</v>
      </c>
      <c r="K597" s="58">
        <v>1.0</v>
      </c>
      <c r="L597" s="5"/>
      <c r="M597" s="59">
        <v>2.0</v>
      </c>
      <c r="N597" s="61">
        <v>142.696100115583</v>
      </c>
      <c r="O597" s="61">
        <v>-4.693</v>
      </c>
      <c r="P597" s="61">
        <v>2.667</v>
      </c>
      <c r="Q597" s="61">
        <v>-26.314</v>
      </c>
      <c r="R597" s="61">
        <v>1.903</v>
      </c>
      <c r="S597" s="60"/>
      <c r="T597" s="60"/>
      <c r="U597" s="58">
        <v>6.73</v>
      </c>
      <c r="V597" s="5"/>
      <c r="W597" s="61">
        <v>1.5</v>
      </c>
      <c r="X597" s="5"/>
      <c r="Y597" s="62" t="s">
        <v>160</v>
      </c>
      <c r="Z597" s="60"/>
      <c r="AA597" s="60"/>
      <c r="AB597" s="60">
        <v>14.148</v>
      </c>
      <c r="AC597" s="60">
        <v>0.028</v>
      </c>
      <c r="AD597" s="60">
        <v>12.758</v>
      </c>
      <c r="AE597" s="60">
        <v>0.029</v>
      </c>
      <c r="AF597" s="60">
        <v>11.947</v>
      </c>
      <c r="AG597" s="60">
        <v>0.033</v>
      </c>
      <c r="AH597" s="6"/>
      <c r="AI597" s="6"/>
      <c r="AJ597" s="63" t="s">
        <v>160</v>
      </c>
      <c r="AK597" s="64" t="s">
        <v>1302</v>
      </c>
      <c r="AL597" s="64">
        <v>2004.0</v>
      </c>
      <c r="AM597" s="7"/>
      <c r="AN597" s="8"/>
      <c r="AO597" s="13"/>
      <c r="AP597" s="13" t="s">
        <v>232</v>
      </c>
      <c r="AQ597" s="64"/>
      <c r="AR597" s="66">
        <v>2691.534804</v>
      </c>
      <c r="AS597" s="7"/>
      <c r="AT597" s="67">
        <v>0.04677351413</v>
      </c>
      <c r="AU597" s="7"/>
      <c r="AV597" s="64">
        <v>0.02691534804</v>
      </c>
      <c r="AW597" s="7"/>
      <c r="AX597" s="73">
        <v>0.76</v>
      </c>
      <c r="AY597" s="7"/>
      <c r="AZ597" s="11" t="s">
        <v>162</v>
      </c>
      <c r="BA597" s="68" t="s">
        <v>1303</v>
      </c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68">
        <v>-3.3</v>
      </c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2"/>
      <c r="DK597" s="12"/>
      <c r="DL597" s="12"/>
      <c r="DM597" s="69"/>
      <c r="DN597" s="69"/>
      <c r="DO597" s="69"/>
      <c r="DP597" s="69"/>
      <c r="DQ597" s="11"/>
      <c r="DR597" s="69"/>
      <c r="DS597" s="69"/>
      <c r="DT597" s="69"/>
      <c r="DU597" s="69"/>
      <c r="DV597" s="70">
        <v>-3.09</v>
      </c>
      <c r="DW597" s="10"/>
      <c r="DX597" s="71">
        <v>3.63E-10</v>
      </c>
      <c r="DY597" s="7"/>
      <c r="DZ597" s="64" t="s">
        <v>165</v>
      </c>
      <c r="EA597" s="72" t="s">
        <v>166</v>
      </c>
      <c r="EB597" s="85" t="s">
        <v>1304</v>
      </c>
    </row>
    <row r="598">
      <c r="A598" s="87" t="s">
        <v>266</v>
      </c>
      <c r="B598" s="55" t="s">
        <v>267</v>
      </c>
      <c r="C598" s="4"/>
      <c r="D598" s="3"/>
      <c r="E598" s="3" t="s">
        <v>137</v>
      </c>
      <c r="F598" s="57" t="s">
        <v>168</v>
      </c>
      <c r="G598" s="61">
        <v>167.164589999999</v>
      </c>
      <c r="H598" s="61">
        <v>-77.5713186111111</v>
      </c>
      <c r="I598" s="6" t="s">
        <v>268</v>
      </c>
      <c r="J598" s="6" t="s">
        <v>169</v>
      </c>
      <c r="K598" s="58">
        <v>2.0</v>
      </c>
      <c r="L598" s="5"/>
      <c r="M598" s="59">
        <v>2.0</v>
      </c>
      <c r="N598" s="61">
        <v>179.32394871335</v>
      </c>
      <c r="O598" s="61">
        <v>-23.233</v>
      </c>
      <c r="P598" s="61">
        <v>0.232</v>
      </c>
      <c r="Q598" s="61">
        <v>1.443</v>
      </c>
      <c r="R598" s="61">
        <v>0.237</v>
      </c>
      <c r="S598" s="60">
        <v>13.18</v>
      </c>
      <c r="T598" s="60">
        <v>0.84</v>
      </c>
      <c r="U598" s="61">
        <v>0.26</v>
      </c>
      <c r="V598" s="5"/>
      <c r="W598" s="6"/>
      <c r="X598" s="5"/>
      <c r="Y598" s="93" t="s">
        <v>269</v>
      </c>
      <c r="Z598" s="60"/>
      <c r="AA598" s="60"/>
      <c r="AB598" s="60">
        <v>12.263</v>
      </c>
      <c r="AC598" s="60">
        <v>0.027</v>
      </c>
      <c r="AD598" s="60">
        <v>11.479</v>
      </c>
      <c r="AE598" s="60">
        <v>0.024</v>
      </c>
      <c r="AF598" s="60">
        <v>11.038</v>
      </c>
      <c r="AG598" s="60">
        <v>0.027</v>
      </c>
      <c r="AH598" s="6"/>
      <c r="AI598" s="6"/>
      <c r="AJ598" s="63" t="s">
        <v>269</v>
      </c>
      <c r="AK598" s="64" t="s">
        <v>637</v>
      </c>
      <c r="AL598" s="97">
        <v>2003.0</v>
      </c>
      <c r="AM598" s="13"/>
      <c r="AN598" s="102">
        <v>160.0</v>
      </c>
      <c r="AO598" s="13"/>
      <c r="AP598" s="64" t="s">
        <v>345</v>
      </c>
      <c r="AQ598" s="97">
        <v>0.5</v>
      </c>
      <c r="AR598" s="66">
        <v>2840.0</v>
      </c>
      <c r="AS598" s="73">
        <v>150.0</v>
      </c>
      <c r="AT598" s="67">
        <v>0.04770992366</v>
      </c>
      <c r="AU598" s="7"/>
      <c r="AV598" s="70">
        <v>0.02691534804</v>
      </c>
      <c r="AW598" s="64">
        <v>1.584893192</v>
      </c>
      <c r="AX598" s="97">
        <v>0.68</v>
      </c>
      <c r="AY598" s="7"/>
      <c r="AZ598" s="11" t="s">
        <v>162</v>
      </c>
      <c r="BA598" s="68" t="s">
        <v>1303</v>
      </c>
      <c r="BB598" s="90">
        <v>-48.0</v>
      </c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68">
        <v>-0.3</v>
      </c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68">
        <v>-1.0</v>
      </c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69"/>
      <c r="DN598" s="69"/>
      <c r="DO598" s="69"/>
      <c r="DP598" s="69"/>
      <c r="DQ598" s="11"/>
      <c r="DR598" s="69"/>
      <c r="DS598" s="69"/>
      <c r="DT598" s="69"/>
      <c r="DU598" s="69"/>
      <c r="DV598" s="7"/>
      <c r="DW598" s="10"/>
      <c r="DX598" s="71">
        <v>1.58E-11</v>
      </c>
      <c r="DY598" s="13"/>
      <c r="DZ598" s="64" t="s">
        <v>248</v>
      </c>
      <c r="EA598" s="72" t="s">
        <v>166</v>
      </c>
      <c r="EB598" s="92"/>
    </row>
    <row r="599">
      <c r="A599" s="74" t="s">
        <v>1321</v>
      </c>
      <c r="B599" s="169" t="s">
        <v>1321</v>
      </c>
      <c r="C599" s="4"/>
      <c r="D599" s="4"/>
      <c r="E599" s="57" t="s">
        <v>137</v>
      </c>
      <c r="F599" s="57" t="s">
        <v>187</v>
      </c>
      <c r="G599" s="61">
        <v>246.942882499999</v>
      </c>
      <c r="H599" s="61">
        <v>-24.5281288888888</v>
      </c>
      <c r="I599" s="6" t="s">
        <v>158</v>
      </c>
      <c r="J599" s="6" t="s">
        <v>169</v>
      </c>
      <c r="K599" s="58">
        <v>1.0</v>
      </c>
      <c r="L599" s="59"/>
      <c r="M599" s="59">
        <v>2.0</v>
      </c>
      <c r="N599" s="61">
        <v>138.952575485986</v>
      </c>
      <c r="O599" s="61">
        <v>-8.295</v>
      </c>
      <c r="P599" s="61">
        <v>1.389</v>
      </c>
      <c r="Q599" s="61">
        <v>-24.902</v>
      </c>
      <c r="R599" s="61">
        <v>1.018</v>
      </c>
      <c r="S599" s="60"/>
      <c r="T599" s="60"/>
      <c r="U599" s="61">
        <v>7.0</v>
      </c>
      <c r="V599" s="5"/>
      <c r="W599" s="5"/>
      <c r="X599" s="5"/>
      <c r="Y599" s="93" t="s">
        <v>269</v>
      </c>
      <c r="Z599" s="60"/>
      <c r="AA599" s="60"/>
      <c r="AB599" s="60">
        <v>13.834</v>
      </c>
      <c r="AC599" s="60">
        <v>0.023</v>
      </c>
      <c r="AD599" s="60">
        <v>12.208</v>
      </c>
      <c r="AE599" s="60">
        <v>0.024</v>
      </c>
      <c r="AF599" s="60">
        <v>11.323</v>
      </c>
      <c r="AG599" s="60">
        <v>0.021</v>
      </c>
      <c r="AH599" s="6"/>
      <c r="AI599" s="6"/>
      <c r="AJ599" s="63" t="s">
        <v>269</v>
      </c>
      <c r="AK599" s="64" t="s">
        <v>637</v>
      </c>
      <c r="AL599" s="97">
        <v>2003.0</v>
      </c>
      <c r="AM599" s="7"/>
      <c r="AN599" s="77">
        <v>150.0</v>
      </c>
      <c r="AO599" s="13"/>
      <c r="AP599" s="64" t="s">
        <v>353</v>
      </c>
      <c r="AQ599" s="97">
        <v>0.5</v>
      </c>
      <c r="AR599" s="66">
        <v>2650.0</v>
      </c>
      <c r="AS599" s="73">
        <v>100.0</v>
      </c>
      <c r="AT599" s="67">
        <v>0.04770992366</v>
      </c>
      <c r="AU599" s="130"/>
      <c r="AV599" s="114">
        <v>0.07079457844</v>
      </c>
      <c r="AW599" s="126"/>
      <c r="AX599" s="126"/>
      <c r="AY599" s="130"/>
      <c r="AZ599" s="69" t="s">
        <v>162</v>
      </c>
      <c r="BA599" s="68" t="s">
        <v>1303</v>
      </c>
      <c r="BB599" s="68"/>
      <c r="BC599" s="69"/>
      <c r="BD599" s="105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68">
        <v>-0.5</v>
      </c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68">
        <v>-1.3</v>
      </c>
      <c r="CM599" s="69"/>
      <c r="CN599" s="69"/>
      <c r="CO599" s="69"/>
      <c r="CP599" s="69"/>
      <c r="CQ599" s="69"/>
      <c r="CR599" s="69"/>
      <c r="CS599" s="69"/>
      <c r="CT599" s="11"/>
      <c r="CU599" s="11"/>
      <c r="CV599" s="11"/>
      <c r="CW599" s="69"/>
      <c r="CX599" s="69"/>
      <c r="CY599" s="69"/>
      <c r="CZ599" s="69"/>
      <c r="DA599" s="11"/>
      <c r="DB599" s="69"/>
      <c r="DC599" s="69"/>
      <c r="DD599" s="69"/>
      <c r="DE599" s="69"/>
      <c r="DF599" s="129"/>
      <c r="DG599" s="129"/>
      <c r="DH599" s="129"/>
      <c r="DI599" s="129"/>
      <c r="DJ599" s="11"/>
      <c r="DK599" s="11"/>
      <c r="DL599" s="11"/>
      <c r="DM599" s="69"/>
      <c r="DN599" s="69"/>
      <c r="DO599" s="69"/>
      <c r="DP599" s="69"/>
      <c r="DQ599" s="11"/>
      <c r="DR599" s="69"/>
      <c r="DS599" s="69"/>
      <c r="DT599" s="69"/>
      <c r="DU599" s="69"/>
      <c r="DV599" s="130"/>
      <c r="DW599" s="10"/>
      <c r="DX599" s="71">
        <v>2.0E-10</v>
      </c>
      <c r="DY599" s="130"/>
      <c r="DZ599" s="64" t="s">
        <v>248</v>
      </c>
      <c r="EA599" s="72" t="s">
        <v>166</v>
      </c>
      <c r="EB599" s="131"/>
    </row>
    <row r="600">
      <c r="A600" s="55" t="s">
        <v>1320</v>
      </c>
      <c r="B600" s="55" t="s">
        <v>1320</v>
      </c>
      <c r="C600" s="4"/>
      <c r="D600" s="4"/>
      <c r="E600" s="4"/>
      <c r="F600" s="57" t="s">
        <v>1322</v>
      </c>
      <c r="G600" s="58">
        <v>246.9059468</v>
      </c>
      <c r="H600" s="58">
        <v>-24.29859876</v>
      </c>
      <c r="I600" s="6" t="s">
        <v>158</v>
      </c>
      <c r="J600" s="6" t="s">
        <v>169</v>
      </c>
      <c r="K600" s="58">
        <v>1.0</v>
      </c>
      <c r="L600" s="5"/>
      <c r="M600" s="60">
        <v>2.0</v>
      </c>
      <c r="N600" s="58">
        <v>143.0</v>
      </c>
      <c r="O600" s="58">
        <v>-4.693</v>
      </c>
      <c r="P600" s="58">
        <v>2.667</v>
      </c>
      <c r="Q600" s="58">
        <v>-26.314</v>
      </c>
      <c r="R600" s="58">
        <v>1.903</v>
      </c>
      <c r="S600" s="5"/>
      <c r="T600" s="5"/>
      <c r="U600" s="6">
        <f>W600/0.243</f>
        <v>7.818930041</v>
      </c>
      <c r="V600" s="6">
        <f>U600*SQRT((X600/W600)^2 + (0.004/0.243)^2)</f>
        <v>4.117238542</v>
      </c>
      <c r="W600" s="60">
        <v>1.9</v>
      </c>
      <c r="X600" s="60">
        <v>1.0</v>
      </c>
      <c r="Y600" s="83" t="s">
        <v>1308</v>
      </c>
      <c r="Z600" s="6"/>
      <c r="AA600" s="6"/>
      <c r="AB600" s="58">
        <v>14.15</v>
      </c>
      <c r="AC600" s="60">
        <v>0.028</v>
      </c>
      <c r="AD600" s="61">
        <v>12.758</v>
      </c>
      <c r="AE600" s="61">
        <v>0.029</v>
      </c>
      <c r="AF600" s="59">
        <v>11.95</v>
      </c>
      <c r="AG600" s="60">
        <v>0.033</v>
      </c>
      <c r="AH600" s="6"/>
      <c r="AI600" s="6"/>
      <c r="AJ600" s="76" t="s">
        <v>1309</v>
      </c>
      <c r="AK600" s="64" t="s">
        <v>1310</v>
      </c>
      <c r="AL600" s="64">
        <v>2005.0</v>
      </c>
      <c r="AM600" s="13"/>
      <c r="AN600" s="77">
        <v>150.0</v>
      </c>
      <c r="AO600" s="13"/>
      <c r="AP600" s="13" t="s">
        <v>353</v>
      </c>
      <c r="AQ600" s="73">
        <v>2.0</v>
      </c>
      <c r="AR600" s="78">
        <v>2700.0</v>
      </c>
      <c r="AS600" s="73">
        <v>150.0</v>
      </c>
      <c r="AT600" s="79">
        <v>0.05</v>
      </c>
      <c r="AU600" s="7"/>
      <c r="AV600" s="64">
        <v>0.04</v>
      </c>
      <c r="AW600" s="7"/>
      <c r="AX600" s="73">
        <v>0.92</v>
      </c>
      <c r="AY600" s="7"/>
      <c r="AZ600" s="11" t="s">
        <v>162</v>
      </c>
      <c r="BA600" s="68" t="s">
        <v>1303</v>
      </c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68">
        <v>1.2</v>
      </c>
      <c r="CA600" s="68">
        <v>0.2</v>
      </c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68">
        <v>2.3</v>
      </c>
      <c r="CM600" s="68">
        <v>0.4</v>
      </c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69"/>
      <c r="DN600" s="69"/>
      <c r="DO600" s="69"/>
      <c r="DP600" s="69"/>
      <c r="DQ600" s="11"/>
      <c r="DR600" s="69"/>
      <c r="DS600" s="69"/>
      <c r="DT600" s="69"/>
      <c r="DU600" s="69"/>
      <c r="DV600" s="7"/>
      <c r="DW600" s="10"/>
      <c r="DX600" s="81">
        <v>2.24E-10</v>
      </c>
      <c r="DY600" s="64"/>
      <c r="DZ600" s="64" t="s">
        <v>1311</v>
      </c>
      <c r="EA600" s="7"/>
      <c r="EB600" s="7"/>
    </row>
    <row r="601">
      <c r="A601" s="55" t="s">
        <v>657</v>
      </c>
      <c r="B601" s="74" t="s">
        <v>658</v>
      </c>
      <c r="C601" s="4"/>
      <c r="D601" s="4"/>
      <c r="E601" s="4" t="s">
        <v>137</v>
      </c>
      <c r="F601" s="57" t="s">
        <v>187</v>
      </c>
      <c r="G601" s="61">
        <v>166.967737916666</v>
      </c>
      <c r="H601" s="61">
        <v>-77.6158458333333</v>
      </c>
      <c r="I601" s="6" t="s">
        <v>268</v>
      </c>
      <c r="J601" s="6" t="s">
        <v>169</v>
      </c>
      <c r="K601" s="58">
        <v>2.0</v>
      </c>
      <c r="L601" s="5"/>
      <c r="M601" s="59">
        <v>2.0</v>
      </c>
      <c r="N601" s="61">
        <v>196.633632216454</v>
      </c>
      <c r="O601" s="61">
        <v>-23.142</v>
      </c>
      <c r="P601" s="61">
        <v>0.195</v>
      </c>
      <c r="Q601" s="61">
        <v>1.438</v>
      </c>
      <c r="R601" s="61">
        <v>0.187</v>
      </c>
      <c r="S601" s="60">
        <v>11.98</v>
      </c>
      <c r="T601" s="60">
        <v>1.29</v>
      </c>
      <c r="U601" s="61">
        <v>0.3</v>
      </c>
      <c r="V601" s="5"/>
      <c r="W601" s="5"/>
      <c r="X601" s="5"/>
      <c r="Y601" s="93" t="s">
        <v>269</v>
      </c>
      <c r="Z601" s="60"/>
      <c r="AA601" s="60"/>
      <c r="AB601" s="60">
        <v>12.292</v>
      </c>
      <c r="AC601" s="60">
        <v>0.024</v>
      </c>
      <c r="AD601" s="60">
        <v>11.52</v>
      </c>
      <c r="AE601" s="60">
        <v>0.023</v>
      </c>
      <c r="AF601" s="60">
        <v>11.097</v>
      </c>
      <c r="AG601" s="60">
        <v>0.019</v>
      </c>
      <c r="AH601" s="6"/>
      <c r="AI601" s="6"/>
      <c r="AJ601" s="63" t="s">
        <v>269</v>
      </c>
      <c r="AK601" s="64" t="s">
        <v>637</v>
      </c>
      <c r="AL601" s="97">
        <v>2003.0</v>
      </c>
      <c r="AM601" s="13"/>
      <c r="AN601" s="102">
        <v>160.0</v>
      </c>
      <c r="AO601" s="13"/>
      <c r="AP601" s="64" t="s">
        <v>345</v>
      </c>
      <c r="AQ601" s="97">
        <v>0.5</v>
      </c>
      <c r="AR601" s="66">
        <v>2840.0</v>
      </c>
      <c r="AS601" s="73">
        <v>150.0</v>
      </c>
      <c r="AT601" s="67">
        <v>0.0572519084</v>
      </c>
      <c r="AU601" s="7"/>
      <c r="AV601" s="70">
        <v>0.03467368505</v>
      </c>
      <c r="AW601" s="64">
        <v>1.584893192</v>
      </c>
      <c r="AX601" s="97">
        <v>0.77</v>
      </c>
      <c r="AY601" s="7"/>
      <c r="AZ601" s="11" t="s">
        <v>162</v>
      </c>
      <c r="BA601" s="68" t="s">
        <v>1303</v>
      </c>
      <c r="BB601" s="68">
        <v>-10.0</v>
      </c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90">
        <v>-0.9</v>
      </c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90">
        <v>-1.2</v>
      </c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92"/>
      <c r="DW601" s="10"/>
      <c r="DX601" s="71">
        <v>7.94E-11</v>
      </c>
      <c r="DY601" s="7"/>
      <c r="DZ601" s="64" t="s">
        <v>248</v>
      </c>
      <c r="EA601" s="72" t="s">
        <v>166</v>
      </c>
      <c r="EB601" s="13"/>
    </row>
    <row r="602">
      <c r="A602" s="55" t="s">
        <v>659</v>
      </c>
      <c r="B602" s="171" t="s">
        <v>659</v>
      </c>
      <c r="C602" s="125"/>
      <c r="D602" s="125"/>
      <c r="E602" s="125"/>
      <c r="F602" s="4" t="s">
        <v>187</v>
      </c>
      <c r="G602" s="61">
        <v>246.777468333333</v>
      </c>
      <c r="H602" s="61">
        <v>-24.6969119444444</v>
      </c>
      <c r="I602" s="6" t="s">
        <v>158</v>
      </c>
      <c r="J602" s="6" t="s">
        <v>169</v>
      </c>
      <c r="K602" s="58">
        <v>1.0</v>
      </c>
      <c r="L602" s="59"/>
      <c r="M602" s="59">
        <v>2.0</v>
      </c>
      <c r="N602" s="61">
        <v>142.122168215798</v>
      </c>
      <c r="O602" s="61">
        <v>-5.694</v>
      </c>
      <c r="P602" s="61">
        <v>0.291</v>
      </c>
      <c r="Q602" s="61">
        <v>-25.03</v>
      </c>
      <c r="R602" s="61">
        <v>0.197</v>
      </c>
      <c r="S602" s="60"/>
      <c r="T602" s="60"/>
      <c r="U602" s="61">
        <v>3.0</v>
      </c>
      <c r="V602" s="5"/>
      <c r="W602" s="5"/>
      <c r="X602" s="5"/>
      <c r="Y602" s="93" t="s">
        <v>269</v>
      </c>
      <c r="Z602" s="60">
        <v>17.57</v>
      </c>
      <c r="AA602" s="60"/>
      <c r="AB602" s="60">
        <v>12.433</v>
      </c>
      <c r="AC602" s="60">
        <v>0.024</v>
      </c>
      <c r="AD602" s="60">
        <v>11.397</v>
      </c>
      <c r="AE602" s="60">
        <v>0.024</v>
      </c>
      <c r="AF602" s="60">
        <v>10.766</v>
      </c>
      <c r="AG602" s="60">
        <v>0.021</v>
      </c>
      <c r="AH602" s="6"/>
      <c r="AI602" s="6"/>
      <c r="AJ602" s="63" t="s">
        <v>269</v>
      </c>
      <c r="AK602" s="64" t="s">
        <v>637</v>
      </c>
      <c r="AL602" s="97">
        <v>2003.0</v>
      </c>
      <c r="AM602" s="7"/>
      <c r="AN602" s="77">
        <v>150.0</v>
      </c>
      <c r="AO602" s="13"/>
      <c r="AP602" s="64" t="s">
        <v>353</v>
      </c>
      <c r="AQ602" s="97">
        <v>0.5</v>
      </c>
      <c r="AR602" s="66">
        <v>2700.0</v>
      </c>
      <c r="AS602" s="73">
        <v>100.0</v>
      </c>
      <c r="AT602" s="67">
        <v>0.0572519084</v>
      </c>
      <c r="AU602" s="130"/>
      <c r="AV602" s="114">
        <v>0.07943282347</v>
      </c>
      <c r="AW602" s="126"/>
      <c r="AX602" s="73">
        <v>1.29</v>
      </c>
      <c r="AY602" s="130"/>
      <c r="AZ602" s="69" t="s">
        <v>162</v>
      </c>
      <c r="BA602" s="68" t="s">
        <v>1303</v>
      </c>
      <c r="BB602" s="68">
        <v>-40.0</v>
      </c>
      <c r="BC602" s="69"/>
      <c r="BD602" s="105"/>
      <c r="BE602" s="11"/>
      <c r="BF602" s="11"/>
      <c r="BG602" s="11"/>
      <c r="BH602" s="11" t="s">
        <v>660</v>
      </c>
      <c r="BI602" s="11"/>
      <c r="BJ602" s="11"/>
      <c r="BK602" s="11"/>
      <c r="BL602" s="11" t="s">
        <v>660</v>
      </c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68">
        <v>-2.0</v>
      </c>
      <c r="CA602" s="11"/>
      <c r="CB602" s="11"/>
      <c r="CC602" s="11"/>
      <c r="CD602" s="11" t="s">
        <v>660</v>
      </c>
      <c r="CE602" s="11"/>
      <c r="CF602" s="11" t="s">
        <v>660</v>
      </c>
      <c r="CG602" s="11"/>
      <c r="CH602" s="11"/>
      <c r="CI602" s="11"/>
      <c r="CJ602" s="11"/>
      <c r="CK602" s="11"/>
      <c r="CL602" s="68">
        <v>-1.0</v>
      </c>
      <c r="CM602" s="69"/>
      <c r="CN602" s="69"/>
      <c r="CO602" s="69"/>
      <c r="CP602" s="69"/>
      <c r="CQ602" s="69"/>
      <c r="CR602" s="69"/>
      <c r="CS602" s="69"/>
      <c r="CT602" s="11"/>
      <c r="CU602" s="11"/>
      <c r="CV602" s="11" t="s">
        <v>660</v>
      </c>
      <c r="CW602" s="69"/>
      <c r="CX602" s="69"/>
      <c r="CY602" s="69"/>
      <c r="CZ602" s="69" t="s">
        <v>660</v>
      </c>
      <c r="DA602" s="11"/>
      <c r="DB602" s="69"/>
      <c r="DC602" s="69"/>
      <c r="DD602" s="69"/>
      <c r="DE602" s="69"/>
      <c r="DF602" s="129"/>
      <c r="DG602" s="129"/>
      <c r="DH602" s="129" t="s">
        <v>660</v>
      </c>
      <c r="DI602" s="129"/>
      <c r="DJ602" s="11"/>
      <c r="DK602" s="11" t="s">
        <v>660</v>
      </c>
      <c r="DL602" s="11"/>
      <c r="DM602" s="69"/>
      <c r="DN602" s="69"/>
      <c r="DO602" s="69"/>
      <c r="DP602" s="69"/>
      <c r="DQ602" s="11"/>
      <c r="DR602" s="69"/>
      <c r="DS602" s="69"/>
      <c r="DT602" s="69"/>
      <c r="DU602" s="69"/>
      <c r="DV602" s="130" t="s">
        <v>660</v>
      </c>
      <c r="DW602" s="10"/>
      <c r="DX602" s="71">
        <v>1.26E-9</v>
      </c>
      <c r="DY602" s="130"/>
      <c r="DZ602" s="64" t="s">
        <v>248</v>
      </c>
      <c r="EA602" s="72" t="s">
        <v>166</v>
      </c>
      <c r="EB602" s="131" t="s">
        <v>660</v>
      </c>
    </row>
    <row r="603">
      <c r="A603" s="55" t="s">
        <v>273</v>
      </c>
      <c r="B603" s="55" t="s">
        <v>661</v>
      </c>
      <c r="C603" s="4"/>
      <c r="D603" s="4"/>
      <c r="E603" s="4"/>
      <c r="F603" s="57" t="s">
        <v>187</v>
      </c>
      <c r="G603" s="61">
        <v>246.589745416666</v>
      </c>
      <c r="H603" s="61">
        <v>-24.4336111111111</v>
      </c>
      <c r="I603" s="6" t="s">
        <v>158</v>
      </c>
      <c r="J603" s="6" t="s">
        <v>169</v>
      </c>
      <c r="K603" s="58">
        <v>1.0</v>
      </c>
      <c r="L603" s="5"/>
      <c r="M603" s="59">
        <v>2.0</v>
      </c>
      <c r="N603" s="61">
        <v>136.593361562628</v>
      </c>
      <c r="O603" s="61">
        <v>-9.05</v>
      </c>
      <c r="P603" s="61">
        <v>0.403</v>
      </c>
      <c r="Q603" s="61">
        <v>-25.287</v>
      </c>
      <c r="R603" s="61">
        <v>0.25</v>
      </c>
      <c r="S603" s="60"/>
      <c r="T603" s="60"/>
      <c r="U603" s="61">
        <v>3.0</v>
      </c>
      <c r="V603" s="5"/>
      <c r="W603" s="5"/>
      <c r="X603" s="5"/>
      <c r="Y603" s="93" t="s">
        <v>269</v>
      </c>
      <c r="Z603" s="60">
        <v>18.3</v>
      </c>
      <c r="AA603" s="60"/>
      <c r="AB603" s="60">
        <v>12.57</v>
      </c>
      <c r="AC603" s="60">
        <v>0.022</v>
      </c>
      <c r="AD603" s="60">
        <v>11.518</v>
      </c>
      <c r="AE603" s="60">
        <v>0.026</v>
      </c>
      <c r="AF603" s="60">
        <v>10.918</v>
      </c>
      <c r="AG603" s="60">
        <v>0.023</v>
      </c>
      <c r="AH603" s="6"/>
      <c r="AI603" s="6"/>
      <c r="AJ603" s="63" t="s">
        <v>269</v>
      </c>
      <c r="AK603" s="64" t="s">
        <v>637</v>
      </c>
      <c r="AL603" s="97">
        <v>2003.0</v>
      </c>
      <c r="AM603" s="7"/>
      <c r="AN603" s="77">
        <v>150.0</v>
      </c>
      <c r="AO603" s="13"/>
      <c r="AP603" s="64" t="s">
        <v>353</v>
      </c>
      <c r="AQ603" s="97">
        <v>0.5</v>
      </c>
      <c r="AR603" s="66">
        <v>2700.0</v>
      </c>
      <c r="AS603" s="73">
        <v>100.0</v>
      </c>
      <c r="AT603" s="67">
        <v>0.0572519084</v>
      </c>
      <c r="AU603" s="7"/>
      <c r="AV603" s="64">
        <v>0.07079457844</v>
      </c>
      <c r="AW603" s="7"/>
      <c r="AX603" s="73">
        <v>1.22</v>
      </c>
      <c r="AY603" s="7"/>
      <c r="AZ603" s="69" t="s">
        <v>162</v>
      </c>
      <c r="BA603" s="68" t="s">
        <v>1303</v>
      </c>
      <c r="BB603" s="68">
        <v>-30.0</v>
      </c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68">
        <v>-0.3</v>
      </c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68">
        <v>-1.0</v>
      </c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69"/>
      <c r="DN603" s="69"/>
      <c r="DO603" s="69"/>
      <c r="DP603" s="69"/>
      <c r="DQ603" s="11"/>
      <c r="DR603" s="69"/>
      <c r="DS603" s="69"/>
      <c r="DT603" s="69"/>
      <c r="DU603" s="69"/>
      <c r="DV603" s="7"/>
      <c r="DW603" s="10"/>
      <c r="DX603" s="71">
        <v>7.94E-11</v>
      </c>
      <c r="DY603" s="7"/>
      <c r="DZ603" s="64" t="s">
        <v>248</v>
      </c>
      <c r="EA603" s="72" t="s">
        <v>166</v>
      </c>
      <c r="EB603" s="13"/>
    </row>
    <row r="604">
      <c r="A604" s="74" t="s">
        <v>1323</v>
      </c>
      <c r="B604" s="169" t="s">
        <v>1323</v>
      </c>
      <c r="C604" s="125"/>
      <c r="D604" s="125"/>
      <c r="E604" s="125"/>
      <c r="F604" s="57" t="s">
        <v>187</v>
      </c>
      <c r="G604" s="61">
        <v>246.910949999999</v>
      </c>
      <c r="H604" s="61">
        <v>-24.6442305555555</v>
      </c>
      <c r="I604" s="6" t="s">
        <v>158</v>
      </c>
      <c r="J604" s="6" t="s">
        <v>169</v>
      </c>
      <c r="K604" s="58">
        <v>1.0</v>
      </c>
      <c r="L604" s="59"/>
      <c r="M604" s="59">
        <v>2.0</v>
      </c>
      <c r="N604" s="61">
        <v>142.663528069049</v>
      </c>
      <c r="O604" s="61">
        <v>-6.904</v>
      </c>
      <c r="P604" s="61">
        <v>1.086</v>
      </c>
      <c r="Q604" s="61">
        <v>-24.646</v>
      </c>
      <c r="R604" s="61">
        <v>0.719</v>
      </c>
      <c r="S604" s="60"/>
      <c r="T604" s="60"/>
      <c r="U604" s="61">
        <v>6.0</v>
      </c>
      <c r="V604" s="5"/>
      <c r="W604" s="5"/>
      <c r="X604" s="5"/>
      <c r="Y604" s="93" t="s">
        <v>269</v>
      </c>
      <c r="Z604" s="60"/>
      <c r="AA604" s="60"/>
      <c r="AB604" s="60">
        <v>13.271</v>
      </c>
      <c r="AC604" s="60">
        <v>0.026</v>
      </c>
      <c r="AD604" s="60">
        <v>11.932</v>
      </c>
      <c r="AE604" s="60">
        <v>0.024</v>
      </c>
      <c r="AF604" s="60">
        <v>11.076</v>
      </c>
      <c r="AG604" s="60">
        <v>0.025</v>
      </c>
      <c r="AH604" s="6"/>
      <c r="AI604" s="6"/>
      <c r="AJ604" s="63" t="s">
        <v>269</v>
      </c>
      <c r="AK604" s="64" t="s">
        <v>637</v>
      </c>
      <c r="AL604" s="97">
        <v>2003.0</v>
      </c>
      <c r="AM604" s="7"/>
      <c r="AN604" s="77">
        <v>150.0</v>
      </c>
      <c r="AO604" s="13"/>
      <c r="AP604" s="64" t="s">
        <v>353</v>
      </c>
      <c r="AQ604" s="97">
        <v>0.5</v>
      </c>
      <c r="AR604" s="66">
        <v>2700.0</v>
      </c>
      <c r="AS604" s="73">
        <v>100.0</v>
      </c>
      <c r="AT604" s="67">
        <v>0.0572519084</v>
      </c>
      <c r="AU604" s="130"/>
      <c r="AV604" s="114">
        <v>0.08912509381</v>
      </c>
      <c r="AW604" s="126"/>
      <c r="AX604" s="126"/>
      <c r="AY604" s="130"/>
      <c r="AZ604" s="69" t="s">
        <v>162</v>
      </c>
      <c r="BA604" s="68" t="s">
        <v>1303</v>
      </c>
      <c r="BB604" s="68"/>
      <c r="BC604" s="69"/>
      <c r="BD604" s="105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68">
        <v>-0.8</v>
      </c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68">
        <v>-1.6</v>
      </c>
      <c r="CM604" s="69"/>
      <c r="CN604" s="69"/>
      <c r="CO604" s="69"/>
      <c r="CP604" s="69"/>
      <c r="CQ604" s="69"/>
      <c r="CR604" s="69"/>
      <c r="CS604" s="69"/>
      <c r="CT604" s="11"/>
      <c r="CU604" s="11"/>
      <c r="CV604" s="11"/>
      <c r="CW604" s="69"/>
      <c r="CX604" s="69"/>
      <c r="CY604" s="69"/>
      <c r="CZ604" s="69"/>
      <c r="DA604" s="11"/>
      <c r="DB604" s="69"/>
      <c r="DC604" s="69"/>
      <c r="DD604" s="69"/>
      <c r="DE604" s="69"/>
      <c r="DF604" s="129"/>
      <c r="DG604" s="129"/>
      <c r="DH604" s="129"/>
      <c r="DI604" s="129"/>
      <c r="DJ604" s="11"/>
      <c r="DK604" s="11"/>
      <c r="DL604" s="11"/>
      <c r="DM604" s="69"/>
      <c r="DN604" s="69"/>
      <c r="DO604" s="69"/>
      <c r="DP604" s="69"/>
      <c r="DQ604" s="11"/>
      <c r="DR604" s="69"/>
      <c r="DS604" s="69"/>
      <c r="DT604" s="69"/>
      <c r="DU604" s="69"/>
      <c r="DV604" s="130"/>
      <c r="DW604" s="10"/>
      <c r="DX604" s="71">
        <v>5.01E-10</v>
      </c>
      <c r="DY604" s="130"/>
      <c r="DZ604" s="64" t="s">
        <v>248</v>
      </c>
      <c r="EA604" s="72" t="s">
        <v>166</v>
      </c>
      <c r="EB604" s="131"/>
    </row>
    <row r="605">
      <c r="A605" s="74" t="s">
        <v>1324</v>
      </c>
      <c r="B605" s="169" t="s">
        <v>1324</v>
      </c>
      <c r="C605" s="4"/>
      <c r="D605" s="4"/>
      <c r="E605" s="4"/>
      <c r="F605" s="57" t="s">
        <v>187</v>
      </c>
      <c r="G605" s="61">
        <v>247.053015416666</v>
      </c>
      <c r="H605" s="61">
        <v>-24.1932563888888</v>
      </c>
      <c r="I605" s="6" t="s">
        <v>158</v>
      </c>
      <c r="J605" s="6" t="s">
        <v>169</v>
      </c>
      <c r="K605" s="58">
        <v>1.0</v>
      </c>
      <c r="L605" s="59"/>
      <c r="M605" s="59">
        <v>2.0</v>
      </c>
      <c r="N605" s="61">
        <v>151.742765663647</v>
      </c>
      <c r="O605" s="61">
        <v>-6.087</v>
      </c>
      <c r="P605" s="61">
        <v>1.051</v>
      </c>
      <c r="Q605" s="61">
        <v>-26.409</v>
      </c>
      <c r="R605" s="61">
        <v>0.76</v>
      </c>
      <c r="S605" s="60"/>
      <c r="T605" s="60"/>
      <c r="U605" s="61">
        <v>7.5</v>
      </c>
      <c r="V605" s="5"/>
      <c r="W605" s="5"/>
      <c r="X605" s="5"/>
      <c r="Y605" s="93" t="s">
        <v>269</v>
      </c>
      <c r="Z605" s="60"/>
      <c r="AA605" s="60"/>
      <c r="AB605" s="60">
        <v>13.611</v>
      </c>
      <c r="AC605" s="60">
        <v>0.026</v>
      </c>
      <c r="AD605" s="60">
        <v>12.018</v>
      </c>
      <c r="AE605" s="60">
        <v>0.024</v>
      </c>
      <c r="AF605" s="60">
        <v>11.086</v>
      </c>
      <c r="AG605" s="60">
        <v>0.024</v>
      </c>
      <c r="AH605" s="6"/>
      <c r="AI605" s="6"/>
      <c r="AJ605" s="63" t="s">
        <v>269</v>
      </c>
      <c r="AK605" s="64" t="s">
        <v>637</v>
      </c>
      <c r="AL605" s="97">
        <v>2003.0</v>
      </c>
      <c r="AM605" s="7"/>
      <c r="AN605" s="77">
        <v>150.0</v>
      </c>
      <c r="AO605" s="13"/>
      <c r="AP605" s="64" t="s">
        <v>353</v>
      </c>
      <c r="AQ605" s="97">
        <v>0.5</v>
      </c>
      <c r="AR605" s="66">
        <v>2650.0</v>
      </c>
      <c r="AS605" s="73">
        <v>100.0</v>
      </c>
      <c r="AT605" s="67">
        <v>0.0572519084</v>
      </c>
      <c r="AU605" s="130"/>
      <c r="AV605" s="114">
        <v>0.1</v>
      </c>
      <c r="AW605" s="126"/>
      <c r="AX605" s="126"/>
      <c r="AY605" s="130"/>
      <c r="AZ605" s="69" t="s">
        <v>162</v>
      </c>
      <c r="BA605" s="68" t="s">
        <v>1303</v>
      </c>
      <c r="BB605" s="68"/>
      <c r="BC605" s="69"/>
      <c r="BD605" s="105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68">
        <v>-1.8</v>
      </c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68">
        <v>-2.9</v>
      </c>
      <c r="CM605" s="69"/>
      <c r="CN605" s="69"/>
      <c r="CO605" s="69"/>
      <c r="CP605" s="69"/>
      <c r="CQ605" s="69"/>
      <c r="CR605" s="69"/>
      <c r="CS605" s="69"/>
      <c r="CT605" s="11"/>
      <c r="CU605" s="11"/>
      <c r="CV605" s="11"/>
      <c r="CW605" s="69"/>
      <c r="CX605" s="69"/>
      <c r="CY605" s="69"/>
      <c r="CZ605" s="69"/>
      <c r="DA605" s="11"/>
      <c r="DB605" s="69"/>
      <c r="DC605" s="69"/>
      <c r="DD605" s="69"/>
      <c r="DE605" s="69"/>
      <c r="DF605" s="129"/>
      <c r="DG605" s="129"/>
      <c r="DH605" s="129"/>
      <c r="DI605" s="129"/>
      <c r="DJ605" s="11"/>
      <c r="DK605" s="11"/>
      <c r="DL605" s="11"/>
      <c r="DM605" s="69"/>
      <c r="DN605" s="69"/>
      <c r="DO605" s="69"/>
      <c r="DP605" s="69"/>
      <c r="DQ605" s="11"/>
      <c r="DR605" s="69"/>
      <c r="DS605" s="69"/>
      <c r="DT605" s="69"/>
      <c r="DU605" s="69"/>
      <c r="DV605" s="130"/>
      <c r="DW605" s="10"/>
      <c r="DX605" s="71">
        <v>1.26E-9</v>
      </c>
      <c r="DY605" s="130"/>
      <c r="DZ605" s="64" t="s">
        <v>248</v>
      </c>
      <c r="EA605" s="72" t="s">
        <v>166</v>
      </c>
      <c r="EB605" s="131"/>
    </row>
    <row r="606">
      <c r="A606" s="55" t="s">
        <v>636</v>
      </c>
      <c r="B606" s="55" t="s">
        <v>636</v>
      </c>
      <c r="C606" s="4"/>
      <c r="D606" s="4"/>
      <c r="E606" s="4"/>
      <c r="F606" s="4" t="s">
        <v>187</v>
      </c>
      <c r="G606" s="58">
        <v>246.5912848</v>
      </c>
      <c r="H606" s="58">
        <v>-24.74436689</v>
      </c>
      <c r="I606" s="6" t="s">
        <v>158</v>
      </c>
      <c r="J606" s="6" t="s">
        <v>169</v>
      </c>
      <c r="K606" s="58">
        <v>1.0</v>
      </c>
      <c r="L606" s="5"/>
      <c r="M606" s="59">
        <v>2.0</v>
      </c>
      <c r="N606" s="61">
        <v>151.258470474346</v>
      </c>
      <c r="O606" s="61">
        <v>-8.227</v>
      </c>
      <c r="P606" s="61">
        <v>0.457</v>
      </c>
      <c r="Q606" s="61">
        <v>-25.155</v>
      </c>
      <c r="R606" s="61">
        <v>0.347</v>
      </c>
      <c r="S606" s="60"/>
      <c r="T606" s="60"/>
      <c r="U606" s="59">
        <v>2.0</v>
      </c>
      <c r="V606" s="5"/>
      <c r="W606" s="61">
        <v>0.0</v>
      </c>
      <c r="X606" s="5"/>
      <c r="Y606" s="62" t="s">
        <v>160</v>
      </c>
      <c r="Z606" s="60">
        <v>17.95</v>
      </c>
      <c r="AA606" s="60"/>
      <c r="AB606" s="60">
        <v>12.34</v>
      </c>
      <c r="AC606" s="60">
        <v>0.023</v>
      </c>
      <c r="AD606" s="60">
        <v>11.48</v>
      </c>
      <c r="AE606" s="60">
        <v>0.022</v>
      </c>
      <c r="AF606" s="60">
        <v>10.857</v>
      </c>
      <c r="AG606" s="60">
        <v>0.023</v>
      </c>
      <c r="AH606" s="6"/>
      <c r="AI606" s="6"/>
      <c r="AJ606" s="63" t="s">
        <v>160</v>
      </c>
      <c r="AK606" s="64" t="s">
        <v>1302</v>
      </c>
      <c r="AL606" s="64">
        <v>2004.0</v>
      </c>
      <c r="AM606" s="7"/>
      <c r="AN606" s="8"/>
      <c r="AO606" s="13"/>
      <c r="AP606" s="13" t="s">
        <v>217</v>
      </c>
      <c r="AQ606" s="64"/>
      <c r="AR606" s="66">
        <v>2691.534804</v>
      </c>
      <c r="AS606" s="7"/>
      <c r="AT606" s="67">
        <v>0.05754399373</v>
      </c>
      <c r="AU606" s="7"/>
      <c r="AV606" s="64">
        <v>0.03715352291</v>
      </c>
      <c r="AW606" s="7"/>
      <c r="AX606" s="73">
        <v>0.89</v>
      </c>
      <c r="AY606" s="7"/>
      <c r="AZ606" s="11" t="s">
        <v>162</v>
      </c>
      <c r="BA606" s="68" t="s">
        <v>1303</v>
      </c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68">
        <v>-0.4</v>
      </c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2"/>
      <c r="DK606" s="12"/>
      <c r="DL606" s="12"/>
      <c r="DM606" s="69"/>
      <c r="DN606" s="69"/>
      <c r="DO606" s="69"/>
      <c r="DP606" s="69"/>
      <c r="DQ606" s="11"/>
      <c r="DR606" s="69"/>
      <c r="DS606" s="69"/>
      <c r="DT606" s="69"/>
      <c r="DU606" s="69"/>
      <c r="DV606" s="70">
        <v>-4.17</v>
      </c>
      <c r="DW606" s="10"/>
      <c r="DX606" s="71">
        <v>2.88E-11</v>
      </c>
      <c r="DY606" s="7"/>
      <c r="DZ606" s="64" t="s">
        <v>165</v>
      </c>
      <c r="EA606" s="72" t="s">
        <v>166</v>
      </c>
      <c r="EB606" s="85" t="s">
        <v>1304</v>
      </c>
    </row>
    <row r="607">
      <c r="A607" s="55" t="s">
        <v>659</v>
      </c>
      <c r="B607" s="171" t="s">
        <v>659</v>
      </c>
      <c r="C607" s="125"/>
      <c r="D607" s="125"/>
      <c r="E607" s="125"/>
      <c r="F607" s="4" t="s">
        <v>187</v>
      </c>
      <c r="G607" s="58">
        <v>246.7774686</v>
      </c>
      <c r="H607" s="58">
        <v>-24.69691214</v>
      </c>
      <c r="I607" s="6" t="s">
        <v>158</v>
      </c>
      <c r="J607" s="6" t="s">
        <v>169</v>
      </c>
      <c r="K607" s="58">
        <v>1.0</v>
      </c>
      <c r="L607" s="59"/>
      <c r="M607" s="59">
        <v>2.0</v>
      </c>
      <c r="N607" s="58">
        <v>142.1221682</v>
      </c>
      <c r="O607" s="59">
        <v>-5.694</v>
      </c>
      <c r="P607" s="59">
        <v>0.291</v>
      </c>
      <c r="Q607" s="59">
        <v>-25.03</v>
      </c>
      <c r="R607" s="59">
        <v>0.196999999999999</v>
      </c>
      <c r="S607" s="5"/>
      <c r="T607" s="5"/>
      <c r="U607" s="6">
        <f t="shared" ref="U607:U610" si="36">W607/0.243</f>
        <v>3.703703704</v>
      </c>
      <c r="V607" s="6">
        <f t="shared" ref="V607:V610" si="37">U607*SQRT((X607/W607)^2 + (0.004/0.243)^2)</f>
        <v>4.115677915</v>
      </c>
      <c r="W607" s="60">
        <v>0.9</v>
      </c>
      <c r="X607" s="60">
        <v>1.0</v>
      </c>
      <c r="Y607" s="83" t="s">
        <v>1308</v>
      </c>
      <c r="Z607" s="58">
        <v>17.57</v>
      </c>
      <c r="AA607" s="6"/>
      <c r="AB607" s="59">
        <v>12.43</v>
      </c>
      <c r="AC607" s="60">
        <v>0.024</v>
      </c>
      <c r="AD607" s="61">
        <v>11.397</v>
      </c>
      <c r="AE607" s="61">
        <v>0.024</v>
      </c>
      <c r="AF607" s="59">
        <v>10.77</v>
      </c>
      <c r="AG607" s="60">
        <v>0.021</v>
      </c>
      <c r="AH607" s="6"/>
      <c r="AI607" s="6"/>
      <c r="AJ607" s="76" t="s">
        <v>1309</v>
      </c>
      <c r="AK607" s="64" t="s">
        <v>1310</v>
      </c>
      <c r="AL607" s="64">
        <v>2005.0</v>
      </c>
      <c r="AM607" s="13"/>
      <c r="AN607" s="77">
        <v>150.0</v>
      </c>
      <c r="AO607" s="13"/>
      <c r="AP607" s="13" t="s">
        <v>353</v>
      </c>
      <c r="AQ607" s="130" t="s">
        <v>1325</v>
      </c>
      <c r="AR607" s="78">
        <v>2700.0</v>
      </c>
      <c r="AS607" s="73">
        <v>150.0</v>
      </c>
      <c r="AT607" s="79">
        <v>0.06</v>
      </c>
      <c r="AU607" s="130" t="s">
        <v>660</v>
      </c>
      <c r="AV607" s="172">
        <v>0.08</v>
      </c>
      <c r="AW607" s="130"/>
      <c r="AX607" s="172"/>
      <c r="AY607" s="173"/>
      <c r="AZ607" s="11" t="s">
        <v>162</v>
      </c>
      <c r="BA607" s="68" t="s">
        <v>1303</v>
      </c>
      <c r="BB607" s="129" t="s">
        <v>660</v>
      </c>
      <c r="BC607" s="11"/>
      <c r="BD607" s="11"/>
      <c r="BE607" s="11"/>
      <c r="BF607" s="11"/>
      <c r="BG607" s="11"/>
      <c r="BH607" s="11" t="s">
        <v>660</v>
      </c>
      <c r="BI607" s="11"/>
      <c r="BJ607" s="11"/>
      <c r="BK607" s="11"/>
      <c r="BL607" s="11" t="s">
        <v>660</v>
      </c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128">
        <v>1.4</v>
      </c>
      <c r="CA607" s="174">
        <v>0.3</v>
      </c>
      <c r="CB607" s="128">
        <v>4.68E-15</v>
      </c>
      <c r="CC607" s="11"/>
      <c r="CD607" s="11" t="s">
        <v>660</v>
      </c>
      <c r="CE607" s="11"/>
      <c r="CF607" s="11" t="s">
        <v>660</v>
      </c>
      <c r="CG607" s="11"/>
      <c r="CH607" s="11"/>
      <c r="CI607" s="11"/>
      <c r="CJ607" s="11"/>
      <c r="CK607" s="11"/>
      <c r="CL607" s="105">
        <v>1.8</v>
      </c>
      <c r="CM607" s="95">
        <v>0.3</v>
      </c>
      <c r="CN607" s="105">
        <v>3.81E-15</v>
      </c>
      <c r="CO607" s="105"/>
      <c r="CP607" s="105"/>
      <c r="CQ607" s="105"/>
      <c r="CR607" s="105"/>
      <c r="CS607" s="105"/>
      <c r="CT607" s="11"/>
      <c r="CU607" s="11"/>
      <c r="CV607" s="11" t="s">
        <v>660</v>
      </c>
      <c r="CW607" s="11"/>
      <c r="CX607" s="11"/>
      <c r="CY607" s="11"/>
      <c r="CZ607" s="11" t="s">
        <v>660</v>
      </c>
      <c r="DA607" s="11"/>
      <c r="DB607" s="11"/>
      <c r="DC607" s="11"/>
      <c r="DD607" s="11"/>
      <c r="DE607" s="11"/>
      <c r="DF607" s="11"/>
      <c r="DG607" s="11"/>
      <c r="DH607" s="11" t="s">
        <v>660</v>
      </c>
      <c r="DI607" s="11"/>
      <c r="DJ607" s="129"/>
      <c r="DK607" s="129" t="s">
        <v>660</v>
      </c>
      <c r="DL607" s="129"/>
      <c r="DM607" s="129"/>
      <c r="DN607" s="129"/>
      <c r="DO607" s="129"/>
      <c r="DP607" s="129"/>
      <c r="DQ607" s="11"/>
      <c r="DR607" s="129"/>
      <c r="DS607" s="129"/>
      <c r="DT607" s="129"/>
      <c r="DU607" s="129"/>
      <c r="DV607" s="126" t="s">
        <v>660</v>
      </c>
      <c r="DW607" s="10"/>
      <c r="DX607" s="81">
        <v>6.76E-10</v>
      </c>
      <c r="DY607" s="64"/>
      <c r="DZ607" s="64" t="s">
        <v>1311</v>
      </c>
      <c r="EA607" s="126"/>
      <c r="EB607" s="126" t="s">
        <v>660</v>
      </c>
    </row>
    <row r="608">
      <c r="A608" s="55" t="s">
        <v>273</v>
      </c>
      <c r="B608" s="55" t="s">
        <v>661</v>
      </c>
      <c r="C608" s="4"/>
      <c r="D608" s="3"/>
      <c r="E608" s="3" t="s">
        <v>137</v>
      </c>
      <c r="F608" s="57" t="s">
        <v>187</v>
      </c>
      <c r="G608" s="58">
        <v>246.5897456</v>
      </c>
      <c r="H608" s="58">
        <v>-24.43361126</v>
      </c>
      <c r="I608" s="6" t="s">
        <v>158</v>
      </c>
      <c r="J608" s="6" t="s">
        <v>169</v>
      </c>
      <c r="K608" s="58">
        <v>1.0</v>
      </c>
      <c r="L608" s="5"/>
      <c r="M608" s="60">
        <v>2.0</v>
      </c>
      <c r="N608" s="58">
        <v>137.0</v>
      </c>
      <c r="O608" s="58">
        <v>-9.05</v>
      </c>
      <c r="P608" s="58">
        <v>0.403</v>
      </c>
      <c r="Q608" s="58">
        <v>-25.287</v>
      </c>
      <c r="R608" s="58">
        <v>0.25</v>
      </c>
      <c r="S608" s="5"/>
      <c r="T608" s="5"/>
      <c r="U608" s="6">
        <f t="shared" si="36"/>
        <v>3.703703704</v>
      </c>
      <c r="V608" s="6">
        <f t="shared" si="37"/>
        <v>4.115677915</v>
      </c>
      <c r="W608" s="60">
        <v>0.9</v>
      </c>
      <c r="X608" s="60">
        <v>1.0</v>
      </c>
      <c r="Y608" s="83" t="s">
        <v>1308</v>
      </c>
      <c r="Z608" s="58">
        <v>18.3</v>
      </c>
      <c r="AA608" s="6"/>
      <c r="AB608" s="59">
        <v>12.57</v>
      </c>
      <c r="AC608" s="60">
        <v>0.022</v>
      </c>
      <c r="AD608" s="61">
        <v>11.518</v>
      </c>
      <c r="AE608" s="61">
        <v>0.026</v>
      </c>
      <c r="AF608" s="59">
        <v>10.92</v>
      </c>
      <c r="AG608" s="60">
        <v>0.023</v>
      </c>
      <c r="AH608" s="6"/>
      <c r="AI608" s="6"/>
      <c r="AJ608" s="76" t="s">
        <v>1309</v>
      </c>
      <c r="AK608" s="64" t="s">
        <v>1310</v>
      </c>
      <c r="AL608" s="64">
        <v>2005.0</v>
      </c>
      <c r="AM608" s="7"/>
      <c r="AN608" s="77">
        <v>150.0</v>
      </c>
      <c r="AO608" s="13"/>
      <c r="AP608" s="13" t="s">
        <v>353</v>
      </c>
      <c r="AQ608" s="97">
        <v>2.0</v>
      </c>
      <c r="AR608" s="78">
        <v>2700.0</v>
      </c>
      <c r="AS608" s="73">
        <v>150.0</v>
      </c>
      <c r="AT608" s="79">
        <v>0.06</v>
      </c>
      <c r="AU608" s="7"/>
      <c r="AV608" s="64">
        <v>0.07</v>
      </c>
      <c r="AW608" s="7"/>
      <c r="AX608" s="73"/>
      <c r="AY608" s="7"/>
      <c r="AZ608" s="11" t="s">
        <v>162</v>
      </c>
      <c r="BA608" s="68" t="s">
        <v>1303</v>
      </c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68">
        <v>0.9</v>
      </c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68">
        <v>6.0</v>
      </c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69"/>
      <c r="DN608" s="69"/>
      <c r="DO608" s="69"/>
      <c r="DP608" s="69"/>
      <c r="DQ608" s="11"/>
      <c r="DR608" s="69"/>
      <c r="DS608" s="69"/>
      <c r="DT608" s="69"/>
      <c r="DU608" s="69"/>
      <c r="DV608" s="7"/>
      <c r="DW608" s="10"/>
      <c r="DX608" s="81">
        <v>2.88E-10</v>
      </c>
      <c r="DY608" s="64"/>
      <c r="DZ608" s="64" t="s">
        <v>1311</v>
      </c>
      <c r="EA608" s="13"/>
      <c r="EB608" s="13"/>
    </row>
    <row r="609">
      <c r="A609" s="55" t="s">
        <v>241</v>
      </c>
      <c r="B609" s="55" t="s">
        <v>1323</v>
      </c>
      <c r="C609" s="4"/>
      <c r="D609" s="4"/>
      <c r="E609" s="4" t="s">
        <v>137</v>
      </c>
      <c r="F609" s="57" t="s">
        <v>187</v>
      </c>
      <c r="G609" s="58">
        <v>246.9109504</v>
      </c>
      <c r="H609" s="58">
        <v>-24.64423075</v>
      </c>
      <c r="I609" s="6" t="s">
        <v>158</v>
      </c>
      <c r="J609" s="6" t="s">
        <v>169</v>
      </c>
      <c r="K609" s="58">
        <v>1.0</v>
      </c>
      <c r="L609" s="5"/>
      <c r="M609" s="60">
        <v>2.0</v>
      </c>
      <c r="N609" s="58">
        <v>143.0</v>
      </c>
      <c r="O609" s="58">
        <v>-6.904</v>
      </c>
      <c r="P609" s="58">
        <v>1.086</v>
      </c>
      <c r="Q609" s="58">
        <v>-24.646</v>
      </c>
      <c r="R609" s="58">
        <v>0.719</v>
      </c>
      <c r="S609" s="5"/>
      <c r="T609" s="5"/>
      <c r="U609" s="6">
        <f t="shared" si="36"/>
        <v>7.818930041</v>
      </c>
      <c r="V609" s="6">
        <f t="shared" si="37"/>
        <v>4.117238542</v>
      </c>
      <c r="W609" s="60">
        <v>1.9</v>
      </c>
      <c r="X609" s="60">
        <v>1.0</v>
      </c>
      <c r="Y609" s="83" t="s">
        <v>1308</v>
      </c>
      <c r="Z609" s="6"/>
      <c r="AA609" s="6"/>
      <c r="AB609" s="58">
        <v>13.27</v>
      </c>
      <c r="AC609" s="60">
        <v>0.026</v>
      </c>
      <c r="AD609" s="61">
        <v>11.932</v>
      </c>
      <c r="AE609" s="61">
        <v>0.024</v>
      </c>
      <c r="AF609" s="59">
        <v>11.08</v>
      </c>
      <c r="AG609" s="60">
        <v>0.025</v>
      </c>
      <c r="AH609" s="6"/>
      <c r="AI609" s="6"/>
      <c r="AJ609" s="76" t="s">
        <v>1309</v>
      </c>
      <c r="AK609" s="64" t="s">
        <v>1310</v>
      </c>
      <c r="AL609" s="64">
        <v>2005.0</v>
      </c>
      <c r="AM609" s="13"/>
      <c r="AN609" s="77">
        <v>150.0</v>
      </c>
      <c r="AO609" s="13"/>
      <c r="AP609" s="13" t="s">
        <v>353</v>
      </c>
      <c r="AQ609" s="7"/>
      <c r="AR609" s="78">
        <v>2700.0</v>
      </c>
      <c r="AS609" s="73">
        <v>150.0</v>
      </c>
      <c r="AT609" s="79">
        <v>0.06</v>
      </c>
      <c r="AU609" s="7"/>
      <c r="AV609" s="64">
        <v>0.09</v>
      </c>
      <c r="AW609" s="7"/>
      <c r="AX609" s="73">
        <v>1.37</v>
      </c>
      <c r="AY609" s="7"/>
      <c r="AZ609" s="11" t="s">
        <v>162</v>
      </c>
      <c r="BA609" s="68" t="s">
        <v>1303</v>
      </c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68">
        <v>0.3</v>
      </c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68">
        <v>2.8</v>
      </c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69"/>
      <c r="DN609" s="69"/>
      <c r="DO609" s="69"/>
      <c r="DP609" s="69"/>
      <c r="DQ609" s="11"/>
      <c r="DR609" s="69"/>
      <c r="DS609" s="69"/>
      <c r="DT609" s="69"/>
      <c r="DU609" s="69"/>
      <c r="DV609" s="7"/>
      <c r="DW609" s="10"/>
      <c r="DX609" s="81">
        <v>4.07E-10</v>
      </c>
      <c r="DY609" s="64"/>
      <c r="DZ609" s="64" t="s">
        <v>1311</v>
      </c>
      <c r="EA609" s="7"/>
      <c r="EB609" s="7"/>
    </row>
    <row r="610">
      <c r="A610" s="55" t="s">
        <v>1324</v>
      </c>
      <c r="B610" s="55" t="s">
        <v>1324</v>
      </c>
      <c r="C610" s="4"/>
      <c r="D610" s="4"/>
      <c r="E610" s="4"/>
      <c r="F610" s="57" t="s">
        <v>187</v>
      </c>
      <c r="G610" s="58">
        <v>247.0530155</v>
      </c>
      <c r="H610" s="58">
        <v>-24.1932566</v>
      </c>
      <c r="I610" s="6" t="s">
        <v>158</v>
      </c>
      <c r="J610" s="6" t="s">
        <v>169</v>
      </c>
      <c r="K610" s="58">
        <v>1.0</v>
      </c>
      <c r="L610" s="5"/>
      <c r="M610" s="60">
        <v>2.0</v>
      </c>
      <c r="N610" s="58">
        <v>151.7427657</v>
      </c>
      <c r="O610" s="58">
        <v>-6.087</v>
      </c>
      <c r="P610" s="58">
        <v>1.051</v>
      </c>
      <c r="Q610" s="58">
        <v>-26.409</v>
      </c>
      <c r="R610" s="58">
        <v>0.76</v>
      </c>
      <c r="S610" s="5"/>
      <c r="T610" s="5"/>
      <c r="U610" s="6">
        <f t="shared" si="36"/>
        <v>9.465020576</v>
      </c>
      <c r="V610" s="6">
        <f t="shared" si="37"/>
        <v>4.118174635</v>
      </c>
      <c r="W610" s="60">
        <v>2.3</v>
      </c>
      <c r="X610" s="60">
        <v>1.0</v>
      </c>
      <c r="Y610" s="83" t="s">
        <v>1308</v>
      </c>
      <c r="Z610" s="6"/>
      <c r="AA610" s="6"/>
      <c r="AB610" s="59">
        <v>13.61</v>
      </c>
      <c r="AC610" s="60">
        <v>0.026</v>
      </c>
      <c r="AD610" s="61">
        <v>12.018</v>
      </c>
      <c r="AE610" s="61">
        <v>0.024</v>
      </c>
      <c r="AF610" s="59">
        <v>11.09</v>
      </c>
      <c r="AG610" s="60">
        <v>0.024</v>
      </c>
      <c r="AH610" s="6"/>
      <c r="AI610" s="6"/>
      <c r="AJ610" s="76" t="s">
        <v>1309</v>
      </c>
      <c r="AK610" s="64" t="s">
        <v>1310</v>
      </c>
      <c r="AL610" s="64">
        <v>2005.0</v>
      </c>
      <c r="AM610" s="7"/>
      <c r="AN610" s="77">
        <v>150.0</v>
      </c>
      <c r="AO610" s="13"/>
      <c r="AP610" s="13" t="s">
        <v>353</v>
      </c>
      <c r="AQ610" s="13"/>
      <c r="AR610" s="78">
        <v>2650.0</v>
      </c>
      <c r="AS610" s="73">
        <v>150.0</v>
      </c>
      <c r="AT610" s="79">
        <v>0.06</v>
      </c>
      <c r="AU610" s="7"/>
      <c r="AV610" s="64">
        <v>0.1</v>
      </c>
      <c r="AW610" s="7"/>
      <c r="AX610" s="7"/>
      <c r="AY610" s="7"/>
      <c r="AZ610" s="11" t="s">
        <v>162</v>
      </c>
      <c r="BA610" s="68" t="s">
        <v>1303</v>
      </c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68">
        <v>1.7</v>
      </c>
      <c r="CA610" s="68">
        <v>0.2</v>
      </c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68">
        <v>1.9</v>
      </c>
      <c r="CM610" s="68">
        <v>0.4</v>
      </c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69"/>
      <c r="DN610" s="69"/>
      <c r="DO610" s="69"/>
      <c r="DP610" s="69"/>
      <c r="DQ610" s="11"/>
      <c r="DR610" s="69"/>
      <c r="DS610" s="69"/>
      <c r="DT610" s="69"/>
      <c r="DU610" s="69"/>
      <c r="DV610" s="7"/>
      <c r="DW610" s="10"/>
      <c r="DX610" s="81">
        <v>1.32E-9</v>
      </c>
      <c r="DY610" s="64"/>
      <c r="DZ610" s="64" t="s">
        <v>1311</v>
      </c>
      <c r="EA610" s="13"/>
      <c r="EB610" s="13"/>
    </row>
    <row r="611">
      <c r="A611" s="55" t="s">
        <v>1326</v>
      </c>
      <c r="B611" s="55" t="s">
        <v>1326</v>
      </c>
      <c r="C611" s="4"/>
      <c r="D611" s="4"/>
      <c r="E611" s="4"/>
      <c r="F611" s="57" t="s">
        <v>187</v>
      </c>
      <c r="G611" s="58">
        <v>246.912269</v>
      </c>
      <c r="H611" s="58">
        <v>-24.672409</v>
      </c>
      <c r="I611" s="6" t="s">
        <v>158</v>
      </c>
      <c r="J611" s="6" t="s">
        <v>257</v>
      </c>
      <c r="K611" s="58">
        <v>1.0</v>
      </c>
      <c r="L611" s="5"/>
      <c r="M611" s="59"/>
      <c r="N611" s="60"/>
      <c r="O611" s="60">
        <v>-2.5</v>
      </c>
      <c r="P611" s="60">
        <v>0.6</v>
      </c>
      <c r="Q611" s="60">
        <v>-16.7</v>
      </c>
      <c r="R611" s="60">
        <v>0.6</v>
      </c>
      <c r="S611" s="60"/>
      <c r="T611" s="60"/>
      <c r="U611" s="59">
        <v>14.8</v>
      </c>
      <c r="V611" s="5"/>
      <c r="W611" s="61">
        <v>4.2</v>
      </c>
      <c r="X611" s="5"/>
      <c r="Y611" s="62" t="s">
        <v>160</v>
      </c>
      <c r="Z611" s="60"/>
      <c r="AA611" s="60"/>
      <c r="AB611" s="60">
        <v>16.541</v>
      </c>
      <c r="AC611" s="60">
        <v>0.127</v>
      </c>
      <c r="AD611" s="60">
        <v>13.907</v>
      </c>
      <c r="AE611" s="60">
        <v>0.043</v>
      </c>
      <c r="AF611" s="60">
        <v>12.286</v>
      </c>
      <c r="AG611" s="60">
        <v>0.025</v>
      </c>
      <c r="AH611" s="6"/>
      <c r="AI611" s="6"/>
      <c r="AJ611" s="63" t="s">
        <v>160</v>
      </c>
      <c r="AK611" s="64" t="s">
        <v>1302</v>
      </c>
      <c r="AL611" s="64">
        <v>2004.0</v>
      </c>
      <c r="AM611" s="7"/>
      <c r="AN611" s="8"/>
      <c r="AO611" s="13"/>
      <c r="AP611" s="13" t="s">
        <v>1285</v>
      </c>
      <c r="AQ611" s="64"/>
      <c r="AR611" s="66">
        <v>2754.228703</v>
      </c>
      <c r="AS611" s="7"/>
      <c r="AT611" s="67">
        <v>0.06309573445</v>
      </c>
      <c r="AU611" s="7"/>
      <c r="AV611" s="64">
        <v>0.04466835922</v>
      </c>
      <c r="AW611" s="7"/>
      <c r="AX611" s="73">
        <v>0.93</v>
      </c>
      <c r="AY611" s="7"/>
      <c r="AZ611" s="11" t="s">
        <v>162</v>
      </c>
      <c r="BA611" s="68" t="s">
        <v>1303</v>
      </c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68">
        <v>-9.6</v>
      </c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2"/>
      <c r="DK611" s="12"/>
      <c r="DL611" s="12"/>
      <c r="DM611" s="69"/>
      <c r="DN611" s="69"/>
      <c r="DO611" s="69"/>
      <c r="DP611" s="69"/>
      <c r="DQ611" s="11"/>
      <c r="DR611" s="69"/>
      <c r="DS611" s="69"/>
      <c r="DT611" s="69"/>
      <c r="DU611" s="69"/>
      <c r="DV611" s="70">
        <v>-2.2</v>
      </c>
      <c r="DW611" s="10"/>
      <c r="DX611" s="71">
        <v>2.63E-9</v>
      </c>
      <c r="DY611" s="7"/>
      <c r="DZ611" s="64" t="s">
        <v>165</v>
      </c>
      <c r="EA611" s="72" t="s">
        <v>166</v>
      </c>
      <c r="EB611" s="82" t="s">
        <v>1304</v>
      </c>
    </row>
    <row r="612">
      <c r="A612" s="133" t="s">
        <v>281</v>
      </c>
      <c r="B612" s="133" t="s">
        <v>282</v>
      </c>
      <c r="C612" s="135"/>
      <c r="D612" s="136"/>
      <c r="E612" s="136"/>
      <c r="F612" s="137" t="s">
        <v>168</v>
      </c>
      <c r="G612" s="138">
        <v>166.926433333333</v>
      </c>
      <c r="H612" s="138">
        <v>-77.5664947222222</v>
      </c>
      <c r="I612" s="139" t="s">
        <v>268</v>
      </c>
      <c r="J612" s="139" t="s">
        <v>169</v>
      </c>
      <c r="K612" s="140">
        <v>2.0</v>
      </c>
      <c r="L612" s="141"/>
      <c r="M612" s="142"/>
      <c r="N612" s="143"/>
      <c r="O612" s="143"/>
      <c r="P612" s="143"/>
      <c r="Q612" s="143"/>
      <c r="R612" s="143"/>
      <c r="S612" s="143">
        <v>12.4</v>
      </c>
      <c r="T612" s="143">
        <v>1.68</v>
      </c>
      <c r="U612" s="138">
        <v>0.8</v>
      </c>
      <c r="V612" s="141"/>
      <c r="W612" s="141"/>
      <c r="X612" s="141"/>
      <c r="Y612" s="144" t="s">
        <v>269</v>
      </c>
      <c r="Z612" s="143"/>
      <c r="AA612" s="143"/>
      <c r="AB612" s="143">
        <v>12.21</v>
      </c>
      <c r="AC612" s="143">
        <v>0.024</v>
      </c>
      <c r="AD612" s="143">
        <v>11.243</v>
      </c>
      <c r="AE612" s="143">
        <v>0.026</v>
      </c>
      <c r="AF612" s="143">
        <v>10.675</v>
      </c>
      <c r="AG612" s="143">
        <v>0.021</v>
      </c>
      <c r="AH612" s="139"/>
      <c r="AI612" s="139"/>
      <c r="AJ612" s="145" t="s">
        <v>269</v>
      </c>
      <c r="AK612" s="146" t="s">
        <v>637</v>
      </c>
      <c r="AL612" s="147">
        <v>2003.0</v>
      </c>
      <c r="AM612" s="148"/>
      <c r="AN612" s="149">
        <v>160.0</v>
      </c>
      <c r="AO612" s="148"/>
      <c r="AP612" s="146" t="s">
        <v>217</v>
      </c>
      <c r="AQ612" s="147">
        <v>0.5</v>
      </c>
      <c r="AR612" s="150">
        <v>2910.0</v>
      </c>
      <c r="AS612" s="151">
        <v>150.0</v>
      </c>
      <c r="AT612" s="152">
        <v>0.06679389313</v>
      </c>
      <c r="AU612" s="153"/>
      <c r="AV612" s="146">
        <v>0.03388441561</v>
      </c>
      <c r="AW612" s="146">
        <v>1.584893192</v>
      </c>
      <c r="AX612" s="147">
        <v>0.73</v>
      </c>
      <c r="AY612" s="153"/>
      <c r="AZ612" s="154" t="s">
        <v>162</v>
      </c>
      <c r="BA612" s="155" t="s">
        <v>1303</v>
      </c>
      <c r="BB612" s="155">
        <v>-33.0</v>
      </c>
      <c r="BC612" s="154"/>
      <c r="BD612" s="154"/>
      <c r="BE612" s="154"/>
      <c r="BF612" s="154"/>
      <c r="BG612" s="154"/>
      <c r="BH612" s="154"/>
      <c r="BI612" s="175"/>
      <c r="BJ612" s="154"/>
      <c r="BK612" s="154"/>
      <c r="BL612" s="175"/>
      <c r="BM612" s="175"/>
      <c r="BN612" s="175"/>
      <c r="BO612" s="175"/>
      <c r="BP612" s="175"/>
      <c r="BQ612" s="175"/>
      <c r="BR612" s="175"/>
      <c r="BS612" s="175"/>
      <c r="BT612" s="175"/>
      <c r="BU612" s="154"/>
      <c r="BV612" s="154"/>
      <c r="BW612" s="154"/>
      <c r="BX612" s="154"/>
      <c r="BY612" s="154"/>
      <c r="BZ612" s="156">
        <v>-0.3</v>
      </c>
      <c r="CA612" s="157"/>
      <c r="CB612" s="176"/>
      <c r="CC612" s="154"/>
      <c r="CD612" s="154"/>
      <c r="CE612" s="154"/>
      <c r="CF612" s="154"/>
      <c r="CG612" s="154"/>
      <c r="CH612" s="154"/>
      <c r="CI612" s="154"/>
      <c r="CJ612" s="154"/>
      <c r="CK612" s="154"/>
      <c r="CL612" s="156">
        <v>-1.5</v>
      </c>
      <c r="CM612" s="154"/>
      <c r="CN612" s="154"/>
      <c r="CO612" s="154"/>
      <c r="CP612" s="154"/>
      <c r="CQ612" s="154"/>
      <c r="CR612" s="154"/>
      <c r="CS612" s="154"/>
      <c r="CT612" s="154"/>
      <c r="CU612" s="154"/>
      <c r="CV612" s="154"/>
      <c r="CW612" s="154"/>
      <c r="CX612" s="154"/>
      <c r="CY612" s="154"/>
      <c r="CZ612" s="154"/>
      <c r="DA612" s="154"/>
      <c r="DB612" s="154"/>
      <c r="DC612" s="154"/>
      <c r="DD612" s="154"/>
      <c r="DE612" s="154"/>
      <c r="DF612" s="154"/>
      <c r="DG612" s="154"/>
      <c r="DH612" s="154"/>
      <c r="DI612" s="154"/>
      <c r="DJ612" s="154"/>
      <c r="DK612" s="154"/>
      <c r="DL612" s="154"/>
      <c r="DM612" s="157"/>
      <c r="DN612" s="157"/>
      <c r="DO612" s="157"/>
      <c r="DP612" s="157"/>
      <c r="DQ612" s="154"/>
      <c r="DR612" s="157"/>
      <c r="DS612" s="157"/>
      <c r="DT612" s="157"/>
      <c r="DU612" s="157"/>
      <c r="DV612" s="153"/>
      <c r="DW612" s="158"/>
      <c r="DX612" s="159">
        <v>1.58E-11</v>
      </c>
      <c r="DY612" s="160"/>
      <c r="DZ612" s="146" t="s">
        <v>248</v>
      </c>
      <c r="EA612" s="161" t="s">
        <v>166</v>
      </c>
      <c r="EB612" s="160"/>
    </row>
    <row r="613">
      <c r="A613" s="74" t="s">
        <v>1327</v>
      </c>
      <c r="B613" s="74" t="s">
        <v>1328</v>
      </c>
      <c r="C613" s="4"/>
      <c r="D613" s="3"/>
      <c r="E613" s="57" t="s">
        <v>137</v>
      </c>
      <c r="F613" s="57" t="s">
        <v>187</v>
      </c>
      <c r="G613" s="61">
        <v>166.827392499999</v>
      </c>
      <c r="H613" s="61">
        <v>-77.5476536111111</v>
      </c>
      <c r="I613" s="6" t="s">
        <v>268</v>
      </c>
      <c r="J613" s="6" t="s">
        <v>169</v>
      </c>
      <c r="K613" s="58">
        <v>2.0</v>
      </c>
      <c r="L613" s="5"/>
      <c r="M613" s="59">
        <v>2.0</v>
      </c>
      <c r="N613" s="61">
        <v>198.58212363723</v>
      </c>
      <c r="O613" s="61">
        <v>-23.194</v>
      </c>
      <c r="P613" s="61">
        <v>0.585</v>
      </c>
      <c r="Q613" s="61">
        <v>-1.307</v>
      </c>
      <c r="R613" s="61">
        <v>0.577</v>
      </c>
      <c r="S613" s="60"/>
      <c r="T613" s="60"/>
      <c r="U613" s="61">
        <v>1.5</v>
      </c>
      <c r="V613" s="5"/>
      <c r="W613" s="5"/>
      <c r="X613" s="5"/>
      <c r="Y613" s="93" t="s">
        <v>269</v>
      </c>
      <c r="Z613" s="60"/>
      <c r="AA613" s="60"/>
      <c r="AB613" s="60">
        <v>13.733</v>
      </c>
      <c r="AC613" s="60">
        <v>0.026</v>
      </c>
      <c r="AD613" s="60">
        <v>12.492</v>
      </c>
      <c r="AE613" s="60">
        <v>0.023</v>
      </c>
      <c r="AF613" s="60">
        <v>11.803</v>
      </c>
      <c r="AG613" s="60">
        <v>0.024</v>
      </c>
      <c r="AH613" s="6"/>
      <c r="AI613" s="6"/>
      <c r="AJ613" s="63" t="s">
        <v>269</v>
      </c>
      <c r="AK613" s="64" t="s">
        <v>637</v>
      </c>
      <c r="AL613" s="97">
        <v>2003.0</v>
      </c>
      <c r="AM613" s="13"/>
      <c r="AN613" s="102">
        <v>160.0</v>
      </c>
      <c r="AO613" s="13"/>
      <c r="AP613" s="64" t="s">
        <v>353</v>
      </c>
      <c r="AQ613" s="97">
        <v>0.5</v>
      </c>
      <c r="AR613" s="66">
        <v>2980.0</v>
      </c>
      <c r="AS613" s="73">
        <v>150.0</v>
      </c>
      <c r="AT613" s="67">
        <v>0.06679389313</v>
      </c>
      <c r="AU613" s="7"/>
      <c r="AV613" s="70">
        <v>0.005495408739</v>
      </c>
      <c r="AW613" s="64">
        <v>1.584893192</v>
      </c>
      <c r="AX613" s="13"/>
      <c r="AY613" s="7"/>
      <c r="AZ613" s="11" t="s">
        <v>162</v>
      </c>
      <c r="BA613" s="68" t="s">
        <v>1303</v>
      </c>
      <c r="BB613" s="68"/>
      <c r="BC613" s="11"/>
      <c r="BD613" s="11"/>
      <c r="BE613" s="11"/>
      <c r="BF613" s="11"/>
      <c r="BG613" s="11"/>
      <c r="BH613" s="11"/>
      <c r="BI613" s="12"/>
      <c r="BJ613" s="11"/>
      <c r="BK613" s="11"/>
      <c r="BL613" s="12"/>
      <c r="BM613" s="12"/>
      <c r="BN613" s="12"/>
      <c r="BO613" s="12"/>
      <c r="BP613" s="12"/>
      <c r="BQ613" s="12"/>
      <c r="BR613" s="12"/>
      <c r="BS613" s="12"/>
      <c r="BT613" s="12"/>
      <c r="BU613" s="11"/>
      <c r="BV613" s="11"/>
      <c r="BW613" s="11"/>
      <c r="BX613" s="11"/>
      <c r="BY613" s="11"/>
      <c r="BZ613" s="90">
        <v>-0.6</v>
      </c>
      <c r="CA613" s="11"/>
      <c r="CB613" s="11"/>
      <c r="CC613" s="11"/>
      <c r="CD613" s="11"/>
      <c r="CE613" s="11"/>
      <c r="CF613" s="11"/>
      <c r="CG613" s="11"/>
      <c r="CH613" s="12"/>
      <c r="CI613" s="11"/>
      <c r="CJ613" s="11"/>
      <c r="CK613" s="11"/>
      <c r="CL613" s="90">
        <v>-1.0</v>
      </c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69"/>
      <c r="DN613" s="69"/>
      <c r="DO613" s="69"/>
      <c r="DP613" s="69"/>
      <c r="DQ613" s="11"/>
      <c r="DR613" s="69"/>
      <c r="DS613" s="69"/>
      <c r="DT613" s="69"/>
      <c r="DU613" s="69"/>
      <c r="DV613" s="7"/>
      <c r="DW613" s="10"/>
      <c r="DX613" s="71">
        <v>3.98E-12</v>
      </c>
      <c r="DY613" s="7"/>
      <c r="DZ613" s="64" t="s">
        <v>248</v>
      </c>
      <c r="EA613" s="72" t="s">
        <v>166</v>
      </c>
      <c r="EB613" s="7"/>
    </row>
    <row r="614">
      <c r="A614" s="55" t="s">
        <v>241</v>
      </c>
      <c r="B614" s="55" t="s">
        <v>1323</v>
      </c>
      <c r="C614" s="4"/>
      <c r="D614" s="4"/>
      <c r="E614" s="4"/>
      <c r="F614" s="57" t="s">
        <v>187</v>
      </c>
      <c r="G614" s="58">
        <v>246.9109504</v>
      </c>
      <c r="H614" s="58">
        <v>-24.64423075</v>
      </c>
      <c r="I614" s="6" t="s">
        <v>158</v>
      </c>
      <c r="J614" s="6" t="s">
        <v>169</v>
      </c>
      <c r="K614" s="58">
        <v>1.0</v>
      </c>
      <c r="L614" s="5"/>
      <c r="M614" s="59">
        <v>2.0</v>
      </c>
      <c r="N614" s="61">
        <v>142.663528069049</v>
      </c>
      <c r="O614" s="61">
        <v>-6.904</v>
      </c>
      <c r="P614" s="61">
        <v>1.086</v>
      </c>
      <c r="Q614" s="61">
        <v>-24.646</v>
      </c>
      <c r="R614" s="61">
        <v>0.719</v>
      </c>
      <c r="S614" s="60"/>
      <c r="T614" s="60"/>
      <c r="U614" s="6"/>
      <c r="V614" s="5"/>
      <c r="W614" s="61">
        <v>1.2</v>
      </c>
      <c r="X614" s="5"/>
      <c r="Y614" s="62" t="s">
        <v>160</v>
      </c>
      <c r="Z614" s="60"/>
      <c r="AA614" s="60"/>
      <c r="AB614" s="60">
        <v>13.271</v>
      </c>
      <c r="AC614" s="60">
        <v>0.026</v>
      </c>
      <c r="AD614" s="60">
        <v>11.932</v>
      </c>
      <c r="AE614" s="60">
        <v>0.024</v>
      </c>
      <c r="AF614" s="60">
        <v>11.076</v>
      </c>
      <c r="AG614" s="60">
        <v>0.025</v>
      </c>
      <c r="AH614" s="6"/>
      <c r="AI614" s="6"/>
      <c r="AJ614" s="63" t="s">
        <v>160</v>
      </c>
      <c r="AK614" s="64" t="s">
        <v>1302</v>
      </c>
      <c r="AL614" s="64">
        <v>2004.0</v>
      </c>
      <c r="AM614" s="7"/>
      <c r="AN614" s="8"/>
      <c r="AO614" s="13"/>
      <c r="AP614" s="13" t="s">
        <v>318</v>
      </c>
      <c r="AQ614" s="64"/>
      <c r="AR614" s="66">
        <v>2754.228703</v>
      </c>
      <c r="AS614" s="7"/>
      <c r="AT614" s="67">
        <v>0.06760829754</v>
      </c>
      <c r="AU614" s="7"/>
      <c r="AV614" s="64">
        <v>0.04897788194</v>
      </c>
      <c r="AW614" s="7"/>
      <c r="AX614" s="73">
        <v>0.97</v>
      </c>
      <c r="AY614" s="7"/>
      <c r="AZ614" s="11" t="s">
        <v>162</v>
      </c>
      <c r="BA614" s="68" t="s">
        <v>1303</v>
      </c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68">
        <v>-0.8</v>
      </c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2"/>
      <c r="DK614" s="12"/>
      <c r="DL614" s="12"/>
      <c r="DM614" s="69"/>
      <c r="DN614" s="69"/>
      <c r="DO614" s="69"/>
      <c r="DP614" s="69"/>
      <c r="DQ614" s="11"/>
      <c r="DR614" s="69"/>
      <c r="DS614" s="69"/>
      <c r="DT614" s="69"/>
      <c r="DU614" s="69"/>
      <c r="DV614" s="70">
        <v>-3.61</v>
      </c>
      <c r="DW614" s="10"/>
      <c r="DX614" s="71">
        <v>9.77E-11</v>
      </c>
      <c r="DY614" s="7"/>
      <c r="DZ614" s="64" t="s">
        <v>165</v>
      </c>
      <c r="EA614" s="72" t="s">
        <v>166</v>
      </c>
      <c r="EB614" s="82" t="s">
        <v>1304</v>
      </c>
    </row>
    <row r="615">
      <c r="A615" s="133" t="s">
        <v>1329</v>
      </c>
      <c r="B615" s="133" t="s">
        <v>1329</v>
      </c>
      <c r="C615" s="135"/>
      <c r="D615" s="136"/>
      <c r="E615" s="137" t="s">
        <v>137</v>
      </c>
      <c r="F615" s="137" t="s">
        <v>187</v>
      </c>
      <c r="G615" s="140">
        <v>246.902193</v>
      </c>
      <c r="H615" s="140">
        <v>-24.47592586</v>
      </c>
      <c r="I615" s="139" t="s">
        <v>158</v>
      </c>
      <c r="J615" s="139" t="s">
        <v>159</v>
      </c>
      <c r="K615" s="140">
        <v>1.0</v>
      </c>
      <c r="L615" s="141"/>
      <c r="M615" s="142">
        <v>2.0</v>
      </c>
      <c r="N615" s="138">
        <v>95.8276635299078</v>
      </c>
      <c r="O615" s="138">
        <v>61.973</v>
      </c>
      <c r="P615" s="138">
        <v>0.093</v>
      </c>
      <c r="Q615" s="138">
        <v>-11.024</v>
      </c>
      <c r="R615" s="138">
        <v>0.066</v>
      </c>
      <c r="S615" s="143"/>
      <c r="T615" s="143"/>
      <c r="U615" s="140">
        <v>0.0</v>
      </c>
      <c r="V615" s="141"/>
      <c r="W615" s="138">
        <v>0.0</v>
      </c>
      <c r="X615" s="141"/>
      <c r="Y615" s="177" t="s">
        <v>160</v>
      </c>
      <c r="Z615" s="143">
        <v>14.67</v>
      </c>
      <c r="AA615" s="143"/>
      <c r="AB615" s="143">
        <v>11.994</v>
      </c>
      <c r="AC615" s="143">
        <v>0.023</v>
      </c>
      <c r="AD615" s="143">
        <v>11.377</v>
      </c>
      <c r="AE615" s="143">
        <v>0.023</v>
      </c>
      <c r="AF615" s="143">
        <v>11.146</v>
      </c>
      <c r="AG615" s="143">
        <v>0.021</v>
      </c>
      <c r="AH615" s="139"/>
      <c r="AI615" s="139"/>
      <c r="AJ615" s="145" t="s">
        <v>160</v>
      </c>
      <c r="AK615" s="146" t="s">
        <v>161</v>
      </c>
      <c r="AL615" s="146">
        <v>2004.0</v>
      </c>
      <c r="AM615" s="153"/>
      <c r="AN615" s="178"/>
      <c r="AO615" s="148"/>
      <c r="AP615" s="148" t="s">
        <v>415</v>
      </c>
      <c r="AQ615" s="146"/>
      <c r="AR615" s="150">
        <v>2754.228703</v>
      </c>
      <c r="AS615" s="153"/>
      <c r="AT615" s="152">
        <v>0.06918309709</v>
      </c>
      <c r="AU615" s="153"/>
      <c r="AV615" s="146">
        <v>0.0512861384</v>
      </c>
      <c r="AW615" s="153"/>
      <c r="AX615" s="153"/>
      <c r="AY615" s="153"/>
      <c r="AZ615" s="154" t="s">
        <v>162</v>
      </c>
      <c r="BA615" s="155" t="s">
        <v>1303</v>
      </c>
      <c r="BB615" s="154"/>
      <c r="BC615" s="154"/>
      <c r="BD615" s="154"/>
      <c r="BE615" s="154"/>
      <c r="BF615" s="154"/>
      <c r="BG615" s="154"/>
      <c r="BH615" s="154"/>
      <c r="BI615" s="154"/>
      <c r="BJ615" s="154"/>
      <c r="BK615" s="154"/>
      <c r="BL615" s="154"/>
      <c r="BM615" s="154"/>
      <c r="BN615" s="154"/>
      <c r="BO615" s="154"/>
      <c r="BP615" s="154"/>
      <c r="BQ615" s="154"/>
      <c r="BR615" s="154"/>
      <c r="BS615" s="154"/>
      <c r="BT615" s="154"/>
      <c r="BU615" s="154"/>
      <c r="BV615" s="154"/>
      <c r="BW615" s="154"/>
      <c r="BX615" s="154"/>
      <c r="BY615" s="154"/>
      <c r="BZ615" s="155" t="s">
        <v>170</v>
      </c>
      <c r="CA615" s="154"/>
      <c r="CB615" s="154"/>
      <c r="CC615" s="154"/>
      <c r="CD615" s="154"/>
      <c r="CE615" s="154"/>
      <c r="CF615" s="154"/>
      <c r="CG615" s="154"/>
      <c r="CH615" s="154"/>
      <c r="CI615" s="154"/>
      <c r="CJ615" s="154"/>
      <c r="CK615" s="154"/>
      <c r="CL615" s="154"/>
      <c r="CM615" s="154"/>
      <c r="CN615" s="154"/>
      <c r="CO615" s="154"/>
      <c r="CP615" s="154"/>
      <c r="CQ615" s="154"/>
      <c r="CR615" s="154"/>
      <c r="CS615" s="154"/>
      <c r="CT615" s="154"/>
      <c r="CU615" s="154"/>
      <c r="CV615" s="154"/>
      <c r="CW615" s="154"/>
      <c r="CX615" s="154"/>
      <c r="CY615" s="154"/>
      <c r="CZ615" s="154"/>
      <c r="DA615" s="154"/>
      <c r="DB615" s="154"/>
      <c r="DC615" s="154"/>
      <c r="DD615" s="154"/>
      <c r="DE615" s="154"/>
      <c r="DF615" s="154"/>
      <c r="DG615" s="154"/>
      <c r="DH615" s="154"/>
      <c r="DI615" s="154"/>
      <c r="DJ615" s="175"/>
      <c r="DK615" s="175"/>
      <c r="DL615" s="175"/>
      <c r="DM615" s="157"/>
      <c r="DN615" s="157"/>
      <c r="DO615" s="157"/>
      <c r="DP615" s="157"/>
      <c r="DQ615" s="154"/>
      <c r="DR615" s="157"/>
      <c r="DS615" s="157"/>
      <c r="DT615" s="157"/>
      <c r="DU615" s="157"/>
      <c r="DV615" s="179">
        <v>-3.46</v>
      </c>
      <c r="DW615" s="158"/>
      <c r="DX615" s="180">
        <v>1.38E-10</v>
      </c>
      <c r="DY615" s="153"/>
      <c r="DZ615" s="146" t="s">
        <v>165</v>
      </c>
      <c r="EA615" s="161" t="s">
        <v>166</v>
      </c>
      <c r="EB615" s="181" t="s">
        <v>1304</v>
      </c>
    </row>
    <row r="616">
      <c r="A616" s="55" t="s">
        <v>659</v>
      </c>
      <c r="B616" s="171" t="s">
        <v>659</v>
      </c>
      <c r="C616" s="4"/>
      <c r="D616" s="4"/>
      <c r="E616" s="4"/>
      <c r="F616" s="4" t="s">
        <v>187</v>
      </c>
      <c r="G616" s="58">
        <v>246.7774686</v>
      </c>
      <c r="H616" s="58">
        <v>-24.69691214</v>
      </c>
      <c r="I616" s="6" t="s">
        <v>158</v>
      </c>
      <c r="J616" s="6" t="s">
        <v>169</v>
      </c>
      <c r="K616" s="58">
        <v>1.0</v>
      </c>
      <c r="L616" s="59"/>
      <c r="M616" s="59">
        <v>2.0</v>
      </c>
      <c r="N616" s="61">
        <v>142.122168215798</v>
      </c>
      <c r="O616" s="61">
        <v>-5.694</v>
      </c>
      <c r="P616" s="61">
        <v>0.291</v>
      </c>
      <c r="Q616" s="61">
        <v>-25.03</v>
      </c>
      <c r="R616" s="61">
        <v>0.197</v>
      </c>
      <c r="S616" s="60"/>
      <c r="T616" s="60"/>
      <c r="U616" s="58">
        <v>3.0</v>
      </c>
      <c r="V616" s="5"/>
      <c r="W616" s="182">
        <v>0.6</v>
      </c>
      <c r="X616" s="5" t="s">
        <v>660</v>
      </c>
      <c r="Y616" s="62" t="s">
        <v>160</v>
      </c>
      <c r="Z616" s="60">
        <v>17.57</v>
      </c>
      <c r="AA616" s="60"/>
      <c r="AB616" s="60">
        <v>12.433</v>
      </c>
      <c r="AC616" s="60">
        <v>0.024</v>
      </c>
      <c r="AD616" s="60">
        <v>11.397</v>
      </c>
      <c r="AE616" s="60">
        <v>0.024</v>
      </c>
      <c r="AF616" s="60">
        <v>10.766</v>
      </c>
      <c r="AG616" s="60">
        <v>0.021</v>
      </c>
      <c r="AH616" s="6"/>
      <c r="AI616" s="6"/>
      <c r="AJ616" s="63" t="s">
        <v>160</v>
      </c>
      <c r="AK616" s="64" t="s">
        <v>1302</v>
      </c>
      <c r="AL616" s="64">
        <v>2004.0</v>
      </c>
      <c r="AM616" s="130"/>
      <c r="AN616" s="183" t="s">
        <v>660</v>
      </c>
      <c r="AO616" s="13"/>
      <c r="AP616" s="131" t="s">
        <v>1325</v>
      </c>
      <c r="AQ616" s="184"/>
      <c r="AR616" s="66">
        <v>2754.228703</v>
      </c>
      <c r="AS616" s="130" t="s">
        <v>660</v>
      </c>
      <c r="AT616" s="67">
        <v>0.0758577575</v>
      </c>
      <c r="AU616" s="130"/>
      <c r="AV616" s="184">
        <v>0.06025595861</v>
      </c>
      <c r="AW616" s="130"/>
      <c r="AX616" s="130" t="s">
        <v>660</v>
      </c>
      <c r="AY616" s="126" t="s">
        <v>660</v>
      </c>
      <c r="AZ616" s="11" t="s">
        <v>162</v>
      </c>
      <c r="BA616" s="68" t="s">
        <v>1303</v>
      </c>
      <c r="BB616" s="11" t="s">
        <v>660</v>
      </c>
      <c r="BC616" s="11"/>
      <c r="BD616" s="11" t="s">
        <v>660</v>
      </c>
      <c r="BE616" s="11"/>
      <c r="BF616" s="11"/>
      <c r="BG616" s="11"/>
      <c r="BH616" s="11" t="s">
        <v>660</v>
      </c>
      <c r="BI616" s="11"/>
      <c r="BJ616" s="11"/>
      <c r="BK616" s="11"/>
      <c r="BL616" s="11" t="s">
        <v>660</v>
      </c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127">
        <v>-2.0</v>
      </c>
      <c r="CA616" s="128"/>
      <c r="CB616" s="128"/>
      <c r="CC616" s="11"/>
      <c r="CD616" s="11"/>
      <c r="CE616" s="11"/>
      <c r="CF616" s="11"/>
      <c r="CG616" s="11"/>
      <c r="CH616" s="11"/>
      <c r="CI616" s="11"/>
      <c r="CJ616" s="11"/>
      <c r="CK616" s="11"/>
      <c r="CL616" s="185"/>
      <c r="CM616" s="69"/>
      <c r="CN616" s="69"/>
      <c r="CO616" s="69"/>
      <c r="CP616" s="69"/>
      <c r="CQ616" s="69"/>
      <c r="CR616" s="69"/>
      <c r="CS616" s="69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29"/>
      <c r="DK616" s="129"/>
      <c r="DL616" s="129"/>
      <c r="DM616" s="69"/>
      <c r="DN616" s="69"/>
      <c r="DO616" s="69"/>
      <c r="DP616" s="69"/>
      <c r="DQ616" s="11"/>
      <c r="DR616" s="69"/>
      <c r="DS616" s="69"/>
      <c r="DT616" s="69"/>
      <c r="DU616" s="69"/>
      <c r="DV616" s="70">
        <v>-2.96</v>
      </c>
      <c r="DW616" s="10"/>
      <c r="DX616" s="71">
        <v>4.27E-10</v>
      </c>
      <c r="DY616" s="130"/>
      <c r="DZ616" s="64" t="s">
        <v>165</v>
      </c>
      <c r="EA616" s="72" t="s">
        <v>166</v>
      </c>
      <c r="EB616" s="130" t="s">
        <v>660</v>
      </c>
    </row>
    <row r="617">
      <c r="A617" s="55" t="s">
        <v>273</v>
      </c>
      <c r="B617" s="55" t="s">
        <v>661</v>
      </c>
      <c r="C617" s="4"/>
      <c r="D617" s="3"/>
      <c r="E617" s="3"/>
      <c r="F617" s="57" t="s">
        <v>187</v>
      </c>
      <c r="G617" s="58">
        <v>246.5897456</v>
      </c>
      <c r="H617" s="58">
        <v>-24.43361126</v>
      </c>
      <c r="I617" s="6" t="s">
        <v>158</v>
      </c>
      <c r="J617" s="6" t="s">
        <v>169</v>
      </c>
      <c r="K617" s="58">
        <v>1.0</v>
      </c>
      <c r="L617" s="5"/>
      <c r="M617" s="59">
        <v>2.0</v>
      </c>
      <c r="N617" s="61">
        <v>136.593361562628</v>
      </c>
      <c r="O617" s="61">
        <v>-9.05</v>
      </c>
      <c r="P617" s="61">
        <v>0.403</v>
      </c>
      <c r="Q617" s="61">
        <v>-25.287</v>
      </c>
      <c r="R617" s="61">
        <v>0.25</v>
      </c>
      <c r="S617" s="60"/>
      <c r="T617" s="60"/>
      <c r="U617" s="5"/>
      <c r="V617" s="5"/>
      <c r="W617" s="61">
        <v>0.7</v>
      </c>
      <c r="X617" s="5"/>
      <c r="Y617" s="62" t="s">
        <v>160</v>
      </c>
      <c r="Z617" s="60">
        <v>18.3</v>
      </c>
      <c r="AA617" s="60"/>
      <c r="AB617" s="60">
        <v>12.57</v>
      </c>
      <c r="AC617" s="60">
        <v>0.022</v>
      </c>
      <c r="AD617" s="60">
        <v>11.518</v>
      </c>
      <c r="AE617" s="60">
        <v>0.026</v>
      </c>
      <c r="AF617" s="60">
        <v>10.918</v>
      </c>
      <c r="AG617" s="60">
        <v>0.023</v>
      </c>
      <c r="AH617" s="6"/>
      <c r="AI617" s="6"/>
      <c r="AJ617" s="63" t="s">
        <v>160</v>
      </c>
      <c r="AK617" s="64" t="s">
        <v>1302</v>
      </c>
      <c r="AL617" s="64">
        <v>2004.0</v>
      </c>
      <c r="AM617" s="7"/>
      <c r="AN617" s="8"/>
      <c r="AO617" s="13"/>
      <c r="AP617" s="64" t="s">
        <v>345</v>
      </c>
      <c r="AQ617" s="65"/>
      <c r="AR617" s="66">
        <v>2754.228703</v>
      </c>
      <c r="AS617" s="7"/>
      <c r="AT617" s="67">
        <v>0.0758577575</v>
      </c>
      <c r="AU617" s="7"/>
      <c r="AV617" s="64">
        <v>0.06025595861</v>
      </c>
      <c r="AW617" s="7"/>
      <c r="AX617" s="73">
        <v>1.08</v>
      </c>
      <c r="AY617" s="7"/>
      <c r="AZ617" s="11" t="s">
        <v>162</v>
      </c>
      <c r="BA617" s="68" t="s">
        <v>1303</v>
      </c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68">
        <v>-0.3</v>
      </c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2"/>
      <c r="DK617" s="12"/>
      <c r="DL617" s="12"/>
      <c r="DM617" s="69"/>
      <c r="DN617" s="69"/>
      <c r="DO617" s="69"/>
      <c r="DP617" s="69"/>
      <c r="DQ617" s="11"/>
      <c r="DR617" s="69"/>
      <c r="DS617" s="69"/>
      <c r="DT617" s="69"/>
      <c r="DU617" s="69"/>
      <c r="DV617" s="70">
        <v>-4.09</v>
      </c>
      <c r="DW617" s="10"/>
      <c r="DX617" s="71">
        <v>3.16E-11</v>
      </c>
      <c r="DY617" s="7"/>
      <c r="DZ617" s="64" t="s">
        <v>165</v>
      </c>
      <c r="EA617" s="72" t="s">
        <v>166</v>
      </c>
      <c r="EB617" s="7"/>
    </row>
    <row r="618">
      <c r="A618" s="55" t="s">
        <v>1330</v>
      </c>
      <c r="B618" s="55" t="s">
        <v>1330</v>
      </c>
      <c r="C618" s="3"/>
      <c r="D618" s="3"/>
      <c r="E618" s="57" t="s">
        <v>137</v>
      </c>
      <c r="F618" s="57" t="s">
        <v>168</v>
      </c>
      <c r="G618" s="58">
        <v>247.090441</v>
      </c>
      <c r="H618" s="58">
        <v>-24.713091</v>
      </c>
      <c r="I618" s="6" t="s">
        <v>158</v>
      </c>
      <c r="J618" s="6" t="s">
        <v>159</v>
      </c>
      <c r="K618" s="58">
        <v>1.0</v>
      </c>
      <c r="L618" s="5"/>
      <c r="M618" s="59"/>
      <c r="N618" s="60"/>
      <c r="O618" s="60"/>
      <c r="P618" s="60"/>
      <c r="Q618" s="60"/>
      <c r="R618" s="60"/>
      <c r="S618" s="60"/>
      <c r="T618" s="60"/>
      <c r="U618" s="5"/>
      <c r="V618" s="5"/>
      <c r="W618" s="61">
        <v>4.9</v>
      </c>
      <c r="X618" s="5"/>
      <c r="Y618" s="62" t="s">
        <v>160</v>
      </c>
      <c r="Z618" s="60"/>
      <c r="AA618" s="60"/>
      <c r="AB618" s="60">
        <v>16.828</v>
      </c>
      <c r="AC618" s="60">
        <v>0.147</v>
      </c>
      <c r="AD618" s="60">
        <v>14.033</v>
      </c>
      <c r="AE618" s="60">
        <v>0.037</v>
      </c>
      <c r="AF618" s="60">
        <v>12.442</v>
      </c>
      <c r="AG618" s="60">
        <v>0.026</v>
      </c>
      <c r="AH618" s="6"/>
      <c r="AI618" s="6"/>
      <c r="AJ618" s="63" t="s">
        <v>160</v>
      </c>
      <c r="AK618" s="64" t="s">
        <v>1302</v>
      </c>
      <c r="AL618" s="64">
        <v>2004.0</v>
      </c>
      <c r="AM618" s="7"/>
      <c r="AN618" s="8"/>
      <c r="AO618" s="13"/>
      <c r="AP618" s="13"/>
      <c r="AQ618" s="7"/>
      <c r="AR618" s="66">
        <v>2818.382931</v>
      </c>
      <c r="AS618" s="7"/>
      <c r="AT618" s="67">
        <v>0.07943282347</v>
      </c>
      <c r="AU618" s="7"/>
      <c r="AV618" s="64">
        <v>0.0660693448</v>
      </c>
      <c r="AW618" s="7"/>
      <c r="AX618" s="73">
        <v>1.08</v>
      </c>
      <c r="AY618" s="7"/>
      <c r="AZ618" s="11" t="s">
        <v>162</v>
      </c>
      <c r="BA618" s="68" t="s">
        <v>1303</v>
      </c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68" t="s">
        <v>170</v>
      </c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2"/>
      <c r="DK618" s="12"/>
      <c r="DL618" s="12"/>
      <c r="DM618" s="69"/>
      <c r="DN618" s="69"/>
      <c r="DO618" s="69"/>
      <c r="DP618" s="69"/>
      <c r="DQ618" s="11"/>
      <c r="DR618" s="69"/>
      <c r="DS618" s="69"/>
      <c r="DT618" s="69"/>
      <c r="DU618" s="69"/>
      <c r="DV618" s="70">
        <v>-3.32</v>
      </c>
      <c r="DW618" s="10"/>
      <c r="DX618" s="71">
        <v>1.82E-10</v>
      </c>
      <c r="DY618" s="7"/>
      <c r="DZ618" s="64" t="s">
        <v>165</v>
      </c>
      <c r="EA618" s="72" t="s">
        <v>166</v>
      </c>
      <c r="EB618" s="7"/>
    </row>
    <row r="619">
      <c r="A619" s="55" t="s">
        <v>1331</v>
      </c>
      <c r="B619" s="55" t="s">
        <v>1331</v>
      </c>
      <c r="C619" s="4"/>
      <c r="D619" s="4"/>
      <c r="E619" s="4"/>
      <c r="F619" s="57" t="s">
        <v>168</v>
      </c>
      <c r="G619" s="58">
        <v>246.8232784</v>
      </c>
      <c r="H619" s="58">
        <v>-24.08713892</v>
      </c>
      <c r="I619" s="6" t="s">
        <v>158</v>
      </c>
      <c r="J619" s="6" t="s">
        <v>169</v>
      </c>
      <c r="K619" s="58">
        <v>1.0</v>
      </c>
      <c r="L619" s="5"/>
      <c r="M619" s="59">
        <v>2.0</v>
      </c>
      <c r="N619" s="61">
        <v>136.584033326504</v>
      </c>
      <c r="O619" s="61">
        <v>-8.009</v>
      </c>
      <c r="P619" s="61">
        <v>0.321</v>
      </c>
      <c r="Q619" s="61">
        <v>-26.722</v>
      </c>
      <c r="R619" s="61">
        <v>0.2</v>
      </c>
      <c r="S619" s="60"/>
      <c r="T619" s="60"/>
      <c r="U619" s="5"/>
      <c r="V619" s="5"/>
      <c r="W619" s="61">
        <v>1.0</v>
      </c>
      <c r="X619" s="5"/>
      <c r="Y619" s="62" t="s">
        <v>160</v>
      </c>
      <c r="Z619" s="60">
        <v>17.67</v>
      </c>
      <c r="AA619" s="60"/>
      <c r="AB619" s="60">
        <v>12.728</v>
      </c>
      <c r="AC619" s="60">
        <v>0.023</v>
      </c>
      <c r="AD619" s="60">
        <v>11.492</v>
      </c>
      <c r="AE619" s="60">
        <v>0.022</v>
      </c>
      <c r="AF619" s="60">
        <v>10.727</v>
      </c>
      <c r="AG619" s="60">
        <v>0.021</v>
      </c>
      <c r="AH619" s="6"/>
      <c r="AI619" s="6"/>
      <c r="AJ619" s="63" t="s">
        <v>160</v>
      </c>
      <c r="AK619" s="64" t="s">
        <v>1302</v>
      </c>
      <c r="AL619" s="64">
        <v>2004.0</v>
      </c>
      <c r="AM619" s="7"/>
      <c r="AN619" s="8"/>
      <c r="AO619" s="13"/>
      <c r="AP619" s="13" t="s">
        <v>422</v>
      </c>
      <c r="AQ619" s="64"/>
      <c r="AR619" s="66">
        <v>2818.382931</v>
      </c>
      <c r="AS619" s="7"/>
      <c r="AT619" s="67">
        <v>0.08317637711</v>
      </c>
      <c r="AU619" s="7"/>
      <c r="AV619" s="64">
        <v>0.07079457844</v>
      </c>
      <c r="AW619" s="7"/>
      <c r="AX619" s="73">
        <v>1.12</v>
      </c>
      <c r="AY619" s="7"/>
      <c r="AZ619" s="11" t="s">
        <v>162</v>
      </c>
      <c r="BA619" s="68" t="s">
        <v>1303</v>
      </c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68">
        <v>-21.9</v>
      </c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2"/>
      <c r="DK619" s="12"/>
      <c r="DL619" s="12"/>
      <c r="DM619" s="69"/>
      <c r="DN619" s="69"/>
      <c r="DO619" s="69"/>
      <c r="DP619" s="69"/>
      <c r="DQ619" s="11"/>
      <c r="DR619" s="69"/>
      <c r="DS619" s="69"/>
      <c r="DT619" s="69"/>
      <c r="DU619" s="69"/>
      <c r="DV619" s="70">
        <v>-1.46</v>
      </c>
      <c r="DW619" s="10"/>
      <c r="DX619" s="71">
        <v>1.29E-8</v>
      </c>
      <c r="DY619" s="7"/>
      <c r="DZ619" s="64" t="s">
        <v>165</v>
      </c>
      <c r="EA619" s="72" t="s">
        <v>166</v>
      </c>
      <c r="EB619" s="82" t="s">
        <v>1332</v>
      </c>
    </row>
    <row r="620">
      <c r="A620" s="55" t="s">
        <v>1333</v>
      </c>
      <c r="B620" s="55" t="s">
        <v>1333</v>
      </c>
      <c r="C620" s="4"/>
      <c r="D620" s="3"/>
      <c r="E620" s="3"/>
      <c r="F620" s="57" t="s">
        <v>168</v>
      </c>
      <c r="G620" s="58">
        <v>246.800547</v>
      </c>
      <c r="H620" s="58">
        <v>-24.580317</v>
      </c>
      <c r="I620" s="6" t="s">
        <v>158</v>
      </c>
      <c r="J620" s="6" t="s">
        <v>169</v>
      </c>
      <c r="K620" s="58">
        <v>1.0</v>
      </c>
      <c r="L620" s="5"/>
      <c r="M620" s="59"/>
      <c r="N620" s="60"/>
      <c r="O620" s="60"/>
      <c r="P620" s="60"/>
      <c r="Q620" s="60"/>
      <c r="R620" s="60"/>
      <c r="S620" s="60"/>
      <c r="T620" s="60"/>
      <c r="U620" s="5"/>
      <c r="V620" s="5"/>
      <c r="W620" s="61">
        <v>3.7</v>
      </c>
      <c r="X620" s="5"/>
      <c r="Y620" s="62" t="s">
        <v>160</v>
      </c>
      <c r="Z620" s="60"/>
      <c r="AA620" s="60"/>
      <c r="AB620" s="60">
        <v>15.616</v>
      </c>
      <c r="AC620" s="60">
        <v>0.06</v>
      </c>
      <c r="AD620" s="60">
        <v>13.111</v>
      </c>
      <c r="AE620" s="60">
        <v>0.022</v>
      </c>
      <c r="AF620" s="60">
        <v>11.486</v>
      </c>
      <c r="AG620" s="60">
        <v>0.019</v>
      </c>
      <c r="AH620" s="6"/>
      <c r="AI620" s="6"/>
      <c r="AJ620" s="63" t="s">
        <v>160</v>
      </c>
      <c r="AK620" s="64" t="s">
        <v>1302</v>
      </c>
      <c r="AL620" s="64">
        <v>2004.0</v>
      </c>
      <c r="AM620" s="7"/>
      <c r="AN620" s="8"/>
      <c r="AO620" s="13"/>
      <c r="AP620" s="64" t="s">
        <v>415</v>
      </c>
      <c r="AQ620" s="65"/>
      <c r="AR620" s="66">
        <v>2818.382931</v>
      </c>
      <c r="AS620" s="7"/>
      <c r="AT620" s="67">
        <v>0.08317637711</v>
      </c>
      <c r="AU620" s="7"/>
      <c r="AV620" s="64">
        <v>0.06918309709</v>
      </c>
      <c r="AW620" s="7"/>
      <c r="AX620" s="73">
        <v>1.11</v>
      </c>
      <c r="AY620" s="7"/>
      <c r="AZ620" s="11" t="s">
        <v>162</v>
      </c>
      <c r="BA620" s="68" t="s">
        <v>1303</v>
      </c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68">
        <v>-2.7</v>
      </c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70">
        <v>-2.71</v>
      </c>
      <c r="DW620" s="10"/>
      <c r="DX620" s="71">
        <v>7.24E-10</v>
      </c>
      <c r="DY620" s="7"/>
      <c r="DZ620" s="64" t="s">
        <v>165</v>
      </c>
      <c r="EA620" s="72" t="s">
        <v>166</v>
      </c>
      <c r="EB620" s="7"/>
    </row>
    <row r="621">
      <c r="A621" s="55" t="s">
        <v>1324</v>
      </c>
      <c r="B621" s="55" t="s">
        <v>1324</v>
      </c>
      <c r="C621" s="4"/>
      <c r="D621" s="4"/>
      <c r="E621" s="4"/>
      <c r="F621" s="57" t="s">
        <v>168</v>
      </c>
      <c r="G621" s="58">
        <v>247.0530155</v>
      </c>
      <c r="H621" s="58">
        <v>-24.1932566</v>
      </c>
      <c r="I621" s="6" t="s">
        <v>158</v>
      </c>
      <c r="J621" s="6" t="s">
        <v>169</v>
      </c>
      <c r="K621" s="58">
        <v>1.0</v>
      </c>
      <c r="L621" s="5"/>
      <c r="M621" s="59">
        <v>2.0</v>
      </c>
      <c r="N621" s="61">
        <v>151.742765663647</v>
      </c>
      <c r="O621" s="61">
        <v>-6.087</v>
      </c>
      <c r="P621" s="61">
        <v>1.051</v>
      </c>
      <c r="Q621" s="61">
        <v>-26.409</v>
      </c>
      <c r="R621" s="61">
        <v>0.76</v>
      </c>
      <c r="S621" s="60"/>
      <c r="T621" s="60"/>
      <c r="U621" s="5"/>
      <c r="V621" s="5"/>
      <c r="W621" s="61">
        <v>1.9</v>
      </c>
      <c r="X621" s="5"/>
      <c r="Y621" s="62" t="s">
        <v>160</v>
      </c>
      <c r="Z621" s="60"/>
      <c r="AA621" s="60"/>
      <c r="AB621" s="60">
        <v>13.611</v>
      </c>
      <c r="AC621" s="60">
        <v>0.026</v>
      </c>
      <c r="AD621" s="60">
        <v>12.018</v>
      </c>
      <c r="AE621" s="60">
        <v>0.024</v>
      </c>
      <c r="AF621" s="60">
        <v>11.086</v>
      </c>
      <c r="AG621" s="60">
        <v>0.024</v>
      </c>
      <c r="AH621" s="6"/>
      <c r="AI621" s="6"/>
      <c r="AJ621" s="63" t="s">
        <v>160</v>
      </c>
      <c r="AK621" s="64" t="s">
        <v>1302</v>
      </c>
      <c r="AL621" s="64">
        <v>2004.0</v>
      </c>
      <c r="AM621" s="7"/>
      <c r="AN621" s="8"/>
      <c r="AO621" s="13"/>
      <c r="AP621" s="64" t="s">
        <v>353</v>
      </c>
      <c r="AQ621" s="65"/>
      <c r="AR621" s="66">
        <v>2818.382931</v>
      </c>
      <c r="AS621" s="7"/>
      <c r="AT621" s="67">
        <v>0.08912509381</v>
      </c>
      <c r="AU621" s="7"/>
      <c r="AV621" s="64">
        <v>0.07762471166</v>
      </c>
      <c r="AW621" s="7"/>
      <c r="AX621" s="73">
        <v>1.17</v>
      </c>
      <c r="AY621" s="7"/>
      <c r="AZ621" s="11" t="s">
        <v>162</v>
      </c>
      <c r="BA621" s="68" t="s">
        <v>1303</v>
      </c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68">
        <v>-1.8</v>
      </c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2"/>
      <c r="DK621" s="12"/>
      <c r="DL621" s="12"/>
      <c r="DM621" s="69"/>
      <c r="DN621" s="69"/>
      <c r="DO621" s="69"/>
      <c r="DP621" s="69"/>
      <c r="DQ621" s="11"/>
      <c r="DR621" s="69"/>
      <c r="DS621" s="69"/>
      <c r="DT621" s="69"/>
      <c r="DU621" s="69"/>
      <c r="DV621" s="70">
        <v>-2.89</v>
      </c>
      <c r="DW621" s="10"/>
      <c r="DX621" s="71">
        <v>4.79E-10</v>
      </c>
      <c r="DY621" s="7"/>
      <c r="DZ621" s="64" t="s">
        <v>165</v>
      </c>
      <c r="EA621" s="72" t="s">
        <v>166</v>
      </c>
      <c r="EB621" s="7"/>
    </row>
    <row r="622">
      <c r="A622" s="55" t="s">
        <v>1321</v>
      </c>
      <c r="B622" s="55" t="s">
        <v>1321</v>
      </c>
      <c r="C622" s="4"/>
      <c r="D622" s="3"/>
      <c r="E622" s="57" t="s">
        <v>137</v>
      </c>
      <c r="F622" s="57" t="s">
        <v>168</v>
      </c>
      <c r="G622" s="58">
        <v>246.9428826</v>
      </c>
      <c r="H622" s="58">
        <v>-24.52812907</v>
      </c>
      <c r="I622" s="6" t="s">
        <v>158</v>
      </c>
      <c r="J622" s="6" t="s">
        <v>169</v>
      </c>
      <c r="K622" s="58">
        <v>1.0</v>
      </c>
      <c r="L622" s="5"/>
      <c r="M622" s="59">
        <v>2.0</v>
      </c>
      <c r="N622" s="61">
        <v>138.952575485986</v>
      </c>
      <c r="O622" s="61">
        <v>-8.295</v>
      </c>
      <c r="P622" s="61">
        <v>1.389</v>
      </c>
      <c r="Q622" s="61">
        <v>-24.902</v>
      </c>
      <c r="R622" s="61">
        <v>1.018</v>
      </c>
      <c r="S622" s="60"/>
      <c r="T622" s="60"/>
      <c r="U622" s="5"/>
      <c r="V622" s="5"/>
      <c r="W622" s="61">
        <v>2.2</v>
      </c>
      <c r="X622" s="5"/>
      <c r="Y622" s="62" t="s">
        <v>160</v>
      </c>
      <c r="Z622" s="60"/>
      <c r="AA622" s="60"/>
      <c r="AB622" s="60">
        <v>13.834</v>
      </c>
      <c r="AC622" s="60">
        <v>0.023</v>
      </c>
      <c r="AD622" s="60">
        <v>12.208</v>
      </c>
      <c r="AE622" s="60">
        <v>0.024</v>
      </c>
      <c r="AF622" s="60">
        <v>11.323</v>
      </c>
      <c r="AG622" s="60">
        <v>0.021</v>
      </c>
      <c r="AH622" s="6"/>
      <c r="AI622" s="6"/>
      <c r="AJ622" s="63" t="s">
        <v>160</v>
      </c>
      <c r="AK622" s="64" t="s">
        <v>1302</v>
      </c>
      <c r="AL622" s="64">
        <v>2004.0</v>
      </c>
      <c r="AM622" s="7"/>
      <c r="AN622" s="8"/>
      <c r="AO622" s="13"/>
      <c r="AP622" s="13" t="s">
        <v>232</v>
      </c>
      <c r="AQ622" s="64"/>
      <c r="AR622" s="66">
        <v>2818.382931</v>
      </c>
      <c r="AS622" s="7"/>
      <c r="AT622" s="67">
        <v>0.08912509381</v>
      </c>
      <c r="AU622" s="7"/>
      <c r="AV622" s="64">
        <v>0.07762471166</v>
      </c>
      <c r="AW622" s="7"/>
      <c r="AX622" s="73">
        <v>1.17</v>
      </c>
      <c r="AY622" s="7"/>
      <c r="AZ622" s="11" t="s">
        <v>162</v>
      </c>
      <c r="BA622" s="68" t="s">
        <v>1303</v>
      </c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68" t="s">
        <v>1334</v>
      </c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2"/>
      <c r="DK622" s="12"/>
      <c r="DL622" s="12"/>
      <c r="DM622" s="69"/>
      <c r="DN622" s="69"/>
      <c r="DO622" s="69"/>
      <c r="DP622" s="69"/>
      <c r="DQ622" s="11"/>
      <c r="DR622" s="69"/>
      <c r="DS622" s="69"/>
      <c r="DT622" s="69"/>
      <c r="DU622" s="69"/>
      <c r="DV622" s="70">
        <v>-3.64</v>
      </c>
      <c r="DW622" s="10"/>
      <c r="DX622" s="71">
        <v>8.32E-11</v>
      </c>
      <c r="DY622" s="7"/>
      <c r="DZ622" s="64" t="s">
        <v>165</v>
      </c>
      <c r="EA622" s="72" t="s">
        <v>166</v>
      </c>
      <c r="EB622" s="82" t="s">
        <v>1304</v>
      </c>
    </row>
    <row r="623">
      <c r="A623" s="55" t="s">
        <v>753</v>
      </c>
      <c r="B623" s="55" t="s">
        <v>753</v>
      </c>
      <c r="C623" s="4"/>
      <c r="D623" s="3"/>
      <c r="E623" s="3"/>
      <c r="F623" s="57" t="s">
        <v>168</v>
      </c>
      <c r="G623" s="58">
        <v>246.744329</v>
      </c>
      <c r="H623" s="58">
        <v>-24.309629</v>
      </c>
      <c r="I623" s="6" t="s">
        <v>158</v>
      </c>
      <c r="J623" s="6" t="s">
        <v>169</v>
      </c>
      <c r="K623" s="58">
        <v>1.0</v>
      </c>
      <c r="L623" s="5"/>
      <c r="M623" s="59"/>
      <c r="N623" s="60"/>
      <c r="O623" s="60"/>
      <c r="P623" s="60"/>
      <c r="Q623" s="60"/>
      <c r="R623" s="60"/>
      <c r="S623" s="60"/>
      <c r="T623" s="60"/>
      <c r="U623" s="6"/>
      <c r="V623" s="5"/>
      <c r="W623" s="61">
        <v>3.7</v>
      </c>
      <c r="X623" s="5"/>
      <c r="Y623" s="62" t="s">
        <v>160</v>
      </c>
      <c r="Z623" s="60"/>
      <c r="AA623" s="60"/>
      <c r="AB623" s="60">
        <v>15.45</v>
      </c>
      <c r="AC623" s="60">
        <v>0.047</v>
      </c>
      <c r="AD623" s="60">
        <v>13.006</v>
      </c>
      <c r="AE623" s="60">
        <v>0.029</v>
      </c>
      <c r="AF623" s="60">
        <v>11.483</v>
      </c>
      <c r="AG623" s="60">
        <v>0.021</v>
      </c>
      <c r="AH623" s="6"/>
      <c r="AI623" s="6"/>
      <c r="AJ623" s="63" t="s">
        <v>160</v>
      </c>
      <c r="AK623" s="64" t="s">
        <v>1302</v>
      </c>
      <c r="AL623" s="64">
        <v>2004.0</v>
      </c>
      <c r="AM623" s="7"/>
      <c r="AN623" s="8"/>
      <c r="AO623" s="13"/>
      <c r="AP623" s="64" t="s">
        <v>402</v>
      </c>
      <c r="AQ623" s="65"/>
      <c r="AR623" s="66">
        <v>2818.382931</v>
      </c>
      <c r="AS623" s="7"/>
      <c r="AT623" s="67">
        <v>0.09120108394</v>
      </c>
      <c r="AU623" s="7"/>
      <c r="AV623" s="64">
        <v>0.08128305162</v>
      </c>
      <c r="AW623" s="7"/>
      <c r="AX623" s="73">
        <v>1.2</v>
      </c>
      <c r="AY623" s="7"/>
      <c r="AZ623" s="11" t="s">
        <v>162</v>
      </c>
      <c r="BA623" s="68" t="s">
        <v>1303</v>
      </c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68">
        <v>-2.4</v>
      </c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2"/>
      <c r="DK623" s="12"/>
      <c r="DL623" s="12"/>
      <c r="DM623" s="69"/>
      <c r="DN623" s="69"/>
      <c r="DO623" s="69"/>
      <c r="DP623" s="69"/>
      <c r="DQ623" s="11"/>
      <c r="DR623" s="69"/>
      <c r="DS623" s="69"/>
      <c r="DT623" s="69"/>
      <c r="DU623" s="69"/>
      <c r="DV623" s="70">
        <v>-2.69</v>
      </c>
      <c r="DW623" s="10"/>
      <c r="DX623" s="71">
        <v>7.41E-10</v>
      </c>
      <c r="DY623" s="7"/>
      <c r="DZ623" s="64" t="s">
        <v>165</v>
      </c>
      <c r="EA623" s="72" t="s">
        <v>166</v>
      </c>
      <c r="EB623" s="7"/>
    </row>
    <row r="624">
      <c r="A624" s="55" t="s">
        <v>1335</v>
      </c>
      <c r="B624" s="55" t="s">
        <v>1335</v>
      </c>
      <c r="C624" s="4"/>
      <c r="D624" s="4"/>
      <c r="E624" s="57" t="s">
        <v>137</v>
      </c>
      <c r="F624" s="57" t="s">
        <v>168</v>
      </c>
      <c r="G624" s="58">
        <v>247.024071</v>
      </c>
      <c r="H624" s="58">
        <v>-24.565275</v>
      </c>
      <c r="I624" s="6" t="s">
        <v>158</v>
      </c>
      <c r="J624" s="6" t="s">
        <v>159</v>
      </c>
      <c r="K624" s="58">
        <v>1.0</v>
      </c>
      <c r="L624" s="5"/>
      <c r="M624" s="59"/>
      <c r="N624" s="60"/>
      <c r="O624" s="60"/>
      <c r="P624" s="60"/>
      <c r="Q624" s="60"/>
      <c r="R624" s="60"/>
      <c r="S624" s="60"/>
      <c r="T624" s="60"/>
      <c r="U624" s="5"/>
      <c r="V624" s="5"/>
      <c r="W624" s="61">
        <v>5.1</v>
      </c>
      <c r="X624" s="5"/>
      <c r="Y624" s="62" t="s">
        <v>160</v>
      </c>
      <c r="Z624" s="60"/>
      <c r="AA624" s="60"/>
      <c r="AB624" s="60">
        <v>16.755</v>
      </c>
      <c r="AC624" s="60">
        <v>0.174</v>
      </c>
      <c r="AD624" s="60">
        <v>14.004</v>
      </c>
      <c r="AE624" s="60">
        <v>0.033</v>
      </c>
      <c r="AF624" s="60">
        <v>12.558</v>
      </c>
      <c r="AG624" s="60">
        <v>0.027</v>
      </c>
      <c r="AH624" s="6"/>
      <c r="AI624" s="6"/>
      <c r="AJ624" s="63" t="s">
        <v>160</v>
      </c>
      <c r="AK624" s="64" t="s">
        <v>1302</v>
      </c>
      <c r="AL624" s="64">
        <v>2004.0</v>
      </c>
      <c r="AM624" s="7"/>
      <c r="AN624" s="8"/>
      <c r="AO624" s="13"/>
      <c r="AP624" s="13"/>
      <c r="AQ624" s="7"/>
      <c r="AR624" s="66">
        <v>2818.382931</v>
      </c>
      <c r="AS624" s="7"/>
      <c r="AT624" s="67">
        <v>0.09120108394</v>
      </c>
      <c r="AU624" s="7"/>
      <c r="AV624" s="64">
        <v>0.08317637711</v>
      </c>
      <c r="AW624" s="7"/>
      <c r="AX624" s="73">
        <v>1.21</v>
      </c>
      <c r="AY624" s="7"/>
      <c r="AZ624" s="11" t="s">
        <v>162</v>
      </c>
      <c r="BA624" s="68" t="s">
        <v>1303</v>
      </c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68" t="s">
        <v>1313</v>
      </c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2"/>
      <c r="DK624" s="12"/>
      <c r="DL624" s="12"/>
      <c r="DM624" s="69"/>
      <c r="DN624" s="69"/>
      <c r="DO624" s="69"/>
      <c r="DP624" s="69"/>
      <c r="DQ624" s="11"/>
      <c r="DR624" s="69"/>
      <c r="DS624" s="69"/>
      <c r="DT624" s="69"/>
      <c r="DU624" s="69"/>
      <c r="DV624" s="70">
        <v>-2.79</v>
      </c>
      <c r="DW624" s="10"/>
      <c r="DX624" s="71">
        <v>5.89E-10</v>
      </c>
      <c r="DY624" s="7"/>
      <c r="DZ624" s="64" t="s">
        <v>165</v>
      </c>
      <c r="EA624" s="72" t="s">
        <v>166</v>
      </c>
      <c r="EB624" s="7"/>
    </row>
    <row r="625">
      <c r="A625" s="55" t="s">
        <v>1336</v>
      </c>
      <c r="B625" s="55" t="s">
        <v>1337</v>
      </c>
      <c r="C625" s="4"/>
      <c r="D625" s="3"/>
      <c r="E625" s="57" t="s">
        <v>137</v>
      </c>
      <c r="F625" s="57" t="s">
        <v>168</v>
      </c>
      <c r="G625" s="58">
        <v>246.5056931</v>
      </c>
      <c r="H625" s="58">
        <v>-24.42248331</v>
      </c>
      <c r="I625" s="6" t="s">
        <v>158</v>
      </c>
      <c r="J625" s="6" t="s">
        <v>169</v>
      </c>
      <c r="K625" s="58">
        <v>1.0</v>
      </c>
      <c r="L625" s="5"/>
      <c r="M625" s="59"/>
      <c r="N625" s="60"/>
      <c r="O625" s="60"/>
      <c r="P625" s="60"/>
      <c r="Q625" s="60"/>
      <c r="R625" s="60"/>
      <c r="S625" s="60"/>
      <c r="T625" s="60"/>
      <c r="U625" s="5"/>
      <c r="V625" s="5"/>
      <c r="W625" s="61">
        <v>2.8</v>
      </c>
      <c r="X625" s="5"/>
      <c r="Y625" s="62" t="s">
        <v>160</v>
      </c>
      <c r="Z625" s="60"/>
      <c r="AA625" s="60"/>
      <c r="AB625" s="60">
        <v>14.425</v>
      </c>
      <c r="AC625" s="60">
        <v>0.027</v>
      </c>
      <c r="AD625" s="60">
        <v>12.436</v>
      </c>
      <c r="AE625" s="60">
        <v>0.021</v>
      </c>
      <c r="AF625" s="60">
        <v>11.245</v>
      </c>
      <c r="AG625" s="60">
        <v>0.023</v>
      </c>
      <c r="AH625" s="6"/>
      <c r="AI625" s="6"/>
      <c r="AJ625" s="63" t="s">
        <v>160</v>
      </c>
      <c r="AK625" s="64" t="s">
        <v>1302</v>
      </c>
      <c r="AL625" s="64">
        <v>2004.0</v>
      </c>
      <c r="AM625" s="7"/>
      <c r="AN625" s="8"/>
      <c r="AO625" s="13"/>
      <c r="AP625" s="7"/>
      <c r="AQ625" s="65"/>
      <c r="AR625" s="66">
        <v>2818.382931</v>
      </c>
      <c r="AS625" s="7"/>
      <c r="AT625" s="67">
        <v>0.09332543008</v>
      </c>
      <c r="AU625" s="7"/>
      <c r="AV625" s="64">
        <v>0.08511380382</v>
      </c>
      <c r="AW625" s="7"/>
      <c r="AX625" s="73">
        <v>1.23</v>
      </c>
      <c r="AY625" s="7"/>
      <c r="AZ625" s="11" t="s">
        <v>162</v>
      </c>
      <c r="BA625" s="68" t="s">
        <v>1303</v>
      </c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68" t="s">
        <v>1338</v>
      </c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2"/>
      <c r="DK625" s="12"/>
      <c r="DL625" s="12"/>
      <c r="DM625" s="69"/>
      <c r="DN625" s="69"/>
      <c r="DO625" s="69"/>
      <c r="DP625" s="69"/>
      <c r="DQ625" s="11"/>
      <c r="DR625" s="69"/>
      <c r="DS625" s="69"/>
      <c r="DT625" s="69"/>
      <c r="DU625" s="69"/>
      <c r="DV625" s="70">
        <v>-3.8</v>
      </c>
      <c r="DW625" s="10"/>
      <c r="DX625" s="71">
        <v>5.75E-11</v>
      </c>
      <c r="DY625" s="7"/>
      <c r="DZ625" s="64" t="s">
        <v>165</v>
      </c>
      <c r="EA625" s="72" t="s">
        <v>166</v>
      </c>
      <c r="EB625" s="7"/>
    </row>
    <row r="626">
      <c r="A626" s="87" t="s">
        <v>688</v>
      </c>
      <c r="B626" s="87" t="s">
        <v>689</v>
      </c>
      <c r="C626" s="4"/>
      <c r="D626" s="3"/>
      <c r="E626" s="3" t="s">
        <v>137</v>
      </c>
      <c r="F626" s="57" t="s">
        <v>168</v>
      </c>
      <c r="G626" s="61">
        <v>167.100491666666</v>
      </c>
      <c r="H626" s="61">
        <v>-77.6965113888889</v>
      </c>
      <c r="I626" s="6" t="s">
        <v>268</v>
      </c>
      <c r="J626" s="6" t="s">
        <v>169</v>
      </c>
      <c r="K626" s="58">
        <v>2.0</v>
      </c>
      <c r="L626" s="5"/>
      <c r="M626" s="59">
        <v>2.0</v>
      </c>
      <c r="N626" s="61">
        <v>196.792285742398</v>
      </c>
      <c r="O626" s="61">
        <v>-22.959</v>
      </c>
      <c r="P626" s="61">
        <v>0.204</v>
      </c>
      <c r="Q626" s="61">
        <v>0.571</v>
      </c>
      <c r="R626" s="61">
        <v>0.201</v>
      </c>
      <c r="S626" s="60">
        <v>13.17</v>
      </c>
      <c r="T626" s="60">
        <v>0.8</v>
      </c>
      <c r="U626" s="61">
        <v>1.0</v>
      </c>
      <c r="V626" s="5"/>
      <c r="W626" s="5"/>
      <c r="X626" s="5"/>
      <c r="Y626" s="93" t="s">
        <v>269</v>
      </c>
      <c r="Z626" s="60"/>
      <c r="AA626" s="60"/>
      <c r="AB626" s="60">
        <v>12.054</v>
      </c>
      <c r="AC626" s="60">
        <v>0.026</v>
      </c>
      <c r="AD626" s="60">
        <v>11.203</v>
      </c>
      <c r="AE626" s="60">
        <v>0.023</v>
      </c>
      <c r="AF626" s="60">
        <v>10.711</v>
      </c>
      <c r="AG626" s="60">
        <v>0.019</v>
      </c>
      <c r="AH626" s="6"/>
      <c r="AI626" s="6"/>
      <c r="AJ626" s="63" t="s">
        <v>269</v>
      </c>
      <c r="AK626" s="64" t="s">
        <v>637</v>
      </c>
      <c r="AL626" s="97">
        <v>2003.0</v>
      </c>
      <c r="AM626" s="13"/>
      <c r="AN626" s="102">
        <v>160.0</v>
      </c>
      <c r="AO626" s="13"/>
      <c r="AP626" s="64" t="s">
        <v>353</v>
      </c>
      <c r="AQ626" s="97">
        <v>0.5</v>
      </c>
      <c r="AR626" s="66">
        <v>2980.0</v>
      </c>
      <c r="AS626" s="73">
        <v>150.0</v>
      </c>
      <c r="AT626" s="67">
        <v>0.09541984733</v>
      </c>
      <c r="AU626" s="7"/>
      <c r="AV626" s="70">
        <v>0.04897788194</v>
      </c>
      <c r="AW626" s="64">
        <v>1.584893192</v>
      </c>
      <c r="AX626" s="97">
        <v>0.83</v>
      </c>
      <c r="AY626" s="7"/>
      <c r="AZ626" s="11" t="s">
        <v>162</v>
      </c>
      <c r="BA626" s="68" t="s">
        <v>1303</v>
      </c>
      <c r="BB626" s="68">
        <v>-6.5</v>
      </c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90">
        <v>-0.9</v>
      </c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68">
        <v>-1.7</v>
      </c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69"/>
      <c r="DN626" s="69"/>
      <c r="DO626" s="69"/>
      <c r="DP626" s="69"/>
      <c r="DQ626" s="11"/>
      <c r="DR626" s="69"/>
      <c r="DS626" s="69"/>
      <c r="DT626" s="69"/>
      <c r="DU626" s="69"/>
      <c r="DV626" s="7"/>
      <c r="DW626" s="10"/>
      <c r="DX626" s="71">
        <v>1.0E-10</v>
      </c>
      <c r="DY626" s="7"/>
      <c r="DZ626" s="64" t="s">
        <v>248</v>
      </c>
      <c r="EA626" s="72" t="s">
        <v>166</v>
      </c>
      <c r="EB626" s="92"/>
    </row>
    <row r="627">
      <c r="A627" s="55" t="s">
        <v>1339</v>
      </c>
      <c r="B627" s="55" t="s">
        <v>1340</v>
      </c>
      <c r="C627" s="4"/>
      <c r="D627" s="3"/>
      <c r="E627" s="57" t="s">
        <v>137</v>
      </c>
      <c r="F627" s="57" t="s">
        <v>168</v>
      </c>
      <c r="G627" s="58">
        <v>246.519074</v>
      </c>
      <c r="H627" s="58">
        <v>-24.297634</v>
      </c>
      <c r="I627" s="6" t="s">
        <v>158</v>
      </c>
      <c r="J627" s="6" t="s">
        <v>169</v>
      </c>
      <c r="K627" s="58">
        <v>1.0</v>
      </c>
      <c r="L627" s="5"/>
      <c r="M627" s="59"/>
      <c r="N627" s="60"/>
      <c r="O627" s="60"/>
      <c r="P627" s="60"/>
      <c r="Q627" s="60"/>
      <c r="R627" s="60"/>
      <c r="S627" s="60"/>
      <c r="T627" s="60"/>
      <c r="U627" s="5"/>
      <c r="V627" s="5"/>
      <c r="W627" s="61">
        <v>4.2</v>
      </c>
      <c r="X627" s="5"/>
      <c r="Y627" s="62" t="s">
        <v>160</v>
      </c>
      <c r="Z627" s="60"/>
      <c r="AA627" s="60"/>
      <c r="AB627" s="60">
        <v>15.792</v>
      </c>
      <c r="AC627" s="60">
        <v>0.054</v>
      </c>
      <c r="AD627" s="60">
        <v>13.409</v>
      </c>
      <c r="AE627" s="60">
        <v>0.021</v>
      </c>
      <c r="AF627" s="60">
        <v>12.186</v>
      </c>
      <c r="AG627" s="60">
        <v>0.025</v>
      </c>
      <c r="AH627" s="6"/>
      <c r="AI627" s="6"/>
      <c r="AJ627" s="63" t="s">
        <v>160</v>
      </c>
      <c r="AK627" s="64" t="s">
        <v>1302</v>
      </c>
      <c r="AL627" s="64">
        <v>2004.0</v>
      </c>
      <c r="AM627" s="7"/>
      <c r="AN627" s="8"/>
      <c r="AO627" s="13"/>
      <c r="AP627" s="7"/>
      <c r="AQ627" s="65"/>
      <c r="AR627" s="66">
        <v>2818.382931</v>
      </c>
      <c r="AS627" s="7"/>
      <c r="AT627" s="67">
        <v>0.0954992586</v>
      </c>
      <c r="AU627" s="7"/>
      <c r="AV627" s="64">
        <v>0.08912509381</v>
      </c>
      <c r="AW627" s="7"/>
      <c r="AX627" s="73">
        <v>1.26</v>
      </c>
      <c r="AY627" s="7"/>
      <c r="AZ627" s="11" t="s">
        <v>162</v>
      </c>
      <c r="BA627" s="68" t="s">
        <v>1303</v>
      </c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68" t="s">
        <v>1341</v>
      </c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2"/>
      <c r="DK627" s="12"/>
      <c r="DL627" s="12"/>
      <c r="DM627" s="69"/>
      <c r="DN627" s="69"/>
      <c r="DO627" s="69"/>
      <c r="DP627" s="69"/>
      <c r="DQ627" s="11"/>
      <c r="DR627" s="69"/>
      <c r="DS627" s="69"/>
      <c r="DT627" s="69"/>
      <c r="DU627" s="69"/>
      <c r="DV627" s="70">
        <v>-4.11</v>
      </c>
      <c r="DW627" s="10"/>
      <c r="DX627" s="71">
        <v>2.82E-11</v>
      </c>
      <c r="DY627" s="7"/>
      <c r="DZ627" s="64" t="s">
        <v>165</v>
      </c>
      <c r="EA627" s="72" t="s">
        <v>166</v>
      </c>
      <c r="EB627" s="7"/>
    </row>
    <row r="628">
      <c r="A628" s="55" t="s">
        <v>1342</v>
      </c>
      <c r="B628" s="55" t="s">
        <v>1342</v>
      </c>
      <c r="C628" s="4"/>
      <c r="D628" s="3"/>
      <c r="E628" s="57" t="s">
        <v>137</v>
      </c>
      <c r="F628" s="57" t="s">
        <v>168</v>
      </c>
      <c r="G628" s="58">
        <v>246.98189</v>
      </c>
      <c r="H628" s="58">
        <v>-24.747473</v>
      </c>
      <c r="I628" s="6" t="s">
        <v>158</v>
      </c>
      <c r="J628" s="6" t="s">
        <v>159</v>
      </c>
      <c r="K628" s="58">
        <v>1.0</v>
      </c>
      <c r="L628" s="5"/>
      <c r="M628" s="59"/>
      <c r="N628" s="61"/>
      <c r="O628" s="61"/>
      <c r="P628" s="61"/>
      <c r="Q628" s="61"/>
      <c r="R628" s="61"/>
      <c r="S628" s="60"/>
      <c r="T628" s="60"/>
      <c r="U628" s="5"/>
      <c r="V628" s="5"/>
      <c r="W628" s="61">
        <v>1.0</v>
      </c>
      <c r="X628" s="5"/>
      <c r="Y628" s="62" t="s">
        <v>160</v>
      </c>
      <c r="Z628" s="60"/>
      <c r="AA628" s="60"/>
      <c r="AB628" s="60">
        <v>12.339</v>
      </c>
      <c r="AC628" s="60">
        <v>0.026</v>
      </c>
      <c r="AD628" s="60">
        <v>11.154</v>
      </c>
      <c r="AE628" s="60">
        <v>0.023</v>
      </c>
      <c r="AF628" s="60">
        <v>10.474</v>
      </c>
      <c r="AG628" s="60">
        <v>0.028</v>
      </c>
      <c r="AH628" s="6"/>
      <c r="AI628" s="6"/>
      <c r="AJ628" s="63" t="s">
        <v>160</v>
      </c>
      <c r="AK628" s="64" t="s">
        <v>161</v>
      </c>
      <c r="AL628" s="64">
        <v>2004.0</v>
      </c>
      <c r="AM628" s="7"/>
      <c r="AN628" s="8"/>
      <c r="AO628" s="13"/>
      <c r="AP628" s="13"/>
      <c r="AQ628" s="7"/>
      <c r="AR628" s="66">
        <v>2818.382931</v>
      </c>
      <c r="AS628" s="7"/>
      <c r="AT628" s="67">
        <v>0.1071519305</v>
      </c>
      <c r="AU628" s="7"/>
      <c r="AV628" s="64">
        <v>0.1047128548</v>
      </c>
      <c r="AW628" s="7"/>
      <c r="AX628" s="73">
        <v>1.36</v>
      </c>
      <c r="AY628" s="7"/>
      <c r="AZ628" s="11" t="s">
        <v>162</v>
      </c>
      <c r="BA628" s="68" t="s">
        <v>1303</v>
      </c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68" t="s">
        <v>1343</v>
      </c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70">
        <v>-2.84</v>
      </c>
      <c r="DW628" s="10"/>
      <c r="DX628" s="71">
        <v>5.13E-10</v>
      </c>
      <c r="DY628" s="7"/>
      <c r="DZ628" s="64" t="s">
        <v>165</v>
      </c>
      <c r="EA628" s="72" t="s">
        <v>166</v>
      </c>
      <c r="EB628" s="7"/>
    </row>
    <row r="629">
      <c r="A629" s="55" t="s">
        <v>1344</v>
      </c>
      <c r="B629" s="56" t="s">
        <v>1344</v>
      </c>
      <c r="C629" s="4"/>
      <c r="D629" s="3"/>
      <c r="E629" s="57" t="s">
        <v>137</v>
      </c>
      <c r="F629" s="57" t="s">
        <v>168</v>
      </c>
      <c r="G629" s="58">
        <v>246.980229</v>
      </c>
      <c r="H629" s="58">
        <v>-24.477655</v>
      </c>
      <c r="I629" s="6" t="s">
        <v>158</v>
      </c>
      <c r="J629" s="6" t="s">
        <v>169</v>
      </c>
      <c r="K629" s="58">
        <v>1.0</v>
      </c>
      <c r="L629" s="5"/>
      <c r="M629" s="59"/>
      <c r="N629" s="60"/>
      <c r="O629" s="60"/>
      <c r="P629" s="60"/>
      <c r="Q629" s="60"/>
      <c r="R629" s="60"/>
      <c r="S629" s="60"/>
      <c r="T629" s="60"/>
      <c r="U629" s="5"/>
      <c r="V629" s="5"/>
      <c r="W629" s="61">
        <v>1.7</v>
      </c>
      <c r="X629" s="5"/>
      <c r="Y629" s="62" t="s">
        <v>160</v>
      </c>
      <c r="Z629" s="60"/>
      <c r="AA629" s="60"/>
      <c r="AB629" s="60">
        <v>13.037</v>
      </c>
      <c r="AC629" s="60">
        <v>0.022</v>
      </c>
      <c r="AD629" s="60">
        <v>11.593</v>
      </c>
      <c r="AE629" s="60">
        <v>0.026</v>
      </c>
      <c r="AF629" s="60">
        <v>10.789</v>
      </c>
      <c r="AG629" s="60">
        <v>0.019</v>
      </c>
      <c r="AH629" s="6"/>
      <c r="AI629" s="6"/>
      <c r="AJ629" s="63" t="s">
        <v>160</v>
      </c>
      <c r="AK629" s="64" t="s">
        <v>1302</v>
      </c>
      <c r="AL629" s="64">
        <v>2004.0</v>
      </c>
      <c r="AM629" s="7"/>
      <c r="AN629" s="8"/>
      <c r="AO629" s="13"/>
      <c r="AP629" s="64" t="s">
        <v>353</v>
      </c>
      <c r="AQ629" s="64"/>
      <c r="AR629" s="66">
        <v>2818.382931</v>
      </c>
      <c r="AS629" s="7"/>
      <c r="AT629" s="67">
        <v>0.1071519305</v>
      </c>
      <c r="AU629" s="7"/>
      <c r="AV629" s="64">
        <v>0.1047128548</v>
      </c>
      <c r="AW629" s="7"/>
      <c r="AX629" s="73">
        <v>1.36</v>
      </c>
      <c r="AY629" s="7"/>
      <c r="AZ629" s="11" t="s">
        <v>162</v>
      </c>
      <c r="BA629" s="68" t="s">
        <v>1303</v>
      </c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68" t="s">
        <v>1341</v>
      </c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2"/>
      <c r="DK629" s="12"/>
      <c r="DL629" s="12"/>
      <c r="DM629" s="69"/>
      <c r="DN629" s="69"/>
      <c r="DO629" s="69"/>
      <c r="DP629" s="69"/>
      <c r="DQ629" s="11"/>
      <c r="DR629" s="69"/>
      <c r="DS629" s="69"/>
      <c r="DT629" s="69"/>
      <c r="DU629" s="69"/>
      <c r="DV629" s="70">
        <v>-4.03</v>
      </c>
      <c r="DW629" s="10"/>
      <c r="DX629" s="71">
        <v>3.31E-11</v>
      </c>
      <c r="DY629" s="7"/>
      <c r="DZ629" s="64" t="s">
        <v>165</v>
      </c>
      <c r="EA629" s="72" t="s">
        <v>166</v>
      </c>
      <c r="EB629" s="7"/>
    </row>
    <row r="630">
      <c r="A630" s="55" t="s">
        <v>1345</v>
      </c>
      <c r="B630" s="55" t="s">
        <v>1345</v>
      </c>
      <c r="C630" s="4"/>
      <c r="D630" s="3"/>
      <c r="E630" s="57" t="s">
        <v>137</v>
      </c>
      <c r="F630" s="57" t="s">
        <v>168</v>
      </c>
      <c r="G630" s="58">
        <v>246.746041</v>
      </c>
      <c r="H630" s="58">
        <v>-24.599133</v>
      </c>
      <c r="I630" s="6" t="s">
        <v>158</v>
      </c>
      <c r="J630" s="6" t="s">
        <v>169</v>
      </c>
      <c r="K630" s="58">
        <v>1.0</v>
      </c>
      <c r="L630" s="5"/>
      <c r="M630" s="59"/>
      <c r="N630" s="60"/>
      <c r="O630" s="60"/>
      <c r="P630" s="60"/>
      <c r="Q630" s="60"/>
      <c r="R630" s="60"/>
      <c r="S630" s="60"/>
      <c r="T630" s="60"/>
      <c r="U630" s="5"/>
      <c r="V630" s="5"/>
      <c r="W630" s="61">
        <v>4.7</v>
      </c>
      <c r="X630" s="5"/>
      <c r="Y630" s="62" t="s">
        <v>160</v>
      </c>
      <c r="Z630" s="60"/>
      <c r="AA630" s="60"/>
      <c r="AB630" s="60">
        <v>16.052</v>
      </c>
      <c r="AC630" s="60">
        <v>0.092</v>
      </c>
      <c r="AD630" s="60">
        <v>13.346</v>
      </c>
      <c r="AE630" s="60">
        <v>0.029</v>
      </c>
      <c r="AF630" s="60">
        <v>11.82</v>
      </c>
      <c r="AG630" s="60">
        <v>0.024</v>
      </c>
      <c r="AH630" s="6"/>
      <c r="AI630" s="6"/>
      <c r="AJ630" s="63" t="s">
        <v>160</v>
      </c>
      <c r="AK630" s="64" t="s">
        <v>1302</v>
      </c>
      <c r="AL630" s="64">
        <v>2004.0</v>
      </c>
      <c r="AM630" s="7"/>
      <c r="AN630" s="8"/>
      <c r="AO630" s="13"/>
      <c r="AP630" s="13"/>
      <c r="AQ630" s="7"/>
      <c r="AR630" s="66">
        <v>2884.031503</v>
      </c>
      <c r="AS630" s="7"/>
      <c r="AT630" s="67">
        <v>0.1148153621</v>
      </c>
      <c r="AU630" s="7"/>
      <c r="AV630" s="64">
        <v>0.1174897555</v>
      </c>
      <c r="AW630" s="7"/>
      <c r="AX630" s="73">
        <v>1.38</v>
      </c>
      <c r="AY630" s="7"/>
      <c r="AZ630" s="11" t="s">
        <v>162</v>
      </c>
      <c r="BA630" s="68" t="s">
        <v>1303</v>
      </c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68" t="s">
        <v>1334</v>
      </c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70">
        <v>-3.42</v>
      </c>
      <c r="DW630" s="10"/>
      <c r="DX630" s="71">
        <v>1.32E-10</v>
      </c>
      <c r="DY630" s="7"/>
      <c r="DZ630" s="64" t="s">
        <v>165</v>
      </c>
      <c r="EA630" s="72" t="s">
        <v>166</v>
      </c>
      <c r="EB630" s="7"/>
    </row>
    <row r="631">
      <c r="A631" s="55" t="s">
        <v>1346</v>
      </c>
      <c r="B631" s="55" t="s">
        <v>1346</v>
      </c>
      <c r="C631" s="4"/>
      <c r="D631" s="4"/>
      <c r="E631" s="4"/>
      <c r="F631" s="57" t="s">
        <v>168</v>
      </c>
      <c r="G631" s="58">
        <v>246.657445</v>
      </c>
      <c r="H631" s="58">
        <v>-24.383541</v>
      </c>
      <c r="I631" s="6" t="s">
        <v>158</v>
      </c>
      <c r="J631" s="6" t="s">
        <v>169</v>
      </c>
      <c r="K631" s="58">
        <v>1.0</v>
      </c>
      <c r="L631" s="5"/>
      <c r="M631" s="59"/>
      <c r="N631" s="60"/>
      <c r="O631" s="60"/>
      <c r="P631" s="60"/>
      <c r="Q631" s="60"/>
      <c r="R631" s="60"/>
      <c r="S631" s="60"/>
      <c r="T631" s="60"/>
      <c r="U631" s="5"/>
      <c r="V631" s="5"/>
      <c r="W631" s="61">
        <v>4.5</v>
      </c>
      <c r="X631" s="5"/>
      <c r="Y631" s="62" t="s">
        <v>160</v>
      </c>
      <c r="Z631" s="60"/>
      <c r="AA631" s="60"/>
      <c r="AB631" s="60">
        <v>15.741</v>
      </c>
      <c r="AC631" s="60">
        <v>0.059</v>
      </c>
      <c r="AD631" s="60">
        <v>12.913</v>
      </c>
      <c r="AE631" s="60">
        <v>0.024</v>
      </c>
      <c r="AF631" s="60">
        <v>11.106</v>
      </c>
      <c r="AG631" s="60">
        <v>0.023</v>
      </c>
      <c r="AH631" s="6"/>
      <c r="AI631" s="6"/>
      <c r="AJ631" s="63" t="s">
        <v>160</v>
      </c>
      <c r="AK631" s="64" t="s">
        <v>1302</v>
      </c>
      <c r="AL631" s="64">
        <v>2004.0</v>
      </c>
      <c r="AM631" s="7"/>
      <c r="AN631" s="8"/>
      <c r="AO631" s="13"/>
      <c r="AP631" s="7"/>
      <c r="AQ631" s="65"/>
      <c r="AR631" s="66">
        <v>2884.031503</v>
      </c>
      <c r="AS631" s="7"/>
      <c r="AT631" s="67">
        <v>0.1258925412</v>
      </c>
      <c r="AU631" s="7"/>
      <c r="AV631" s="64">
        <v>0.1380384265</v>
      </c>
      <c r="AW631" s="7"/>
      <c r="AX631" s="73">
        <v>1.49</v>
      </c>
      <c r="AY631" s="7"/>
      <c r="AZ631" s="11" t="s">
        <v>162</v>
      </c>
      <c r="BA631" s="68" t="s">
        <v>1303</v>
      </c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68">
        <v>-5.9</v>
      </c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2"/>
      <c r="DK631" s="12"/>
      <c r="DL631" s="12"/>
      <c r="DM631" s="69"/>
      <c r="DN631" s="69"/>
      <c r="DO631" s="69"/>
      <c r="DP631" s="69"/>
      <c r="DQ631" s="11"/>
      <c r="DR631" s="69"/>
      <c r="DS631" s="69"/>
      <c r="DT631" s="69"/>
      <c r="DU631" s="69"/>
      <c r="DV631" s="70">
        <v>-1.88</v>
      </c>
      <c r="DW631" s="10"/>
      <c r="DX631" s="71">
        <v>4.37E-9</v>
      </c>
      <c r="DY631" s="7"/>
      <c r="DZ631" s="64" t="s">
        <v>165</v>
      </c>
      <c r="EA631" s="72" t="s">
        <v>166</v>
      </c>
      <c r="EB631" s="7"/>
    </row>
    <row r="632">
      <c r="A632" s="55" t="s">
        <v>1347</v>
      </c>
      <c r="B632" s="55" t="s">
        <v>1347</v>
      </c>
      <c r="C632" s="4"/>
      <c r="D632" s="4"/>
      <c r="E632" s="57" t="s">
        <v>137</v>
      </c>
      <c r="F632" s="57" t="s">
        <v>168</v>
      </c>
      <c r="G632" s="58">
        <v>246.6960622</v>
      </c>
      <c r="H632" s="58">
        <v>-24.74160661</v>
      </c>
      <c r="I632" s="6" t="s">
        <v>158</v>
      </c>
      <c r="J632" s="6" t="s">
        <v>159</v>
      </c>
      <c r="K632" s="58">
        <v>1.0</v>
      </c>
      <c r="L632" s="5"/>
      <c r="M632" s="59">
        <v>2.0</v>
      </c>
      <c r="N632" s="61">
        <v>145.623998835008</v>
      </c>
      <c r="O632" s="61">
        <v>-4.551</v>
      </c>
      <c r="P632" s="61">
        <v>0.33</v>
      </c>
      <c r="Q632" s="61">
        <v>-26.797</v>
      </c>
      <c r="R632" s="61">
        <v>0.224</v>
      </c>
      <c r="S632" s="60"/>
      <c r="T632" s="60"/>
      <c r="U632" s="5"/>
      <c r="V632" s="5"/>
      <c r="W632" s="61">
        <v>1.3</v>
      </c>
      <c r="X632" s="5"/>
      <c r="Y632" s="62" t="s">
        <v>160</v>
      </c>
      <c r="Z632" s="60">
        <v>17.41</v>
      </c>
      <c r="AA632" s="60"/>
      <c r="AB632" s="60">
        <v>12.331</v>
      </c>
      <c r="AC632" s="60">
        <v>0.024</v>
      </c>
      <c r="AD632" s="60">
        <v>11.125</v>
      </c>
      <c r="AE632" s="60">
        <v>0.022</v>
      </c>
      <c r="AF632" s="60">
        <v>10.556</v>
      </c>
      <c r="AG632" s="60">
        <v>0.024</v>
      </c>
      <c r="AH632" s="6"/>
      <c r="AI632" s="6"/>
      <c r="AJ632" s="63" t="s">
        <v>160</v>
      </c>
      <c r="AK632" s="64" t="s">
        <v>161</v>
      </c>
      <c r="AL632" s="64">
        <v>2004.0</v>
      </c>
      <c r="AM632" s="7"/>
      <c r="AN632" s="8"/>
      <c r="AO632" s="13"/>
      <c r="AP632" s="64" t="s">
        <v>402</v>
      </c>
      <c r="AQ632" s="65"/>
      <c r="AR632" s="66">
        <v>2884.031503</v>
      </c>
      <c r="AS632" s="7"/>
      <c r="AT632" s="67">
        <v>0.1288249552</v>
      </c>
      <c r="AU632" s="7"/>
      <c r="AV632" s="64">
        <v>0.1479108388</v>
      </c>
      <c r="AW632" s="7"/>
      <c r="AX632" s="73">
        <v>1.54</v>
      </c>
      <c r="AY632" s="7"/>
      <c r="AZ632" s="11" t="s">
        <v>162</v>
      </c>
      <c r="BA632" s="68" t="s">
        <v>1303</v>
      </c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68" t="s">
        <v>1348</v>
      </c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2"/>
      <c r="DK632" s="12"/>
      <c r="DL632" s="12"/>
      <c r="DM632" s="69"/>
      <c r="DN632" s="69"/>
      <c r="DO632" s="69"/>
      <c r="DP632" s="69"/>
      <c r="DQ632" s="11"/>
      <c r="DR632" s="69"/>
      <c r="DS632" s="69"/>
      <c r="DT632" s="69"/>
      <c r="DU632" s="69"/>
      <c r="DV632" s="70">
        <v>-3.44</v>
      </c>
      <c r="DW632" s="10"/>
      <c r="DX632" s="71">
        <v>1.2E-10</v>
      </c>
      <c r="DY632" s="7"/>
      <c r="DZ632" s="64" t="s">
        <v>165</v>
      </c>
      <c r="EA632" s="72" t="s">
        <v>166</v>
      </c>
      <c r="EB632" s="7"/>
    </row>
    <row r="633">
      <c r="A633" s="55" t="s">
        <v>1349</v>
      </c>
      <c r="B633" s="55" t="s">
        <v>1349</v>
      </c>
      <c r="C633" s="4"/>
      <c r="D633" s="4"/>
      <c r="E633" s="57" t="s">
        <v>137</v>
      </c>
      <c r="F633" s="57" t="s">
        <v>168</v>
      </c>
      <c r="G633" s="58">
        <v>246.661682</v>
      </c>
      <c r="H633" s="58">
        <v>-24.389648</v>
      </c>
      <c r="I633" s="6" t="s">
        <v>158</v>
      </c>
      <c r="J633" s="6" t="s">
        <v>169</v>
      </c>
      <c r="K633" s="58">
        <v>1.0</v>
      </c>
      <c r="L633" s="5"/>
      <c r="M633" s="59"/>
      <c r="N633" s="60"/>
      <c r="O633" s="60"/>
      <c r="P633" s="60"/>
      <c r="Q633" s="60"/>
      <c r="R633" s="60"/>
      <c r="S633" s="60"/>
      <c r="T633" s="60"/>
      <c r="U633" s="5"/>
      <c r="V633" s="5"/>
      <c r="W633" s="61">
        <v>4.2</v>
      </c>
      <c r="X633" s="5"/>
      <c r="Y633" s="62" t="s">
        <v>160</v>
      </c>
      <c r="Z633" s="60"/>
      <c r="AA633" s="60"/>
      <c r="AB633" s="60">
        <v>15.033</v>
      </c>
      <c r="AC633" s="60">
        <v>0.047</v>
      </c>
      <c r="AD633" s="60">
        <v>12.764</v>
      </c>
      <c r="AE633" s="60">
        <v>0.023</v>
      </c>
      <c r="AF633" s="60">
        <v>11.565</v>
      </c>
      <c r="AG633" s="60">
        <v>0.023</v>
      </c>
      <c r="AH633" s="6"/>
      <c r="AI633" s="6"/>
      <c r="AJ633" s="63" t="s">
        <v>160</v>
      </c>
      <c r="AK633" s="64" t="s">
        <v>1302</v>
      </c>
      <c r="AL633" s="64">
        <v>2004.0</v>
      </c>
      <c r="AM633" s="7"/>
      <c r="AN633" s="8"/>
      <c r="AO633" s="13"/>
      <c r="AP633" s="64" t="s">
        <v>353</v>
      </c>
      <c r="AQ633" s="65"/>
      <c r="AR633" s="66">
        <v>2884.031503</v>
      </c>
      <c r="AS633" s="7"/>
      <c r="AT633" s="67">
        <v>0.1288249552</v>
      </c>
      <c r="AU633" s="7"/>
      <c r="AV633" s="64">
        <v>0.1445439771</v>
      </c>
      <c r="AW633" s="7"/>
      <c r="AX633" s="73">
        <v>1.53</v>
      </c>
      <c r="AY633" s="7"/>
      <c r="AZ633" s="11" t="s">
        <v>162</v>
      </c>
      <c r="BA633" s="68" t="s">
        <v>1303</v>
      </c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68" t="s">
        <v>1338</v>
      </c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2"/>
      <c r="DK633" s="12"/>
      <c r="DL633" s="12"/>
      <c r="DM633" s="12"/>
      <c r="DN633" s="12"/>
      <c r="DO633" s="12"/>
      <c r="DP633" s="12"/>
      <c r="DQ633" s="11"/>
      <c r="DR633" s="12"/>
      <c r="DS633" s="12"/>
      <c r="DT633" s="12"/>
      <c r="DU633" s="12"/>
      <c r="DV633" s="70">
        <v>-3.61</v>
      </c>
      <c r="DW633" s="10"/>
      <c r="DX633" s="71">
        <v>8.13E-11</v>
      </c>
      <c r="DY633" s="7"/>
      <c r="DZ633" s="64" t="s">
        <v>165</v>
      </c>
      <c r="EA633" s="72" t="s">
        <v>166</v>
      </c>
      <c r="EB633" s="7"/>
    </row>
    <row r="634">
      <c r="A634" s="55" t="s">
        <v>1350</v>
      </c>
      <c r="B634" s="55" t="s">
        <v>1350</v>
      </c>
      <c r="C634" s="3"/>
      <c r="D634" s="4"/>
      <c r="E634" s="4"/>
      <c r="F634" s="57" t="s">
        <v>168</v>
      </c>
      <c r="G634" s="58">
        <v>246.598249</v>
      </c>
      <c r="H634" s="58">
        <v>-24.410971</v>
      </c>
      <c r="I634" s="6" t="s">
        <v>158</v>
      </c>
      <c r="J634" s="6" t="s">
        <v>169</v>
      </c>
      <c r="K634" s="58">
        <v>1.0</v>
      </c>
      <c r="L634" s="5"/>
      <c r="M634" s="59"/>
      <c r="N634" s="60"/>
      <c r="O634" s="60"/>
      <c r="P634" s="60"/>
      <c r="Q634" s="60"/>
      <c r="R634" s="60"/>
      <c r="S634" s="60">
        <v>-7.9</v>
      </c>
      <c r="T634" s="60">
        <v>1.5</v>
      </c>
      <c r="U634" s="5"/>
      <c r="V634" s="5"/>
      <c r="W634" s="61">
        <v>3.9</v>
      </c>
      <c r="X634" s="5"/>
      <c r="Y634" s="62" t="s">
        <v>160</v>
      </c>
      <c r="Z634" s="60"/>
      <c r="AA634" s="60"/>
      <c r="AB634" s="60">
        <v>15.052</v>
      </c>
      <c r="AC634" s="60">
        <v>0.06</v>
      </c>
      <c r="AD634" s="60">
        <v>12.253</v>
      </c>
      <c r="AE634" s="60">
        <v>0.043</v>
      </c>
      <c r="AF634" s="60">
        <v>10.224</v>
      </c>
      <c r="AG634" s="60">
        <v>0.03</v>
      </c>
      <c r="AH634" s="6"/>
      <c r="AI634" s="6"/>
      <c r="AJ634" s="63" t="s">
        <v>160</v>
      </c>
      <c r="AK634" s="64" t="s">
        <v>161</v>
      </c>
      <c r="AL634" s="64">
        <v>2004.0</v>
      </c>
      <c r="AM634" s="7"/>
      <c r="AN634" s="8"/>
      <c r="AO634" s="13"/>
      <c r="AP634" s="64" t="s">
        <v>434</v>
      </c>
      <c r="AQ634" s="65"/>
      <c r="AR634" s="66">
        <v>2884.031503</v>
      </c>
      <c r="AS634" s="7"/>
      <c r="AT634" s="67">
        <v>0.1318256739</v>
      </c>
      <c r="AU634" s="7"/>
      <c r="AV634" s="64">
        <v>0.1513561248</v>
      </c>
      <c r="AW634" s="7"/>
      <c r="AX634" s="73">
        <v>1.56</v>
      </c>
      <c r="AY634" s="7"/>
      <c r="AZ634" s="11" t="s">
        <v>162</v>
      </c>
      <c r="BA634" s="68" t="s">
        <v>1303</v>
      </c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68">
        <v>-3.0</v>
      </c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2"/>
      <c r="DK634" s="12"/>
      <c r="DL634" s="12"/>
      <c r="DM634" s="12"/>
      <c r="DN634" s="12"/>
      <c r="DO634" s="12"/>
      <c r="DP634" s="12"/>
      <c r="DQ634" s="11"/>
      <c r="DR634" s="12"/>
      <c r="DS634" s="12"/>
      <c r="DT634" s="12"/>
      <c r="DU634" s="12"/>
      <c r="DV634" s="70">
        <v>-2.22</v>
      </c>
      <c r="DW634" s="10"/>
      <c r="DX634" s="71">
        <v>1.95E-9</v>
      </c>
      <c r="DY634" s="7"/>
      <c r="DZ634" s="64" t="s">
        <v>165</v>
      </c>
      <c r="EA634" s="72" t="s">
        <v>166</v>
      </c>
      <c r="EB634" s="7"/>
    </row>
    <row r="635">
      <c r="A635" s="55" t="s">
        <v>1351</v>
      </c>
      <c r="B635" s="55" t="s">
        <v>1351</v>
      </c>
      <c r="C635" s="4"/>
      <c r="D635" s="4"/>
      <c r="E635" s="4"/>
      <c r="F635" s="57" t="s">
        <v>168</v>
      </c>
      <c r="G635" s="58">
        <v>246.7042</v>
      </c>
      <c r="H635" s="58">
        <v>-24.6403</v>
      </c>
      <c r="I635" s="6" t="s">
        <v>158</v>
      </c>
      <c r="J635" s="6" t="s">
        <v>169</v>
      </c>
      <c r="K635" s="58">
        <v>1.0</v>
      </c>
      <c r="L635" s="5"/>
      <c r="M635" s="59">
        <v>2.0</v>
      </c>
      <c r="N635" s="61">
        <v>132.569731678863</v>
      </c>
      <c r="O635" s="61">
        <v>-4.118</v>
      </c>
      <c r="P635" s="61">
        <v>1.311</v>
      </c>
      <c r="Q635" s="61">
        <v>-25.417</v>
      </c>
      <c r="R635" s="61">
        <v>0.849</v>
      </c>
      <c r="S635" s="60"/>
      <c r="T635" s="60"/>
      <c r="U635" s="5"/>
      <c r="V635" s="5"/>
      <c r="W635" s="61">
        <v>2.5</v>
      </c>
      <c r="X635" s="5"/>
      <c r="Y635" s="62" t="s">
        <v>160</v>
      </c>
      <c r="Z635" s="60">
        <v>19.33</v>
      </c>
      <c r="AA635" s="60"/>
      <c r="AB635" s="60">
        <v>13.5</v>
      </c>
      <c r="AC635" s="60">
        <v>0.036</v>
      </c>
      <c r="AD635" s="60">
        <v>11.44</v>
      </c>
      <c r="AE635" s="60">
        <v>0.04</v>
      </c>
      <c r="AF635" s="60">
        <v>9.977</v>
      </c>
      <c r="AG635" s="60">
        <v>0.03</v>
      </c>
      <c r="AH635" s="6"/>
      <c r="AI635" s="6"/>
      <c r="AJ635" s="63" t="s">
        <v>160</v>
      </c>
      <c r="AK635" s="64" t="s">
        <v>161</v>
      </c>
      <c r="AL635" s="64">
        <v>2004.0</v>
      </c>
      <c r="AM635" s="7"/>
      <c r="AN635" s="8"/>
      <c r="AO635" s="13"/>
      <c r="AP635" s="64" t="s">
        <v>422</v>
      </c>
      <c r="AQ635" s="65"/>
      <c r="AR635" s="66">
        <v>2884.031503</v>
      </c>
      <c r="AS635" s="7"/>
      <c r="AT635" s="67">
        <v>0.1348962883</v>
      </c>
      <c r="AU635" s="7"/>
      <c r="AV635" s="64">
        <v>0.1548816619</v>
      </c>
      <c r="AW635" s="7"/>
      <c r="AX635" s="73">
        <v>1.58</v>
      </c>
      <c r="AY635" s="7"/>
      <c r="AZ635" s="11" t="s">
        <v>162</v>
      </c>
      <c r="BA635" s="68" t="s">
        <v>1303</v>
      </c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68">
        <v>-36.0</v>
      </c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2"/>
      <c r="DK635" s="12"/>
      <c r="DL635" s="12"/>
      <c r="DM635" s="69"/>
      <c r="DN635" s="69"/>
      <c r="DO635" s="69"/>
      <c r="DP635" s="69"/>
      <c r="DQ635" s="11"/>
      <c r="DR635" s="69"/>
      <c r="DS635" s="69"/>
      <c r="DT635" s="69"/>
      <c r="DU635" s="69"/>
      <c r="DV635" s="70">
        <v>-0.74</v>
      </c>
      <c r="DW635" s="10"/>
      <c r="DX635" s="71">
        <v>5.89E-8</v>
      </c>
      <c r="DY635" s="7"/>
      <c r="DZ635" s="64" t="s">
        <v>165</v>
      </c>
      <c r="EA635" s="72" t="s">
        <v>166</v>
      </c>
      <c r="EB635" s="7"/>
    </row>
    <row r="636">
      <c r="A636" s="55" t="s">
        <v>1352</v>
      </c>
      <c r="B636" s="55" t="s">
        <v>1352</v>
      </c>
      <c r="C636" s="4"/>
      <c r="D636" s="4"/>
      <c r="E636" s="57" t="s">
        <v>137</v>
      </c>
      <c r="F636" s="57" t="s">
        <v>168</v>
      </c>
      <c r="G636" s="58">
        <v>246.67872</v>
      </c>
      <c r="H636" s="58">
        <v>-24.383078</v>
      </c>
      <c r="I636" s="6" t="s">
        <v>158</v>
      </c>
      <c r="J636" s="6" t="s">
        <v>169</v>
      </c>
      <c r="K636" s="58">
        <v>1.0</v>
      </c>
      <c r="L636" s="5"/>
      <c r="M636" s="59"/>
      <c r="N636" s="60"/>
      <c r="O636" s="60"/>
      <c r="P636" s="60"/>
      <c r="Q636" s="60"/>
      <c r="R636" s="60"/>
      <c r="S636" s="60"/>
      <c r="T636" s="60"/>
      <c r="U636" s="5"/>
      <c r="V636" s="5"/>
      <c r="W636" s="61">
        <v>4.3</v>
      </c>
      <c r="X636" s="5"/>
      <c r="Y636" s="62" t="s">
        <v>160</v>
      </c>
      <c r="Z636" s="60"/>
      <c r="AA636" s="60"/>
      <c r="AB636" s="60">
        <v>15.328</v>
      </c>
      <c r="AC636" s="60">
        <v>0.052</v>
      </c>
      <c r="AD636" s="60">
        <v>12.823</v>
      </c>
      <c r="AE636" s="60">
        <v>0.029</v>
      </c>
      <c r="AF636" s="60">
        <v>11.437</v>
      </c>
      <c r="AG636" s="60">
        <v>0.024</v>
      </c>
      <c r="AH636" s="6"/>
      <c r="AI636" s="6"/>
      <c r="AJ636" s="63" t="s">
        <v>160</v>
      </c>
      <c r="AK636" s="64" t="s">
        <v>1302</v>
      </c>
      <c r="AL636" s="64">
        <v>2004.0</v>
      </c>
      <c r="AM636" s="7"/>
      <c r="AN636" s="8"/>
      <c r="AO636" s="13"/>
      <c r="AP636" s="64" t="s">
        <v>353</v>
      </c>
      <c r="AQ636" s="65"/>
      <c r="AR636" s="66">
        <v>2884.031503</v>
      </c>
      <c r="AS636" s="7"/>
      <c r="AT636" s="67">
        <v>0.1348962883</v>
      </c>
      <c r="AU636" s="7"/>
      <c r="AV636" s="64">
        <v>0.1584893192</v>
      </c>
      <c r="AW636" s="7"/>
      <c r="AX636" s="73">
        <v>1.6</v>
      </c>
      <c r="AY636" s="7"/>
      <c r="AZ636" s="11" t="s">
        <v>162</v>
      </c>
      <c r="BA636" s="68" t="s">
        <v>1303</v>
      </c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68" t="s">
        <v>1338</v>
      </c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2"/>
      <c r="DK636" s="12"/>
      <c r="DL636" s="12"/>
      <c r="DM636" s="69"/>
      <c r="DN636" s="69"/>
      <c r="DO636" s="69"/>
      <c r="DP636" s="69"/>
      <c r="DQ636" s="11"/>
      <c r="DR636" s="69"/>
      <c r="DS636" s="69"/>
      <c r="DT636" s="69"/>
      <c r="DU636" s="69"/>
      <c r="DV636" s="70">
        <v>-3.47</v>
      </c>
      <c r="DW636" s="10"/>
      <c r="DX636" s="71">
        <v>1.1E-10</v>
      </c>
      <c r="DY636" s="7"/>
      <c r="DZ636" s="64" t="s">
        <v>165</v>
      </c>
      <c r="EA636" s="72" t="s">
        <v>166</v>
      </c>
      <c r="EB636" s="7"/>
    </row>
    <row r="637">
      <c r="A637" s="55" t="s">
        <v>1353</v>
      </c>
      <c r="B637" s="55" t="s">
        <v>1353</v>
      </c>
      <c r="C637" s="4"/>
      <c r="D637" s="4"/>
      <c r="E637" s="57" t="s">
        <v>137</v>
      </c>
      <c r="F637" s="57" t="s">
        <v>168</v>
      </c>
      <c r="G637" s="58">
        <v>246.991145</v>
      </c>
      <c r="H637" s="58">
        <v>-24.600615</v>
      </c>
      <c r="I637" s="6" t="s">
        <v>158</v>
      </c>
      <c r="J637" s="6" t="s">
        <v>159</v>
      </c>
      <c r="K637" s="58">
        <v>1.0</v>
      </c>
      <c r="L637" s="5"/>
      <c r="M637" s="59"/>
      <c r="N637" s="60"/>
      <c r="O637" s="60"/>
      <c r="P637" s="60"/>
      <c r="Q637" s="60"/>
      <c r="R637" s="60"/>
      <c r="S637" s="60"/>
      <c r="T637" s="60"/>
      <c r="U637" s="5"/>
      <c r="V637" s="5"/>
      <c r="W637" s="61">
        <v>4.4</v>
      </c>
      <c r="X637" s="5"/>
      <c r="Y637" s="62" t="s">
        <v>160</v>
      </c>
      <c r="Z637" s="60"/>
      <c r="AA637" s="60"/>
      <c r="AB637" s="60">
        <v>15.367</v>
      </c>
      <c r="AC637" s="60">
        <v>0.044</v>
      </c>
      <c r="AD637" s="60">
        <v>12.985</v>
      </c>
      <c r="AE637" s="60">
        <v>0.024</v>
      </c>
      <c r="AF637" s="60">
        <v>11.832</v>
      </c>
      <c r="AG637" s="60">
        <v>0.021</v>
      </c>
      <c r="AH637" s="6"/>
      <c r="AI637" s="6"/>
      <c r="AJ637" s="63" t="s">
        <v>160</v>
      </c>
      <c r="AK637" s="64" t="s">
        <v>161</v>
      </c>
      <c r="AL637" s="64">
        <v>2004.0</v>
      </c>
      <c r="AM637" s="7"/>
      <c r="AN637" s="8"/>
      <c r="AO637" s="13"/>
      <c r="AP637" s="13" t="s">
        <v>558</v>
      </c>
      <c r="AQ637" s="7"/>
      <c r="AR637" s="66">
        <v>2884.031503</v>
      </c>
      <c r="AS637" s="7"/>
      <c r="AT637" s="67">
        <v>0.1380384265</v>
      </c>
      <c r="AU637" s="7"/>
      <c r="AV637" s="64">
        <v>0.1621810097</v>
      </c>
      <c r="AW637" s="7"/>
      <c r="AX637" s="73">
        <v>1.62</v>
      </c>
      <c r="AY637" s="7"/>
      <c r="AZ637" s="11" t="s">
        <v>162</v>
      </c>
      <c r="BA637" s="68" t="s">
        <v>1303</v>
      </c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68" t="s">
        <v>1343</v>
      </c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2"/>
      <c r="DK637" s="12"/>
      <c r="DL637" s="12"/>
      <c r="DM637" s="69"/>
      <c r="DN637" s="69"/>
      <c r="DO637" s="69"/>
      <c r="DP637" s="69"/>
      <c r="DQ637" s="11"/>
      <c r="DR637" s="69"/>
      <c r="DS637" s="69"/>
      <c r="DT637" s="69"/>
      <c r="DU637" s="69"/>
      <c r="DV637" s="70">
        <v>-2.61</v>
      </c>
      <c r="DW637" s="10"/>
      <c r="DX637" s="71">
        <v>7.94E-10</v>
      </c>
      <c r="DY637" s="7"/>
      <c r="DZ637" s="64" t="s">
        <v>165</v>
      </c>
      <c r="EA637" s="72" t="s">
        <v>166</v>
      </c>
      <c r="EB637" s="13"/>
    </row>
    <row r="638">
      <c r="A638" s="55" t="s">
        <v>1354</v>
      </c>
      <c r="B638" s="55" t="s">
        <v>1355</v>
      </c>
      <c r="C638" s="4" t="s">
        <v>156</v>
      </c>
      <c r="D638" s="57">
        <v>3.97</v>
      </c>
      <c r="E638" s="57" t="s">
        <v>137</v>
      </c>
      <c r="F638" s="57" t="s">
        <v>168</v>
      </c>
      <c r="G638" s="58">
        <v>246.925</v>
      </c>
      <c r="H638" s="58">
        <v>-24.5947</v>
      </c>
      <c r="I638" s="6" t="s">
        <v>158</v>
      </c>
      <c r="J638" s="6" t="s">
        <v>159</v>
      </c>
      <c r="K638" s="58">
        <v>1.0</v>
      </c>
      <c r="L638" s="5"/>
      <c r="M638" s="59"/>
      <c r="N638" s="60"/>
      <c r="O638" s="60"/>
      <c r="P638" s="60"/>
      <c r="Q638" s="60"/>
      <c r="R638" s="60"/>
      <c r="S638" s="60"/>
      <c r="T638" s="60"/>
      <c r="U638" s="5"/>
      <c r="V638" s="5"/>
      <c r="W638" s="61">
        <v>3.8</v>
      </c>
      <c r="X638" s="5"/>
      <c r="Y638" s="62" t="s">
        <v>160</v>
      </c>
      <c r="Z638" s="60"/>
      <c r="AA638" s="60"/>
      <c r="AB638" s="60">
        <v>14.296</v>
      </c>
      <c r="AC638" s="60">
        <v>0.059</v>
      </c>
      <c r="AD638" s="60">
        <v>11.833</v>
      </c>
      <c r="AE638" s="60">
        <v>0.052</v>
      </c>
      <c r="AF638" s="60">
        <v>10.565</v>
      </c>
      <c r="AG638" s="60">
        <v>0.047</v>
      </c>
      <c r="AH638" s="6"/>
      <c r="AI638" s="6"/>
      <c r="AJ638" s="63" t="s">
        <v>160</v>
      </c>
      <c r="AK638" s="64" t="s">
        <v>161</v>
      </c>
      <c r="AL638" s="64">
        <v>2004.0</v>
      </c>
      <c r="AM638" s="7"/>
      <c r="AN638" s="8"/>
      <c r="AO638" s="13"/>
      <c r="AP638" s="13"/>
      <c r="AQ638" s="7"/>
      <c r="AR638" s="66">
        <v>2884.031503</v>
      </c>
      <c r="AS638" s="7"/>
      <c r="AT638" s="67">
        <v>0.1412537545</v>
      </c>
      <c r="AU638" s="7"/>
      <c r="AV638" s="70">
        <v>0.1659586907</v>
      </c>
      <c r="AW638" s="7"/>
      <c r="AX638" s="73">
        <v>1.64</v>
      </c>
      <c r="AY638" s="7"/>
      <c r="AZ638" s="11" t="s">
        <v>162</v>
      </c>
      <c r="BA638" s="68" t="s">
        <v>1303</v>
      </c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90" t="s">
        <v>1356</v>
      </c>
      <c r="CA638" s="69"/>
      <c r="CB638" s="105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2"/>
      <c r="DK638" s="12"/>
      <c r="DL638" s="12"/>
      <c r="DM638" s="69"/>
      <c r="DN638" s="69"/>
      <c r="DO638" s="69"/>
      <c r="DP638" s="69"/>
      <c r="DQ638" s="11"/>
      <c r="DR638" s="69"/>
      <c r="DS638" s="69"/>
      <c r="DT638" s="69"/>
      <c r="DU638" s="69"/>
      <c r="DV638" s="70">
        <v>-2.89</v>
      </c>
      <c r="DW638" s="10"/>
      <c r="DX638" s="71">
        <v>4.17E-10</v>
      </c>
      <c r="DY638" s="7"/>
      <c r="DZ638" s="64" t="s">
        <v>165</v>
      </c>
      <c r="EA638" s="72" t="s">
        <v>166</v>
      </c>
      <c r="EB638" s="7"/>
    </row>
    <row r="639">
      <c r="A639" s="55" t="s">
        <v>1357</v>
      </c>
      <c r="B639" s="55" t="s">
        <v>1357</v>
      </c>
      <c r="C639" s="4"/>
      <c r="D639" s="4"/>
      <c r="E639" s="57" t="s">
        <v>137</v>
      </c>
      <c r="F639" s="57" t="s">
        <v>168</v>
      </c>
      <c r="G639" s="58">
        <v>246.605345</v>
      </c>
      <c r="H639" s="58">
        <v>-24.412502</v>
      </c>
      <c r="I639" s="6" t="s">
        <v>158</v>
      </c>
      <c r="J639" s="6" t="s">
        <v>169</v>
      </c>
      <c r="K639" s="58">
        <v>1.0</v>
      </c>
      <c r="L639" s="5"/>
      <c r="M639" s="59"/>
      <c r="N639" s="60"/>
      <c r="O639" s="60"/>
      <c r="P639" s="60"/>
      <c r="Q639" s="60"/>
      <c r="R639" s="60"/>
      <c r="S639" s="60"/>
      <c r="T639" s="60"/>
      <c r="U639" s="6"/>
      <c r="V639" s="5"/>
      <c r="W639" s="61">
        <v>5.3</v>
      </c>
      <c r="X639" s="5"/>
      <c r="Y639" s="62" t="s">
        <v>160</v>
      </c>
      <c r="Z639" s="60"/>
      <c r="AA639" s="60"/>
      <c r="AB639" s="60">
        <v>16.28</v>
      </c>
      <c r="AC639" s="60">
        <v>0.122</v>
      </c>
      <c r="AD639" s="60">
        <v>13.102</v>
      </c>
      <c r="AE639" s="60">
        <v>0.037</v>
      </c>
      <c r="AF639" s="60">
        <v>11.073</v>
      </c>
      <c r="AG639" s="60">
        <v>0.027</v>
      </c>
      <c r="AH639" s="6"/>
      <c r="AI639" s="6"/>
      <c r="AJ639" s="63" t="s">
        <v>160</v>
      </c>
      <c r="AK639" s="64" t="s">
        <v>1302</v>
      </c>
      <c r="AL639" s="64">
        <v>2004.0</v>
      </c>
      <c r="AM639" s="7"/>
      <c r="AN639" s="8"/>
      <c r="AO639" s="13"/>
      <c r="AP639" s="13"/>
      <c r="AQ639" s="7"/>
      <c r="AR639" s="66">
        <v>2884.031503</v>
      </c>
      <c r="AS639" s="7"/>
      <c r="AT639" s="67">
        <v>0.1479108388</v>
      </c>
      <c r="AU639" s="7"/>
      <c r="AV639" s="64">
        <v>0.1819700859</v>
      </c>
      <c r="AW639" s="7"/>
      <c r="AX639" s="73">
        <v>1.71</v>
      </c>
      <c r="AY639" s="7"/>
      <c r="AZ639" s="11" t="s">
        <v>162</v>
      </c>
      <c r="BA639" s="68" t="s">
        <v>1303</v>
      </c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68" t="s">
        <v>1338</v>
      </c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2"/>
      <c r="DK639" s="12"/>
      <c r="DL639" s="12"/>
      <c r="DM639" s="69"/>
      <c r="DN639" s="69"/>
      <c r="DO639" s="69"/>
      <c r="DP639" s="69"/>
      <c r="DQ639" s="11"/>
      <c r="DR639" s="69"/>
      <c r="DS639" s="69"/>
      <c r="DT639" s="69"/>
      <c r="DU639" s="69"/>
      <c r="DV639" s="70">
        <v>-3.48</v>
      </c>
      <c r="DW639" s="10"/>
      <c r="DX639" s="71">
        <v>1.05E-10</v>
      </c>
      <c r="DY639" s="7"/>
      <c r="DZ639" s="64" t="s">
        <v>165</v>
      </c>
      <c r="EA639" s="72" t="s">
        <v>166</v>
      </c>
      <c r="EB639" s="13"/>
    </row>
    <row r="640">
      <c r="A640" s="55" t="s">
        <v>1358</v>
      </c>
      <c r="B640" s="55" t="s">
        <v>1358</v>
      </c>
      <c r="C640" s="4"/>
      <c r="D640" s="3"/>
      <c r="E640" s="57" t="s">
        <v>137</v>
      </c>
      <c r="F640" s="57" t="s">
        <v>168</v>
      </c>
      <c r="G640" s="58">
        <v>246.743317</v>
      </c>
      <c r="H640" s="58">
        <v>-24.358328</v>
      </c>
      <c r="I640" s="6" t="s">
        <v>158</v>
      </c>
      <c r="J640" s="6" t="s">
        <v>169</v>
      </c>
      <c r="K640" s="58">
        <v>1.0</v>
      </c>
      <c r="L640" s="5"/>
      <c r="M640" s="59"/>
      <c r="N640" s="60"/>
      <c r="O640" s="60"/>
      <c r="P640" s="60"/>
      <c r="Q640" s="60"/>
      <c r="R640" s="60"/>
      <c r="S640" s="60"/>
      <c r="T640" s="60"/>
      <c r="U640" s="5"/>
      <c r="V640" s="5"/>
      <c r="W640" s="61">
        <v>5.1</v>
      </c>
      <c r="X640" s="5"/>
      <c r="Y640" s="62" t="s">
        <v>160</v>
      </c>
      <c r="Z640" s="60"/>
      <c r="AA640" s="60"/>
      <c r="AB640" s="60">
        <v>16.006</v>
      </c>
      <c r="AC640" s="60">
        <v>0.073</v>
      </c>
      <c r="AD640" s="60">
        <v>13.113</v>
      </c>
      <c r="AE640" s="60">
        <v>0.026</v>
      </c>
      <c r="AF640" s="60">
        <v>11.464</v>
      </c>
      <c r="AG640" s="60">
        <v>0.019</v>
      </c>
      <c r="AH640" s="6"/>
      <c r="AI640" s="6"/>
      <c r="AJ640" s="63" t="s">
        <v>160</v>
      </c>
      <c r="AK640" s="64" t="s">
        <v>161</v>
      </c>
      <c r="AL640" s="64">
        <v>2004.0</v>
      </c>
      <c r="AM640" s="7"/>
      <c r="AN640" s="8"/>
      <c r="AO640" s="13"/>
      <c r="AP640" s="64" t="s">
        <v>353</v>
      </c>
      <c r="AQ640" s="65"/>
      <c r="AR640" s="66">
        <v>2951.209227</v>
      </c>
      <c r="AS640" s="7"/>
      <c r="AT640" s="67">
        <v>0.1513561248</v>
      </c>
      <c r="AU640" s="7"/>
      <c r="AV640" s="64">
        <v>0.1905460718</v>
      </c>
      <c r="AW640" s="7"/>
      <c r="AX640" s="73">
        <v>1.67</v>
      </c>
      <c r="AY640" s="7"/>
      <c r="AZ640" s="11" t="s">
        <v>162</v>
      </c>
      <c r="BA640" s="68" t="s">
        <v>1303</v>
      </c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68" t="s">
        <v>183</v>
      </c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2"/>
      <c r="DK640" s="12"/>
      <c r="DL640" s="12"/>
      <c r="DM640" s="69"/>
      <c r="DN640" s="69"/>
      <c r="DO640" s="69"/>
      <c r="DP640" s="69"/>
      <c r="DQ640" s="11"/>
      <c r="DR640" s="69"/>
      <c r="DS640" s="69"/>
      <c r="DT640" s="69"/>
      <c r="DU640" s="69"/>
      <c r="DV640" s="70">
        <v>-2.88</v>
      </c>
      <c r="DW640" s="10"/>
      <c r="DX640" s="71">
        <v>4.07E-10</v>
      </c>
      <c r="DY640" s="7"/>
      <c r="DZ640" s="64" t="s">
        <v>165</v>
      </c>
      <c r="EA640" s="72" t="s">
        <v>166</v>
      </c>
      <c r="EB640" s="7"/>
    </row>
    <row r="641">
      <c r="A641" s="55" t="s">
        <v>1359</v>
      </c>
      <c r="B641" s="55" t="s">
        <v>1359</v>
      </c>
      <c r="C641" s="4"/>
      <c r="D641" s="3"/>
      <c r="E641" s="57" t="s">
        <v>137</v>
      </c>
      <c r="F641" s="57" t="s">
        <v>168</v>
      </c>
      <c r="G641" s="58">
        <v>247.0574788</v>
      </c>
      <c r="H641" s="58">
        <v>-24.54707842</v>
      </c>
      <c r="I641" s="6" t="s">
        <v>158</v>
      </c>
      <c r="J641" s="6" t="s">
        <v>169</v>
      </c>
      <c r="K641" s="58">
        <v>1.0</v>
      </c>
      <c r="L641" s="5"/>
      <c r="M641" s="59">
        <v>2.0</v>
      </c>
      <c r="N641" s="61">
        <v>142.126208072768</v>
      </c>
      <c r="O641" s="61">
        <v>-6.808</v>
      </c>
      <c r="P641" s="61">
        <v>0.434</v>
      </c>
      <c r="Q641" s="61">
        <v>-24.09</v>
      </c>
      <c r="R641" s="61">
        <v>0.291</v>
      </c>
      <c r="S641" s="60"/>
      <c r="T641" s="60"/>
      <c r="U641" s="5"/>
      <c r="V641" s="5"/>
      <c r="W641" s="61">
        <v>1.8</v>
      </c>
      <c r="X641" s="5"/>
      <c r="Y641" s="62" t="s">
        <v>160</v>
      </c>
      <c r="Z641" s="60">
        <v>18.08</v>
      </c>
      <c r="AA641" s="60"/>
      <c r="AB641" s="60">
        <v>12.345</v>
      </c>
      <c r="AC641" s="60">
        <v>0.026</v>
      </c>
      <c r="AD641" s="60">
        <v>10.886</v>
      </c>
      <c r="AE641" s="60">
        <v>0.023</v>
      </c>
      <c r="AF641" s="60">
        <v>10.096</v>
      </c>
      <c r="AG641" s="60">
        <v>0.021</v>
      </c>
      <c r="AH641" s="6"/>
      <c r="AI641" s="6"/>
      <c r="AJ641" s="63" t="s">
        <v>160</v>
      </c>
      <c r="AK641" s="64" t="s">
        <v>161</v>
      </c>
      <c r="AL641" s="64">
        <v>2004.0</v>
      </c>
      <c r="AM641" s="7"/>
      <c r="AN641" s="8"/>
      <c r="AO641" s="13"/>
      <c r="AP641" s="64" t="s">
        <v>1360</v>
      </c>
      <c r="AQ641" s="65"/>
      <c r="AR641" s="66">
        <v>3019.95172</v>
      </c>
      <c r="AS641" s="7"/>
      <c r="AT641" s="67">
        <v>0.1698243652</v>
      </c>
      <c r="AU641" s="7"/>
      <c r="AV641" s="64">
        <v>0.2290867653</v>
      </c>
      <c r="AW641" s="7"/>
      <c r="AX641" s="73">
        <v>1.75</v>
      </c>
      <c r="AY641" s="7"/>
      <c r="AZ641" s="11" t="s">
        <v>162</v>
      </c>
      <c r="BA641" s="68" t="s">
        <v>1303</v>
      </c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68" t="s">
        <v>1334</v>
      </c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2"/>
      <c r="DK641" s="12"/>
      <c r="DL641" s="12"/>
      <c r="DM641" s="69"/>
      <c r="DN641" s="69"/>
      <c r="DO641" s="69"/>
      <c r="DP641" s="69"/>
      <c r="DQ641" s="11"/>
      <c r="DR641" s="69"/>
      <c r="DS641" s="69"/>
      <c r="DT641" s="69"/>
      <c r="DU641" s="69"/>
      <c r="DV641" s="70">
        <v>-3.06</v>
      </c>
      <c r="DW641" s="10"/>
      <c r="DX641" s="71">
        <v>2.51E-10</v>
      </c>
      <c r="DY641" s="7"/>
      <c r="DZ641" s="64" t="s">
        <v>165</v>
      </c>
      <c r="EA641" s="72" t="s">
        <v>166</v>
      </c>
      <c r="EB641" s="7"/>
    </row>
    <row r="642">
      <c r="A642" s="55" t="s">
        <v>1361</v>
      </c>
      <c r="B642" s="55" t="s">
        <v>1361</v>
      </c>
      <c r="C642" s="4"/>
      <c r="D642" s="3"/>
      <c r="E642" s="3"/>
      <c r="F642" s="57" t="s">
        <v>168</v>
      </c>
      <c r="G642" s="58">
        <v>246.9574548</v>
      </c>
      <c r="H642" s="58">
        <v>-24.42275858</v>
      </c>
      <c r="I642" s="6" t="s">
        <v>158</v>
      </c>
      <c r="J642" s="6" t="s">
        <v>169</v>
      </c>
      <c r="K642" s="58">
        <v>1.0</v>
      </c>
      <c r="L642" s="5"/>
      <c r="M642" s="59">
        <v>2.0</v>
      </c>
      <c r="N642" s="61">
        <v>206.011413032282</v>
      </c>
      <c r="O642" s="61">
        <v>-9.534</v>
      </c>
      <c r="P642" s="61">
        <v>1.061</v>
      </c>
      <c r="Q642" s="61">
        <v>-21.269</v>
      </c>
      <c r="R642" s="61">
        <v>0.84</v>
      </c>
      <c r="S642" s="60"/>
      <c r="T642" s="60"/>
      <c r="U642" s="5"/>
      <c r="V642" s="5"/>
      <c r="W642" s="61">
        <v>2.2</v>
      </c>
      <c r="X642" s="5"/>
      <c r="Y642" s="62" t="s">
        <v>160</v>
      </c>
      <c r="Z642" s="60"/>
      <c r="AA642" s="60"/>
      <c r="AB642" s="60">
        <v>12.783</v>
      </c>
      <c r="AC642" s="60">
        <v>0.023</v>
      </c>
      <c r="AD642" s="60">
        <v>11.115</v>
      </c>
      <c r="AE642" s="60">
        <v>0.024</v>
      </c>
      <c r="AF642" s="60">
        <v>10.161</v>
      </c>
      <c r="AG642" s="60">
        <v>0.019</v>
      </c>
      <c r="AH642" s="6"/>
      <c r="AI642" s="6"/>
      <c r="AJ642" s="63" t="s">
        <v>160</v>
      </c>
      <c r="AK642" s="64" t="s">
        <v>161</v>
      </c>
      <c r="AL642" s="64">
        <v>2004.0</v>
      </c>
      <c r="AM642" s="7"/>
      <c r="AN642" s="8"/>
      <c r="AO642" s="13"/>
      <c r="AP642" s="64" t="s">
        <v>353</v>
      </c>
      <c r="AQ642" s="64"/>
      <c r="AR642" s="66">
        <v>3019.95172</v>
      </c>
      <c r="AS642" s="7"/>
      <c r="AT642" s="67">
        <v>0.1698243652</v>
      </c>
      <c r="AU642" s="7"/>
      <c r="AV642" s="64">
        <v>0.2238721139</v>
      </c>
      <c r="AW642" s="7"/>
      <c r="AX642" s="73">
        <v>1.73</v>
      </c>
      <c r="AY642" s="7"/>
      <c r="AZ642" s="11" t="s">
        <v>162</v>
      </c>
      <c r="BA642" s="68" t="s">
        <v>1303</v>
      </c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68">
        <v>-2.0</v>
      </c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70">
        <v>-2.25</v>
      </c>
      <c r="DW642" s="10"/>
      <c r="DX642" s="71">
        <v>1.66E-9</v>
      </c>
      <c r="DY642" s="7"/>
      <c r="DZ642" s="64" t="s">
        <v>165</v>
      </c>
      <c r="EA642" s="72" t="s">
        <v>166</v>
      </c>
      <c r="EB642" s="7"/>
    </row>
    <row r="643">
      <c r="A643" s="55" t="s">
        <v>1362</v>
      </c>
      <c r="B643" s="55" t="s">
        <v>1362</v>
      </c>
      <c r="C643" s="4"/>
      <c r="D643" s="3"/>
      <c r="E643" s="57" t="s">
        <v>137</v>
      </c>
      <c r="F643" s="57" t="s">
        <v>168</v>
      </c>
      <c r="G643" s="58">
        <v>246.8969267</v>
      </c>
      <c r="H643" s="58">
        <v>-24.64262211</v>
      </c>
      <c r="I643" s="6" t="s">
        <v>158</v>
      </c>
      <c r="J643" s="6" t="s">
        <v>159</v>
      </c>
      <c r="K643" s="58">
        <v>1.0</v>
      </c>
      <c r="L643" s="5"/>
      <c r="M643" s="59">
        <v>2.0</v>
      </c>
      <c r="N643" s="61">
        <v>143.905597927759</v>
      </c>
      <c r="O643" s="61">
        <v>-6.47</v>
      </c>
      <c r="P643" s="61">
        <v>0.255</v>
      </c>
      <c r="Q643" s="61">
        <v>-24.671</v>
      </c>
      <c r="R643" s="61">
        <v>0.162</v>
      </c>
      <c r="S643" s="60"/>
      <c r="T643" s="60"/>
      <c r="U643" s="5"/>
      <c r="V643" s="5"/>
      <c r="W643" s="61">
        <v>0.8</v>
      </c>
      <c r="X643" s="5"/>
      <c r="Y643" s="62" t="s">
        <v>160</v>
      </c>
      <c r="Z643" s="60">
        <v>16.16</v>
      </c>
      <c r="AA643" s="60"/>
      <c r="AB643" s="60">
        <v>11.277</v>
      </c>
      <c r="AC643" s="60">
        <v>0.027</v>
      </c>
      <c r="AD643" s="60">
        <v>10.228</v>
      </c>
      <c r="AE643" s="60">
        <v>0.023</v>
      </c>
      <c r="AF643" s="60">
        <v>9.668</v>
      </c>
      <c r="AG643" s="60">
        <v>0.028</v>
      </c>
      <c r="AH643" s="6"/>
      <c r="AI643" s="6"/>
      <c r="AJ643" s="63" t="s">
        <v>160</v>
      </c>
      <c r="AK643" s="64" t="s">
        <v>161</v>
      </c>
      <c r="AL643" s="64">
        <v>2004.0</v>
      </c>
      <c r="AM643" s="7"/>
      <c r="AN643" s="8"/>
      <c r="AO643" s="13"/>
      <c r="AP643" s="13" t="s">
        <v>402</v>
      </c>
      <c r="AQ643" s="64"/>
      <c r="AR643" s="66">
        <v>3019.95172</v>
      </c>
      <c r="AS643" s="7"/>
      <c r="AT643" s="67">
        <v>0.1737800829</v>
      </c>
      <c r="AU643" s="7"/>
      <c r="AV643" s="64">
        <v>0.2398832919</v>
      </c>
      <c r="AW643" s="7"/>
      <c r="AX643" s="73">
        <v>1.79</v>
      </c>
      <c r="AY643" s="7"/>
      <c r="AZ643" s="11" t="s">
        <v>162</v>
      </c>
      <c r="BA643" s="68" t="s">
        <v>1303</v>
      </c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68" t="s">
        <v>1348</v>
      </c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2"/>
      <c r="DK643" s="12"/>
      <c r="DL643" s="12"/>
      <c r="DM643" s="69"/>
      <c r="DN643" s="69"/>
      <c r="DO643" s="69"/>
      <c r="DP643" s="69"/>
      <c r="DQ643" s="11"/>
      <c r="DR643" s="69"/>
      <c r="DS643" s="69"/>
      <c r="DT643" s="69"/>
      <c r="DU643" s="69"/>
      <c r="DV643" s="70">
        <v>-3.17</v>
      </c>
      <c r="DW643" s="10"/>
      <c r="DX643" s="71">
        <v>1.95E-10</v>
      </c>
      <c r="DY643" s="7"/>
      <c r="DZ643" s="64" t="s">
        <v>165</v>
      </c>
      <c r="EA643" s="72" t="s">
        <v>166</v>
      </c>
      <c r="EB643" s="82" t="s">
        <v>1363</v>
      </c>
    </row>
    <row r="644">
      <c r="A644" s="55" t="s">
        <v>1364</v>
      </c>
      <c r="B644" s="55" t="s">
        <v>1364</v>
      </c>
      <c r="C644" s="4"/>
      <c r="D644" s="4"/>
      <c r="E644" s="57" t="s">
        <v>137</v>
      </c>
      <c r="F644" s="57" t="s">
        <v>168</v>
      </c>
      <c r="G644" s="58">
        <v>246.6534779</v>
      </c>
      <c r="H644" s="58">
        <v>-24.26440227</v>
      </c>
      <c r="I644" s="6" t="s">
        <v>158</v>
      </c>
      <c r="J644" s="6" t="s">
        <v>169</v>
      </c>
      <c r="K644" s="58">
        <v>1.0</v>
      </c>
      <c r="L644" s="5"/>
      <c r="M644" s="59">
        <v>2.0</v>
      </c>
      <c r="N644" s="61">
        <v>136.109976861303</v>
      </c>
      <c r="O644" s="61">
        <v>-5.173</v>
      </c>
      <c r="P644" s="61">
        <v>0.376</v>
      </c>
      <c r="Q644" s="61">
        <v>-27.464</v>
      </c>
      <c r="R644" s="61">
        <v>0.231</v>
      </c>
      <c r="S644" s="60">
        <v>-4.8</v>
      </c>
      <c r="T644" s="60">
        <v>1.9</v>
      </c>
      <c r="U644" s="5"/>
      <c r="V644" s="5"/>
      <c r="W644" s="61">
        <v>2.1</v>
      </c>
      <c r="X644" s="5"/>
      <c r="Y644" s="62" t="s">
        <v>160</v>
      </c>
      <c r="Z644" s="60">
        <v>17.37</v>
      </c>
      <c r="AA644" s="60"/>
      <c r="AB644" s="60">
        <v>12.66</v>
      </c>
      <c r="AC644" s="60">
        <v>0.032</v>
      </c>
      <c r="AD644" s="60">
        <v>10.834</v>
      </c>
      <c r="AE644" s="60">
        <v>0.035</v>
      </c>
      <c r="AF644" s="60">
        <v>9.589</v>
      </c>
      <c r="AG644" s="60">
        <v>0.026</v>
      </c>
      <c r="AH644" s="6"/>
      <c r="AI644" s="6"/>
      <c r="AJ644" s="63" t="s">
        <v>160</v>
      </c>
      <c r="AK644" s="64" t="s">
        <v>161</v>
      </c>
      <c r="AL644" s="64">
        <v>2004.0</v>
      </c>
      <c r="AM644" s="7"/>
      <c r="AN644" s="8"/>
      <c r="AO644" s="13"/>
      <c r="AP644" s="64" t="s">
        <v>434</v>
      </c>
      <c r="AQ644" s="65"/>
      <c r="AR644" s="66">
        <v>3019.95172</v>
      </c>
      <c r="AS644" s="7"/>
      <c r="AT644" s="67">
        <v>0.177827941</v>
      </c>
      <c r="AU644" s="7"/>
      <c r="AV644" s="64">
        <v>0.2454708916</v>
      </c>
      <c r="AW644" s="7"/>
      <c r="AX644" s="73">
        <v>1.81</v>
      </c>
      <c r="AY644" s="7"/>
      <c r="AZ644" s="11" t="s">
        <v>162</v>
      </c>
      <c r="BA644" s="68" t="s">
        <v>1303</v>
      </c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68" t="s">
        <v>1348</v>
      </c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2"/>
      <c r="DK644" s="12"/>
      <c r="DL644" s="12"/>
      <c r="DM644" s="69"/>
      <c r="DN644" s="69"/>
      <c r="DO644" s="69"/>
      <c r="DP644" s="69"/>
      <c r="DQ644" s="11"/>
      <c r="DR644" s="69"/>
      <c r="DS644" s="69"/>
      <c r="DT644" s="69"/>
      <c r="DU644" s="69"/>
      <c r="DV644" s="70">
        <v>-3.16</v>
      </c>
      <c r="DW644" s="10"/>
      <c r="DX644" s="71">
        <v>1.95E-10</v>
      </c>
      <c r="DY644" s="7"/>
      <c r="DZ644" s="64" t="s">
        <v>165</v>
      </c>
      <c r="EA644" s="72" t="s">
        <v>166</v>
      </c>
      <c r="EB644" s="7"/>
    </row>
    <row r="645">
      <c r="A645" s="55" t="s">
        <v>1365</v>
      </c>
      <c r="B645" s="55" t="s">
        <v>1365</v>
      </c>
      <c r="C645" s="4"/>
      <c r="D645" s="3"/>
      <c r="E645" s="57" t="s">
        <v>137</v>
      </c>
      <c r="F645" s="57" t="s">
        <v>168</v>
      </c>
      <c r="G645" s="58">
        <v>246.814393</v>
      </c>
      <c r="H645" s="58">
        <v>-24.444389</v>
      </c>
      <c r="I645" s="6" t="s">
        <v>158</v>
      </c>
      <c r="J645" s="6" t="s">
        <v>169</v>
      </c>
      <c r="K645" s="58">
        <v>1.0</v>
      </c>
      <c r="L645" s="5"/>
      <c r="M645" s="59"/>
      <c r="N645" s="60"/>
      <c r="O645" s="60"/>
      <c r="P645" s="60"/>
      <c r="Q645" s="60"/>
      <c r="R645" s="60"/>
      <c r="S645" s="60"/>
      <c r="T645" s="60"/>
      <c r="U645" s="5"/>
      <c r="V645" s="5"/>
      <c r="W645" s="61">
        <v>6.8</v>
      </c>
      <c r="X645" s="5"/>
      <c r="Y645" s="62" t="s">
        <v>160</v>
      </c>
      <c r="Z645" s="60"/>
      <c r="AA645" s="60"/>
      <c r="AB645" s="60">
        <v>17.417</v>
      </c>
      <c r="AC645" s="60">
        <v>0.26</v>
      </c>
      <c r="AD645" s="60">
        <v>13.459</v>
      </c>
      <c r="AE645" s="60">
        <v>0.027</v>
      </c>
      <c r="AF645" s="60">
        <v>10.794</v>
      </c>
      <c r="AG645" s="60">
        <v>0.019</v>
      </c>
      <c r="AH645" s="6"/>
      <c r="AI645" s="6"/>
      <c r="AJ645" s="63" t="s">
        <v>160</v>
      </c>
      <c r="AK645" s="64" t="s">
        <v>1302</v>
      </c>
      <c r="AL645" s="64">
        <v>2004.0</v>
      </c>
      <c r="AM645" s="7"/>
      <c r="AN645" s="8"/>
      <c r="AO645" s="13"/>
      <c r="AP645" s="13"/>
      <c r="AQ645" s="7"/>
      <c r="AR645" s="66">
        <v>3090.295433</v>
      </c>
      <c r="AS645" s="7"/>
      <c r="AT645" s="67">
        <v>0.1862087137</v>
      </c>
      <c r="AU645" s="7"/>
      <c r="AV645" s="64">
        <v>0.2691534804</v>
      </c>
      <c r="AW645" s="7"/>
      <c r="AX645" s="73">
        <v>1.81</v>
      </c>
      <c r="AY645" s="7"/>
      <c r="AZ645" s="11" t="s">
        <v>162</v>
      </c>
      <c r="BA645" s="68" t="s">
        <v>1303</v>
      </c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68" t="s">
        <v>1366</v>
      </c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2"/>
      <c r="DK645" s="12"/>
      <c r="DL645" s="12"/>
      <c r="DM645" s="69"/>
      <c r="DN645" s="69"/>
      <c r="DO645" s="69"/>
      <c r="DP645" s="69"/>
      <c r="DQ645" s="11"/>
      <c r="DR645" s="69"/>
      <c r="DS645" s="69"/>
      <c r="DT645" s="69"/>
      <c r="DU645" s="69"/>
      <c r="DV645" s="70">
        <v>-2.02</v>
      </c>
      <c r="DW645" s="10"/>
      <c r="DX645" s="71">
        <v>2.57E-9</v>
      </c>
      <c r="DY645" s="7"/>
      <c r="DZ645" s="64" t="s">
        <v>165</v>
      </c>
      <c r="EA645" s="72" t="s">
        <v>166</v>
      </c>
      <c r="EB645" s="7"/>
    </row>
    <row r="646">
      <c r="A646" s="55" t="s">
        <v>1367</v>
      </c>
      <c r="B646" s="55" t="s">
        <v>1367</v>
      </c>
      <c r="C646" s="4"/>
      <c r="D646" s="4"/>
      <c r="E646" s="4"/>
      <c r="F646" s="57" t="s">
        <v>168</v>
      </c>
      <c r="G646" s="58">
        <v>247.0688049</v>
      </c>
      <c r="H646" s="58">
        <v>-24.61612719</v>
      </c>
      <c r="I646" s="6" t="s">
        <v>158</v>
      </c>
      <c r="J646" s="6" t="s">
        <v>169</v>
      </c>
      <c r="K646" s="58">
        <v>1.0</v>
      </c>
      <c r="L646" s="5"/>
      <c r="M646" s="59">
        <v>2.0</v>
      </c>
      <c r="N646" s="61">
        <v>137.083950211109</v>
      </c>
      <c r="O646" s="61">
        <v>-7.141</v>
      </c>
      <c r="P646" s="61">
        <v>0.283</v>
      </c>
      <c r="Q646" s="61">
        <v>-25.833</v>
      </c>
      <c r="R646" s="61">
        <v>0.185</v>
      </c>
      <c r="S646" s="60"/>
      <c r="T646" s="60"/>
      <c r="U646" s="5"/>
      <c r="V646" s="5"/>
      <c r="W646" s="61">
        <v>0.9</v>
      </c>
      <c r="X646" s="5"/>
      <c r="Y646" s="62" t="s">
        <v>160</v>
      </c>
      <c r="Z646" s="60">
        <v>16.55</v>
      </c>
      <c r="AA646" s="60"/>
      <c r="AB646" s="60">
        <v>11.307</v>
      </c>
      <c r="AC646" s="60">
        <v>0.026</v>
      </c>
      <c r="AD646" s="60">
        <v>10.084</v>
      </c>
      <c r="AE646" s="60">
        <v>0.026</v>
      </c>
      <c r="AF646" s="60">
        <v>9.316</v>
      </c>
      <c r="AG646" s="60">
        <v>0.019</v>
      </c>
      <c r="AH646" s="6"/>
      <c r="AI646" s="6"/>
      <c r="AJ646" s="63" t="s">
        <v>160</v>
      </c>
      <c r="AK646" s="64" t="s">
        <v>161</v>
      </c>
      <c r="AL646" s="64">
        <v>2004.0</v>
      </c>
      <c r="AM646" s="7"/>
      <c r="AN646" s="8"/>
      <c r="AO646" s="13"/>
      <c r="AP646" s="13" t="s">
        <v>395</v>
      </c>
      <c r="AQ646" s="64"/>
      <c r="AR646" s="66">
        <v>3090.295433</v>
      </c>
      <c r="AS646" s="7"/>
      <c r="AT646" s="67">
        <v>0.1905460718</v>
      </c>
      <c r="AU646" s="7"/>
      <c r="AV646" s="64">
        <v>0.2818382931</v>
      </c>
      <c r="AW646" s="7"/>
      <c r="AX646" s="73">
        <v>1.86</v>
      </c>
      <c r="AY646" s="7"/>
      <c r="AZ646" s="11" t="s">
        <v>162</v>
      </c>
      <c r="BA646" s="68" t="s">
        <v>1303</v>
      </c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68">
        <v>-3.2</v>
      </c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2"/>
      <c r="DK646" s="12"/>
      <c r="DL646" s="12"/>
      <c r="DM646" s="69"/>
      <c r="DN646" s="69"/>
      <c r="DO646" s="69"/>
      <c r="DP646" s="69"/>
      <c r="DQ646" s="11"/>
      <c r="DR646" s="69"/>
      <c r="DS646" s="69"/>
      <c r="DT646" s="69"/>
      <c r="DU646" s="69"/>
      <c r="DV646" s="70">
        <v>-1.86</v>
      </c>
      <c r="DW646" s="10"/>
      <c r="DX646" s="71">
        <v>3.72E-9</v>
      </c>
      <c r="DY646" s="7"/>
      <c r="DZ646" s="64" t="s">
        <v>165</v>
      </c>
      <c r="EA646" s="72" t="s">
        <v>166</v>
      </c>
      <c r="EB646" s="82" t="s">
        <v>1368</v>
      </c>
    </row>
    <row r="647">
      <c r="A647" s="55" t="s">
        <v>1369</v>
      </c>
      <c r="B647" s="55" t="s">
        <v>1369</v>
      </c>
      <c r="C647" s="4"/>
      <c r="D647" s="3"/>
      <c r="E647" s="57" t="s">
        <v>137</v>
      </c>
      <c r="F647" s="57" t="s">
        <v>168</v>
      </c>
      <c r="G647" s="58">
        <v>246.9279248</v>
      </c>
      <c r="H647" s="58">
        <v>-24.64739468</v>
      </c>
      <c r="I647" s="6" t="s">
        <v>158</v>
      </c>
      <c r="J647" s="6" t="s">
        <v>169</v>
      </c>
      <c r="K647" s="58">
        <v>1.0</v>
      </c>
      <c r="L647" s="5"/>
      <c r="M647" s="59">
        <v>2.0</v>
      </c>
      <c r="N647" s="61">
        <v>151.505969335191</v>
      </c>
      <c r="O647" s="61">
        <v>-5.987</v>
      </c>
      <c r="P647" s="61">
        <v>0.876</v>
      </c>
      <c r="Q647" s="61">
        <v>-27.545</v>
      </c>
      <c r="R647" s="61">
        <v>0.586</v>
      </c>
      <c r="S647" s="60"/>
      <c r="T647" s="60"/>
      <c r="U647" s="5"/>
      <c r="V647" s="5"/>
      <c r="W647" s="61">
        <v>2.8</v>
      </c>
      <c r="X647" s="5"/>
      <c r="Y647" s="62" t="s">
        <v>160</v>
      </c>
      <c r="Z647" s="60"/>
      <c r="AA647" s="60"/>
      <c r="AB647" s="60">
        <v>13.245</v>
      </c>
      <c r="AC647" s="60">
        <v>0.026</v>
      </c>
      <c r="AD647" s="60">
        <v>11.436</v>
      </c>
      <c r="AE647" s="60">
        <v>0.023</v>
      </c>
      <c r="AF647" s="60">
        <v>10.537</v>
      </c>
      <c r="AG647" s="60">
        <v>0.022</v>
      </c>
      <c r="AH647" s="6"/>
      <c r="AI647" s="6"/>
      <c r="AJ647" s="63" t="s">
        <v>160</v>
      </c>
      <c r="AK647" s="64" t="s">
        <v>161</v>
      </c>
      <c r="AL647" s="64">
        <v>2004.0</v>
      </c>
      <c r="AM647" s="7"/>
      <c r="AN647" s="8"/>
      <c r="AO647" s="13"/>
      <c r="AP647" s="13" t="s">
        <v>415</v>
      </c>
      <c r="AQ647" s="64"/>
      <c r="AR647" s="66">
        <v>3090.295433</v>
      </c>
      <c r="AS647" s="7"/>
      <c r="AT647" s="67">
        <v>0.1905460718</v>
      </c>
      <c r="AU647" s="7"/>
      <c r="AV647" s="64">
        <v>0.2754228703</v>
      </c>
      <c r="AW647" s="7"/>
      <c r="AX647" s="73">
        <v>1.84</v>
      </c>
      <c r="AY647" s="7"/>
      <c r="AZ647" s="11" t="s">
        <v>162</v>
      </c>
      <c r="BA647" s="68" t="s">
        <v>1303</v>
      </c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68" t="s">
        <v>170</v>
      </c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2"/>
      <c r="DK647" s="12"/>
      <c r="DL647" s="12"/>
      <c r="DM647" s="69"/>
      <c r="DN647" s="69"/>
      <c r="DO647" s="69"/>
      <c r="DP647" s="69"/>
      <c r="DQ647" s="11"/>
      <c r="DR647" s="69"/>
      <c r="DS647" s="69"/>
      <c r="DT647" s="69"/>
      <c r="DU647" s="69"/>
      <c r="DV647" s="70">
        <v>-2.56</v>
      </c>
      <c r="DW647" s="10"/>
      <c r="DX647" s="71">
        <v>7.59E-10</v>
      </c>
      <c r="DY647" s="7"/>
      <c r="DZ647" s="64" t="s">
        <v>165</v>
      </c>
      <c r="EA647" s="72" t="s">
        <v>166</v>
      </c>
      <c r="EB647" s="82" t="s">
        <v>1332</v>
      </c>
    </row>
    <row r="648">
      <c r="A648" s="55" t="s">
        <v>1370</v>
      </c>
      <c r="B648" s="55" t="s">
        <v>1370</v>
      </c>
      <c r="C648" s="4"/>
      <c r="D648" s="3"/>
      <c r="E648" s="57" t="s">
        <v>137</v>
      </c>
      <c r="F648" s="57" t="s">
        <v>168</v>
      </c>
      <c r="G648" s="58">
        <v>246.946229</v>
      </c>
      <c r="H648" s="58">
        <v>-24.759741</v>
      </c>
      <c r="I648" s="6" t="s">
        <v>158</v>
      </c>
      <c r="J648" s="6" t="s">
        <v>169</v>
      </c>
      <c r="K648" s="58">
        <v>1.0</v>
      </c>
      <c r="L648" s="5"/>
      <c r="M648" s="59"/>
      <c r="N648" s="60"/>
      <c r="O648" s="60">
        <v>-9.2</v>
      </c>
      <c r="P648" s="60">
        <v>2.1</v>
      </c>
      <c r="Q648" s="60">
        <v>-18.8</v>
      </c>
      <c r="R648" s="60">
        <v>2.1</v>
      </c>
      <c r="S648" s="60"/>
      <c r="T648" s="60"/>
      <c r="U648" s="5"/>
      <c r="V648" s="5"/>
      <c r="W648" s="61">
        <v>5.2</v>
      </c>
      <c r="X648" s="5"/>
      <c r="Y648" s="62" t="s">
        <v>160</v>
      </c>
      <c r="Z648" s="60"/>
      <c r="AA648" s="60"/>
      <c r="AB648" s="60">
        <v>15.753</v>
      </c>
      <c r="AC648" s="60">
        <v>0.064</v>
      </c>
      <c r="AD648" s="60">
        <v>12.812</v>
      </c>
      <c r="AE648" s="60">
        <v>0.023</v>
      </c>
      <c r="AF648" s="60">
        <v>11.133</v>
      </c>
      <c r="AG648" s="60">
        <v>0.025</v>
      </c>
      <c r="AH648" s="6"/>
      <c r="AI648" s="6"/>
      <c r="AJ648" s="63" t="s">
        <v>160</v>
      </c>
      <c r="AK648" s="64" t="s">
        <v>1302</v>
      </c>
      <c r="AL648" s="64">
        <v>2004.0</v>
      </c>
      <c r="AM648" s="7"/>
      <c r="AN648" s="8"/>
      <c r="AO648" s="13"/>
      <c r="AP648" s="7"/>
      <c r="AQ648" s="7"/>
      <c r="AR648" s="66">
        <v>3090.295433</v>
      </c>
      <c r="AS648" s="7"/>
      <c r="AT648" s="67">
        <v>0.1905460718</v>
      </c>
      <c r="AU648" s="7"/>
      <c r="AV648" s="64">
        <v>0.2818382931</v>
      </c>
      <c r="AW648" s="7"/>
      <c r="AX648" s="73">
        <v>1.86</v>
      </c>
      <c r="AY648" s="7"/>
      <c r="AZ648" s="11" t="s">
        <v>162</v>
      </c>
      <c r="BA648" s="68" t="s">
        <v>1303</v>
      </c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68" t="s">
        <v>1348</v>
      </c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70">
        <v>-3.09</v>
      </c>
      <c r="DW648" s="10"/>
      <c r="DX648" s="71">
        <v>2.19E-10</v>
      </c>
      <c r="DY648" s="7"/>
      <c r="DZ648" s="64" t="s">
        <v>165</v>
      </c>
      <c r="EA648" s="72" t="s">
        <v>166</v>
      </c>
      <c r="EB648" s="7"/>
    </row>
    <row r="649">
      <c r="A649" s="55" t="s">
        <v>1371</v>
      </c>
      <c r="B649" s="55" t="s">
        <v>1371</v>
      </c>
      <c r="C649" s="4"/>
      <c r="D649" s="4"/>
      <c r="E649" s="57" t="s">
        <v>137</v>
      </c>
      <c r="F649" s="57" t="s">
        <v>168</v>
      </c>
      <c r="G649" s="58">
        <v>246.684589</v>
      </c>
      <c r="H649" s="58">
        <v>-24.7205731</v>
      </c>
      <c r="I649" s="6" t="s">
        <v>158</v>
      </c>
      <c r="J649" s="6" t="s">
        <v>159</v>
      </c>
      <c r="K649" s="58">
        <v>1.0</v>
      </c>
      <c r="L649" s="5"/>
      <c r="M649" s="59">
        <v>2.0</v>
      </c>
      <c r="N649" s="61">
        <v>140.118820760004</v>
      </c>
      <c r="O649" s="61">
        <v>-7.009</v>
      </c>
      <c r="P649" s="61">
        <v>0.198</v>
      </c>
      <c r="Q649" s="61">
        <v>-26.008</v>
      </c>
      <c r="R649" s="61">
        <v>0.139</v>
      </c>
      <c r="S649" s="60"/>
      <c r="T649" s="60"/>
      <c r="U649" s="5"/>
      <c r="V649" s="5"/>
      <c r="W649" s="61">
        <v>0.7</v>
      </c>
      <c r="X649" s="5"/>
      <c r="Y649" s="62" t="s">
        <v>160</v>
      </c>
      <c r="Z649" s="60">
        <v>15.15</v>
      </c>
      <c r="AA649" s="60">
        <v>0.1</v>
      </c>
      <c r="AB649" s="60">
        <v>10.989</v>
      </c>
      <c r="AC649" s="60">
        <v>0.022</v>
      </c>
      <c r="AD649" s="60">
        <v>10.016</v>
      </c>
      <c r="AE649" s="60">
        <v>0.023</v>
      </c>
      <c r="AF649" s="60">
        <v>9.573</v>
      </c>
      <c r="AG649" s="60">
        <v>0.019</v>
      </c>
      <c r="AH649" s="6"/>
      <c r="AI649" s="6"/>
      <c r="AJ649" s="63" t="s">
        <v>160</v>
      </c>
      <c r="AK649" s="64" t="s">
        <v>161</v>
      </c>
      <c r="AL649" s="64">
        <v>2004.0</v>
      </c>
      <c r="AM649" s="7"/>
      <c r="AN649" s="8"/>
      <c r="AO649" s="13"/>
      <c r="AP649" s="64" t="s">
        <v>430</v>
      </c>
      <c r="AQ649" s="65"/>
      <c r="AR649" s="66">
        <v>3090.295433</v>
      </c>
      <c r="AS649" s="7"/>
      <c r="AT649" s="67">
        <v>0.2041737945</v>
      </c>
      <c r="AU649" s="7"/>
      <c r="AV649" s="64">
        <v>0.3090295433</v>
      </c>
      <c r="AW649" s="7"/>
      <c r="AX649" s="73">
        <v>1.94</v>
      </c>
      <c r="AY649" s="7"/>
      <c r="AZ649" s="11" t="s">
        <v>162</v>
      </c>
      <c r="BA649" s="68" t="s">
        <v>1303</v>
      </c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68" t="s">
        <v>183</v>
      </c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2"/>
      <c r="DK649" s="12"/>
      <c r="DL649" s="12"/>
      <c r="DM649" s="69"/>
      <c r="DN649" s="69"/>
      <c r="DO649" s="69"/>
      <c r="DP649" s="69"/>
      <c r="DQ649" s="11"/>
      <c r="DR649" s="69"/>
      <c r="DS649" s="69"/>
      <c r="DT649" s="69"/>
      <c r="DU649" s="69"/>
      <c r="DV649" s="70">
        <v>-2.62</v>
      </c>
      <c r="DW649" s="10"/>
      <c r="DX649" s="71">
        <v>6.31E-10</v>
      </c>
      <c r="DY649" s="7"/>
      <c r="DZ649" s="64" t="s">
        <v>165</v>
      </c>
      <c r="EA649" s="72" t="s">
        <v>166</v>
      </c>
      <c r="EB649" s="7"/>
    </row>
    <row r="650">
      <c r="A650" s="55" t="s">
        <v>1372</v>
      </c>
      <c r="B650" s="55" t="s">
        <v>1372</v>
      </c>
      <c r="C650" s="4"/>
      <c r="D650" s="4"/>
      <c r="E650" s="4"/>
      <c r="F650" s="57" t="s">
        <v>168</v>
      </c>
      <c r="G650" s="58">
        <v>246.8075869</v>
      </c>
      <c r="H650" s="58">
        <v>-24.72545783</v>
      </c>
      <c r="I650" s="6" t="s">
        <v>158</v>
      </c>
      <c r="J650" s="6" t="s">
        <v>169</v>
      </c>
      <c r="K650" s="58">
        <v>1.0</v>
      </c>
      <c r="L650" s="5"/>
      <c r="M650" s="59">
        <v>2.0</v>
      </c>
      <c r="N650" s="61">
        <v>145.450314172678</v>
      </c>
      <c r="O650" s="61">
        <v>-6.64</v>
      </c>
      <c r="P650" s="61">
        <v>0.987</v>
      </c>
      <c r="Q650" s="61">
        <v>-24.157</v>
      </c>
      <c r="R650" s="61">
        <v>0.665</v>
      </c>
      <c r="S650" s="60">
        <v>-5.4</v>
      </c>
      <c r="T650" s="60">
        <v>1.2</v>
      </c>
      <c r="U650" s="5"/>
      <c r="V650" s="5"/>
      <c r="W650" s="61">
        <v>3.1</v>
      </c>
      <c r="X650" s="5"/>
      <c r="Y650" s="62" t="s">
        <v>160</v>
      </c>
      <c r="Z650" s="60"/>
      <c r="AA650" s="60"/>
      <c r="AB650" s="60">
        <v>13.325</v>
      </c>
      <c r="AC650" s="60">
        <v>0.026</v>
      </c>
      <c r="AD650" s="60">
        <v>11.23</v>
      </c>
      <c r="AE650" s="60">
        <v>0.026</v>
      </c>
      <c r="AF650" s="60">
        <v>9.978</v>
      </c>
      <c r="AG650" s="60">
        <v>0.019</v>
      </c>
      <c r="AH650" s="6"/>
      <c r="AI650" s="6"/>
      <c r="AJ650" s="63" t="s">
        <v>160</v>
      </c>
      <c r="AK650" s="64" t="s">
        <v>161</v>
      </c>
      <c r="AL650" s="64">
        <v>2004.0</v>
      </c>
      <c r="AM650" s="7"/>
      <c r="AN650" s="8"/>
      <c r="AO650" s="13"/>
      <c r="AP650" s="64" t="s">
        <v>422</v>
      </c>
      <c r="AQ650" s="65"/>
      <c r="AR650" s="66">
        <v>3162.27766</v>
      </c>
      <c r="AS650" s="7"/>
      <c r="AT650" s="67">
        <v>0.213796209</v>
      </c>
      <c r="AU650" s="7"/>
      <c r="AV650" s="64">
        <v>0.3388441561</v>
      </c>
      <c r="AW650" s="7"/>
      <c r="AX650" s="73">
        <v>1.94</v>
      </c>
      <c r="AY650" s="7"/>
      <c r="AZ650" s="11" t="s">
        <v>162</v>
      </c>
      <c r="BA650" s="68" t="s">
        <v>1303</v>
      </c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68">
        <v>-2.4</v>
      </c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2"/>
      <c r="DK650" s="12"/>
      <c r="DL650" s="12"/>
      <c r="DM650" s="69"/>
      <c r="DN650" s="69"/>
      <c r="DO650" s="69"/>
      <c r="DP650" s="69"/>
      <c r="DQ650" s="11"/>
      <c r="DR650" s="69"/>
      <c r="DS650" s="69"/>
      <c r="DT650" s="69"/>
      <c r="DU650" s="69"/>
      <c r="DV650" s="70">
        <v>-1.92</v>
      </c>
      <c r="DW650" s="10"/>
      <c r="DX650" s="71">
        <v>3.02E-9</v>
      </c>
      <c r="DY650" s="7"/>
      <c r="DZ650" s="64" t="s">
        <v>165</v>
      </c>
      <c r="EA650" s="72" t="s">
        <v>166</v>
      </c>
      <c r="EB650" s="7"/>
    </row>
    <row r="651">
      <c r="A651" s="55" t="s">
        <v>1373</v>
      </c>
      <c r="B651" s="55" t="s">
        <v>1373</v>
      </c>
      <c r="C651" s="4"/>
      <c r="D651" s="3"/>
      <c r="E651" s="57" t="s">
        <v>137</v>
      </c>
      <c r="F651" s="57" t="s">
        <v>168</v>
      </c>
      <c r="G651" s="58">
        <v>246.7878306</v>
      </c>
      <c r="H651" s="58">
        <v>-24.20022577</v>
      </c>
      <c r="I651" s="6" t="s">
        <v>158</v>
      </c>
      <c r="J651" s="6" t="s">
        <v>169</v>
      </c>
      <c r="K651" s="58">
        <v>1.0</v>
      </c>
      <c r="L651" s="5"/>
      <c r="M651" s="59">
        <v>2.0</v>
      </c>
      <c r="N651" s="61">
        <v>141.268877053696</v>
      </c>
      <c r="O651" s="61">
        <v>-6.937</v>
      </c>
      <c r="P651" s="61">
        <v>0.471</v>
      </c>
      <c r="Q651" s="61">
        <v>-23.818</v>
      </c>
      <c r="R651" s="61">
        <v>0.289</v>
      </c>
      <c r="S651" s="60"/>
      <c r="T651" s="60"/>
      <c r="U651" s="5"/>
      <c r="V651" s="5"/>
      <c r="W651" s="61">
        <v>2.3</v>
      </c>
      <c r="X651" s="5"/>
      <c r="Y651" s="62" t="s">
        <v>160</v>
      </c>
      <c r="Z651" s="60">
        <v>18.47</v>
      </c>
      <c r="AA651" s="60"/>
      <c r="AB651" s="60">
        <v>12.41</v>
      </c>
      <c r="AC651" s="60">
        <v>0.024</v>
      </c>
      <c r="AD651" s="60">
        <v>10.73</v>
      </c>
      <c r="AE651" s="60">
        <v>0.023</v>
      </c>
      <c r="AF651" s="60">
        <v>9.8</v>
      </c>
      <c r="AG651" s="60">
        <v>0.021</v>
      </c>
      <c r="AH651" s="6"/>
      <c r="AI651" s="6"/>
      <c r="AJ651" s="63" t="s">
        <v>160</v>
      </c>
      <c r="AK651" s="64" t="s">
        <v>161</v>
      </c>
      <c r="AL651" s="64">
        <v>2004.0</v>
      </c>
      <c r="AM651" s="7"/>
      <c r="AN651" s="8"/>
      <c r="AO651" s="13"/>
      <c r="AP651" s="13" t="s">
        <v>1285</v>
      </c>
      <c r="AQ651" s="64"/>
      <c r="AR651" s="66">
        <v>3162.27766</v>
      </c>
      <c r="AS651" s="7"/>
      <c r="AT651" s="67">
        <v>0.2238721139</v>
      </c>
      <c r="AU651" s="7"/>
      <c r="AV651" s="64">
        <v>0.3630780548</v>
      </c>
      <c r="AW651" s="7"/>
      <c r="AX651" s="73">
        <v>2.01</v>
      </c>
      <c r="AY651" s="7"/>
      <c r="AZ651" s="11" t="s">
        <v>162</v>
      </c>
      <c r="BA651" s="68" t="s">
        <v>1303</v>
      </c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68" t="s">
        <v>170</v>
      </c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70">
        <v>-2.4</v>
      </c>
      <c r="DW651" s="10"/>
      <c r="DX651" s="71">
        <v>9.77E-10</v>
      </c>
      <c r="DY651" s="7"/>
      <c r="DZ651" s="64" t="s">
        <v>165</v>
      </c>
      <c r="EA651" s="72" t="s">
        <v>166</v>
      </c>
      <c r="EB651" s="82" t="s">
        <v>1332</v>
      </c>
    </row>
    <row r="652">
      <c r="A652" s="55" t="s">
        <v>1374</v>
      </c>
      <c r="B652" s="55" t="s">
        <v>1374</v>
      </c>
      <c r="C652" s="4"/>
      <c r="D652" s="4"/>
      <c r="E652" s="57" t="s">
        <v>137</v>
      </c>
      <c r="F652" s="57" t="s">
        <v>168</v>
      </c>
      <c r="G652" s="58">
        <v>246.6719828</v>
      </c>
      <c r="H652" s="58">
        <v>-24.67162593</v>
      </c>
      <c r="I652" s="6" t="s">
        <v>158</v>
      </c>
      <c r="J652" s="6" t="s">
        <v>169</v>
      </c>
      <c r="K652" s="58">
        <v>1.0</v>
      </c>
      <c r="L652" s="5"/>
      <c r="M652" s="59">
        <v>2.0</v>
      </c>
      <c r="N652" s="61">
        <v>167.72332360538</v>
      </c>
      <c r="O652" s="61">
        <v>-13.305</v>
      </c>
      <c r="P652" s="61">
        <v>1.025</v>
      </c>
      <c r="Q652" s="61">
        <v>-28.947</v>
      </c>
      <c r="R652" s="61">
        <v>0.66</v>
      </c>
      <c r="S652" s="60"/>
      <c r="T652" s="60"/>
      <c r="U652" s="5"/>
      <c r="V652" s="5"/>
      <c r="W652" s="61">
        <v>0.8</v>
      </c>
      <c r="X652" s="5"/>
      <c r="Y652" s="62" t="s">
        <v>160</v>
      </c>
      <c r="Z652" s="60">
        <v>15.41</v>
      </c>
      <c r="AA652" s="60"/>
      <c r="AB652" s="60">
        <v>10.774</v>
      </c>
      <c r="AC652" s="60">
        <v>0.024</v>
      </c>
      <c r="AD652" s="60">
        <v>9.765</v>
      </c>
      <c r="AE652" s="60">
        <v>0.023</v>
      </c>
      <c r="AF652" s="60">
        <v>9.273</v>
      </c>
      <c r="AG652" s="60">
        <v>0.021</v>
      </c>
      <c r="AH652" s="6"/>
      <c r="AI652" s="6"/>
      <c r="AJ652" s="63" t="s">
        <v>160</v>
      </c>
      <c r="AK652" s="64" t="s">
        <v>161</v>
      </c>
      <c r="AL652" s="64">
        <v>2004.0</v>
      </c>
      <c r="AM652" s="7"/>
      <c r="AN652" s="8"/>
      <c r="AO652" s="13"/>
      <c r="AP652" s="64" t="s">
        <v>371</v>
      </c>
      <c r="AQ652" s="65"/>
      <c r="AR652" s="66">
        <v>3235.936569</v>
      </c>
      <c r="AS652" s="7"/>
      <c r="AT652" s="67">
        <v>0.2344228815</v>
      </c>
      <c r="AU652" s="7"/>
      <c r="AV652" s="64">
        <v>0.3981071706</v>
      </c>
      <c r="AW652" s="7"/>
      <c r="AX652" s="73">
        <v>2.01</v>
      </c>
      <c r="AY652" s="7"/>
      <c r="AZ652" s="11" t="s">
        <v>162</v>
      </c>
      <c r="BA652" s="68" t="s">
        <v>1303</v>
      </c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68" t="s">
        <v>1334</v>
      </c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2"/>
      <c r="DK652" s="12"/>
      <c r="DL652" s="12"/>
      <c r="DM652" s="69"/>
      <c r="DN652" s="69"/>
      <c r="DO652" s="69"/>
      <c r="DP652" s="69"/>
      <c r="DQ652" s="11"/>
      <c r="DR652" s="69"/>
      <c r="DS652" s="69"/>
      <c r="DT652" s="69"/>
      <c r="DU652" s="69"/>
      <c r="DV652" s="70">
        <v>-2.77</v>
      </c>
      <c r="DW652" s="10"/>
      <c r="DX652" s="71">
        <v>4.07E-10</v>
      </c>
      <c r="DY652" s="7"/>
      <c r="DZ652" s="64" t="s">
        <v>165</v>
      </c>
      <c r="EA652" s="72" t="s">
        <v>166</v>
      </c>
      <c r="EB652" s="7"/>
    </row>
    <row r="653">
      <c r="A653" s="55" t="s">
        <v>1375</v>
      </c>
      <c r="B653" s="55" t="s">
        <v>1375</v>
      </c>
      <c r="C653" s="4"/>
      <c r="D653" s="3"/>
      <c r="E653" s="3"/>
      <c r="F653" s="57" t="s">
        <v>168</v>
      </c>
      <c r="G653" s="58">
        <v>246.981588</v>
      </c>
      <c r="H653" s="58">
        <v>-24.43834147</v>
      </c>
      <c r="I653" s="6" t="s">
        <v>158</v>
      </c>
      <c r="J653" s="6" t="s">
        <v>169</v>
      </c>
      <c r="K653" s="58">
        <v>1.0</v>
      </c>
      <c r="L653" s="5"/>
      <c r="M653" s="59">
        <v>2.0</v>
      </c>
      <c r="N653" s="61">
        <v>133.115024692837</v>
      </c>
      <c r="O653" s="61">
        <v>-9.117</v>
      </c>
      <c r="P653" s="61">
        <v>0.088</v>
      </c>
      <c r="Q653" s="61">
        <v>-26.414</v>
      </c>
      <c r="R653" s="61">
        <v>0.066</v>
      </c>
      <c r="S653" s="60"/>
      <c r="T653" s="60"/>
      <c r="U653" s="5"/>
      <c r="V653" s="5"/>
      <c r="W653" s="61">
        <v>0.2</v>
      </c>
      <c r="X653" s="5"/>
      <c r="Y653" s="62" t="s">
        <v>160</v>
      </c>
      <c r="Z653" s="60">
        <v>13.91</v>
      </c>
      <c r="AA653" s="60"/>
      <c r="AB653" s="60">
        <v>10.143</v>
      </c>
      <c r="AC653" s="60">
        <v>0.022</v>
      </c>
      <c r="AD653" s="60">
        <v>9.329</v>
      </c>
      <c r="AE653" s="60">
        <v>0.026</v>
      </c>
      <c r="AF653" s="60">
        <v>8.896</v>
      </c>
      <c r="AG653" s="60">
        <v>0.023</v>
      </c>
      <c r="AH653" s="6"/>
      <c r="AI653" s="6"/>
      <c r="AJ653" s="63" t="s">
        <v>160</v>
      </c>
      <c r="AK653" s="64" t="s">
        <v>161</v>
      </c>
      <c r="AL653" s="64">
        <v>2004.0</v>
      </c>
      <c r="AM653" s="7"/>
      <c r="AN653" s="8"/>
      <c r="AO653" s="13"/>
      <c r="AP653" s="64" t="s">
        <v>558</v>
      </c>
      <c r="AQ653" s="64"/>
      <c r="AR653" s="66">
        <v>3235.936569</v>
      </c>
      <c r="AS653" s="7"/>
      <c r="AT653" s="67">
        <v>0.2398832919</v>
      </c>
      <c r="AU653" s="7"/>
      <c r="AV653" s="64">
        <v>0.4073802778</v>
      </c>
      <c r="AW653" s="7"/>
      <c r="AX653" s="73">
        <v>2.04</v>
      </c>
      <c r="AY653" s="7"/>
      <c r="AZ653" s="11" t="s">
        <v>162</v>
      </c>
      <c r="BA653" s="68" t="s">
        <v>1303</v>
      </c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68">
        <v>-5.6</v>
      </c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2"/>
      <c r="DK653" s="12"/>
      <c r="DL653" s="12"/>
      <c r="DM653" s="69"/>
      <c r="DN653" s="69"/>
      <c r="DO653" s="69"/>
      <c r="DP653" s="69"/>
      <c r="DQ653" s="11"/>
      <c r="DR653" s="69"/>
      <c r="DS653" s="69"/>
      <c r="DT653" s="69"/>
      <c r="DU653" s="69"/>
      <c r="DV653" s="70">
        <v>-1.32</v>
      </c>
      <c r="DW653" s="10"/>
      <c r="DX653" s="71">
        <v>1.12E-8</v>
      </c>
      <c r="DY653" s="7"/>
      <c r="DZ653" s="64" t="s">
        <v>165</v>
      </c>
      <c r="EA653" s="72" t="s">
        <v>166</v>
      </c>
      <c r="EB653" s="82" t="s">
        <v>1376</v>
      </c>
    </row>
    <row r="654">
      <c r="A654" s="55" t="s">
        <v>1377</v>
      </c>
      <c r="B654" s="55" t="s">
        <v>1377</v>
      </c>
      <c r="C654" s="4"/>
      <c r="D654" s="3"/>
      <c r="E654" s="57" t="s">
        <v>137</v>
      </c>
      <c r="F654" s="57" t="s">
        <v>168</v>
      </c>
      <c r="G654" s="58">
        <v>246.8785262</v>
      </c>
      <c r="H654" s="58">
        <v>-24.41558316</v>
      </c>
      <c r="I654" s="6" t="s">
        <v>158</v>
      </c>
      <c r="J654" s="6" t="s">
        <v>169</v>
      </c>
      <c r="K654" s="58">
        <v>1.0</v>
      </c>
      <c r="L654" s="5"/>
      <c r="M654" s="59">
        <v>2.0</v>
      </c>
      <c r="N654" s="61">
        <v>140.940354042169</v>
      </c>
      <c r="O654" s="61">
        <v>-5.45</v>
      </c>
      <c r="P654" s="61">
        <v>0.419</v>
      </c>
      <c r="Q654" s="61">
        <v>-26.678</v>
      </c>
      <c r="R654" s="61">
        <v>0.304</v>
      </c>
      <c r="S654" s="60">
        <v>-3.78</v>
      </c>
      <c r="T654" s="60">
        <v>0.71</v>
      </c>
      <c r="U654" s="5"/>
      <c r="V654" s="5"/>
      <c r="W654" s="61">
        <v>2.6</v>
      </c>
      <c r="X654" s="5"/>
      <c r="Y654" s="62" t="s">
        <v>160</v>
      </c>
      <c r="Z654" s="60">
        <v>18.45</v>
      </c>
      <c r="AA654" s="60"/>
      <c r="AB654" s="60">
        <v>12.695</v>
      </c>
      <c r="AC654" s="60">
        <v>0.028</v>
      </c>
      <c r="AD654" s="60">
        <v>10.946</v>
      </c>
      <c r="AE654" s="60">
        <v>0.027</v>
      </c>
      <c r="AF654" s="60">
        <v>10.07</v>
      </c>
      <c r="AG654" s="60">
        <v>0.023</v>
      </c>
      <c r="AH654" s="6"/>
      <c r="AI654" s="6"/>
      <c r="AJ654" s="63" t="s">
        <v>160</v>
      </c>
      <c r="AK654" s="64" t="s">
        <v>161</v>
      </c>
      <c r="AL654" s="64">
        <v>2004.0</v>
      </c>
      <c r="AM654" s="7"/>
      <c r="AN654" s="8"/>
      <c r="AO654" s="13"/>
      <c r="AP654" s="13" t="s">
        <v>1378</v>
      </c>
      <c r="AQ654" s="64"/>
      <c r="AR654" s="66">
        <v>3235.936569</v>
      </c>
      <c r="AS654" s="7"/>
      <c r="AT654" s="67">
        <v>0.2398832919</v>
      </c>
      <c r="AU654" s="7"/>
      <c r="AV654" s="64">
        <v>0.3981071706</v>
      </c>
      <c r="AW654" s="7"/>
      <c r="AX654" s="73">
        <v>2.01</v>
      </c>
      <c r="AY654" s="7"/>
      <c r="AZ654" s="11" t="s">
        <v>162</v>
      </c>
      <c r="BA654" s="68" t="s">
        <v>1303</v>
      </c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68" t="s">
        <v>1334</v>
      </c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2"/>
      <c r="DK654" s="12"/>
      <c r="DL654" s="12"/>
      <c r="DM654" s="69"/>
      <c r="DN654" s="69"/>
      <c r="DO654" s="69"/>
      <c r="DP654" s="69"/>
      <c r="DQ654" s="11"/>
      <c r="DR654" s="69"/>
      <c r="DS654" s="69"/>
      <c r="DT654" s="69"/>
      <c r="DU654" s="69"/>
      <c r="DV654" s="70">
        <v>-2.76</v>
      </c>
      <c r="DW654" s="10"/>
      <c r="DX654" s="71">
        <v>4.07E-10</v>
      </c>
      <c r="DY654" s="7"/>
      <c r="DZ654" s="64" t="s">
        <v>165</v>
      </c>
      <c r="EA654" s="72" t="s">
        <v>166</v>
      </c>
      <c r="EB654" s="82" t="s">
        <v>1379</v>
      </c>
    </row>
    <row r="655">
      <c r="A655" s="55" t="s">
        <v>1380</v>
      </c>
      <c r="B655" s="55" t="s">
        <v>1381</v>
      </c>
      <c r="C655" s="4"/>
      <c r="D655" s="3"/>
      <c r="E655" s="3"/>
      <c r="F655" s="57" t="s">
        <v>168</v>
      </c>
      <c r="G655" s="58">
        <v>246.529345</v>
      </c>
      <c r="H655" s="58">
        <v>-24.456718</v>
      </c>
      <c r="I655" s="6" t="s">
        <v>158</v>
      </c>
      <c r="J655" s="6" t="s">
        <v>169</v>
      </c>
      <c r="K655" s="58">
        <v>1.0</v>
      </c>
      <c r="L655" s="5"/>
      <c r="M655" s="59"/>
      <c r="N655" s="60"/>
      <c r="O655" s="60"/>
      <c r="P655" s="60"/>
      <c r="Q655" s="60"/>
      <c r="R655" s="60"/>
      <c r="S655" s="60"/>
      <c r="T655" s="60"/>
      <c r="U655" s="5"/>
      <c r="V655" s="5"/>
      <c r="W655" s="61">
        <v>5.2</v>
      </c>
      <c r="X655" s="5"/>
      <c r="Y655" s="62" t="s">
        <v>160</v>
      </c>
      <c r="Z655" s="60"/>
      <c r="AA655" s="60"/>
      <c r="AB655" s="60">
        <v>15.345</v>
      </c>
      <c r="AC655" s="60">
        <v>0.045</v>
      </c>
      <c r="AD655" s="60">
        <v>12.377</v>
      </c>
      <c r="AE655" s="60">
        <v>0.024</v>
      </c>
      <c r="AF655" s="60">
        <v>10.644</v>
      </c>
      <c r="AG655" s="60">
        <v>0.023</v>
      </c>
      <c r="AH655" s="6"/>
      <c r="AI655" s="6"/>
      <c r="AJ655" s="63" t="s">
        <v>160</v>
      </c>
      <c r="AK655" s="64" t="s">
        <v>161</v>
      </c>
      <c r="AL655" s="64">
        <v>2004.0</v>
      </c>
      <c r="AM655" s="7"/>
      <c r="AN655" s="8"/>
      <c r="AO655" s="13"/>
      <c r="AP655" s="7"/>
      <c r="AQ655" s="65"/>
      <c r="AR655" s="66">
        <v>3235.936569</v>
      </c>
      <c r="AS655" s="7"/>
      <c r="AT655" s="67">
        <v>0.2398832919</v>
      </c>
      <c r="AU655" s="7"/>
      <c r="AV655" s="64">
        <v>0.4168693835</v>
      </c>
      <c r="AW655" s="7"/>
      <c r="AX655" s="73">
        <v>2.06</v>
      </c>
      <c r="AY655" s="7"/>
      <c r="AZ655" s="11" t="s">
        <v>162</v>
      </c>
      <c r="BA655" s="68" t="s">
        <v>1303</v>
      </c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68">
        <v>-2.1</v>
      </c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2"/>
      <c r="DK655" s="12"/>
      <c r="DL655" s="12"/>
      <c r="DM655" s="69"/>
      <c r="DN655" s="69"/>
      <c r="DO655" s="69"/>
      <c r="DP655" s="69"/>
      <c r="DQ655" s="11"/>
      <c r="DR655" s="69"/>
      <c r="DS655" s="69"/>
      <c r="DT655" s="69"/>
      <c r="DU655" s="69"/>
      <c r="DV655" s="70">
        <v>-1.9</v>
      </c>
      <c r="DW655" s="10"/>
      <c r="DX655" s="71">
        <v>2.95E-9</v>
      </c>
      <c r="DY655" s="7"/>
      <c r="DZ655" s="64" t="s">
        <v>165</v>
      </c>
      <c r="EA655" s="72" t="s">
        <v>166</v>
      </c>
      <c r="EB655" s="7"/>
    </row>
    <row r="656">
      <c r="A656" s="55" t="s">
        <v>1382</v>
      </c>
      <c r="B656" s="55" t="s">
        <v>1383</v>
      </c>
      <c r="C656" s="4"/>
      <c r="D656" s="4"/>
      <c r="E656" s="4"/>
      <c r="F656" s="57" t="s">
        <v>168</v>
      </c>
      <c r="G656" s="58">
        <v>246.579093</v>
      </c>
      <c r="H656" s="58">
        <v>-24.403961</v>
      </c>
      <c r="I656" s="6" t="s">
        <v>158</v>
      </c>
      <c r="J656" s="6" t="s">
        <v>169</v>
      </c>
      <c r="K656" s="58">
        <v>1.0</v>
      </c>
      <c r="L656" s="5"/>
      <c r="M656" s="59"/>
      <c r="N656" s="60"/>
      <c r="O656" s="60"/>
      <c r="P656" s="60"/>
      <c r="Q656" s="60"/>
      <c r="R656" s="60"/>
      <c r="S656" s="60"/>
      <c r="T656" s="60"/>
      <c r="U656" s="5"/>
      <c r="V656" s="5"/>
      <c r="W656" s="61">
        <v>1.0</v>
      </c>
      <c r="X656" s="5"/>
      <c r="Y656" s="62" t="s">
        <v>160</v>
      </c>
      <c r="Z656" s="60"/>
      <c r="AA656" s="60"/>
      <c r="AB656" s="60">
        <v>16.139</v>
      </c>
      <c r="AC656" s="60">
        <v>0.103</v>
      </c>
      <c r="AD656" s="60">
        <v>13.751</v>
      </c>
      <c r="AE656" s="60">
        <v>0.032</v>
      </c>
      <c r="AF656" s="60">
        <v>11.937</v>
      </c>
      <c r="AG656" s="60">
        <v>0.019</v>
      </c>
      <c r="AH656" s="6"/>
      <c r="AI656" s="6"/>
      <c r="AJ656" s="63" t="s">
        <v>160</v>
      </c>
      <c r="AK656" s="64" t="s">
        <v>1302</v>
      </c>
      <c r="AL656" s="64">
        <v>2004.0</v>
      </c>
      <c r="AM656" s="7"/>
      <c r="AN656" s="8"/>
      <c r="AO656" s="13"/>
      <c r="AP656" s="13"/>
      <c r="AQ656" s="7"/>
      <c r="AR656" s="66">
        <v>3311.311215</v>
      </c>
      <c r="AS656" s="7"/>
      <c r="AT656" s="67">
        <v>0.2570395783</v>
      </c>
      <c r="AU656" s="7"/>
      <c r="AV656" s="64">
        <v>0.4677351413</v>
      </c>
      <c r="AW656" s="7"/>
      <c r="AX656" s="73">
        <v>2.08</v>
      </c>
      <c r="AY656" s="7"/>
      <c r="AZ656" s="11" t="s">
        <v>162</v>
      </c>
      <c r="BA656" s="68" t="s">
        <v>1303</v>
      </c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68">
        <v>-2.4</v>
      </c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2"/>
      <c r="DK656" s="12"/>
      <c r="DL656" s="12"/>
      <c r="DM656" s="69"/>
      <c r="DN656" s="69"/>
      <c r="DO656" s="69"/>
      <c r="DP656" s="69"/>
      <c r="DQ656" s="11"/>
      <c r="DR656" s="69"/>
      <c r="DS656" s="69"/>
      <c r="DT656" s="69"/>
      <c r="DU656" s="69"/>
      <c r="DV656" s="70">
        <v>-1.76</v>
      </c>
      <c r="DW656" s="10"/>
      <c r="DX656" s="71">
        <v>3.89E-9</v>
      </c>
      <c r="DY656" s="7"/>
      <c r="DZ656" s="64" t="s">
        <v>165</v>
      </c>
      <c r="EA656" s="72" t="s">
        <v>166</v>
      </c>
      <c r="EB656" s="7"/>
    </row>
    <row r="657">
      <c r="A657" s="55" t="s">
        <v>1384</v>
      </c>
      <c r="B657" s="55" t="s">
        <v>1384</v>
      </c>
      <c r="C657" s="4"/>
      <c r="D657" s="4"/>
      <c r="E657" s="4"/>
      <c r="F657" s="57" t="s">
        <v>168</v>
      </c>
      <c r="G657" s="58">
        <v>246.626954</v>
      </c>
      <c r="H657" s="58">
        <v>-24.38254</v>
      </c>
      <c r="I657" s="6" t="s">
        <v>158</v>
      </c>
      <c r="J657" s="6" t="s">
        <v>159</v>
      </c>
      <c r="K657" s="58">
        <v>1.0</v>
      </c>
      <c r="L657" s="5"/>
      <c r="M657" s="59"/>
      <c r="N657" s="60"/>
      <c r="O657" s="60"/>
      <c r="P657" s="60"/>
      <c r="Q657" s="60"/>
      <c r="R657" s="60"/>
      <c r="S657" s="60"/>
      <c r="T657" s="60"/>
      <c r="U657" s="5"/>
      <c r="V657" s="5"/>
      <c r="W657" s="61">
        <v>6.3</v>
      </c>
      <c r="X657" s="5"/>
      <c r="Y657" s="62" t="s">
        <v>160</v>
      </c>
      <c r="Z657" s="60"/>
      <c r="AA657" s="60"/>
      <c r="AB657" s="60">
        <v>16.314</v>
      </c>
      <c r="AC657" s="60">
        <v>0.12</v>
      </c>
      <c r="AD657" s="60">
        <v>12.546</v>
      </c>
      <c r="AE657" s="60">
        <v>0.035</v>
      </c>
      <c r="AF657" s="60">
        <v>9.977</v>
      </c>
      <c r="AG657" s="60">
        <v>0.023</v>
      </c>
      <c r="AH657" s="6"/>
      <c r="AI657" s="6"/>
      <c r="AJ657" s="63" t="s">
        <v>160</v>
      </c>
      <c r="AK657" s="64" t="s">
        <v>1302</v>
      </c>
      <c r="AL657" s="64">
        <v>2004.0</v>
      </c>
      <c r="AM657" s="7"/>
      <c r="AN657" s="8"/>
      <c r="AO657" s="13"/>
      <c r="AP657" s="13"/>
      <c r="AQ657" s="64"/>
      <c r="AR657" s="66">
        <v>3311.311215</v>
      </c>
      <c r="AS657" s="7"/>
      <c r="AT657" s="67">
        <v>0.2691534804</v>
      </c>
      <c r="AU657" s="7"/>
      <c r="AV657" s="64">
        <v>0.5011872336</v>
      </c>
      <c r="AW657" s="7"/>
      <c r="AX657" s="73">
        <v>2.16</v>
      </c>
      <c r="AY657" s="7"/>
      <c r="AZ657" s="11" t="s">
        <v>162</v>
      </c>
      <c r="BA657" s="68" t="s">
        <v>1303</v>
      </c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68">
        <v>-16.5</v>
      </c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2"/>
      <c r="DK657" s="12"/>
      <c r="DL657" s="12"/>
      <c r="DM657" s="69"/>
      <c r="DN657" s="69"/>
      <c r="DO657" s="69"/>
      <c r="DP657" s="69"/>
      <c r="DQ657" s="11"/>
      <c r="DR657" s="69"/>
      <c r="DS657" s="69"/>
      <c r="DT657" s="69"/>
      <c r="DU657" s="69"/>
      <c r="DV657" s="70">
        <v>-0.58</v>
      </c>
      <c r="DW657" s="10"/>
      <c r="DX657" s="71">
        <v>5.75E-8</v>
      </c>
      <c r="DY657" s="7"/>
      <c r="DZ657" s="64" t="s">
        <v>165</v>
      </c>
      <c r="EA657" s="72" t="s">
        <v>166</v>
      </c>
      <c r="EB657" s="7"/>
    </row>
    <row r="658">
      <c r="A658" s="55" t="s">
        <v>1385</v>
      </c>
      <c r="B658" s="55" t="s">
        <v>1385</v>
      </c>
      <c r="C658" s="4"/>
      <c r="D658" s="4"/>
      <c r="E658" s="57" t="s">
        <v>137</v>
      </c>
      <c r="F658" s="57" t="s">
        <v>168</v>
      </c>
      <c r="G658" s="58">
        <v>246.618653</v>
      </c>
      <c r="H658" s="58">
        <v>-24.261435</v>
      </c>
      <c r="I658" s="6" t="s">
        <v>158</v>
      </c>
      <c r="J658" s="6" t="s">
        <v>159</v>
      </c>
      <c r="K658" s="58">
        <v>1.0</v>
      </c>
      <c r="L658" s="5"/>
      <c r="M658" s="59"/>
      <c r="N658" s="60"/>
      <c r="O658" s="60"/>
      <c r="P658" s="60"/>
      <c r="Q658" s="60"/>
      <c r="R658" s="60"/>
      <c r="S658" s="60"/>
      <c r="T658" s="60"/>
      <c r="U658" s="5"/>
      <c r="V658" s="5"/>
      <c r="W658" s="61">
        <v>5.4</v>
      </c>
      <c r="X658" s="5"/>
      <c r="Y658" s="62" t="s">
        <v>160</v>
      </c>
      <c r="Z658" s="60"/>
      <c r="AA658" s="60"/>
      <c r="AB658" s="60">
        <v>15.309</v>
      </c>
      <c r="AC658" s="60">
        <v>0.046</v>
      </c>
      <c r="AD658" s="60">
        <v>12.373</v>
      </c>
      <c r="AE658" s="60">
        <v>0.023</v>
      </c>
      <c r="AF658" s="60">
        <v>10.777</v>
      </c>
      <c r="AG658" s="60">
        <v>0.024</v>
      </c>
      <c r="AH658" s="6"/>
      <c r="AI658" s="6"/>
      <c r="AJ658" s="63" t="s">
        <v>160</v>
      </c>
      <c r="AK658" s="64" t="s">
        <v>161</v>
      </c>
      <c r="AL658" s="64">
        <v>2004.0</v>
      </c>
      <c r="AM658" s="7"/>
      <c r="AN658" s="8"/>
      <c r="AO658" s="13"/>
      <c r="AP658" s="13"/>
      <c r="AQ658" s="7"/>
      <c r="AR658" s="66">
        <v>3311.311215</v>
      </c>
      <c r="AS658" s="7"/>
      <c r="AT658" s="67">
        <v>0.2754228703</v>
      </c>
      <c r="AU658" s="7"/>
      <c r="AV658" s="64">
        <v>0.512861384</v>
      </c>
      <c r="AW658" s="7"/>
      <c r="AX658" s="73">
        <v>2.18</v>
      </c>
      <c r="AY658" s="7"/>
      <c r="AZ658" s="11" t="s">
        <v>162</v>
      </c>
      <c r="BA658" s="68" t="s">
        <v>1303</v>
      </c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68" t="s">
        <v>172</v>
      </c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70">
        <v>-2.43</v>
      </c>
      <c r="DW658" s="10"/>
      <c r="DX658" s="71">
        <v>8.13E-10</v>
      </c>
      <c r="DY658" s="7"/>
      <c r="DZ658" s="64" t="s">
        <v>165</v>
      </c>
      <c r="EA658" s="72" t="s">
        <v>166</v>
      </c>
      <c r="EB658" s="7"/>
    </row>
    <row r="659">
      <c r="A659" s="55" t="s">
        <v>1386</v>
      </c>
      <c r="B659" s="55" t="s">
        <v>1386</v>
      </c>
      <c r="C659" s="4"/>
      <c r="D659" s="3"/>
      <c r="E659" s="57" t="s">
        <v>137</v>
      </c>
      <c r="F659" s="57" t="s">
        <v>168</v>
      </c>
      <c r="G659" s="58">
        <v>246.8794104</v>
      </c>
      <c r="H659" s="58">
        <v>-24.56757341</v>
      </c>
      <c r="I659" s="6" t="s">
        <v>158</v>
      </c>
      <c r="J659" s="6" t="s">
        <v>159</v>
      </c>
      <c r="K659" s="58">
        <v>1.0</v>
      </c>
      <c r="L659" s="5"/>
      <c r="M659" s="59">
        <v>2.0</v>
      </c>
      <c r="N659" s="61">
        <v>146.610368285245</v>
      </c>
      <c r="O659" s="61">
        <v>-5.691</v>
      </c>
      <c r="P659" s="61">
        <v>1.239</v>
      </c>
      <c r="Q659" s="61">
        <v>-24.654</v>
      </c>
      <c r="R659" s="61">
        <v>0.932</v>
      </c>
      <c r="S659" s="60"/>
      <c r="T659" s="60"/>
      <c r="U659" s="5"/>
      <c r="V659" s="5"/>
      <c r="W659" s="61">
        <v>3.6</v>
      </c>
      <c r="X659" s="5"/>
      <c r="Y659" s="62" t="s">
        <v>160</v>
      </c>
      <c r="Z659" s="60"/>
      <c r="AA659" s="60"/>
      <c r="AB659" s="60">
        <v>13.43</v>
      </c>
      <c r="AC659" s="60">
        <v>0.029</v>
      </c>
      <c r="AD659" s="60">
        <v>11.356</v>
      </c>
      <c r="AE659" s="60">
        <v>0.024</v>
      </c>
      <c r="AF659" s="60">
        <v>10.389</v>
      </c>
      <c r="AG659" s="60">
        <v>0.026</v>
      </c>
      <c r="AH659" s="6"/>
      <c r="AI659" s="6"/>
      <c r="AJ659" s="63" t="s">
        <v>160</v>
      </c>
      <c r="AK659" s="64" t="s">
        <v>161</v>
      </c>
      <c r="AL659" s="64">
        <v>2004.0</v>
      </c>
      <c r="AM659" s="7"/>
      <c r="AN659" s="8"/>
      <c r="AO659" s="13"/>
      <c r="AP659" s="13"/>
      <c r="AQ659" s="7"/>
      <c r="AR659" s="66">
        <v>3388.441561</v>
      </c>
      <c r="AS659" s="7"/>
      <c r="AT659" s="67">
        <v>0.2818382931</v>
      </c>
      <c r="AU659" s="7"/>
      <c r="AV659" s="64">
        <v>0.5370317964</v>
      </c>
      <c r="AW659" s="7"/>
      <c r="AX659" s="73">
        <v>2.13</v>
      </c>
      <c r="AY659" s="7"/>
      <c r="AZ659" s="11" t="s">
        <v>162</v>
      </c>
      <c r="BA659" s="68" t="s">
        <v>1303</v>
      </c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68" t="s">
        <v>1334</v>
      </c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2"/>
      <c r="DK659" s="12"/>
      <c r="DL659" s="12"/>
      <c r="DM659" s="69"/>
      <c r="DN659" s="69"/>
      <c r="DO659" s="69"/>
      <c r="DP659" s="69"/>
      <c r="DQ659" s="11"/>
      <c r="DR659" s="69"/>
      <c r="DS659" s="69"/>
      <c r="DT659" s="69"/>
      <c r="DU659" s="69"/>
      <c r="DV659" s="70">
        <v>-2.61</v>
      </c>
      <c r="DW659" s="10"/>
      <c r="DX659" s="71">
        <v>5.25E-10</v>
      </c>
      <c r="DY659" s="7"/>
      <c r="DZ659" s="64" t="s">
        <v>165</v>
      </c>
      <c r="EA659" s="72" t="s">
        <v>166</v>
      </c>
      <c r="EB659" s="7"/>
    </row>
    <row r="660">
      <c r="A660" s="55" t="s">
        <v>1387</v>
      </c>
      <c r="B660" s="55" t="s">
        <v>1387</v>
      </c>
      <c r="C660" s="4"/>
      <c r="D660" s="3"/>
      <c r="E660" s="57" t="s">
        <v>137</v>
      </c>
      <c r="F660" s="57" t="s">
        <v>168</v>
      </c>
      <c r="G660" s="58">
        <v>246.868524</v>
      </c>
      <c r="H660" s="58">
        <v>-24.455843</v>
      </c>
      <c r="I660" s="6" t="s">
        <v>158</v>
      </c>
      <c r="J660" s="6" t="s">
        <v>169</v>
      </c>
      <c r="K660" s="58">
        <v>1.0</v>
      </c>
      <c r="L660" s="5"/>
      <c r="M660" s="59"/>
      <c r="N660" s="60"/>
      <c r="O660" s="60"/>
      <c r="P660" s="60"/>
      <c r="Q660" s="60"/>
      <c r="R660" s="60"/>
      <c r="S660" s="60">
        <v>-4.85</v>
      </c>
      <c r="T660" s="60">
        <v>0.14</v>
      </c>
      <c r="U660" s="5"/>
      <c r="V660" s="5"/>
      <c r="W660" s="61">
        <v>5.8</v>
      </c>
      <c r="X660" s="5"/>
      <c r="Y660" s="62" t="s">
        <v>160</v>
      </c>
      <c r="Z660" s="60"/>
      <c r="AA660" s="60"/>
      <c r="AB660" s="60">
        <v>15.739</v>
      </c>
      <c r="AC660" s="60">
        <v>0.119</v>
      </c>
      <c r="AD660" s="60">
        <v>12.44</v>
      </c>
      <c r="AE660" s="60"/>
      <c r="AF660" s="60">
        <v>10.101</v>
      </c>
      <c r="AG660" s="60">
        <v>0.03</v>
      </c>
      <c r="AH660" s="6"/>
      <c r="AI660" s="6"/>
      <c r="AJ660" s="63" t="s">
        <v>160</v>
      </c>
      <c r="AK660" s="64" t="s">
        <v>1302</v>
      </c>
      <c r="AL660" s="64">
        <v>2004.0</v>
      </c>
      <c r="AM660" s="7"/>
      <c r="AN660" s="8"/>
      <c r="AO660" s="13"/>
      <c r="AP660" s="64" t="s">
        <v>716</v>
      </c>
      <c r="AQ660" s="65"/>
      <c r="AR660" s="66">
        <v>3388.441561</v>
      </c>
      <c r="AS660" s="7"/>
      <c r="AT660" s="67">
        <v>0.2884031503</v>
      </c>
      <c r="AU660" s="7"/>
      <c r="AV660" s="64">
        <v>0.5495408739</v>
      </c>
      <c r="AW660" s="7"/>
      <c r="AX660" s="73">
        <v>2.16</v>
      </c>
      <c r="AY660" s="7"/>
      <c r="AZ660" s="11" t="s">
        <v>162</v>
      </c>
      <c r="BA660" s="68" t="s">
        <v>1303</v>
      </c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68" t="s">
        <v>1388</v>
      </c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2"/>
      <c r="DK660" s="12"/>
      <c r="DL660" s="12"/>
      <c r="DM660" s="69"/>
      <c r="DN660" s="69"/>
      <c r="DO660" s="69"/>
      <c r="DP660" s="69"/>
      <c r="DQ660" s="11"/>
      <c r="DR660" s="69"/>
      <c r="DS660" s="69"/>
      <c r="DT660" s="69"/>
      <c r="DU660" s="69"/>
      <c r="DV660" s="70">
        <v>-1.98</v>
      </c>
      <c r="DW660" s="10"/>
      <c r="DX660" s="71">
        <v>2.19E-9</v>
      </c>
      <c r="DY660" s="7"/>
      <c r="DZ660" s="64" t="s">
        <v>165</v>
      </c>
      <c r="EA660" s="72" t="s">
        <v>166</v>
      </c>
      <c r="EB660" s="82" t="s">
        <v>1389</v>
      </c>
    </row>
    <row r="661">
      <c r="A661" s="55" t="s">
        <v>1390</v>
      </c>
      <c r="B661" s="55" t="s">
        <v>1391</v>
      </c>
      <c r="C661" s="4" t="s">
        <v>156</v>
      </c>
      <c r="D661" s="57">
        <v>3.17</v>
      </c>
      <c r="E661" s="57" t="s">
        <v>137</v>
      </c>
      <c r="F661" s="57" t="s">
        <v>168</v>
      </c>
      <c r="G661" s="58">
        <v>246.8162</v>
      </c>
      <c r="H661" s="58">
        <v>-24.64539</v>
      </c>
      <c r="I661" s="6" t="s">
        <v>158</v>
      </c>
      <c r="J661" s="6" t="s">
        <v>169</v>
      </c>
      <c r="K661" s="58">
        <v>1.0</v>
      </c>
      <c r="L661" s="5"/>
      <c r="M661" s="59"/>
      <c r="N661" s="60"/>
      <c r="O661" s="60">
        <v>-1.4</v>
      </c>
      <c r="P661" s="60">
        <v>0.8</v>
      </c>
      <c r="Q661" s="60">
        <v>-22.9</v>
      </c>
      <c r="R661" s="60">
        <v>1.0</v>
      </c>
      <c r="S661" s="60">
        <v>0.0</v>
      </c>
      <c r="T661" s="60">
        <v>0.55</v>
      </c>
      <c r="U661" s="5"/>
      <c r="V661" s="5"/>
      <c r="W661" s="61">
        <v>4.1</v>
      </c>
      <c r="X661" s="5"/>
      <c r="Y661" s="62" t="s">
        <v>160</v>
      </c>
      <c r="Z661" s="60"/>
      <c r="AA661" s="60"/>
      <c r="AB661" s="60">
        <v>13.894</v>
      </c>
      <c r="AC661" s="60">
        <v>0.057</v>
      </c>
      <c r="AD661" s="60">
        <v>11.264</v>
      </c>
      <c r="AE661" s="60">
        <v>0.071</v>
      </c>
      <c r="AF661" s="60">
        <v>9.59</v>
      </c>
      <c r="AG661" s="60">
        <v>0.038</v>
      </c>
      <c r="AH661" s="6"/>
      <c r="AI661" s="6"/>
      <c r="AJ661" s="63" t="s">
        <v>160</v>
      </c>
      <c r="AK661" s="64" t="s">
        <v>161</v>
      </c>
      <c r="AL661" s="64">
        <v>2004.0</v>
      </c>
      <c r="AM661" s="7"/>
      <c r="AN661" s="8"/>
      <c r="AO661" s="13"/>
      <c r="AP661" s="13"/>
      <c r="AQ661" s="7"/>
      <c r="AR661" s="66">
        <v>3388.441561</v>
      </c>
      <c r="AS661" s="7"/>
      <c r="AT661" s="67">
        <v>0.2951209227</v>
      </c>
      <c r="AU661" s="7"/>
      <c r="AV661" s="64">
        <v>0.5623413252</v>
      </c>
      <c r="AW661" s="7"/>
      <c r="AX661" s="73">
        <v>2.18</v>
      </c>
      <c r="AY661" s="7"/>
      <c r="AZ661" s="11" t="s">
        <v>162</v>
      </c>
      <c r="BA661" s="68" t="s">
        <v>1303</v>
      </c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68" t="s">
        <v>179</v>
      </c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70">
        <v>-2.47</v>
      </c>
      <c r="DW661" s="10"/>
      <c r="DX661" s="71">
        <v>7.08E-10</v>
      </c>
      <c r="DY661" s="7"/>
      <c r="DZ661" s="64" t="s">
        <v>165</v>
      </c>
      <c r="EA661" s="72" t="s">
        <v>166</v>
      </c>
      <c r="EB661" s="7"/>
    </row>
    <row r="662">
      <c r="A662" s="55" t="s">
        <v>1392</v>
      </c>
      <c r="B662" s="55" t="s">
        <v>1392</v>
      </c>
      <c r="C662" s="4"/>
      <c r="D662" s="3"/>
      <c r="E662" s="57" t="s">
        <v>137</v>
      </c>
      <c r="F662" s="57" t="s">
        <v>168</v>
      </c>
      <c r="G662" s="58">
        <v>246.76253</v>
      </c>
      <c r="H662" s="58">
        <v>-24.437416</v>
      </c>
      <c r="I662" s="6" t="s">
        <v>158</v>
      </c>
      <c r="J662" s="6" t="s">
        <v>169</v>
      </c>
      <c r="K662" s="58">
        <v>1.0</v>
      </c>
      <c r="L662" s="5"/>
      <c r="M662" s="59"/>
      <c r="N662" s="60"/>
      <c r="O662" s="60"/>
      <c r="P662" s="60"/>
      <c r="Q662" s="60"/>
      <c r="R662" s="60"/>
      <c r="S662" s="60"/>
      <c r="T662" s="60"/>
      <c r="U662" s="5"/>
      <c r="V662" s="5"/>
      <c r="W662" s="61">
        <v>10.6</v>
      </c>
      <c r="X662" s="5"/>
      <c r="Y662" s="62" t="s">
        <v>160</v>
      </c>
      <c r="Z662" s="60"/>
      <c r="AA662" s="60"/>
      <c r="AB662" s="60"/>
      <c r="AC662" s="60"/>
      <c r="AD662" s="60">
        <v>15.655</v>
      </c>
      <c r="AE662" s="60">
        <v>0.107</v>
      </c>
      <c r="AF662" s="60">
        <v>12.565</v>
      </c>
      <c r="AG662" s="60">
        <v>0.031</v>
      </c>
      <c r="AH662" s="6"/>
      <c r="AI662" s="6"/>
      <c r="AJ662" s="63" t="s">
        <v>160</v>
      </c>
      <c r="AK662" s="64" t="s">
        <v>161</v>
      </c>
      <c r="AL662" s="64">
        <v>2004.0</v>
      </c>
      <c r="AM662" s="7"/>
      <c r="AN662" s="8"/>
      <c r="AO662" s="13"/>
      <c r="AP662" s="13"/>
      <c r="AQ662" s="7"/>
      <c r="AR662" s="66">
        <v>3388.441561</v>
      </c>
      <c r="AS662" s="7"/>
      <c r="AT662" s="67">
        <v>0.2951209227</v>
      </c>
      <c r="AU662" s="7"/>
      <c r="AV662" s="64">
        <v>0.5754399373</v>
      </c>
      <c r="AW662" s="7"/>
      <c r="AX662" s="73">
        <v>2.21</v>
      </c>
      <c r="AY662" s="7"/>
      <c r="AZ662" s="11" t="s">
        <v>162</v>
      </c>
      <c r="BA662" s="68" t="s">
        <v>1303</v>
      </c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68" t="s">
        <v>1393</v>
      </c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68" t="s">
        <v>172</v>
      </c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2"/>
      <c r="DK662" s="12"/>
      <c r="DL662" s="12"/>
      <c r="DM662" s="69"/>
      <c r="DN662" s="69"/>
      <c r="DO662" s="69"/>
      <c r="DP662" s="69"/>
      <c r="DQ662" s="11"/>
      <c r="DR662" s="69"/>
      <c r="DS662" s="69"/>
      <c r="DT662" s="69"/>
      <c r="DU662" s="69"/>
      <c r="DV662" s="70">
        <v>-0.73</v>
      </c>
      <c r="DW662" s="10"/>
      <c r="DX662" s="71">
        <v>3.89E-8</v>
      </c>
      <c r="DY662" s="7"/>
      <c r="DZ662" s="64" t="s">
        <v>165</v>
      </c>
      <c r="EA662" s="72" t="s">
        <v>166</v>
      </c>
      <c r="EB662" s="7"/>
    </row>
    <row r="663">
      <c r="A663" s="55" t="s">
        <v>1394</v>
      </c>
      <c r="B663" s="55" t="s">
        <v>1394</v>
      </c>
      <c r="C663" s="3"/>
      <c r="D663" s="3"/>
      <c r="E663" s="3"/>
      <c r="F663" s="57" t="s">
        <v>168</v>
      </c>
      <c r="G663" s="58">
        <v>246.4042</v>
      </c>
      <c r="H663" s="58">
        <v>-24.2617</v>
      </c>
      <c r="I663" s="6" t="s">
        <v>158</v>
      </c>
      <c r="J663" s="6" t="s">
        <v>169</v>
      </c>
      <c r="K663" s="58">
        <v>1.0</v>
      </c>
      <c r="L663" s="5"/>
      <c r="M663" s="59">
        <v>2.0</v>
      </c>
      <c r="N663" s="61">
        <v>143.696742394849</v>
      </c>
      <c r="O663" s="61">
        <v>-5.497</v>
      </c>
      <c r="P663" s="61">
        <v>1.268</v>
      </c>
      <c r="Q663" s="61">
        <v>-25.176</v>
      </c>
      <c r="R663" s="61">
        <v>0.771</v>
      </c>
      <c r="S663" s="60"/>
      <c r="T663" s="60"/>
      <c r="U663" s="5"/>
      <c r="V663" s="5"/>
      <c r="W663" s="61">
        <v>3.1</v>
      </c>
      <c r="X663" s="5"/>
      <c r="Y663" s="62" t="s">
        <v>160</v>
      </c>
      <c r="Z663" s="60"/>
      <c r="AA663" s="60"/>
      <c r="AB663" s="60">
        <v>12.838</v>
      </c>
      <c r="AC663" s="60">
        <v>0.027</v>
      </c>
      <c r="AD663" s="60">
        <v>10.753</v>
      </c>
      <c r="AE663" s="60">
        <v>0.025</v>
      </c>
      <c r="AF663" s="60">
        <v>9.545</v>
      </c>
      <c r="AG663" s="60">
        <v>0.025</v>
      </c>
      <c r="AH663" s="6"/>
      <c r="AI663" s="6"/>
      <c r="AJ663" s="63" t="s">
        <v>160</v>
      </c>
      <c r="AK663" s="64" t="s">
        <v>161</v>
      </c>
      <c r="AL663" s="64">
        <v>2004.0</v>
      </c>
      <c r="AM663" s="7"/>
      <c r="AN663" s="8"/>
      <c r="AO663" s="13"/>
      <c r="AP663" s="64" t="s">
        <v>427</v>
      </c>
      <c r="AQ663" s="65"/>
      <c r="AR663" s="66">
        <v>3388.441561</v>
      </c>
      <c r="AS663" s="7"/>
      <c r="AT663" s="67">
        <v>0.301995172</v>
      </c>
      <c r="AU663" s="7"/>
      <c r="AV663" s="64">
        <v>0.5888436554</v>
      </c>
      <c r="AW663" s="7"/>
      <c r="AX663" s="73">
        <v>2.23</v>
      </c>
      <c r="AY663" s="7"/>
      <c r="AZ663" s="11" t="s">
        <v>162</v>
      </c>
      <c r="BA663" s="68" t="s">
        <v>1303</v>
      </c>
      <c r="BB663" s="11"/>
      <c r="BC663" s="11"/>
      <c r="BD663" s="11"/>
      <c r="BE663" s="11"/>
      <c r="BF663" s="11"/>
      <c r="BG663" s="11"/>
      <c r="BH663" s="11"/>
      <c r="BI663" s="12"/>
      <c r="BJ663" s="11"/>
      <c r="BK663" s="11"/>
      <c r="BL663" s="12"/>
      <c r="BM663" s="12"/>
      <c r="BN663" s="12"/>
      <c r="BO663" s="12"/>
      <c r="BP663" s="12"/>
      <c r="BQ663" s="12"/>
      <c r="BR663" s="12"/>
      <c r="BS663" s="12"/>
      <c r="BT663" s="12"/>
      <c r="BU663" s="69"/>
      <c r="BV663" s="69"/>
      <c r="BW663" s="69"/>
      <c r="BX663" s="69"/>
      <c r="BY663" s="69"/>
      <c r="BZ663" s="68">
        <v>-2.8</v>
      </c>
      <c r="CA663" s="11"/>
      <c r="CB663" s="69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2"/>
      <c r="DG663" s="12"/>
      <c r="DH663" s="12"/>
      <c r="DI663" s="12"/>
      <c r="DJ663" s="12"/>
      <c r="DK663" s="12"/>
      <c r="DL663" s="12"/>
      <c r="DM663" s="69"/>
      <c r="DN663" s="69"/>
      <c r="DO663" s="69"/>
      <c r="DP663" s="69"/>
      <c r="DQ663" s="11"/>
      <c r="DR663" s="69"/>
      <c r="DS663" s="69"/>
      <c r="DT663" s="69"/>
      <c r="DU663" s="69"/>
      <c r="DV663" s="70">
        <v>-1.54</v>
      </c>
      <c r="DW663" s="10"/>
      <c r="DX663" s="71">
        <v>6.03E-9</v>
      </c>
      <c r="DY663" s="7"/>
      <c r="DZ663" s="64" t="s">
        <v>165</v>
      </c>
      <c r="EA663" s="72" t="s">
        <v>166</v>
      </c>
      <c r="EB663" s="13"/>
    </row>
    <row r="664">
      <c r="A664" s="55" t="s">
        <v>1395</v>
      </c>
      <c r="B664" s="56" t="s">
        <v>1395</v>
      </c>
      <c r="C664" s="4"/>
      <c r="D664" s="4"/>
      <c r="E664" s="57" t="s">
        <v>137</v>
      </c>
      <c r="F664" s="57" t="s">
        <v>168</v>
      </c>
      <c r="G664" s="58">
        <v>246.9662331</v>
      </c>
      <c r="H664" s="58">
        <v>-24.77500153</v>
      </c>
      <c r="I664" s="6" t="s">
        <v>158</v>
      </c>
      <c r="J664" s="6" t="s">
        <v>159</v>
      </c>
      <c r="K664" s="58">
        <v>1.0</v>
      </c>
      <c r="L664" s="5"/>
      <c r="M664" s="59"/>
      <c r="N664" s="60"/>
      <c r="O664" s="60"/>
      <c r="P664" s="60"/>
      <c r="Q664" s="60"/>
      <c r="R664" s="60"/>
      <c r="S664" s="60"/>
      <c r="T664" s="60"/>
      <c r="U664" s="5"/>
      <c r="V664" s="5"/>
      <c r="W664" s="61">
        <v>4.3</v>
      </c>
      <c r="X664" s="5"/>
      <c r="Y664" s="62" t="s">
        <v>160</v>
      </c>
      <c r="Z664" s="60"/>
      <c r="AA664" s="60"/>
      <c r="AB664" s="60">
        <v>14.048</v>
      </c>
      <c r="AC664" s="60">
        <v>0.03</v>
      </c>
      <c r="AD664" s="60">
        <v>11.613</v>
      </c>
      <c r="AE664" s="60">
        <v>0.024</v>
      </c>
      <c r="AF664" s="60">
        <v>10.366</v>
      </c>
      <c r="AG664" s="60">
        <v>0.024</v>
      </c>
      <c r="AH664" s="6"/>
      <c r="AI664" s="6"/>
      <c r="AJ664" s="63" t="s">
        <v>160</v>
      </c>
      <c r="AK664" s="64" t="s">
        <v>161</v>
      </c>
      <c r="AL664" s="64">
        <v>2004.0</v>
      </c>
      <c r="AM664" s="7"/>
      <c r="AN664" s="8"/>
      <c r="AO664" s="13"/>
      <c r="AP664" s="13"/>
      <c r="AQ664" s="7"/>
      <c r="AR664" s="66">
        <v>3388.441561</v>
      </c>
      <c r="AS664" s="7"/>
      <c r="AT664" s="67">
        <v>0.301995172</v>
      </c>
      <c r="AU664" s="7"/>
      <c r="AV664" s="64">
        <v>0.6025595861</v>
      </c>
      <c r="AW664" s="7"/>
      <c r="AX664" s="73">
        <v>2.26</v>
      </c>
      <c r="AY664" s="7"/>
      <c r="AZ664" s="11" t="s">
        <v>162</v>
      </c>
      <c r="BA664" s="68" t="s">
        <v>1303</v>
      </c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68" t="s">
        <v>172</v>
      </c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2"/>
      <c r="DK664" s="12"/>
      <c r="DL664" s="12"/>
      <c r="DM664" s="69"/>
      <c r="DN664" s="69"/>
      <c r="DO664" s="69"/>
      <c r="DP664" s="69"/>
      <c r="DQ664" s="11"/>
      <c r="DR664" s="69"/>
      <c r="DS664" s="69"/>
      <c r="DT664" s="69"/>
      <c r="DU664" s="69"/>
      <c r="DV664" s="70">
        <v>-2.34</v>
      </c>
      <c r="DW664" s="10"/>
      <c r="DX664" s="71">
        <v>9.33E-10</v>
      </c>
      <c r="DY664" s="7"/>
      <c r="DZ664" s="64" t="s">
        <v>165</v>
      </c>
      <c r="EA664" s="72" t="s">
        <v>166</v>
      </c>
      <c r="EB664" s="7"/>
    </row>
    <row r="665">
      <c r="A665" s="55" t="s">
        <v>1396</v>
      </c>
      <c r="B665" s="55" t="s">
        <v>1397</v>
      </c>
      <c r="C665" s="4"/>
      <c r="D665" s="4"/>
      <c r="E665" s="57" t="s">
        <v>137</v>
      </c>
      <c r="F665" s="57" t="s">
        <v>168</v>
      </c>
      <c r="G665" s="58">
        <v>246.5137435</v>
      </c>
      <c r="H665" s="58">
        <v>-24.2962612</v>
      </c>
      <c r="I665" s="6" t="s">
        <v>158</v>
      </c>
      <c r="J665" s="6" t="s">
        <v>159</v>
      </c>
      <c r="K665" s="58">
        <v>1.0</v>
      </c>
      <c r="L665" s="5"/>
      <c r="M665" s="59">
        <v>2.0</v>
      </c>
      <c r="N665" s="60">
        <v>135.169840905097</v>
      </c>
      <c r="O665" s="60">
        <v>-8.251</v>
      </c>
      <c r="P665" s="60">
        <v>0.158</v>
      </c>
      <c r="Q665" s="60">
        <v>-28.171</v>
      </c>
      <c r="R665" s="60">
        <v>0.101</v>
      </c>
      <c r="S665" s="60"/>
      <c r="T665" s="60"/>
      <c r="U665" s="5"/>
      <c r="V665" s="5"/>
      <c r="W665" s="61">
        <v>1.2</v>
      </c>
      <c r="X665" s="5"/>
      <c r="Y665" s="62" t="s">
        <v>160</v>
      </c>
      <c r="Z665" s="60">
        <v>14.86</v>
      </c>
      <c r="AA665" s="60">
        <v>0.03</v>
      </c>
      <c r="AB665" s="60">
        <v>10.673</v>
      </c>
      <c r="AC665" s="60">
        <v>0.024</v>
      </c>
      <c r="AD665" s="60">
        <v>9.576</v>
      </c>
      <c r="AE665" s="60">
        <v>0.024</v>
      </c>
      <c r="AF665" s="60">
        <v>9.115</v>
      </c>
      <c r="AG665" s="60">
        <v>0.021</v>
      </c>
      <c r="AH665" s="6"/>
      <c r="AI665" s="6"/>
      <c r="AJ665" s="63" t="s">
        <v>160</v>
      </c>
      <c r="AK665" s="64" t="s">
        <v>1302</v>
      </c>
      <c r="AL665" s="64">
        <v>2004.0</v>
      </c>
      <c r="AM665" s="7"/>
      <c r="AN665" s="8"/>
      <c r="AO665" s="13"/>
      <c r="AP665" s="64" t="s">
        <v>415</v>
      </c>
      <c r="AQ665" s="65"/>
      <c r="AR665" s="66">
        <v>3467.368505</v>
      </c>
      <c r="AS665" s="7"/>
      <c r="AT665" s="67">
        <v>0.3235936569</v>
      </c>
      <c r="AU665" s="7"/>
      <c r="AV665" s="64">
        <v>0.660693448</v>
      </c>
      <c r="AW665" s="7"/>
      <c r="AX665" s="7"/>
      <c r="AY665" s="7"/>
      <c r="AZ665" s="11" t="s">
        <v>162</v>
      </c>
      <c r="BA665" s="68" t="s">
        <v>1303</v>
      </c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68" t="s">
        <v>183</v>
      </c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2"/>
      <c r="DK665" s="12"/>
      <c r="DL665" s="12"/>
      <c r="DM665" s="12"/>
      <c r="DN665" s="12"/>
      <c r="DO665" s="12"/>
      <c r="DP665" s="12"/>
      <c r="DQ665" s="11"/>
      <c r="DR665" s="12"/>
      <c r="DS665" s="12"/>
      <c r="DT665" s="12"/>
      <c r="DU665" s="12"/>
      <c r="DV665" s="70">
        <v>-2.22</v>
      </c>
      <c r="DW665" s="10"/>
      <c r="DX665" s="71">
        <v>1.2E-9</v>
      </c>
      <c r="DY665" s="7"/>
      <c r="DZ665" s="64" t="s">
        <v>165</v>
      </c>
      <c r="EA665" s="72" t="s">
        <v>166</v>
      </c>
      <c r="EB665" s="7"/>
    </row>
    <row r="666">
      <c r="A666" s="55" t="s">
        <v>1398</v>
      </c>
      <c r="B666" s="55" t="s">
        <v>1398</v>
      </c>
      <c r="C666" s="4"/>
      <c r="D666" s="3"/>
      <c r="E666" s="57" t="s">
        <v>137</v>
      </c>
      <c r="F666" s="57" t="s">
        <v>168</v>
      </c>
      <c r="G666" s="58">
        <v>246.769061</v>
      </c>
      <c r="H666" s="58">
        <v>-24.454351</v>
      </c>
      <c r="I666" s="6" t="s">
        <v>158</v>
      </c>
      <c r="J666" s="6" t="s">
        <v>169</v>
      </c>
      <c r="K666" s="58">
        <v>1.0</v>
      </c>
      <c r="L666" s="5"/>
      <c r="M666" s="59"/>
      <c r="N666" s="60"/>
      <c r="O666" s="60"/>
      <c r="P666" s="60"/>
      <c r="Q666" s="60"/>
      <c r="R666" s="60"/>
      <c r="S666" s="60"/>
      <c r="T666" s="60"/>
      <c r="U666" s="5"/>
      <c r="V666" s="5"/>
      <c r="W666" s="61">
        <v>6.8</v>
      </c>
      <c r="X666" s="5"/>
      <c r="Y666" s="62" t="s">
        <v>160</v>
      </c>
      <c r="Z666" s="60"/>
      <c r="AA666" s="60"/>
      <c r="AB666" s="60">
        <v>16.476</v>
      </c>
      <c r="AC666" s="60">
        <v>0.136</v>
      </c>
      <c r="AD666" s="60">
        <v>13.033</v>
      </c>
      <c r="AE666" s="60">
        <v>0.029</v>
      </c>
      <c r="AF666" s="60">
        <v>11.219</v>
      </c>
      <c r="AG666" s="60">
        <v>0.021</v>
      </c>
      <c r="AH666" s="6"/>
      <c r="AI666" s="6"/>
      <c r="AJ666" s="63" t="s">
        <v>160</v>
      </c>
      <c r="AK666" s="64" t="s">
        <v>1302</v>
      </c>
      <c r="AL666" s="64">
        <v>2004.0</v>
      </c>
      <c r="AM666" s="7"/>
      <c r="AN666" s="8"/>
      <c r="AO666" s="13"/>
      <c r="AP666" s="13"/>
      <c r="AQ666" s="7"/>
      <c r="AR666" s="66">
        <v>3467.368505</v>
      </c>
      <c r="AS666" s="7"/>
      <c r="AT666" s="67">
        <v>0.3235936569</v>
      </c>
      <c r="AU666" s="7"/>
      <c r="AV666" s="64">
        <v>0.6760829754</v>
      </c>
      <c r="AW666" s="7"/>
      <c r="AX666" s="73">
        <v>2.28</v>
      </c>
      <c r="AY666" s="7"/>
      <c r="AZ666" s="11" t="s">
        <v>162</v>
      </c>
      <c r="BA666" s="68" t="s">
        <v>1303</v>
      </c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68" t="s">
        <v>172</v>
      </c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2"/>
      <c r="DK666" s="12"/>
      <c r="DL666" s="12"/>
      <c r="DM666" s="69"/>
      <c r="DN666" s="69"/>
      <c r="DO666" s="69"/>
      <c r="DP666" s="69"/>
      <c r="DQ666" s="11"/>
      <c r="DR666" s="69"/>
      <c r="DS666" s="69"/>
      <c r="DT666" s="69"/>
      <c r="DU666" s="69"/>
      <c r="DV666" s="70">
        <v>-2.29</v>
      </c>
      <c r="DW666" s="10"/>
      <c r="DX666" s="71">
        <v>1.0E-9</v>
      </c>
      <c r="DY666" s="7"/>
      <c r="DZ666" s="64" t="s">
        <v>165</v>
      </c>
      <c r="EA666" s="72" t="s">
        <v>166</v>
      </c>
      <c r="EB666" s="7"/>
    </row>
    <row r="667">
      <c r="A667" s="55" t="s">
        <v>1399</v>
      </c>
      <c r="B667" s="55" t="s">
        <v>1399</v>
      </c>
      <c r="C667" s="4"/>
      <c r="D667" s="4"/>
      <c r="E667" s="57" t="s">
        <v>137</v>
      </c>
      <c r="F667" s="57" t="s">
        <v>168</v>
      </c>
      <c r="G667" s="58">
        <v>246.767112</v>
      </c>
      <c r="H667" s="58">
        <v>-24.474976</v>
      </c>
      <c r="I667" s="6" t="s">
        <v>158</v>
      </c>
      <c r="J667" s="6" t="s">
        <v>169</v>
      </c>
      <c r="K667" s="58">
        <v>1.0</v>
      </c>
      <c r="L667" s="5"/>
      <c r="M667" s="59"/>
      <c r="N667" s="60"/>
      <c r="O667" s="60"/>
      <c r="P667" s="60"/>
      <c r="Q667" s="60"/>
      <c r="R667" s="60"/>
      <c r="S667" s="60">
        <v>-25.1</v>
      </c>
      <c r="T667" s="60">
        <v>1.4</v>
      </c>
      <c r="U667" s="5"/>
      <c r="V667" s="5"/>
      <c r="W667" s="61">
        <v>7.2</v>
      </c>
      <c r="X667" s="5"/>
      <c r="Y667" s="62" t="s">
        <v>160</v>
      </c>
      <c r="Z667" s="60"/>
      <c r="AA667" s="60"/>
      <c r="AB667" s="60">
        <v>16.904</v>
      </c>
      <c r="AC667" s="60">
        <v>0.188</v>
      </c>
      <c r="AD667" s="60">
        <v>13.086</v>
      </c>
      <c r="AE667" s="60">
        <v>0.029</v>
      </c>
      <c r="AF667" s="60">
        <v>10.856</v>
      </c>
      <c r="AG667" s="60">
        <v>0.021</v>
      </c>
      <c r="AH667" s="6"/>
      <c r="AI667" s="6"/>
      <c r="AJ667" s="63" t="s">
        <v>160</v>
      </c>
      <c r="AK667" s="64" t="s">
        <v>1302</v>
      </c>
      <c r="AL667" s="64">
        <v>2004.0</v>
      </c>
      <c r="AM667" s="7"/>
      <c r="AN667" s="8"/>
      <c r="AO667" s="13"/>
      <c r="AP667" s="13"/>
      <c r="AQ667" s="7"/>
      <c r="AR667" s="66">
        <v>3467.368505</v>
      </c>
      <c r="AS667" s="7"/>
      <c r="AT667" s="67">
        <v>0.3311311215</v>
      </c>
      <c r="AU667" s="7"/>
      <c r="AV667" s="64">
        <v>0.7079457844</v>
      </c>
      <c r="AW667" s="7"/>
      <c r="AX667" s="73">
        <v>2.34</v>
      </c>
      <c r="AY667" s="7"/>
      <c r="AZ667" s="11" t="s">
        <v>162</v>
      </c>
      <c r="BA667" s="68" t="s">
        <v>1303</v>
      </c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68" t="s">
        <v>179</v>
      </c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2"/>
      <c r="DK667" s="12"/>
      <c r="DL667" s="12"/>
      <c r="DM667" s="12"/>
      <c r="DN667" s="12"/>
      <c r="DO667" s="12"/>
      <c r="DP667" s="12"/>
      <c r="DQ667" s="11"/>
      <c r="DR667" s="12"/>
      <c r="DS667" s="12"/>
      <c r="DT667" s="12"/>
      <c r="DU667" s="12"/>
      <c r="DV667" s="70">
        <v>-2.35</v>
      </c>
      <c r="DW667" s="10"/>
      <c r="DX667" s="71">
        <v>8.71E-10</v>
      </c>
      <c r="DY667" s="7"/>
      <c r="DZ667" s="64" t="s">
        <v>165</v>
      </c>
      <c r="EA667" s="72" t="s">
        <v>166</v>
      </c>
      <c r="EB667" s="7"/>
    </row>
    <row r="668">
      <c r="A668" s="55" t="s">
        <v>1400</v>
      </c>
      <c r="B668" s="55" t="s">
        <v>1400</v>
      </c>
      <c r="C668" s="4"/>
      <c r="D668" s="4"/>
      <c r="E668" s="4"/>
      <c r="F668" s="57" t="s">
        <v>168</v>
      </c>
      <c r="G668" s="58">
        <v>246.7879526</v>
      </c>
      <c r="H668" s="58">
        <v>-24.56896969</v>
      </c>
      <c r="I668" s="6" t="s">
        <v>158</v>
      </c>
      <c r="J668" s="6" t="s">
        <v>169</v>
      </c>
      <c r="K668" s="61">
        <v>1.0</v>
      </c>
      <c r="L668" s="5"/>
      <c r="M668" s="60">
        <v>2.0</v>
      </c>
      <c r="N668" s="58">
        <v>130.6984525</v>
      </c>
      <c r="O668" s="58">
        <v>-9.291</v>
      </c>
      <c r="P668" s="58">
        <v>1.026</v>
      </c>
      <c r="Q668" s="58">
        <v>-25.671</v>
      </c>
      <c r="R668" s="58">
        <v>0.741</v>
      </c>
      <c r="S668" s="60">
        <v>-7.6</v>
      </c>
      <c r="T668" s="60">
        <v>1.5</v>
      </c>
      <c r="U668" s="6">
        <f>W668/0.243</f>
        <v>16.46090535</v>
      </c>
      <c r="V668" s="6">
        <f>U668*SQRT((X668/W668)^2 + (0.004/0.243)^2)</f>
        <v>4.12413723</v>
      </c>
      <c r="W668" s="60">
        <v>4.0</v>
      </c>
      <c r="X668" s="60">
        <v>1.0</v>
      </c>
      <c r="Y668" s="83" t="s">
        <v>1308</v>
      </c>
      <c r="Z668" s="6"/>
      <c r="AA668" s="6"/>
      <c r="AB668" s="58">
        <v>12.55</v>
      </c>
      <c r="AC668" s="60">
        <v>0.023</v>
      </c>
      <c r="AD668" s="61">
        <v>10.188</v>
      </c>
      <c r="AE668" s="61">
        <v>0.022</v>
      </c>
      <c r="AF668" s="59">
        <v>8.92</v>
      </c>
      <c r="AG668" s="60">
        <v>0.019</v>
      </c>
      <c r="AH668" s="6"/>
      <c r="AI668" s="6"/>
      <c r="AJ668" s="76" t="s">
        <v>1309</v>
      </c>
      <c r="AK668" s="64" t="s">
        <v>1310</v>
      </c>
      <c r="AL668" s="64">
        <v>2005.0</v>
      </c>
      <c r="AM668" s="13"/>
      <c r="AN668" s="77">
        <v>150.0</v>
      </c>
      <c r="AO668" s="13"/>
      <c r="AP668" s="13" t="s">
        <v>1401</v>
      </c>
      <c r="AQ668" s="97">
        <v>1.0</v>
      </c>
      <c r="AR668" s="78">
        <v>3900.0</v>
      </c>
      <c r="AS668" s="64">
        <v>150.0</v>
      </c>
      <c r="AT668" s="79">
        <v>0.35</v>
      </c>
      <c r="AU668" s="7"/>
      <c r="AV668" s="64">
        <v>1.5</v>
      </c>
      <c r="AW668" s="7"/>
      <c r="AX668" s="70"/>
      <c r="AY668" s="7"/>
      <c r="AZ668" s="11" t="s">
        <v>162</v>
      </c>
      <c r="BA668" s="68" t="s">
        <v>1303</v>
      </c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68">
        <v>1.3</v>
      </c>
      <c r="CA668" s="68">
        <v>0.2</v>
      </c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68">
        <v>3.0</v>
      </c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69"/>
      <c r="DN668" s="69"/>
      <c r="DO668" s="69"/>
      <c r="DP668" s="69"/>
      <c r="DQ668" s="11"/>
      <c r="DR668" s="69"/>
      <c r="DS668" s="69"/>
      <c r="DT668" s="69"/>
      <c r="DU668" s="69"/>
      <c r="DV668" s="7"/>
      <c r="DW668" s="10"/>
      <c r="DX668" s="81">
        <v>9.33E-9</v>
      </c>
      <c r="DY668" s="64"/>
      <c r="DZ668" s="64" t="s">
        <v>1311</v>
      </c>
      <c r="EA668" s="13"/>
      <c r="EB668" s="13"/>
    </row>
    <row r="669">
      <c r="A669" s="55" t="s">
        <v>1402</v>
      </c>
      <c r="B669" s="55" t="s">
        <v>1402</v>
      </c>
      <c r="C669" s="4"/>
      <c r="D669" s="3"/>
      <c r="E669" s="57" t="s">
        <v>137</v>
      </c>
      <c r="F669" s="57" t="s">
        <v>168</v>
      </c>
      <c r="G669" s="58">
        <v>246.886149</v>
      </c>
      <c r="H669" s="58">
        <v>-24.556648</v>
      </c>
      <c r="I669" s="6" t="s">
        <v>158</v>
      </c>
      <c r="J669" s="6" t="s">
        <v>169</v>
      </c>
      <c r="K669" s="58">
        <v>1.0</v>
      </c>
      <c r="L669" s="5"/>
      <c r="M669" s="59"/>
      <c r="N669" s="60"/>
      <c r="O669" s="60"/>
      <c r="P669" s="60"/>
      <c r="Q669" s="60"/>
      <c r="R669" s="60"/>
      <c r="S669" s="60"/>
      <c r="T669" s="60"/>
      <c r="U669" s="5"/>
      <c r="V669" s="5"/>
      <c r="W669" s="61">
        <v>6.6</v>
      </c>
      <c r="X669" s="5"/>
      <c r="Y669" s="62" t="s">
        <v>160</v>
      </c>
      <c r="Z669" s="60"/>
      <c r="AA669" s="60"/>
      <c r="AB669" s="60">
        <v>16.146</v>
      </c>
      <c r="AC669" s="60">
        <v>0.087</v>
      </c>
      <c r="AD669" s="60">
        <v>12.736</v>
      </c>
      <c r="AE669" s="60">
        <v>0.033</v>
      </c>
      <c r="AF669" s="60">
        <v>10.901</v>
      </c>
      <c r="AG669" s="60">
        <v>0.029</v>
      </c>
      <c r="AH669" s="6"/>
      <c r="AI669" s="6"/>
      <c r="AJ669" s="63" t="s">
        <v>160</v>
      </c>
      <c r="AK669" s="64" t="s">
        <v>161</v>
      </c>
      <c r="AL669" s="64">
        <v>2004.0</v>
      </c>
      <c r="AM669" s="7"/>
      <c r="AN669" s="8"/>
      <c r="AO669" s="13"/>
      <c r="AP669" s="13"/>
      <c r="AQ669" s="7"/>
      <c r="AR669" s="66">
        <v>3548.133892</v>
      </c>
      <c r="AS669" s="7"/>
      <c r="AT669" s="67">
        <v>0.3548133892</v>
      </c>
      <c r="AU669" s="7"/>
      <c r="AV669" s="64">
        <v>0.7943282347</v>
      </c>
      <c r="AW669" s="7"/>
      <c r="AX669" s="73">
        <v>2.37</v>
      </c>
      <c r="AY669" s="7"/>
      <c r="AZ669" s="11" t="s">
        <v>162</v>
      </c>
      <c r="BA669" s="68" t="s">
        <v>1303</v>
      </c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68" t="s">
        <v>1313</v>
      </c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2"/>
      <c r="DK669" s="12"/>
      <c r="DL669" s="12"/>
      <c r="DM669" s="69"/>
      <c r="DN669" s="69"/>
      <c r="DO669" s="69"/>
      <c r="DP669" s="69"/>
      <c r="DQ669" s="11"/>
      <c r="DR669" s="69"/>
      <c r="DS669" s="69"/>
      <c r="DT669" s="69"/>
      <c r="DU669" s="69"/>
      <c r="DV669" s="70">
        <v>-1.58</v>
      </c>
      <c r="DW669" s="10"/>
      <c r="DX669" s="71">
        <v>4.9E-9</v>
      </c>
      <c r="DY669" s="7"/>
      <c r="DZ669" s="64" t="s">
        <v>165</v>
      </c>
      <c r="EA669" s="72" t="s">
        <v>166</v>
      </c>
      <c r="EB669" s="7"/>
    </row>
    <row r="670">
      <c r="A670" s="55" t="s">
        <v>1403</v>
      </c>
      <c r="B670" s="55" t="s">
        <v>1404</v>
      </c>
      <c r="C670" s="3"/>
      <c r="D670" s="3"/>
      <c r="E670" s="3"/>
      <c r="F670" s="57" t="s">
        <v>168</v>
      </c>
      <c r="G670" s="58">
        <v>246.4149286</v>
      </c>
      <c r="H670" s="58">
        <v>-24.44302485</v>
      </c>
      <c r="I670" s="6" t="s">
        <v>158</v>
      </c>
      <c r="J670" s="6" t="s">
        <v>169</v>
      </c>
      <c r="K670" s="58">
        <v>1.0</v>
      </c>
      <c r="L670" s="5"/>
      <c r="M670" s="59">
        <v>2.0</v>
      </c>
      <c r="N670" s="60">
        <v>216.43147779413</v>
      </c>
      <c r="O670" s="60">
        <v>-5.177</v>
      </c>
      <c r="P670" s="60">
        <v>1.019</v>
      </c>
      <c r="Q670" s="60">
        <v>-26.28</v>
      </c>
      <c r="R670" s="60">
        <v>0.641</v>
      </c>
      <c r="S670" s="60"/>
      <c r="T670" s="60"/>
      <c r="U670" s="5"/>
      <c r="V670" s="5"/>
      <c r="W670" s="61">
        <v>2.5</v>
      </c>
      <c r="X670" s="5"/>
      <c r="Y670" s="62" t="s">
        <v>160</v>
      </c>
      <c r="Z670" s="60">
        <v>16.78</v>
      </c>
      <c r="AA670" s="60"/>
      <c r="AB670" s="60">
        <v>11.893</v>
      </c>
      <c r="AC670" s="60">
        <v>0.024</v>
      </c>
      <c r="AD670" s="60">
        <v>10.047</v>
      </c>
      <c r="AE670" s="60">
        <v>0.024</v>
      </c>
      <c r="AF670" s="60">
        <v>8.954</v>
      </c>
      <c r="AG670" s="60">
        <v>0.021</v>
      </c>
      <c r="AH670" s="6"/>
      <c r="AI670" s="6"/>
      <c r="AJ670" s="63" t="s">
        <v>160</v>
      </c>
      <c r="AK670" s="64" t="s">
        <v>161</v>
      </c>
      <c r="AL670" s="64">
        <v>2004.0</v>
      </c>
      <c r="AM670" s="7"/>
      <c r="AN670" s="8"/>
      <c r="AO670" s="13"/>
      <c r="AP670" s="64" t="s">
        <v>415</v>
      </c>
      <c r="AQ670" s="65"/>
      <c r="AR670" s="66">
        <v>3548.133892</v>
      </c>
      <c r="AS670" s="7"/>
      <c r="AT670" s="67">
        <v>0.3630780548</v>
      </c>
      <c r="AU670" s="7"/>
      <c r="AV670" s="64">
        <v>0.7943282347</v>
      </c>
      <c r="AW670" s="7"/>
      <c r="AX670" s="73">
        <v>2.37</v>
      </c>
      <c r="AY670" s="7"/>
      <c r="AZ670" s="11" t="s">
        <v>162</v>
      </c>
      <c r="BA670" s="68" t="s">
        <v>1303</v>
      </c>
      <c r="BB670" s="11"/>
      <c r="BC670" s="11"/>
      <c r="BD670" s="11"/>
      <c r="BE670" s="11"/>
      <c r="BF670" s="11"/>
      <c r="BG670" s="11"/>
      <c r="BH670" s="11"/>
      <c r="BI670" s="12"/>
      <c r="BJ670" s="11"/>
      <c r="BK670" s="11"/>
      <c r="BL670" s="12"/>
      <c r="BM670" s="12"/>
      <c r="BN670" s="12"/>
      <c r="BO670" s="12"/>
      <c r="BP670" s="12"/>
      <c r="BQ670" s="12"/>
      <c r="BR670" s="12"/>
      <c r="BS670" s="12"/>
      <c r="BT670" s="12"/>
      <c r="BU670" s="11"/>
      <c r="BV670" s="11"/>
      <c r="BW670" s="11"/>
      <c r="BX670" s="11"/>
      <c r="BY670" s="11"/>
      <c r="BZ670" s="68">
        <v>-3.9</v>
      </c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2"/>
      <c r="DG670" s="12"/>
      <c r="DH670" s="12"/>
      <c r="DI670" s="12"/>
      <c r="DJ670" s="12"/>
      <c r="DK670" s="12"/>
      <c r="DL670" s="12"/>
      <c r="DM670" s="11"/>
      <c r="DN670" s="11"/>
      <c r="DO670" s="11"/>
      <c r="DP670" s="11"/>
      <c r="DQ670" s="11"/>
      <c r="DR670" s="11"/>
      <c r="DS670" s="11"/>
      <c r="DT670" s="11"/>
      <c r="DU670" s="11"/>
      <c r="DV670" s="70">
        <v>-1.18</v>
      </c>
      <c r="DW670" s="10"/>
      <c r="DX670" s="71">
        <v>1.2E-8</v>
      </c>
      <c r="DY670" s="7"/>
      <c r="DZ670" s="64" t="s">
        <v>165</v>
      </c>
      <c r="EA670" s="72" t="s">
        <v>166</v>
      </c>
      <c r="EB670" s="13"/>
    </row>
    <row r="671">
      <c r="A671" s="55" t="s">
        <v>1405</v>
      </c>
      <c r="B671" s="55" t="s">
        <v>1405</v>
      </c>
      <c r="C671" s="4"/>
      <c r="D671" s="3"/>
      <c r="E671" s="57" t="s">
        <v>137</v>
      </c>
      <c r="F671" s="57" t="s">
        <v>168</v>
      </c>
      <c r="G671" s="58">
        <v>246.614743</v>
      </c>
      <c r="H671" s="58">
        <v>-24.698202</v>
      </c>
      <c r="I671" s="6" t="s">
        <v>158</v>
      </c>
      <c r="J671" s="6" t="s">
        <v>169</v>
      </c>
      <c r="K671" s="58">
        <v>1.0</v>
      </c>
      <c r="L671" s="5"/>
      <c r="M671" s="59"/>
      <c r="N671" s="60"/>
      <c r="O671" s="60"/>
      <c r="P671" s="60"/>
      <c r="Q671" s="60"/>
      <c r="R671" s="60"/>
      <c r="S671" s="60">
        <v>-3.67</v>
      </c>
      <c r="T671" s="60">
        <v>0.81</v>
      </c>
      <c r="U671" s="6"/>
      <c r="V671" s="5"/>
      <c r="W671" s="61">
        <v>4.6</v>
      </c>
      <c r="X671" s="5"/>
      <c r="Y671" s="62" t="s">
        <v>160</v>
      </c>
      <c r="Z671" s="60"/>
      <c r="AA671" s="60"/>
      <c r="AB671" s="60">
        <v>14.04</v>
      </c>
      <c r="AC671" s="60">
        <v>0.03</v>
      </c>
      <c r="AD671" s="60">
        <v>11.417</v>
      </c>
      <c r="AE671" s="60">
        <v>0.022</v>
      </c>
      <c r="AF671" s="60">
        <v>9.983</v>
      </c>
      <c r="AG671" s="60">
        <v>0.024</v>
      </c>
      <c r="AH671" s="6"/>
      <c r="AI671" s="6"/>
      <c r="AJ671" s="63" t="s">
        <v>160</v>
      </c>
      <c r="AK671" s="64" t="s">
        <v>161</v>
      </c>
      <c r="AL671" s="64">
        <v>2004.0</v>
      </c>
      <c r="AM671" s="7"/>
      <c r="AN671" s="8"/>
      <c r="AO671" s="13"/>
      <c r="AP671" s="13"/>
      <c r="AQ671" s="7"/>
      <c r="AR671" s="66">
        <v>3548.133892</v>
      </c>
      <c r="AS671" s="7"/>
      <c r="AT671" s="67">
        <v>0.3630780548</v>
      </c>
      <c r="AU671" s="7"/>
      <c r="AV671" s="64">
        <v>0.8128305162</v>
      </c>
      <c r="AW671" s="7"/>
      <c r="AX671" s="73">
        <v>2.39</v>
      </c>
      <c r="AY671" s="7"/>
      <c r="AZ671" s="11" t="s">
        <v>162</v>
      </c>
      <c r="BA671" s="68" t="s">
        <v>1303</v>
      </c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68" t="s">
        <v>170</v>
      </c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2"/>
      <c r="DK671" s="12"/>
      <c r="DL671" s="12"/>
      <c r="DM671" s="69"/>
      <c r="DN671" s="69"/>
      <c r="DO671" s="69"/>
      <c r="DP671" s="69"/>
      <c r="DQ671" s="11"/>
      <c r="DR671" s="69"/>
      <c r="DS671" s="69"/>
      <c r="DT671" s="69"/>
      <c r="DU671" s="69"/>
      <c r="DV671" s="70">
        <v>-1.97</v>
      </c>
      <c r="DW671" s="10"/>
      <c r="DX671" s="71">
        <v>1.95E-9</v>
      </c>
      <c r="DY671" s="7"/>
      <c r="DZ671" s="64" t="s">
        <v>165</v>
      </c>
      <c r="EA671" s="72" t="s">
        <v>166</v>
      </c>
      <c r="EB671" s="13"/>
    </row>
    <row r="672">
      <c r="A672" s="55" t="s">
        <v>1406</v>
      </c>
      <c r="B672" s="55" t="s">
        <v>1406</v>
      </c>
      <c r="C672" s="4"/>
      <c r="D672" s="3"/>
      <c r="E672" s="57" t="s">
        <v>137</v>
      </c>
      <c r="F672" s="57" t="s">
        <v>168</v>
      </c>
      <c r="G672" s="58">
        <v>246.8640796</v>
      </c>
      <c r="H672" s="58">
        <v>-24.52124267</v>
      </c>
      <c r="I672" s="6" t="s">
        <v>158</v>
      </c>
      <c r="J672" s="6" t="s">
        <v>169</v>
      </c>
      <c r="K672" s="58">
        <v>1.0</v>
      </c>
      <c r="L672" s="5"/>
      <c r="M672" s="59">
        <v>2.0</v>
      </c>
      <c r="N672" s="61">
        <v>183.577185027444</v>
      </c>
      <c r="O672" s="61">
        <v>-7.276</v>
      </c>
      <c r="P672" s="61">
        <v>1.14</v>
      </c>
      <c r="Q672" s="61">
        <v>-26.885</v>
      </c>
      <c r="R672" s="61">
        <v>0.79</v>
      </c>
      <c r="S672" s="60"/>
      <c r="T672" s="60"/>
      <c r="U672" s="5"/>
      <c r="V672" s="5"/>
      <c r="W672" s="61">
        <v>3.0</v>
      </c>
      <c r="X672" s="5"/>
      <c r="Y672" s="62" t="s">
        <v>160</v>
      </c>
      <c r="Z672" s="60"/>
      <c r="AA672" s="60"/>
      <c r="AB672" s="60">
        <v>12.353</v>
      </c>
      <c r="AC672" s="60">
        <v>0.026</v>
      </c>
      <c r="AD672" s="60">
        <v>10.383</v>
      </c>
      <c r="AE672" s="60">
        <v>0.023</v>
      </c>
      <c r="AF672" s="60">
        <v>9.316</v>
      </c>
      <c r="AG672" s="60">
        <v>0.019</v>
      </c>
      <c r="AH672" s="6"/>
      <c r="AI672" s="6"/>
      <c r="AJ672" s="63" t="s">
        <v>160</v>
      </c>
      <c r="AK672" s="64" t="s">
        <v>161</v>
      </c>
      <c r="AL672" s="64">
        <v>2004.0</v>
      </c>
      <c r="AM672" s="7"/>
      <c r="AN672" s="8"/>
      <c r="AO672" s="13"/>
      <c r="AP672" s="13"/>
      <c r="AQ672" s="7"/>
      <c r="AR672" s="66">
        <v>3548.133892</v>
      </c>
      <c r="AS672" s="7"/>
      <c r="AT672" s="67">
        <v>0.3715352291</v>
      </c>
      <c r="AU672" s="7"/>
      <c r="AV672" s="64">
        <v>0.8511380382</v>
      </c>
      <c r="AW672" s="7"/>
      <c r="AX672" s="73">
        <v>2.45</v>
      </c>
      <c r="AY672" s="7"/>
      <c r="AZ672" s="11" t="s">
        <v>162</v>
      </c>
      <c r="BA672" s="68" t="s">
        <v>1303</v>
      </c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68" t="s">
        <v>1334</v>
      </c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2"/>
      <c r="DK672" s="12"/>
      <c r="DL672" s="12"/>
      <c r="DM672" s="69"/>
      <c r="DN672" s="69"/>
      <c r="DO672" s="69"/>
      <c r="DP672" s="69"/>
      <c r="DQ672" s="11"/>
      <c r="DR672" s="69"/>
      <c r="DS672" s="69"/>
      <c r="DT672" s="69"/>
      <c r="DU672" s="69"/>
      <c r="DV672" s="70">
        <v>-2.35</v>
      </c>
      <c r="DW672" s="10"/>
      <c r="DX672" s="71">
        <v>7.94E-10</v>
      </c>
      <c r="DY672" s="7"/>
      <c r="DZ672" s="64" t="s">
        <v>165</v>
      </c>
      <c r="EA672" s="72" t="s">
        <v>166</v>
      </c>
      <c r="EB672" s="7"/>
    </row>
    <row r="673">
      <c r="A673" s="55" t="s">
        <v>1407</v>
      </c>
      <c r="B673" s="55" t="s">
        <v>1407</v>
      </c>
      <c r="C673" s="4"/>
      <c r="D673" s="3"/>
      <c r="E673" s="3"/>
      <c r="F673" s="57" t="s">
        <v>168</v>
      </c>
      <c r="G673" s="58">
        <v>246.7366004</v>
      </c>
      <c r="H673" s="58">
        <v>-24.23098416</v>
      </c>
      <c r="I673" s="6" t="s">
        <v>158</v>
      </c>
      <c r="J673" s="6" t="s">
        <v>169</v>
      </c>
      <c r="K673" s="58">
        <v>1.0</v>
      </c>
      <c r="L673" s="5"/>
      <c r="M673" s="59">
        <v>2.0</v>
      </c>
      <c r="N673" s="61">
        <v>133.895695253397</v>
      </c>
      <c r="O673" s="61">
        <v>-10.454</v>
      </c>
      <c r="P673" s="61">
        <v>0.454</v>
      </c>
      <c r="Q673" s="61">
        <v>-24.836</v>
      </c>
      <c r="R673" s="61">
        <v>0.299</v>
      </c>
      <c r="S673" s="60"/>
      <c r="T673" s="60"/>
      <c r="U673" s="5"/>
      <c r="V673" s="5"/>
      <c r="W673" s="61">
        <v>3.0</v>
      </c>
      <c r="X673" s="5"/>
      <c r="Y673" s="62" t="s">
        <v>160</v>
      </c>
      <c r="Z673" s="60">
        <v>18.46</v>
      </c>
      <c r="AA673" s="60"/>
      <c r="AB673" s="60">
        <v>12.257</v>
      </c>
      <c r="AC673" s="60">
        <v>0.022</v>
      </c>
      <c r="AD673" s="60">
        <v>10.311</v>
      </c>
      <c r="AE673" s="60">
        <v>0.022</v>
      </c>
      <c r="AF673" s="60">
        <v>9.251</v>
      </c>
      <c r="AG673" s="60">
        <v>0.019</v>
      </c>
      <c r="AH673" s="6"/>
      <c r="AI673" s="6"/>
      <c r="AJ673" s="63" t="s">
        <v>160</v>
      </c>
      <c r="AK673" s="64" t="s">
        <v>161</v>
      </c>
      <c r="AL673" s="64">
        <v>2004.0</v>
      </c>
      <c r="AM673" s="7"/>
      <c r="AN673" s="8"/>
      <c r="AO673" s="13"/>
      <c r="AP673" s="64" t="s">
        <v>434</v>
      </c>
      <c r="AQ673" s="65"/>
      <c r="AR673" s="66">
        <v>3630.780548</v>
      </c>
      <c r="AS673" s="7"/>
      <c r="AT673" s="67">
        <v>0.3801893963</v>
      </c>
      <c r="AU673" s="7"/>
      <c r="AV673" s="64">
        <v>0.87096359</v>
      </c>
      <c r="AW673" s="7"/>
      <c r="AX673" s="73">
        <v>2.37</v>
      </c>
      <c r="AY673" s="7"/>
      <c r="AZ673" s="11" t="s">
        <v>162</v>
      </c>
      <c r="BA673" s="68" t="s">
        <v>1303</v>
      </c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68">
        <v>-4.5</v>
      </c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70">
        <v>-1.04</v>
      </c>
      <c r="DW673" s="10"/>
      <c r="DX673" s="71">
        <v>1.62E-8</v>
      </c>
      <c r="DY673" s="7"/>
      <c r="DZ673" s="64" t="s">
        <v>165</v>
      </c>
      <c r="EA673" s="72" t="s">
        <v>166</v>
      </c>
      <c r="EB673" s="82" t="s">
        <v>1408</v>
      </c>
    </row>
    <row r="674">
      <c r="A674" s="55" t="s">
        <v>1409</v>
      </c>
      <c r="B674" s="55" t="s">
        <v>1409</v>
      </c>
      <c r="C674" s="4"/>
      <c r="D674" s="3"/>
      <c r="E674" s="3"/>
      <c r="F674" s="57" t="s">
        <v>168</v>
      </c>
      <c r="G674" s="58">
        <v>247.0697364</v>
      </c>
      <c r="H674" s="58">
        <v>-24.08734419</v>
      </c>
      <c r="I674" s="6" t="s">
        <v>158</v>
      </c>
      <c r="J674" s="6" t="s">
        <v>169</v>
      </c>
      <c r="K674" s="58">
        <v>1.0</v>
      </c>
      <c r="L674" s="5"/>
      <c r="M674" s="59">
        <v>2.0</v>
      </c>
      <c r="N674" s="61">
        <v>138.494564088359</v>
      </c>
      <c r="O674" s="61">
        <v>-7.2</v>
      </c>
      <c r="P674" s="61">
        <v>0.225</v>
      </c>
      <c r="Q674" s="61">
        <v>-24.625</v>
      </c>
      <c r="R674" s="61">
        <v>0.127</v>
      </c>
      <c r="S674" s="60"/>
      <c r="T674" s="60"/>
      <c r="U674" s="5"/>
      <c r="V674" s="5"/>
      <c r="W674" s="61">
        <v>1.8</v>
      </c>
      <c r="X674" s="5"/>
      <c r="Y674" s="62" t="s">
        <v>160</v>
      </c>
      <c r="Z674" s="60">
        <v>15.59</v>
      </c>
      <c r="AA674" s="60"/>
      <c r="AB674" s="60">
        <v>10.984</v>
      </c>
      <c r="AC674" s="60">
        <v>0.037</v>
      </c>
      <c r="AD674" s="60">
        <v>9.571</v>
      </c>
      <c r="AE674" s="60">
        <v>0.036</v>
      </c>
      <c r="AF674" s="60">
        <v>8.86</v>
      </c>
      <c r="AG674" s="60">
        <v>0.037</v>
      </c>
      <c r="AH674" s="6"/>
      <c r="AI674" s="6"/>
      <c r="AJ674" s="63" t="s">
        <v>160</v>
      </c>
      <c r="AK674" s="64" t="s">
        <v>161</v>
      </c>
      <c r="AL674" s="64">
        <v>2004.0</v>
      </c>
      <c r="AM674" s="7"/>
      <c r="AN674" s="8"/>
      <c r="AO674" s="13"/>
      <c r="AP674" s="64" t="s">
        <v>1410</v>
      </c>
      <c r="AQ674" s="65"/>
      <c r="AR674" s="66">
        <v>3630.780548</v>
      </c>
      <c r="AS674" s="7"/>
      <c r="AT674" s="67">
        <v>0.389045145</v>
      </c>
      <c r="AU674" s="7"/>
      <c r="AV674" s="64">
        <v>0.9120108394</v>
      </c>
      <c r="AW674" s="7"/>
      <c r="AX674" s="73">
        <v>2.42</v>
      </c>
      <c r="AY674" s="7"/>
      <c r="AZ674" s="11" t="s">
        <v>162</v>
      </c>
      <c r="BA674" s="68" t="s">
        <v>1303</v>
      </c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68">
        <v>-0.8</v>
      </c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2"/>
      <c r="DK674" s="12"/>
      <c r="DL674" s="12"/>
      <c r="DM674" s="69"/>
      <c r="DN674" s="69"/>
      <c r="DO674" s="69"/>
      <c r="DP674" s="69"/>
      <c r="DQ674" s="11"/>
      <c r="DR674" s="69"/>
      <c r="DS674" s="69"/>
      <c r="DT674" s="69"/>
      <c r="DU674" s="69"/>
      <c r="DV674" s="70">
        <v>-2.03</v>
      </c>
      <c r="DW674" s="10"/>
      <c r="DX674" s="71">
        <v>1.62E-9</v>
      </c>
      <c r="DY674" s="7"/>
      <c r="DZ674" s="64" t="s">
        <v>165</v>
      </c>
      <c r="EA674" s="72" t="s">
        <v>166</v>
      </c>
      <c r="EB674" s="7"/>
    </row>
    <row r="675">
      <c r="A675" s="55" t="s">
        <v>1411</v>
      </c>
      <c r="B675" s="55" t="s">
        <v>1412</v>
      </c>
      <c r="C675" s="4"/>
      <c r="D675" s="3"/>
      <c r="E675" s="57" t="s">
        <v>137</v>
      </c>
      <c r="F675" s="57" t="s">
        <v>168</v>
      </c>
      <c r="G675" s="58">
        <v>246.5659088</v>
      </c>
      <c r="H675" s="58">
        <v>-24.32293085</v>
      </c>
      <c r="I675" s="6" t="s">
        <v>158</v>
      </c>
      <c r="J675" s="6" t="s">
        <v>159</v>
      </c>
      <c r="K675" s="58">
        <v>1.0</v>
      </c>
      <c r="L675" s="5"/>
      <c r="M675" s="59"/>
      <c r="N675" s="60"/>
      <c r="O675" s="60"/>
      <c r="P675" s="60"/>
      <c r="Q675" s="60"/>
      <c r="R675" s="60"/>
      <c r="S675" s="60"/>
      <c r="T675" s="60"/>
      <c r="U675" s="5"/>
      <c r="V675" s="5"/>
      <c r="W675" s="61">
        <v>4.8</v>
      </c>
      <c r="X675" s="5"/>
      <c r="Y675" s="62" t="s">
        <v>160</v>
      </c>
      <c r="Z675" s="60"/>
      <c r="AA675" s="60"/>
      <c r="AB675" s="60">
        <v>14.029</v>
      </c>
      <c r="AC675" s="60">
        <v>0.032</v>
      </c>
      <c r="AD675" s="60">
        <v>11.403</v>
      </c>
      <c r="AE675" s="60">
        <v>0.031</v>
      </c>
      <c r="AF675" s="60">
        <v>10.031</v>
      </c>
      <c r="AG675" s="60">
        <v>0.029</v>
      </c>
      <c r="AH675" s="6"/>
      <c r="AI675" s="6"/>
      <c r="AJ675" s="63" t="s">
        <v>160</v>
      </c>
      <c r="AK675" s="64" t="s">
        <v>161</v>
      </c>
      <c r="AL675" s="64">
        <v>2004.0</v>
      </c>
      <c r="AM675" s="7"/>
      <c r="AN675" s="8"/>
      <c r="AO675" s="13"/>
      <c r="AP675" s="7"/>
      <c r="AQ675" s="65"/>
      <c r="AR675" s="66">
        <v>3630.780548</v>
      </c>
      <c r="AS675" s="7"/>
      <c r="AT675" s="67">
        <v>0.3981071706</v>
      </c>
      <c r="AU675" s="7"/>
      <c r="AV675" s="64">
        <v>0.954992586</v>
      </c>
      <c r="AW675" s="7"/>
      <c r="AX675" s="7"/>
      <c r="AY675" s="7"/>
      <c r="AZ675" s="11" t="s">
        <v>162</v>
      </c>
      <c r="BA675" s="68" t="s">
        <v>1303</v>
      </c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68" t="s">
        <v>1334</v>
      </c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70">
        <v>-2.29</v>
      </c>
      <c r="DW675" s="10"/>
      <c r="DX675" s="71">
        <v>8.71E-10</v>
      </c>
      <c r="DY675" s="7"/>
      <c r="DZ675" s="64" t="s">
        <v>165</v>
      </c>
      <c r="EA675" s="72" t="s">
        <v>166</v>
      </c>
      <c r="EB675" s="7"/>
    </row>
    <row r="676">
      <c r="A676" s="55" t="s">
        <v>1413</v>
      </c>
      <c r="B676" s="55" t="s">
        <v>1414</v>
      </c>
      <c r="C676" s="4"/>
      <c r="D676" s="3"/>
      <c r="E676" s="57" t="s">
        <v>137</v>
      </c>
      <c r="F676" s="57" t="s">
        <v>168</v>
      </c>
      <c r="G676" s="58">
        <v>246.531832</v>
      </c>
      <c r="H676" s="58">
        <v>-24.461491</v>
      </c>
      <c r="I676" s="6" t="s">
        <v>158</v>
      </c>
      <c r="J676" s="6" t="s">
        <v>159</v>
      </c>
      <c r="K676" s="58">
        <v>1.0</v>
      </c>
      <c r="L676" s="5"/>
      <c r="M676" s="59"/>
      <c r="N676" s="60"/>
      <c r="O676" s="60"/>
      <c r="P676" s="60"/>
      <c r="Q676" s="60"/>
      <c r="R676" s="60"/>
      <c r="S676" s="60"/>
      <c r="T676" s="60"/>
      <c r="U676" s="5"/>
      <c r="V676" s="5"/>
      <c r="W676" s="61">
        <v>5.4</v>
      </c>
      <c r="X676" s="5"/>
      <c r="Y676" s="62" t="s">
        <v>160</v>
      </c>
      <c r="Z676" s="60"/>
      <c r="AA676" s="60"/>
      <c r="AB676" s="60">
        <v>14.68</v>
      </c>
      <c r="AC676" s="60">
        <v>0.033</v>
      </c>
      <c r="AD676" s="60">
        <v>11.848</v>
      </c>
      <c r="AE676" s="60">
        <v>0.024</v>
      </c>
      <c r="AF676" s="60">
        <v>10.406</v>
      </c>
      <c r="AG676" s="60">
        <v>0.021</v>
      </c>
      <c r="AH676" s="6"/>
      <c r="AI676" s="6"/>
      <c r="AJ676" s="63" t="s">
        <v>160</v>
      </c>
      <c r="AK676" s="64" t="s">
        <v>161</v>
      </c>
      <c r="AL676" s="64">
        <v>2004.0</v>
      </c>
      <c r="AM676" s="7"/>
      <c r="AN676" s="8"/>
      <c r="AO676" s="13"/>
      <c r="AP676" s="7"/>
      <c r="AQ676" s="65"/>
      <c r="AR676" s="66">
        <v>3630.780548</v>
      </c>
      <c r="AS676" s="7"/>
      <c r="AT676" s="67">
        <v>0.3981071706</v>
      </c>
      <c r="AU676" s="7"/>
      <c r="AV676" s="64">
        <v>0.9332543008</v>
      </c>
      <c r="AW676" s="7"/>
      <c r="AX676" s="7"/>
      <c r="AY676" s="7"/>
      <c r="AZ676" s="11" t="s">
        <v>162</v>
      </c>
      <c r="BA676" s="68" t="s">
        <v>1303</v>
      </c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68" t="s">
        <v>1334</v>
      </c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2"/>
      <c r="DK676" s="12"/>
      <c r="DL676" s="12"/>
      <c r="DM676" s="69"/>
      <c r="DN676" s="69"/>
      <c r="DO676" s="69"/>
      <c r="DP676" s="69"/>
      <c r="DQ676" s="11"/>
      <c r="DR676" s="69"/>
      <c r="DS676" s="69"/>
      <c r="DT676" s="69"/>
      <c r="DU676" s="69"/>
      <c r="DV676" s="70">
        <v>-2.31</v>
      </c>
      <c r="DW676" s="10"/>
      <c r="DX676" s="71">
        <v>8.51E-10</v>
      </c>
      <c r="DY676" s="7"/>
      <c r="DZ676" s="64" t="s">
        <v>165</v>
      </c>
      <c r="EA676" s="72" t="s">
        <v>166</v>
      </c>
      <c r="EB676" s="7"/>
    </row>
    <row r="677">
      <c r="A677" s="55" t="s">
        <v>1407</v>
      </c>
      <c r="B677" s="55" t="s">
        <v>1407</v>
      </c>
      <c r="C677" s="4"/>
      <c r="D677" s="3"/>
      <c r="E677" s="3"/>
      <c r="F677" s="57" t="s">
        <v>168</v>
      </c>
      <c r="G677" s="58">
        <v>246.7366004</v>
      </c>
      <c r="H677" s="58">
        <v>-24.23098416</v>
      </c>
      <c r="I677" s="6" t="s">
        <v>158</v>
      </c>
      <c r="J677" s="6" t="s">
        <v>169</v>
      </c>
      <c r="K677" s="61">
        <v>1.0</v>
      </c>
      <c r="L677" s="5"/>
      <c r="M677" s="60">
        <v>2.0</v>
      </c>
      <c r="N677" s="58">
        <v>133.8956953</v>
      </c>
      <c r="O677" s="59">
        <v>-10.454</v>
      </c>
      <c r="P677" s="59">
        <v>0.454</v>
      </c>
      <c r="Q677" s="59">
        <v>-24.836</v>
      </c>
      <c r="R677" s="59">
        <v>0.299</v>
      </c>
      <c r="S677" s="5"/>
      <c r="T677" s="5"/>
      <c r="U677" s="6">
        <f t="shared" ref="U677:U678" si="38">W677/0.243</f>
        <v>12.34567901</v>
      </c>
      <c r="V677" s="6">
        <f t="shared" ref="V677:V678" si="39">U677*SQRT((X677/W677)^2 + (0.004/0.243)^2)</f>
        <v>4.120241086</v>
      </c>
      <c r="W677" s="60">
        <v>3.0</v>
      </c>
      <c r="X677" s="60">
        <v>1.0</v>
      </c>
      <c r="Y677" s="83" t="s">
        <v>1308</v>
      </c>
      <c r="Z677" s="58">
        <v>18.46</v>
      </c>
      <c r="AA677" s="6"/>
      <c r="AB677" s="59">
        <v>12.26</v>
      </c>
      <c r="AC677" s="60">
        <v>0.022</v>
      </c>
      <c r="AD677" s="61">
        <v>10.31</v>
      </c>
      <c r="AE677" s="61">
        <v>0.022</v>
      </c>
      <c r="AF677" s="59">
        <v>9.25</v>
      </c>
      <c r="AG677" s="60">
        <v>0.019</v>
      </c>
      <c r="AH677" s="6"/>
      <c r="AI677" s="6"/>
      <c r="AJ677" s="76" t="s">
        <v>1309</v>
      </c>
      <c r="AK677" s="64" t="s">
        <v>1310</v>
      </c>
      <c r="AL677" s="64">
        <v>2005.0</v>
      </c>
      <c r="AM677" s="13"/>
      <c r="AN677" s="77">
        <v>150.0</v>
      </c>
      <c r="AO677" s="13"/>
      <c r="AP677" s="13" t="s">
        <v>1401</v>
      </c>
      <c r="AQ677" s="97">
        <v>0.5</v>
      </c>
      <c r="AR677" s="78">
        <v>3900.0</v>
      </c>
      <c r="AS677" s="64">
        <v>150.0</v>
      </c>
      <c r="AT677" s="79">
        <v>0.4</v>
      </c>
      <c r="AU677" s="7"/>
      <c r="AV677" s="64">
        <v>0.81</v>
      </c>
      <c r="AW677" s="7"/>
      <c r="AX677" s="70"/>
      <c r="AY677" s="7"/>
      <c r="AZ677" s="11" t="s">
        <v>162</v>
      </c>
      <c r="BA677" s="68" t="s">
        <v>1303</v>
      </c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68">
        <v>2.1</v>
      </c>
      <c r="CA677" s="68">
        <v>0.2</v>
      </c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68">
        <v>0.9</v>
      </c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69"/>
      <c r="DN677" s="69"/>
      <c r="DO677" s="69"/>
      <c r="DP677" s="69"/>
      <c r="DQ677" s="11"/>
      <c r="DR677" s="69"/>
      <c r="DS677" s="69"/>
      <c r="DT677" s="69"/>
      <c r="DU677" s="69"/>
      <c r="DV677" s="7"/>
      <c r="DW677" s="10"/>
      <c r="DX677" s="81">
        <v>4.57E-9</v>
      </c>
      <c r="DY677" s="64"/>
      <c r="DZ677" s="64" t="s">
        <v>1311</v>
      </c>
      <c r="EA677" s="13"/>
      <c r="EB677" s="13"/>
    </row>
    <row r="678">
      <c r="A678" s="55" t="s">
        <v>1394</v>
      </c>
      <c r="B678" s="55" t="s">
        <v>1394</v>
      </c>
      <c r="C678" s="3"/>
      <c r="D678" s="3"/>
      <c r="E678" s="3"/>
      <c r="F678" s="57" t="s">
        <v>168</v>
      </c>
      <c r="G678" s="58">
        <v>246.4042</v>
      </c>
      <c r="H678" s="58">
        <v>-24.2617</v>
      </c>
      <c r="I678" s="6" t="s">
        <v>158</v>
      </c>
      <c r="J678" s="6" t="s">
        <v>169</v>
      </c>
      <c r="K678" s="58">
        <v>1.0</v>
      </c>
      <c r="L678" s="6"/>
      <c r="M678" s="60">
        <v>2.0</v>
      </c>
      <c r="N678" s="58">
        <v>143.6967424</v>
      </c>
      <c r="O678" s="58">
        <v>-5.497</v>
      </c>
      <c r="P678" s="58">
        <v>1.268</v>
      </c>
      <c r="Q678" s="58">
        <v>-25.176</v>
      </c>
      <c r="R678" s="58">
        <v>0.771</v>
      </c>
      <c r="S678" s="6"/>
      <c r="T678" s="186"/>
      <c r="U678" s="6">
        <f t="shared" si="38"/>
        <v>12.75720165</v>
      </c>
      <c r="V678" s="6">
        <f t="shared" si="39"/>
        <v>4.120580753</v>
      </c>
      <c r="W678" s="60">
        <v>3.1</v>
      </c>
      <c r="X678" s="60">
        <v>1.0</v>
      </c>
      <c r="Y678" s="83" t="s">
        <v>1308</v>
      </c>
      <c r="Z678" s="6"/>
      <c r="AA678" s="6"/>
      <c r="AB678" s="58">
        <v>12.84</v>
      </c>
      <c r="AC678" s="60">
        <v>0.027</v>
      </c>
      <c r="AD678" s="61">
        <v>10.753</v>
      </c>
      <c r="AE678" s="61">
        <v>0.025</v>
      </c>
      <c r="AF678" s="61">
        <v>9.545</v>
      </c>
      <c r="AG678" s="60">
        <v>0.025</v>
      </c>
      <c r="AH678" s="132"/>
      <c r="AI678" s="6"/>
      <c r="AJ678" s="76" t="s">
        <v>1309</v>
      </c>
      <c r="AK678" s="64" t="s">
        <v>1310</v>
      </c>
      <c r="AL678" s="64">
        <v>2005.0</v>
      </c>
      <c r="AM678" s="13"/>
      <c r="AN678" s="77">
        <v>150.0</v>
      </c>
      <c r="AO678" s="7"/>
      <c r="AP678" s="13" t="s">
        <v>427</v>
      </c>
      <c r="AQ678" s="97">
        <v>2.0</v>
      </c>
      <c r="AR678" s="78">
        <v>3850.0</v>
      </c>
      <c r="AS678" s="64">
        <v>150.0</v>
      </c>
      <c r="AT678" s="79">
        <v>0.4</v>
      </c>
      <c r="AU678" s="7"/>
      <c r="AV678" s="64">
        <v>0.55</v>
      </c>
      <c r="AW678" s="114"/>
      <c r="AX678" s="81"/>
      <c r="AY678" s="64"/>
      <c r="AZ678" s="11" t="s">
        <v>162</v>
      </c>
      <c r="BA678" s="68" t="s">
        <v>1303</v>
      </c>
      <c r="BB678" s="69"/>
      <c r="BC678" s="11"/>
      <c r="BD678" s="12"/>
      <c r="BE678" s="12"/>
      <c r="BF678" s="11"/>
      <c r="BG678" s="12"/>
      <c r="BH678" s="12"/>
      <c r="BI678" s="69"/>
      <c r="BJ678" s="12"/>
      <c r="BK678" s="12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8">
        <v>1.9</v>
      </c>
      <c r="CA678" s="68">
        <v>0.2</v>
      </c>
      <c r="CB678" s="69"/>
      <c r="CC678" s="11"/>
      <c r="CD678" s="11"/>
      <c r="CE678" s="11"/>
      <c r="CF678" s="11"/>
      <c r="CG678" s="11"/>
      <c r="CH678" s="69"/>
      <c r="CI678" s="69"/>
      <c r="CJ678" s="11"/>
      <c r="CK678" s="11"/>
      <c r="CL678" s="68">
        <v>2.1</v>
      </c>
      <c r="CM678" s="68">
        <v>0.3</v>
      </c>
      <c r="CN678" s="69"/>
      <c r="CO678" s="69"/>
      <c r="CP678" s="69"/>
      <c r="CQ678" s="69"/>
      <c r="CR678" s="69"/>
      <c r="CS678" s="69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  <c r="DS678" s="69"/>
      <c r="DT678" s="69"/>
      <c r="DU678" s="69"/>
      <c r="DV678" s="92"/>
      <c r="DW678" s="10"/>
      <c r="DX678" s="81">
        <v>1.86E-9</v>
      </c>
      <c r="DY678" s="64"/>
      <c r="DZ678" s="64" t="s">
        <v>1311</v>
      </c>
      <c r="EA678" s="7"/>
      <c r="EB678" s="7"/>
    </row>
    <row r="679">
      <c r="A679" s="55" t="s">
        <v>1415</v>
      </c>
      <c r="B679" s="55" t="s">
        <v>1415</v>
      </c>
      <c r="C679" s="4"/>
      <c r="D679" s="3"/>
      <c r="E679" s="57" t="s">
        <v>137</v>
      </c>
      <c r="F679" s="57" t="s">
        <v>168</v>
      </c>
      <c r="G679" s="58">
        <v>246.886877</v>
      </c>
      <c r="H679" s="58">
        <v>-24.543009</v>
      </c>
      <c r="I679" s="6" t="s">
        <v>158</v>
      </c>
      <c r="J679" s="6" t="s">
        <v>169</v>
      </c>
      <c r="K679" s="58">
        <v>1.0</v>
      </c>
      <c r="L679" s="5"/>
      <c r="M679" s="59"/>
      <c r="N679" s="60"/>
      <c r="O679" s="60">
        <v>-0.2</v>
      </c>
      <c r="P679" s="60">
        <v>2.2</v>
      </c>
      <c r="Q679" s="60">
        <v>-27.8</v>
      </c>
      <c r="R679" s="60">
        <v>2.4</v>
      </c>
      <c r="S679" s="60"/>
      <c r="T679" s="60"/>
      <c r="U679" s="5"/>
      <c r="V679" s="5"/>
      <c r="W679" s="61">
        <v>6.9</v>
      </c>
      <c r="X679" s="5"/>
      <c r="Y679" s="62" t="s">
        <v>160</v>
      </c>
      <c r="Z679" s="60"/>
      <c r="AA679" s="60"/>
      <c r="AB679" s="60">
        <v>16.189</v>
      </c>
      <c r="AC679" s="60">
        <v>0.092</v>
      </c>
      <c r="AD679" s="60">
        <v>12.744</v>
      </c>
      <c r="AE679" s="60">
        <v>0.026</v>
      </c>
      <c r="AF679" s="60">
        <v>10.962</v>
      </c>
      <c r="AG679" s="60">
        <v>0.024</v>
      </c>
      <c r="AH679" s="6"/>
      <c r="AI679" s="6"/>
      <c r="AJ679" s="63" t="s">
        <v>160</v>
      </c>
      <c r="AK679" s="64" t="s">
        <v>161</v>
      </c>
      <c r="AL679" s="64">
        <v>2004.0</v>
      </c>
      <c r="AM679" s="7"/>
      <c r="AN679" s="8"/>
      <c r="AO679" s="13"/>
      <c r="AP679" s="13"/>
      <c r="AQ679" s="7"/>
      <c r="AR679" s="66">
        <v>3630.780548</v>
      </c>
      <c r="AS679" s="7"/>
      <c r="AT679" s="67">
        <v>0.4073802778</v>
      </c>
      <c r="AU679" s="7"/>
      <c r="AV679" s="64">
        <v>0.977237221</v>
      </c>
      <c r="AW679" s="7"/>
      <c r="AX679" s="73">
        <v>2.51</v>
      </c>
      <c r="AY679" s="7"/>
      <c r="AZ679" s="11" t="s">
        <v>162</v>
      </c>
      <c r="BA679" s="68" t="s">
        <v>1303</v>
      </c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68" t="s">
        <v>170</v>
      </c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2"/>
      <c r="DK679" s="12"/>
      <c r="DL679" s="12"/>
      <c r="DM679" s="69"/>
      <c r="DN679" s="69"/>
      <c r="DO679" s="69"/>
      <c r="DP679" s="69"/>
      <c r="DQ679" s="11"/>
      <c r="DR679" s="69"/>
      <c r="DS679" s="69"/>
      <c r="DT679" s="69"/>
      <c r="DU679" s="69"/>
      <c r="DV679" s="70">
        <v>-1.88</v>
      </c>
      <c r="DW679" s="10"/>
      <c r="DX679" s="71">
        <v>2.24E-9</v>
      </c>
      <c r="DY679" s="7"/>
      <c r="DZ679" s="64" t="s">
        <v>165</v>
      </c>
      <c r="EA679" s="72" t="s">
        <v>166</v>
      </c>
      <c r="EB679" s="7"/>
    </row>
    <row r="680">
      <c r="A680" s="55" t="s">
        <v>1416</v>
      </c>
      <c r="B680" s="55" t="s">
        <v>1416</v>
      </c>
      <c r="C680" s="4"/>
      <c r="D680" s="4"/>
      <c r="E680" s="4"/>
      <c r="F680" s="57" t="s">
        <v>168</v>
      </c>
      <c r="G680" s="58">
        <v>247.1886473</v>
      </c>
      <c r="H680" s="58">
        <v>-24.47189729</v>
      </c>
      <c r="I680" s="6" t="s">
        <v>158</v>
      </c>
      <c r="J680" s="6" t="s">
        <v>169</v>
      </c>
      <c r="K680" s="58">
        <v>1.0</v>
      </c>
      <c r="L680" s="5"/>
      <c r="M680" s="59">
        <v>2.0</v>
      </c>
      <c r="N680" s="61">
        <v>81.9934241273849</v>
      </c>
      <c r="O680" s="61">
        <v>-7.79</v>
      </c>
      <c r="P680" s="61">
        <v>1.952</v>
      </c>
      <c r="Q680" s="61">
        <v>-34.545</v>
      </c>
      <c r="R680" s="61">
        <v>1.847</v>
      </c>
      <c r="S680" s="60"/>
      <c r="T680" s="60"/>
      <c r="U680" s="5"/>
      <c r="V680" s="5"/>
      <c r="W680" s="61">
        <v>0.2</v>
      </c>
      <c r="X680" s="5"/>
      <c r="Y680" s="62" t="s">
        <v>160</v>
      </c>
      <c r="Z680" s="60">
        <v>12.4</v>
      </c>
      <c r="AA680" s="60"/>
      <c r="AB680" s="60">
        <v>9.21</v>
      </c>
      <c r="AC680" s="60">
        <v>0.03</v>
      </c>
      <c r="AD680" s="60">
        <v>8.412</v>
      </c>
      <c r="AE680" s="60">
        <v>0.038</v>
      </c>
      <c r="AF680" s="60">
        <v>7.997</v>
      </c>
      <c r="AG680" s="60">
        <v>0.027</v>
      </c>
      <c r="AH680" s="6"/>
      <c r="AI680" s="6"/>
      <c r="AJ680" s="63" t="s">
        <v>160</v>
      </c>
      <c r="AK680" s="64" t="s">
        <v>161</v>
      </c>
      <c r="AL680" s="64">
        <v>2004.0</v>
      </c>
      <c r="AM680" s="7"/>
      <c r="AN680" s="8"/>
      <c r="AO680" s="13"/>
      <c r="AP680" s="64" t="s">
        <v>1417</v>
      </c>
      <c r="AQ680" s="65"/>
      <c r="AR680" s="66">
        <v>3715.352291</v>
      </c>
      <c r="AS680" s="7"/>
      <c r="AT680" s="67">
        <v>0.4168693835</v>
      </c>
      <c r="AU680" s="7"/>
      <c r="AV680" s="64">
        <v>1.047128548</v>
      </c>
      <c r="AW680" s="7"/>
      <c r="AX680" s="73">
        <v>2.48</v>
      </c>
      <c r="AY680" s="7"/>
      <c r="AZ680" s="11" t="s">
        <v>162</v>
      </c>
      <c r="BA680" s="68" t="s">
        <v>1303</v>
      </c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68">
        <v>-1.7</v>
      </c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2"/>
      <c r="DK680" s="12"/>
      <c r="DL680" s="12"/>
      <c r="DM680" s="69"/>
      <c r="DN680" s="69"/>
      <c r="DO680" s="69"/>
      <c r="DP680" s="69"/>
      <c r="DQ680" s="11"/>
      <c r="DR680" s="69"/>
      <c r="DS680" s="69"/>
      <c r="DT680" s="69"/>
      <c r="DU680" s="69"/>
      <c r="DV680" s="70">
        <v>-1.53</v>
      </c>
      <c r="DW680" s="10"/>
      <c r="DX680" s="71">
        <v>4.9E-9</v>
      </c>
      <c r="DY680" s="7"/>
      <c r="DZ680" s="64" t="s">
        <v>165</v>
      </c>
      <c r="EA680" s="72" t="s">
        <v>166</v>
      </c>
      <c r="EB680" s="7"/>
    </row>
    <row r="681">
      <c r="A681" s="55" t="s">
        <v>1418</v>
      </c>
      <c r="B681" s="55" t="s">
        <v>1418</v>
      </c>
      <c r="C681" s="4"/>
      <c r="D681" s="3"/>
      <c r="E681" s="57" t="s">
        <v>137</v>
      </c>
      <c r="F681" s="57" t="s">
        <v>168</v>
      </c>
      <c r="G681" s="58">
        <v>246.6823558</v>
      </c>
      <c r="H681" s="58">
        <v>-24.27591307</v>
      </c>
      <c r="I681" s="6" t="s">
        <v>158</v>
      </c>
      <c r="J681" s="6" t="s">
        <v>159</v>
      </c>
      <c r="K681" s="58">
        <v>1.0</v>
      </c>
      <c r="L681" s="5"/>
      <c r="M681" s="59">
        <v>2.0</v>
      </c>
      <c r="N681" s="61">
        <v>150.679564837416</v>
      </c>
      <c r="O681" s="61">
        <v>-9.741</v>
      </c>
      <c r="P681" s="61">
        <v>1.106</v>
      </c>
      <c r="Q681" s="61">
        <v>-24.773</v>
      </c>
      <c r="R681" s="61">
        <v>0.693</v>
      </c>
      <c r="S681" s="60"/>
      <c r="T681" s="60"/>
      <c r="U681" s="5"/>
      <c r="V681" s="5"/>
      <c r="W681" s="61">
        <v>3.8</v>
      </c>
      <c r="X681" s="5"/>
      <c r="Y681" s="62" t="s">
        <v>160</v>
      </c>
      <c r="Z681" s="60"/>
      <c r="AA681" s="60"/>
      <c r="AB681" s="60">
        <v>12.985</v>
      </c>
      <c r="AC681" s="60">
        <v>0.029</v>
      </c>
      <c r="AD681" s="60">
        <v>10.755</v>
      </c>
      <c r="AE681" s="60">
        <v>0.029</v>
      </c>
      <c r="AF681" s="60">
        <v>9.604</v>
      </c>
      <c r="AG681" s="60">
        <v>0.026</v>
      </c>
      <c r="AH681" s="6"/>
      <c r="AI681" s="6"/>
      <c r="AJ681" s="63" t="s">
        <v>160</v>
      </c>
      <c r="AK681" s="64" t="s">
        <v>161</v>
      </c>
      <c r="AL681" s="64">
        <v>2004.0</v>
      </c>
      <c r="AM681" s="7"/>
      <c r="AN681" s="8"/>
      <c r="AO681" s="13"/>
      <c r="AP681" s="7"/>
      <c r="AQ681" s="65"/>
      <c r="AR681" s="66">
        <v>3630.780548</v>
      </c>
      <c r="AS681" s="7"/>
      <c r="AT681" s="67">
        <v>0.4168693835</v>
      </c>
      <c r="AU681" s="7"/>
      <c r="AV681" s="64">
        <v>1.0</v>
      </c>
      <c r="AW681" s="7"/>
      <c r="AX681" s="73">
        <v>2.53</v>
      </c>
      <c r="AY681" s="7"/>
      <c r="AZ681" s="11" t="s">
        <v>162</v>
      </c>
      <c r="BA681" s="68" t="s">
        <v>1303</v>
      </c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68" t="s">
        <v>172</v>
      </c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2"/>
      <c r="DK681" s="12"/>
      <c r="DL681" s="12"/>
      <c r="DM681" s="69"/>
      <c r="DN681" s="69"/>
      <c r="DO681" s="69"/>
      <c r="DP681" s="69"/>
      <c r="DQ681" s="11"/>
      <c r="DR681" s="69"/>
      <c r="DS681" s="69"/>
      <c r="DT681" s="69"/>
      <c r="DU681" s="69"/>
      <c r="DV681" s="70">
        <v>-2.07</v>
      </c>
      <c r="DW681" s="10"/>
      <c r="DX681" s="71">
        <v>1.45E-9</v>
      </c>
      <c r="DY681" s="7"/>
      <c r="DZ681" s="64" t="s">
        <v>165</v>
      </c>
      <c r="EA681" s="72" t="s">
        <v>166</v>
      </c>
      <c r="EB681" s="7"/>
    </row>
    <row r="682">
      <c r="A682" s="55" t="s">
        <v>1419</v>
      </c>
      <c r="B682" s="55" t="s">
        <v>1419</v>
      </c>
      <c r="C682" s="4"/>
      <c r="D682" s="3"/>
      <c r="E682" s="57" t="s">
        <v>137</v>
      </c>
      <c r="F682" s="57" t="s">
        <v>168</v>
      </c>
      <c r="G682" s="58">
        <v>246.726849</v>
      </c>
      <c r="H682" s="58">
        <v>-24.439089</v>
      </c>
      <c r="I682" s="6" t="s">
        <v>158</v>
      </c>
      <c r="J682" s="6" t="s">
        <v>169</v>
      </c>
      <c r="K682" s="58">
        <v>1.0</v>
      </c>
      <c r="L682" s="5"/>
      <c r="M682" s="59"/>
      <c r="N682" s="60"/>
      <c r="O682" s="60"/>
      <c r="P682" s="60"/>
      <c r="Q682" s="60"/>
      <c r="R682" s="60"/>
      <c r="S682" s="60"/>
      <c r="T682" s="60"/>
      <c r="U682" s="5"/>
      <c r="V682" s="5"/>
      <c r="W682" s="61">
        <v>5.5</v>
      </c>
      <c r="X682" s="5"/>
      <c r="Y682" s="62" t="s">
        <v>160</v>
      </c>
      <c r="Z682" s="60"/>
      <c r="AA682" s="60"/>
      <c r="AB682" s="60">
        <v>14.698</v>
      </c>
      <c r="AC682" s="60">
        <v>0.033</v>
      </c>
      <c r="AD682" s="60">
        <v>11.69</v>
      </c>
      <c r="AE682" s="60">
        <v>0.026</v>
      </c>
      <c r="AF682" s="60">
        <v>10.014</v>
      </c>
      <c r="AG682" s="60">
        <v>0.019</v>
      </c>
      <c r="AH682" s="6"/>
      <c r="AI682" s="6"/>
      <c r="AJ682" s="63" t="s">
        <v>160</v>
      </c>
      <c r="AK682" s="64" t="s">
        <v>1302</v>
      </c>
      <c r="AL682" s="64">
        <v>2004.0</v>
      </c>
      <c r="AM682" s="7"/>
      <c r="AN682" s="8"/>
      <c r="AO682" s="13"/>
      <c r="AP682" s="13"/>
      <c r="AQ682" s="7"/>
      <c r="AR682" s="66">
        <v>3715.352291</v>
      </c>
      <c r="AS682" s="7"/>
      <c r="AT682" s="67">
        <v>0.4265795188</v>
      </c>
      <c r="AU682" s="7"/>
      <c r="AV682" s="64">
        <v>1.047128548</v>
      </c>
      <c r="AW682" s="7"/>
      <c r="AX682" s="73">
        <v>2.48</v>
      </c>
      <c r="AY682" s="7"/>
      <c r="AZ682" s="11" t="s">
        <v>162</v>
      </c>
      <c r="BA682" s="68" t="s">
        <v>1303</v>
      </c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68" t="s">
        <v>1348</v>
      </c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2"/>
      <c r="DK682" s="12"/>
      <c r="DL682" s="12"/>
      <c r="DM682" s="69"/>
      <c r="DN682" s="69"/>
      <c r="DO682" s="69"/>
      <c r="DP682" s="69"/>
      <c r="DQ682" s="11"/>
      <c r="DR682" s="69"/>
      <c r="DS682" s="69"/>
      <c r="DT682" s="69"/>
      <c r="DU682" s="69"/>
      <c r="DV682" s="70">
        <v>-2.37</v>
      </c>
      <c r="DW682" s="10"/>
      <c r="DX682" s="71">
        <v>6.92E-10</v>
      </c>
      <c r="DY682" s="7"/>
      <c r="DZ682" s="64" t="s">
        <v>165</v>
      </c>
      <c r="EA682" s="72" t="s">
        <v>166</v>
      </c>
      <c r="EB682" s="7"/>
    </row>
    <row r="683">
      <c r="A683" s="55" t="s">
        <v>1420</v>
      </c>
      <c r="B683" s="55" t="s">
        <v>1420</v>
      </c>
      <c r="C683" s="4"/>
      <c r="D683" s="3"/>
      <c r="E683" s="57" t="s">
        <v>137</v>
      </c>
      <c r="F683" s="57" t="s">
        <v>168</v>
      </c>
      <c r="G683" s="58">
        <v>246.82703</v>
      </c>
      <c r="H683" s="58">
        <v>-24.484976</v>
      </c>
      <c r="I683" s="6" t="s">
        <v>158</v>
      </c>
      <c r="J683" s="6" t="s">
        <v>169</v>
      </c>
      <c r="K683" s="58">
        <v>1.0</v>
      </c>
      <c r="L683" s="5"/>
      <c r="M683" s="59"/>
      <c r="N683" s="60"/>
      <c r="O683" s="60"/>
      <c r="P683" s="60"/>
      <c r="Q683" s="60"/>
      <c r="R683" s="60"/>
      <c r="S683" s="60">
        <v>0.33</v>
      </c>
      <c r="T683" s="60">
        <v>0.38</v>
      </c>
      <c r="U683" s="5"/>
      <c r="V683" s="5"/>
      <c r="W683" s="61">
        <v>5.5</v>
      </c>
      <c r="X683" s="5"/>
      <c r="Y683" s="62" t="s">
        <v>160</v>
      </c>
      <c r="Z683" s="60"/>
      <c r="AA683" s="60"/>
      <c r="AB683" s="60">
        <v>14.611</v>
      </c>
      <c r="AC683" s="60">
        <v>0.032</v>
      </c>
      <c r="AD683" s="60">
        <v>11.504</v>
      </c>
      <c r="AE683" s="60">
        <v>0.025</v>
      </c>
      <c r="AF683" s="60">
        <v>9.683</v>
      </c>
      <c r="AG683" s="60">
        <v>0.019</v>
      </c>
      <c r="AH683" s="6"/>
      <c r="AI683" s="6"/>
      <c r="AJ683" s="63" t="s">
        <v>160</v>
      </c>
      <c r="AK683" s="64" t="s">
        <v>161</v>
      </c>
      <c r="AL683" s="64">
        <v>2004.0</v>
      </c>
      <c r="AM683" s="7"/>
      <c r="AN683" s="8"/>
      <c r="AO683" s="13"/>
      <c r="AP683" s="13"/>
      <c r="AQ683" s="7"/>
      <c r="AR683" s="66">
        <v>3715.352291</v>
      </c>
      <c r="AS683" s="7"/>
      <c r="AT683" s="67">
        <v>0.4570881896</v>
      </c>
      <c r="AU683" s="7"/>
      <c r="AV683" s="64">
        <v>1.202264435</v>
      </c>
      <c r="AW683" s="7"/>
      <c r="AX683" s="73">
        <v>2.65</v>
      </c>
      <c r="AY683" s="7"/>
      <c r="AZ683" s="11" t="s">
        <v>162</v>
      </c>
      <c r="BA683" s="68" t="s">
        <v>1303</v>
      </c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68" t="s">
        <v>1348</v>
      </c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2"/>
      <c r="DK683" s="12"/>
      <c r="DL683" s="12"/>
      <c r="DM683" s="69"/>
      <c r="DN683" s="69"/>
      <c r="DO683" s="69"/>
      <c r="DP683" s="69"/>
      <c r="DQ683" s="11"/>
      <c r="DR683" s="69"/>
      <c r="DS683" s="69"/>
      <c r="DT683" s="69"/>
      <c r="DU683" s="69"/>
      <c r="DV683" s="70">
        <v>-2.3</v>
      </c>
      <c r="DW683" s="10"/>
      <c r="DX683" s="71">
        <v>7.94E-10</v>
      </c>
      <c r="DY683" s="7"/>
      <c r="DZ683" s="64" t="s">
        <v>165</v>
      </c>
      <c r="EA683" s="72" t="s">
        <v>166</v>
      </c>
      <c r="EB683" s="7"/>
    </row>
    <row r="684">
      <c r="A684" s="55" t="s">
        <v>1421</v>
      </c>
      <c r="B684" s="55" t="s">
        <v>1422</v>
      </c>
      <c r="C684" s="4"/>
      <c r="D684" s="3"/>
      <c r="E684" s="3"/>
      <c r="F684" s="57" t="s">
        <v>168</v>
      </c>
      <c r="G684" s="58">
        <v>246.5711448</v>
      </c>
      <c r="H684" s="58">
        <v>-24.33933182</v>
      </c>
      <c r="I684" s="6" t="s">
        <v>158</v>
      </c>
      <c r="J684" s="6" t="s">
        <v>169</v>
      </c>
      <c r="K684" s="58">
        <v>1.0</v>
      </c>
      <c r="L684" s="5"/>
      <c r="M684" s="59">
        <v>2.0</v>
      </c>
      <c r="N684" s="61">
        <v>134.273246055723</v>
      </c>
      <c r="O684" s="61">
        <v>-6.596</v>
      </c>
      <c r="P684" s="61">
        <v>0.142</v>
      </c>
      <c r="Q684" s="61">
        <v>-27.057</v>
      </c>
      <c r="R684" s="61">
        <v>0.089</v>
      </c>
      <c r="S684" s="60"/>
      <c r="T684" s="60"/>
      <c r="U684" s="5"/>
      <c r="V684" s="5"/>
      <c r="W684" s="61">
        <v>0.8</v>
      </c>
      <c r="X684" s="5"/>
      <c r="Y684" s="62" t="s">
        <v>160</v>
      </c>
      <c r="Z684" s="60">
        <v>14.02</v>
      </c>
      <c r="AA684" s="60"/>
      <c r="AB684" s="60">
        <v>9.65</v>
      </c>
      <c r="AC684" s="60">
        <v>0.03</v>
      </c>
      <c r="AD684" s="60">
        <v>8.609</v>
      </c>
      <c r="AE684" s="60">
        <v>0.04</v>
      </c>
      <c r="AF684" s="60">
        <v>8.063</v>
      </c>
      <c r="AG684" s="60">
        <v>0.02</v>
      </c>
      <c r="AH684" s="6"/>
      <c r="AI684" s="6"/>
      <c r="AJ684" s="63" t="s">
        <v>160</v>
      </c>
      <c r="AK684" s="64" t="s">
        <v>161</v>
      </c>
      <c r="AL684" s="64">
        <v>2004.0</v>
      </c>
      <c r="AM684" s="7"/>
      <c r="AN684" s="8"/>
      <c r="AO684" s="13"/>
      <c r="AP684" s="64" t="s">
        <v>1423</v>
      </c>
      <c r="AQ684" s="65"/>
      <c r="AR684" s="66">
        <v>3801.893963</v>
      </c>
      <c r="AS684" s="7"/>
      <c r="AT684" s="67">
        <v>0.4677351413</v>
      </c>
      <c r="AU684" s="7"/>
      <c r="AV684" s="64">
        <v>1.258925412</v>
      </c>
      <c r="AW684" s="7"/>
      <c r="AX684" s="73">
        <v>2.59</v>
      </c>
      <c r="AY684" s="7"/>
      <c r="AZ684" s="11" t="s">
        <v>162</v>
      </c>
      <c r="BA684" s="68" t="s">
        <v>1303</v>
      </c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68">
        <v>-1.2</v>
      </c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2"/>
      <c r="DK684" s="12"/>
      <c r="DL684" s="12"/>
      <c r="DM684" s="69"/>
      <c r="DN684" s="69"/>
      <c r="DO684" s="69"/>
      <c r="DP684" s="69"/>
      <c r="DQ684" s="11"/>
      <c r="DR684" s="69"/>
      <c r="DS684" s="69"/>
      <c r="DT684" s="69"/>
      <c r="DU684" s="69"/>
      <c r="DV684" s="70">
        <v>-1.65</v>
      </c>
      <c r="DW684" s="10"/>
      <c r="DX684" s="71">
        <v>3.47E-9</v>
      </c>
      <c r="DY684" s="7"/>
      <c r="DZ684" s="64" t="s">
        <v>165</v>
      </c>
      <c r="EA684" s="72" t="s">
        <v>166</v>
      </c>
      <c r="EB684" s="7"/>
    </row>
    <row r="685">
      <c r="A685" s="55" t="s">
        <v>1424</v>
      </c>
      <c r="B685" s="55" t="s">
        <v>1424</v>
      </c>
      <c r="C685" s="4"/>
      <c r="D685" s="4"/>
      <c r="E685" s="4"/>
      <c r="F685" s="57" t="s">
        <v>168</v>
      </c>
      <c r="G685" s="58">
        <v>246.687634</v>
      </c>
      <c r="H685" s="58">
        <v>-24.38550244</v>
      </c>
      <c r="I685" s="6" t="s">
        <v>158</v>
      </c>
      <c r="J685" s="6" t="s">
        <v>169</v>
      </c>
      <c r="K685" s="58">
        <v>1.0</v>
      </c>
      <c r="L685" s="5"/>
      <c r="M685" s="59">
        <v>2.0</v>
      </c>
      <c r="N685" s="61">
        <v>115.877540615077</v>
      </c>
      <c r="O685" s="61">
        <v>-8.208</v>
      </c>
      <c r="P685" s="61">
        <v>2.885</v>
      </c>
      <c r="Q685" s="61">
        <v>-27.286</v>
      </c>
      <c r="R685" s="61">
        <v>1.735</v>
      </c>
      <c r="S685" s="60"/>
      <c r="T685" s="60"/>
      <c r="U685" s="5"/>
      <c r="V685" s="5"/>
      <c r="W685" s="61">
        <v>4.2</v>
      </c>
      <c r="X685" s="5"/>
      <c r="Y685" s="62" t="s">
        <v>160</v>
      </c>
      <c r="Z685" s="60"/>
      <c r="AA685" s="60"/>
      <c r="AB685" s="60">
        <v>13.248</v>
      </c>
      <c r="AC685" s="60">
        <v>0.026</v>
      </c>
      <c r="AD685" s="60">
        <v>10.604</v>
      </c>
      <c r="AE685" s="60">
        <v>0.026</v>
      </c>
      <c r="AF685" s="60">
        <v>8.955</v>
      </c>
      <c r="AG685" s="60">
        <v>0.019</v>
      </c>
      <c r="AH685" s="6"/>
      <c r="AI685" s="6"/>
      <c r="AJ685" s="63" t="s">
        <v>160</v>
      </c>
      <c r="AK685" s="64" t="s">
        <v>161</v>
      </c>
      <c r="AL685" s="64">
        <v>2004.0</v>
      </c>
      <c r="AM685" s="7"/>
      <c r="AN685" s="8"/>
      <c r="AO685" s="13"/>
      <c r="AP685" s="64" t="s">
        <v>427</v>
      </c>
      <c r="AQ685" s="65"/>
      <c r="AR685" s="66">
        <v>3715.352291</v>
      </c>
      <c r="AS685" s="7"/>
      <c r="AT685" s="67">
        <v>0.4677351413</v>
      </c>
      <c r="AU685" s="7"/>
      <c r="AV685" s="64">
        <v>1.230268771</v>
      </c>
      <c r="AW685" s="7"/>
      <c r="AX685" s="73">
        <v>2.68</v>
      </c>
      <c r="AY685" s="7"/>
      <c r="AZ685" s="11" t="s">
        <v>162</v>
      </c>
      <c r="BA685" s="68" t="s">
        <v>1303</v>
      </c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68">
        <v>-10.0</v>
      </c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2"/>
      <c r="DK685" s="12"/>
      <c r="DL685" s="12"/>
      <c r="DM685" s="69"/>
      <c r="DN685" s="69"/>
      <c r="DO685" s="69"/>
      <c r="DP685" s="69"/>
      <c r="DQ685" s="11"/>
      <c r="DR685" s="69"/>
      <c r="DS685" s="69"/>
      <c r="DT685" s="69"/>
      <c r="DU685" s="69"/>
      <c r="DV685" s="70">
        <v>-0.4</v>
      </c>
      <c r="DW685" s="10"/>
      <c r="DX685" s="71">
        <v>6.31E-8</v>
      </c>
      <c r="DY685" s="7"/>
      <c r="DZ685" s="64" t="s">
        <v>165</v>
      </c>
      <c r="EA685" s="72" t="s">
        <v>166</v>
      </c>
      <c r="EB685" s="7"/>
    </row>
    <row r="686">
      <c r="A686" s="55" t="s">
        <v>1425</v>
      </c>
      <c r="B686" s="55" t="s">
        <v>1425</v>
      </c>
      <c r="C686" s="3"/>
      <c r="D686" s="4"/>
      <c r="E686" s="57" t="s">
        <v>137</v>
      </c>
      <c r="F686" s="57" t="s">
        <v>168</v>
      </c>
      <c r="G686" s="58">
        <v>246.598713</v>
      </c>
      <c r="H686" s="58">
        <v>-24.72052409</v>
      </c>
      <c r="I686" s="6" t="s">
        <v>158</v>
      </c>
      <c r="J686" s="6" t="s">
        <v>169</v>
      </c>
      <c r="K686" s="58">
        <v>1.0</v>
      </c>
      <c r="L686" s="5"/>
      <c r="M686" s="59">
        <v>2.0</v>
      </c>
      <c r="N686" s="61">
        <v>138.463881696459</v>
      </c>
      <c r="O686" s="61">
        <v>-7.83</v>
      </c>
      <c r="P686" s="61">
        <v>0.172</v>
      </c>
      <c r="Q686" s="61">
        <v>-26.295</v>
      </c>
      <c r="R686" s="61">
        <v>0.133</v>
      </c>
      <c r="S686" s="61">
        <v>-12.64</v>
      </c>
      <c r="T686" s="61">
        <v>5.75</v>
      </c>
      <c r="U686" s="5"/>
      <c r="V686" s="5"/>
      <c r="W686" s="61">
        <v>0.6</v>
      </c>
      <c r="X686" s="5"/>
      <c r="Y686" s="62" t="s">
        <v>160</v>
      </c>
      <c r="Z686" s="61">
        <v>12.65</v>
      </c>
      <c r="AA686" s="61"/>
      <c r="AB686" s="61">
        <v>9.391</v>
      </c>
      <c r="AC686" s="61">
        <v>0.023</v>
      </c>
      <c r="AD686" s="61">
        <v>8.4</v>
      </c>
      <c r="AE686" s="61">
        <v>0.05</v>
      </c>
      <c r="AF686" s="61">
        <v>7.847</v>
      </c>
      <c r="AG686" s="61">
        <v>0.016</v>
      </c>
      <c r="AH686" s="6"/>
      <c r="AI686" s="6"/>
      <c r="AJ686" s="63" t="s">
        <v>160</v>
      </c>
      <c r="AK686" s="64" t="s">
        <v>161</v>
      </c>
      <c r="AL686" s="64">
        <v>2004.0</v>
      </c>
      <c r="AM686" s="7"/>
      <c r="AN686" s="8"/>
      <c r="AO686" s="13"/>
      <c r="AP686" s="64" t="s">
        <v>459</v>
      </c>
      <c r="AQ686" s="65"/>
      <c r="AR686" s="66">
        <v>3801.893963</v>
      </c>
      <c r="AS686" s="7"/>
      <c r="AT686" s="67">
        <v>0.4897788194</v>
      </c>
      <c r="AU686" s="7"/>
      <c r="AV686" s="64">
        <v>1.348962883</v>
      </c>
      <c r="AW686" s="7"/>
      <c r="AX686" s="73">
        <v>2.68</v>
      </c>
      <c r="AY686" s="7"/>
      <c r="AZ686" s="11" t="s">
        <v>162</v>
      </c>
      <c r="BA686" s="68" t="s">
        <v>1303</v>
      </c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68" t="s">
        <v>1338</v>
      </c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2"/>
      <c r="DK686" s="12"/>
      <c r="DL686" s="12"/>
      <c r="DM686" s="69"/>
      <c r="DN686" s="69"/>
      <c r="DO686" s="69"/>
      <c r="DP686" s="69"/>
      <c r="DQ686" s="11"/>
      <c r="DR686" s="69"/>
      <c r="DS686" s="69"/>
      <c r="DT686" s="69"/>
      <c r="DU686" s="69"/>
      <c r="DV686" s="70">
        <v>-2.42</v>
      </c>
      <c r="DW686" s="10"/>
      <c r="DX686" s="71">
        <v>5.75E-10</v>
      </c>
      <c r="DY686" s="7"/>
      <c r="DZ686" s="64" t="s">
        <v>165</v>
      </c>
      <c r="EA686" s="72" t="s">
        <v>166</v>
      </c>
      <c r="EB686" s="7"/>
    </row>
    <row r="687">
      <c r="A687" s="55" t="s">
        <v>1426</v>
      </c>
      <c r="B687" s="55" t="s">
        <v>1426</v>
      </c>
      <c r="C687" s="4"/>
      <c r="D687" s="3"/>
      <c r="E687" s="57" t="s">
        <v>137</v>
      </c>
      <c r="F687" s="57" t="s">
        <v>168</v>
      </c>
      <c r="G687" s="58">
        <v>246.8072221</v>
      </c>
      <c r="H687" s="58">
        <v>-24.30468365</v>
      </c>
      <c r="I687" s="6" t="s">
        <v>158</v>
      </c>
      <c r="J687" s="6" t="s">
        <v>169</v>
      </c>
      <c r="K687" s="58">
        <v>1.0</v>
      </c>
      <c r="L687" s="5"/>
      <c r="M687" s="59">
        <v>2.0</v>
      </c>
      <c r="N687" s="61">
        <v>136.59149581347</v>
      </c>
      <c r="O687" s="61">
        <v>-7.608</v>
      </c>
      <c r="P687" s="61">
        <v>0.512</v>
      </c>
      <c r="Q687" s="61">
        <v>-27.392</v>
      </c>
      <c r="R687" s="61">
        <v>0.334</v>
      </c>
      <c r="S687" s="60"/>
      <c r="T687" s="60"/>
      <c r="U687" s="5"/>
      <c r="V687" s="5"/>
      <c r="W687" s="61">
        <v>3.4</v>
      </c>
      <c r="X687" s="5"/>
      <c r="Y687" s="62" t="s">
        <v>160</v>
      </c>
      <c r="Z687" s="60"/>
      <c r="AA687" s="60"/>
      <c r="AB687" s="60">
        <v>12.256</v>
      </c>
      <c r="AC687" s="60">
        <v>0.026</v>
      </c>
      <c r="AD687" s="60">
        <v>10.247</v>
      </c>
      <c r="AE687" s="60">
        <v>0.024</v>
      </c>
      <c r="AF687" s="60">
        <v>9.287</v>
      </c>
      <c r="AG687" s="60">
        <v>0.019</v>
      </c>
      <c r="AH687" s="6"/>
      <c r="AI687" s="6"/>
      <c r="AJ687" s="63" t="s">
        <v>160</v>
      </c>
      <c r="AK687" s="64" t="s">
        <v>161</v>
      </c>
      <c r="AL687" s="64">
        <v>2004.0</v>
      </c>
      <c r="AM687" s="7"/>
      <c r="AN687" s="8"/>
      <c r="AO687" s="13"/>
      <c r="AP687" s="7"/>
      <c r="AQ687" s="65"/>
      <c r="AR687" s="66">
        <v>3801.893963</v>
      </c>
      <c r="AS687" s="7"/>
      <c r="AT687" s="67">
        <v>0.5011872336</v>
      </c>
      <c r="AU687" s="7"/>
      <c r="AV687" s="64">
        <v>1.412537545</v>
      </c>
      <c r="AW687" s="7"/>
      <c r="AX687" s="73">
        <v>2.75</v>
      </c>
      <c r="AY687" s="7"/>
      <c r="AZ687" s="11" t="s">
        <v>162</v>
      </c>
      <c r="BA687" s="68" t="s">
        <v>1303</v>
      </c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68" t="s">
        <v>170</v>
      </c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70">
        <v>-1.68</v>
      </c>
      <c r="DW687" s="10"/>
      <c r="DX687" s="71">
        <v>3.09E-9</v>
      </c>
      <c r="DY687" s="7"/>
      <c r="DZ687" s="64" t="s">
        <v>165</v>
      </c>
      <c r="EA687" s="72" t="s">
        <v>166</v>
      </c>
      <c r="EB687" s="7"/>
    </row>
    <row r="688">
      <c r="A688" s="55" t="s">
        <v>1427</v>
      </c>
      <c r="B688" s="55" t="s">
        <v>1427</v>
      </c>
      <c r="C688" s="4"/>
      <c r="D688" s="4"/>
      <c r="E688" s="4"/>
      <c r="F688" s="57" t="s">
        <v>168</v>
      </c>
      <c r="G688" s="58">
        <v>246.860373</v>
      </c>
      <c r="H688" s="58">
        <v>-24.65641</v>
      </c>
      <c r="I688" s="6" t="s">
        <v>158</v>
      </c>
      <c r="J688" s="6" t="s">
        <v>169</v>
      </c>
      <c r="K688" s="58">
        <v>1.0</v>
      </c>
      <c r="L688" s="5"/>
      <c r="M688" s="59"/>
      <c r="N688" s="60"/>
      <c r="O688" s="60">
        <v>-13.4</v>
      </c>
      <c r="P688" s="60">
        <v>0.5</v>
      </c>
      <c r="Q688" s="60">
        <v>-25.4</v>
      </c>
      <c r="R688" s="60">
        <v>0.4</v>
      </c>
      <c r="S688" s="60"/>
      <c r="T688" s="60"/>
      <c r="U688" s="5"/>
      <c r="V688" s="5"/>
      <c r="W688" s="61">
        <v>6.7</v>
      </c>
      <c r="X688" s="5"/>
      <c r="Y688" s="62" t="s">
        <v>160</v>
      </c>
      <c r="Z688" s="60"/>
      <c r="AA688" s="60"/>
      <c r="AB688" s="60">
        <v>15.693</v>
      </c>
      <c r="AC688" s="60">
        <v>0.069</v>
      </c>
      <c r="AD688" s="60">
        <v>12.074</v>
      </c>
      <c r="AE688" s="60">
        <v>0.023</v>
      </c>
      <c r="AF688" s="60">
        <v>9.952</v>
      </c>
      <c r="AG688" s="60">
        <v>0.021</v>
      </c>
      <c r="AH688" s="6"/>
      <c r="AI688" s="6"/>
      <c r="AJ688" s="63" t="s">
        <v>160</v>
      </c>
      <c r="AK688" s="64" t="s">
        <v>161</v>
      </c>
      <c r="AL688" s="64">
        <v>2004.0</v>
      </c>
      <c r="AM688" s="7"/>
      <c r="AN688" s="8"/>
      <c r="AO688" s="13"/>
      <c r="AP688" s="13" t="s">
        <v>419</v>
      </c>
      <c r="AQ688" s="64"/>
      <c r="AR688" s="66">
        <v>3801.893963</v>
      </c>
      <c r="AS688" s="7"/>
      <c r="AT688" s="67">
        <v>0.512861384</v>
      </c>
      <c r="AU688" s="7"/>
      <c r="AV688" s="64">
        <v>1.445439771</v>
      </c>
      <c r="AW688" s="7"/>
      <c r="AX688" s="73">
        <v>2.78</v>
      </c>
      <c r="AY688" s="7"/>
      <c r="AZ688" s="11" t="s">
        <v>162</v>
      </c>
      <c r="BA688" s="68" t="s">
        <v>1303</v>
      </c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68">
        <v>-3.7</v>
      </c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2"/>
      <c r="DK688" s="12"/>
      <c r="DL688" s="12"/>
      <c r="DM688" s="69"/>
      <c r="DN688" s="69"/>
      <c r="DO688" s="69"/>
      <c r="DP688" s="69"/>
      <c r="DQ688" s="11"/>
      <c r="DR688" s="69"/>
      <c r="DS688" s="69"/>
      <c r="DT688" s="69"/>
      <c r="DU688" s="69"/>
      <c r="DV688" s="70">
        <v>-0.89</v>
      </c>
      <c r="DW688" s="10"/>
      <c r="DX688" s="71">
        <v>1.91E-8</v>
      </c>
      <c r="DY688" s="7"/>
      <c r="DZ688" s="64" t="s">
        <v>165</v>
      </c>
      <c r="EA688" s="72" t="s">
        <v>166</v>
      </c>
      <c r="EB688" s="82" t="s">
        <v>1368</v>
      </c>
    </row>
    <row r="689">
      <c r="A689" s="55" t="s">
        <v>1428</v>
      </c>
      <c r="B689" s="55" t="s">
        <v>1429</v>
      </c>
      <c r="C689" s="4"/>
      <c r="D689" s="4"/>
      <c r="E689" s="4"/>
      <c r="F689" s="57" t="s">
        <v>168</v>
      </c>
      <c r="G689" s="58">
        <v>246.4840248</v>
      </c>
      <c r="H689" s="58">
        <v>-24.34673313</v>
      </c>
      <c r="I689" s="6" t="s">
        <v>158</v>
      </c>
      <c r="J689" s="6" t="s">
        <v>169</v>
      </c>
      <c r="K689" s="58">
        <v>1.0</v>
      </c>
      <c r="L689" s="5"/>
      <c r="M689" s="59">
        <v>2.0</v>
      </c>
      <c r="N689" s="61">
        <v>134.596748142564</v>
      </c>
      <c r="O689" s="61">
        <v>-7.48</v>
      </c>
      <c r="P689" s="61">
        <v>0.135</v>
      </c>
      <c r="Q689" s="61">
        <v>-26.615</v>
      </c>
      <c r="R689" s="61">
        <v>0.083</v>
      </c>
      <c r="S689" s="60"/>
      <c r="T689" s="60"/>
      <c r="U689" s="5"/>
      <c r="V689" s="5"/>
      <c r="W689" s="61">
        <v>0.5</v>
      </c>
      <c r="X689" s="5"/>
      <c r="Y689" s="62" t="s">
        <v>160</v>
      </c>
      <c r="Z689" s="60">
        <v>11.7</v>
      </c>
      <c r="AA689" s="60"/>
      <c r="AB689" s="60">
        <v>9.154</v>
      </c>
      <c r="AC689" s="60">
        <v>0.02</v>
      </c>
      <c r="AD689" s="60">
        <v>8.145</v>
      </c>
      <c r="AE689" s="60">
        <v>0.046</v>
      </c>
      <c r="AF689" s="60">
        <v>7.518</v>
      </c>
      <c r="AG689" s="60">
        <v>0.024</v>
      </c>
      <c r="AH689" s="6"/>
      <c r="AI689" s="6"/>
      <c r="AJ689" s="63" t="s">
        <v>160</v>
      </c>
      <c r="AK689" s="64" t="s">
        <v>161</v>
      </c>
      <c r="AL689" s="64">
        <v>2004.0</v>
      </c>
      <c r="AM689" s="7"/>
      <c r="AN689" s="8"/>
      <c r="AO689" s="13"/>
      <c r="AP689" s="64" t="s">
        <v>584</v>
      </c>
      <c r="AQ689" s="65"/>
      <c r="AR689" s="66">
        <v>3890.45145</v>
      </c>
      <c r="AS689" s="7"/>
      <c r="AT689" s="67">
        <v>0.5248074602</v>
      </c>
      <c r="AU689" s="7"/>
      <c r="AV689" s="64">
        <v>1.513561248</v>
      </c>
      <c r="AW689" s="7"/>
      <c r="AX689" s="73">
        <v>1.79</v>
      </c>
      <c r="AY689" s="7"/>
      <c r="AZ689" s="11" t="s">
        <v>162</v>
      </c>
      <c r="BA689" s="68" t="s">
        <v>1303</v>
      </c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68">
        <v>-19.0</v>
      </c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2"/>
      <c r="DK689" s="12"/>
      <c r="DL689" s="12"/>
      <c r="DM689" s="12"/>
      <c r="DN689" s="12"/>
      <c r="DO689" s="12"/>
      <c r="DP689" s="12"/>
      <c r="DQ689" s="11"/>
      <c r="DR689" s="12"/>
      <c r="DS689" s="12"/>
      <c r="DT689" s="12"/>
      <c r="DU689" s="12"/>
      <c r="DV689" s="70">
        <v>0.1</v>
      </c>
      <c r="DW689" s="10"/>
      <c r="DX689" s="71">
        <v>1.82E-7</v>
      </c>
      <c r="DY689" s="7"/>
      <c r="DZ689" s="64" t="s">
        <v>165</v>
      </c>
      <c r="EA689" s="72" t="s">
        <v>166</v>
      </c>
      <c r="EB689" s="7"/>
    </row>
    <row r="690">
      <c r="A690" s="55" t="s">
        <v>1430</v>
      </c>
      <c r="B690" s="55" t="s">
        <v>1431</v>
      </c>
      <c r="C690" s="4"/>
      <c r="D690" s="4"/>
      <c r="E690" s="4"/>
      <c r="F690" s="57" t="s">
        <v>168</v>
      </c>
      <c r="G690" s="58">
        <v>246.5786595</v>
      </c>
      <c r="H690" s="58">
        <v>-24.47213835</v>
      </c>
      <c r="I690" s="6" t="s">
        <v>158</v>
      </c>
      <c r="J690" s="6" t="s">
        <v>169</v>
      </c>
      <c r="K690" s="58">
        <v>1.0</v>
      </c>
      <c r="L690" s="5"/>
      <c r="M690" s="59">
        <v>2.0</v>
      </c>
      <c r="N690" s="61">
        <v>138.421715598743</v>
      </c>
      <c r="O690" s="61">
        <v>-8.993</v>
      </c>
      <c r="P690" s="61">
        <v>0.64</v>
      </c>
      <c r="Q690" s="61">
        <v>-27.342</v>
      </c>
      <c r="R690" s="61">
        <v>0.369</v>
      </c>
      <c r="S690" s="60">
        <v>-3.26</v>
      </c>
      <c r="T690" s="60">
        <v>0.64</v>
      </c>
      <c r="U690" s="5"/>
      <c r="V690" s="5"/>
      <c r="W690" s="61">
        <v>3.7</v>
      </c>
      <c r="X690" s="5"/>
      <c r="Y690" s="62" t="s">
        <v>160</v>
      </c>
      <c r="Z690" s="60"/>
      <c r="AA690" s="60"/>
      <c r="AB690" s="60">
        <v>12.579</v>
      </c>
      <c r="AC690" s="60">
        <v>0.021</v>
      </c>
      <c r="AD690" s="60">
        <v>9.933</v>
      </c>
      <c r="AE690" s="60">
        <v>0.024</v>
      </c>
      <c r="AF690" s="60">
        <v>8.072</v>
      </c>
      <c r="AG690" s="60">
        <v>0.031</v>
      </c>
      <c r="AH690" s="6"/>
      <c r="AI690" s="6"/>
      <c r="AJ690" s="63" t="s">
        <v>160</v>
      </c>
      <c r="AK690" s="64" t="s">
        <v>1302</v>
      </c>
      <c r="AL690" s="64">
        <v>2004.0</v>
      </c>
      <c r="AM690" s="7"/>
      <c r="AN690" s="8"/>
      <c r="AO690" s="13"/>
      <c r="AP690" s="13"/>
      <c r="AQ690" s="7"/>
      <c r="AR690" s="66">
        <v>3890.45145</v>
      </c>
      <c r="AS690" s="7"/>
      <c r="AT690" s="67">
        <v>0.5248074602</v>
      </c>
      <c r="AU690" s="7"/>
      <c r="AV690" s="64">
        <v>1.513561248</v>
      </c>
      <c r="AW690" s="7"/>
      <c r="AX690" s="73">
        <v>2.72</v>
      </c>
      <c r="AY690" s="7"/>
      <c r="AZ690" s="11" t="s">
        <v>162</v>
      </c>
      <c r="BA690" s="68" t="s">
        <v>1303</v>
      </c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68">
        <v>-8.9</v>
      </c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2"/>
      <c r="DK690" s="12"/>
      <c r="DL690" s="12"/>
      <c r="DM690" s="69"/>
      <c r="DN690" s="69"/>
      <c r="DO690" s="69"/>
      <c r="DP690" s="69"/>
      <c r="DQ690" s="11"/>
      <c r="DR690" s="69"/>
      <c r="DS690" s="69"/>
      <c r="DT690" s="69"/>
      <c r="DU690" s="69"/>
      <c r="DV690" s="70">
        <v>-0.35</v>
      </c>
      <c r="DW690" s="10"/>
      <c r="DX690" s="71">
        <v>6.46E-8</v>
      </c>
      <c r="DY690" s="7"/>
      <c r="DZ690" s="64" t="s">
        <v>165</v>
      </c>
      <c r="EA690" s="72" t="s">
        <v>166</v>
      </c>
      <c r="EB690" s="7"/>
    </row>
    <row r="691">
      <c r="A691" s="55" t="s">
        <v>1432</v>
      </c>
      <c r="B691" s="55" t="s">
        <v>1433</v>
      </c>
      <c r="C691" s="4"/>
      <c r="D691" s="3"/>
      <c r="E691" s="57" t="s">
        <v>137</v>
      </c>
      <c r="F691" s="57" t="s">
        <v>168</v>
      </c>
      <c r="G691" s="58">
        <v>246.4605206</v>
      </c>
      <c r="H691" s="58">
        <v>-24.65404667</v>
      </c>
      <c r="I691" s="6" t="s">
        <v>158</v>
      </c>
      <c r="J691" s="6" t="s">
        <v>159</v>
      </c>
      <c r="K691" s="58">
        <v>1.0</v>
      </c>
      <c r="L691" s="5"/>
      <c r="M691" s="59">
        <v>2.0</v>
      </c>
      <c r="N691" s="61">
        <v>142.116108860939</v>
      </c>
      <c r="O691" s="61">
        <v>-4.347</v>
      </c>
      <c r="P691" s="61">
        <v>0.125</v>
      </c>
      <c r="Q691" s="61">
        <v>-23.113</v>
      </c>
      <c r="R691" s="61">
        <v>0.089</v>
      </c>
      <c r="S691" s="61">
        <v>-4.23</v>
      </c>
      <c r="T691" s="61">
        <v>8.22</v>
      </c>
      <c r="U691" s="5"/>
      <c r="V691" s="5"/>
      <c r="W691" s="61">
        <v>1.4</v>
      </c>
      <c r="X691" s="5"/>
      <c r="Y691" s="62" t="s">
        <v>160</v>
      </c>
      <c r="Z691" s="61">
        <v>13.83</v>
      </c>
      <c r="AA691" s="61">
        <v>0.03</v>
      </c>
      <c r="AB691" s="61">
        <v>9.984</v>
      </c>
      <c r="AC691" s="61">
        <v>0.024</v>
      </c>
      <c r="AD691" s="61">
        <v>8.818</v>
      </c>
      <c r="AE691" s="61">
        <v>0.025</v>
      </c>
      <c r="AF691" s="61">
        <v>8.331</v>
      </c>
      <c r="AG691" s="61">
        <v>0.031</v>
      </c>
      <c r="AH691" s="6"/>
      <c r="AI691" s="6"/>
      <c r="AJ691" s="63" t="s">
        <v>160</v>
      </c>
      <c r="AK691" s="64" t="s">
        <v>161</v>
      </c>
      <c r="AL691" s="64">
        <v>2004.0</v>
      </c>
      <c r="AM691" s="7"/>
      <c r="AN691" s="8"/>
      <c r="AO691" s="13"/>
      <c r="AP691" s="64" t="s">
        <v>1434</v>
      </c>
      <c r="AQ691" s="65"/>
      <c r="AR691" s="66">
        <v>3890.45145</v>
      </c>
      <c r="AS691" s="7"/>
      <c r="AT691" s="67">
        <v>0.5495408739</v>
      </c>
      <c r="AU691" s="7"/>
      <c r="AV691" s="64">
        <v>1.621810097</v>
      </c>
      <c r="AW691" s="7"/>
      <c r="AX691" s="7"/>
      <c r="AY691" s="7"/>
      <c r="AZ691" s="11" t="s">
        <v>162</v>
      </c>
      <c r="BA691" s="68" t="s">
        <v>1303</v>
      </c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68" t="s">
        <v>1334</v>
      </c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2"/>
      <c r="DK691" s="12"/>
      <c r="DL691" s="12"/>
      <c r="DM691" s="69"/>
      <c r="DN691" s="69"/>
      <c r="DO691" s="69"/>
      <c r="DP691" s="69"/>
      <c r="DQ691" s="11"/>
      <c r="DR691" s="69"/>
      <c r="DS691" s="69"/>
      <c r="DT691" s="69"/>
      <c r="DU691" s="69"/>
      <c r="DV691" s="70">
        <v>-2.01</v>
      </c>
      <c r="DW691" s="10"/>
      <c r="DX691" s="71">
        <v>1.38E-9</v>
      </c>
      <c r="DY691" s="7"/>
      <c r="DZ691" s="64" t="s">
        <v>165</v>
      </c>
      <c r="EA691" s="72" t="s">
        <v>166</v>
      </c>
      <c r="EB691" s="7"/>
    </row>
    <row r="692">
      <c r="A692" s="55" t="s">
        <v>1435</v>
      </c>
      <c r="B692" s="55" t="s">
        <v>1436</v>
      </c>
      <c r="C692" s="3"/>
      <c r="D692" s="3"/>
      <c r="E692" s="57" t="s">
        <v>137</v>
      </c>
      <c r="F692" s="57" t="s">
        <v>168</v>
      </c>
      <c r="G692" s="58">
        <v>246.4030735</v>
      </c>
      <c r="H692" s="58">
        <v>-24.26181351</v>
      </c>
      <c r="I692" s="6" t="s">
        <v>158</v>
      </c>
      <c r="J692" s="6" t="s">
        <v>169</v>
      </c>
      <c r="K692" s="58">
        <v>1.0</v>
      </c>
      <c r="L692" s="6"/>
      <c r="M692" s="59">
        <v>2.0</v>
      </c>
      <c r="N692" s="61">
        <v>142.869388804754</v>
      </c>
      <c r="O692" s="61">
        <v>-4.814</v>
      </c>
      <c r="P692" s="61">
        <v>0.286</v>
      </c>
      <c r="Q692" s="61">
        <v>-27.205</v>
      </c>
      <c r="R692" s="61">
        <v>0.175</v>
      </c>
      <c r="S692" s="60"/>
      <c r="T692" s="60"/>
      <c r="U692" s="6"/>
      <c r="V692" s="6"/>
      <c r="W692" s="61">
        <v>1.8</v>
      </c>
      <c r="X692" s="6"/>
      <c r="Y692" s="62" t="s">
        <v>160</v>
      </c>
      <c r="Z692" s="60">
        <v>14.94</v>
      </c>
      <c r="AA692" s="60"/>
      <c r="AB692" s="60">
        <v>10.419</v>
      </c>
      <c r="AC692" s="60">
        <v>0.023</v>
      </c>
      <c r="AD692" s="60">
        <v>9.038</v>
      </c>
      <c r="AE692" s="60">
        <v>0.024</v>
      </c>
      <c r="AF692" s="60">
        <v>8.38</v>
      </c>
      <c r="AG692" s="60">
        <v>0.025</v>
      </c>
      <c r="AH692" s="132"/>
      <c r="AI692" s="6"/>
      <c r="AJ692" s="63" t="s">
        <v>160</v>
      </c>
      <c r="AK692" s="64" t="s">
        <v>161</v>
      </c>
      <c r="AL692" s="64">
        <v>2004.0</v>
      </c>
      <c r="AM692" s="13"/>
      <c r="AN692" s="8"/>
      <c r="AO692" s="7"/>
      <c r="AP692" s="64" t="s">
        <v>1437</v>
      </c>
      <c r="AQ692" s="65"/>
      <c r="AR692" s="66">
        <v>3890.45145</v>
      </c>
      <c r="AS692" s="7"/>
      <c r="AT692" s="67">
        <v>0.5495408739</v>
      </c>
      <c r="AU692" s="7"/>
      <c r="AV692" s="64">
        <v>1.621810097</v>
      </c>
      <c r="AW692" s="92"/>
      <c r="AX692" s="81">
        <v>2.81</v>
      </c>
      <c r="AY692" s="7"/>
      <c r="AZ692" s="11" t="s">
        <v>162</v>
      </c>
      <c r="BA692" s="68" t="s">
        <v>1303</v>
      </c>
      <c r="BB692" s="11"/>
      <c r="BC692" s="11"/>
      <c r="BD692" s="12"/>
      <c r="BE692" s="12"/>
      <c r="BF692" s="11"/>
      <c r="BG692" s="12"/>
      <c r="BH692" s="12"/>
      <c r="BI692" s="69"/>
      <c r="BJ692" s="12"/>
      <c r="BK692" s="12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8" t="s">
        <v>172</v>
      </c>
      <c r="CA692" s="11"/>
      <c r="CB692" s="69"/>
      <c r="CC692" s="11"/>
      <c r="CD692" s="11"/>
      <c r="CE692" s="11"/>
      <c r="CF692" s="11"/>
      <c r="CG692" s="11"/>
      <c r="CH692" s="12"/>
      <c r="CI692" s="69"/>
      <c r="CJ692" s="11"/>
      <c r="CK692" s="11"/>
      <c r="CL692" s="12"/>
      <c r="CM692" s="12"/>
      <c r="CN692" s="69"/>
      <c r="CO692" s="69"/>
      <c r="CP692" s="69"/>
      <c r="CQ692" s="69"/>
      <c r="CR692" s="69"/>
      <c r="CS692" s="69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  <c r="DS692" s="69"/>
      <c r="DT692" s="69"/>
      <c r="DU692" s="69"/>
      <c r="DV692" s="70">
        <v>-1.81</v>
      </c>
      <c r="DW692" s="10"/>
      <c r="DX692" s="71">
        <v>2.19E-9</v>
      </c>
      <c r="DY692" s="7"/>
      <c r="DZ692" s="64" t="s">
        <v>165</v>
      </c>
      <c r="EA692" s="72" t="s">
        <v>166</v>
      </c>
      <c r="EB692" s="7"/>
    </row>
    <row r="693">
      <c r="A693" s="55" t="s">
        <v>1438</v>
      </c>
      <c r="B693" s="55" t="s">
        <v>1438</v>
      </c>
      <c r="C693" s="4"/>
      <c r="D693" s="4"/>
      <c r="E693" s="4"/>
      <c r="F693" s="57" t="s">
        <v>168</v>
      </c>
      <c r="G693" s="58">
        <v>246.9142905</v>
      </c>
      <c r="H693" s="58">
        <v>-24.6543133</v>
      </c>
      <c r="I693" s="6" t="s">
        <v>158</v>
      </c>
      <c r="J693" s="6" t="s">
        <v>169</v>
      </c>
      <c r="K693" s="58">
        <v>1.0</v>
      </c>
      <c r="L693" s="5"/>
      <c r="M693" s="59">
        <v>2.0</v>
      </c>
      <c r="N693" s="61">
        <v>137.018209720071</v>
      </c>
      <c r="O693" s="61">
        <v>-6.312</v>
      </c>
      <c r="P693" s="61">
        <v>0.211</v>
      </c>
      <c r="Q693" s="61">
        <v>-25.326</v>
      </c>
      <c r="R693" s="61">
        <v>0.13</v>
      </c>
      <c r="S693" s="60">
        <v>-5.5</v>
      </c>
      <c r="T693" s="60">
        <v>1.5</v>
      </c>
      <c r="U693" s="5"/>
      <c r="V693" s="5"/>
      <c r="W693" s="61">
        <v>2.2</v>
      </c>
      <c r="X693" s="5"/>
      <c r="Y693" s="62" t="s">
        <v>160</v>
      </c>
      <c r="Z693" s="60">
        <v>15.76</v>
      </c>
      <c r="AA693" s="60"/>
      <c r="AB693" s="60">
        <v>10.754</v>
      </c>
      <c r="AC693" s="60">
        <v>0.026</v>
      </c>
      <c r="AD693" s="60">
        <v>9.214</v>
      </c>
      <c r="AE693" s="60">
        <v>0.024</v>
      </c>
      <c r="AF693" s="60">
        <v>8.464</v>
      </c>
      <c r="AG693" s="60">
        <v>0.027</v>
      </c>
      <c r="AH693" s="6"/>
      <c r="AI693" s="6"/>
      <c r="AJ693" s="63" t="s">
        <v>160</v>
      </c>
      <c r="AK693" s="64" t="s">
        <v>1302</v>
      </c>
      <c r="AL693" s="64">
        <v>2004.0</v>
      </c>
      <c r="AM693" s="7"/>
      <c r="AN693" s="8"/>
      <c r="AO693" s="13"/>
      <c r="AP693" s="64" t="s">
        <v>1439</v>
      </c>
      <c r="AQ693" s="65"/>
      <c r="AR693" s="66">
        <v>3890.45145</v>
      </c>
      <c r="AS693" s="7"/>
      <c r="AT693" s="67">
        <v>0.5623413252</v>
      </c>
      <c r="AU693" s="7"/>
      <c r="AV693" s="64">
        <v>1.737800829</v>
      </c>
      <c r="AW693" s="7"/>
      <c r="AX693" s="73">
        <v>2.91</v>
      </c>
      <c r="AY693" s="7"/>
      <c r="AZ693" s="11" t="s">
        <v>162</v>
      </c>
      <c r="BA693" s="68" t="s">
        <v>1303</v>
      </c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68">
        <v>-3.3</v>
      </c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2"/>
      <c r="DK693" s="12"/>
      <c r="DL693" s="12"/>
      <c r="DM693" s="69"/>
      <c r="DN693" s="69"/>
      <c r="DO693" s="69"/>
      <c r="DP693" s="69"/>
      <c r="DQ693" s="11"/>
      <c r="DR693" s="69"/>
      <c r="DS693" s="69"/>
      <c r="DT693" s="69"/>
      <c r="DU693" s="69"/>
      <c r="DV693" s="70">
        <v>-0.87</v>
      </c>
      <c r="DW693" s="10"/>
      <c r="DX693" s="71">
        <v>1.86E-8</v>
      </c>
      <c r="DY693" s="7"/>
      <c r="DZ693" s="64" t="s">
        <v>165</v>
      </c>
      <c r="EA693" s="72" t="s">
        <v>166</v>
      </c>
      <c r="EB693" s="7"/>
    </row>
    <row r="694">
      <c r="A694" s="55" t="s">
        <v>1440</v>
      </c>
      <c r="B694" s="55" t="s">
        <v>1440</v>
      </c>
      <c r="C694" s="4"/>
      <c r="D694" s="4"/>
      <c r="E694" s="4"/>
      <c r="F694" s="57" t="s">
        <v>168</v>
      </c>
      <c r="G694" s="58">
        <v>246.9096752</v>
      </c>
      <c r="H694" s="58">
        <v>-24.61627826</v>
      </c>
      <c r="I694" s="6" t="s">
        <v>158</v>
      </c>
      <c r="J694" s="6" t="s">
        <v>169</v>
      </c>
      <c r="K694" s="58">
        <v>1.0</v>
      </c>
      <c r="L694" s="5"/>
      <c r="M694" s="59">
        <v>2.0</v>
      </c>
      <c r="N694" s="61">
        <v>134.575012111751</v>
      </c>
      <c r="O694" s="61">
        <v>-7.493</v>
      </c>
      <c r="P694" s="61">
        <v>0.346</v>
      </c>
      <c r="Q694" s="61">
        <v>-24.737</v>
      </c>
      <c r="R694" s="61">
        <v>0.222</v>
      </c>
      <c r="S694" s="60"/>
      <c r="T694" s="60"/>
      <c r="U694" s="5"/>
      <c r="V694" s="5"/>
      <c r="W694" s="61">
        <v>2.7</v>
      </c>
      <c r="X694" s="5"/>
      <c r="Y694" s="62" t="s">
        <v>160</v>
      </c>
      <c r="Z694" s="60">
        <v>17.69</v>
      </c>
      <c r="AA694" s="60"/>
      <c r="AB694" s="60">
        <v>11.378</v>
      </c>
      <c r="AC694" s="60">
        <v>0.026</v>
      </c>
      <c r="AD694" s="60">
        <v>9.431</v>
      </c>
      <c r="AE694" s="60">
        <v>0.026</v>
      </c>
      <c r="AF694" s="60">
        <v>8.271</v>
      </c>
      <c r="AG694" s="60">
        <v>0.033</v>
      </c>
      <c r="AH694" s="6"/>
      <c r="AI694" s="6"/>
      <c r="AJ694" s="63" t="s">
        <v>160</v>
      </c>
      <c r="AK694" s="64" t="s">
        <v>161</v>
      </c>
      <c r="AL694" s="64">
        <v>2004.0</v>
      </c>
      <c r="AM694" s="7"/>
      <c r="AN694" s="8"/>
      <c r="AO694" s="13"/>
      <c r="AP694" s="64" t="s">
        <v>427</v>
      </c>
      <c r="AQ694" s="65"/>
      <c r="AR694" s="66">
        <v>3890.45145</v>
      </c>
      <c r="AS694" s="7"/>
      <c r="AT694" s="67">
        <v>0.5623413252</v>
      </c>
      <c r="AU694" s="7"/>
      <c r="AV694" s="64">
        <v>1.698243652</v>
      </c>
      <c r="AW694" s="7"/>
      <c r="AX694" s="73">
        <v>2.88</v>
      </c>
      <c r="AY694" s="7"/>
      <c r="AZ694" s="11" t="s">
        <v>162</v>
      </c>
      <c r="BA694" s="68" t="s">
        <v>1303</v>
      </c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68">
        <v>-2.0</v>
      </c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2"/>
      <c r="DK694" s="12"/>
      <c r="DL694" s="12"/>
      <c r="DM694" s="69"/>
      <c r="DN694" s="69"/>
      <c r="DO694" s="69"/>
      <c r="DP694" s="69"/>
      <c r="DQ694" s="11"/>
      <c r="DR694" s="69"/>
      <c r="DS694" s="69"/>
      <c r="DT694" s="69"/>
      <c r="DU694" s="69"/>
      <c r="DV694" s="70">
        <v>-1.16</v>
      </c>
      <c r="DW694" s="10"/>
      <c r="DX694" s="71">
        <v>9.55E-9</v>
      </c>
      <c r="DY694" s="7"/>
      <c r="DZ694" s="64" t="s">
        <v>165</v>
      </c>
      <c r="EA694" s="72" t="s">
        <v>166</v>
      </c>
      <c r="EB694" s="7"/>
    </row>
    <row r="695">
      <c r="A695" s="55" t="s">
        <v>1438</v>
      </c>
      <c r="B695" s="55" t="s">
        <v>1438</v>
      </c>
      <c r="C695" s="4"/>
      <c r="D695" s="4"/>
      <c r="E695" s="4"/>
      <c r="F695" s="57" t="s">
        <v>168</v>
      </c>
      <c r="G695" s="58">
        <v>246.9142905</v>
      </c>
      <c r="H695" s="58">
        <v>-24.6543133</v>
      </c>
      <c r="I695" s="6" t="s">
        <v>158</v>
      </c>
      <c r="J695" s="6" t="s">
        <v>169</v>
      </c>
      <c r="K695" s="58">
        <v>1.0</v>
      </c>
      <c r="L695" s="5"/>
      <c r="M695" s="60">
        <v>2.0</v>
      </c>
      <c r="N695" s="58">
        <v>137.0182097</v>
      </c>
      <c r="O695" s="58">
        <v>-6.312</v>
      </c>
      <c r="P695" s="58">
        <v>0.211</v>
      </c>
      <c r="Q695" s="58">
        <v>-25.326</v>
      </c>
      <c r="R695" s="58">
        <v>0.13</v>
      </c>
      <c r="S695" s="60">
        <v>-5.5</v>
      </c>
      <c r="T695" s="60">
        <v>1.5</v>
      </c>
      <c r="U695" s="6">
        <f t="shared" ref="U695:U698" si="40">W695/0.243</f>
        <v>9.053497942</v>
      </c>
      <c r="V695" s="6">
        <f t="shared" ref="V695:V698" si="41">U695*SQRT((X695/W695)^2 + (0.004/0.243)^2)</f>
        <v>4.117923917</v>
      </c>
      <c r="W695" s="60">
        <v>2.2</v>
      </c>
      <c r="X695" s="60">
        <v>1.0</v>
      </c>
      <c r="Y695" s="83" t="s">
        <v>1308</v>
      </c>
      <c r="Z695" s="58">
        <v>15.76</v>
      </c>
      <c r="AA695" s="6"/>
      <c r="AB695" s="58">
        <v>10.75</v>
      </c>
      <c r="AC695" s="60">
        <v>0.026</v>
      </c>
      <c r="AD695" s="61">
        <v>9.214</v>
      </c>
      <c r="AE695" s="61">
        <v>0.024</v>
      </c>
      <c r="AF695" s="59">
        <v>8.46</v>
      </c>
      <c r="AG695" s="60">
        <v>0.027</v>
      </c>
      <c r="AH695" s="6"/>
      <c r="AI695" s="6"/>
      <c r="AJ695" s="76" t="s">
        <v>1309</v>
      </c>
      <c r="AK695" s="64" t="s">
        <v>1310</v>
      </c>
      <c r="AL695" s="64">
        <v>2005.0</v>
      </c>
      <c r="AM695" s="13"/>
      <c r="AN695" s="77">
        <v>150.0</v>
      </c>
      <c r="AO695" s="13"/>
      <c r="AP695" s="13" t="s">
        <v>459</v>
      </c>
      <c r="AQ695" s="73">
        <v>3.0</v>
      </c>
      <c r="AR695" s="78">
        <v>4350.0</v>
      </c>
      <c r="AS695" s="64">
        <v>150.0</v>
      </c>
      <c r="AT695" s="79">
        <v>0.6</v>
      </c>
      <c r="AU695" s="7"/>
      <c r="AV695" s="64">
        <v>1.9</v>
      </c>
      <c r="AW695" s="7"/>
      <c r="AX695" s="73">
        <v>2.43</v>
      </c>
      <c r="AY695" s="7"/>
      <c r="AZ695" s="11" t="s">
        <v>162</v>
      </c>
      <c r="BA695" s="68" t="s">
        <v>1303</v>
      </c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68">
        <v>1.7</v>
      </c>
      <c r="CA695" s="68">
        <v>0.2</v>
      </c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68">
        <v>1.2</v>
      </c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69"/>
      <c r="DN695" s="69"/>
      <c r="DO695" s="69"/>
      <c r="DP695" s="69"/>
      <c r="DQ695" s="11"/>
      <c r="DR695" s="69"/>
      <c r="DS695" s="69"/>
      <c r="DT695" s="69"/>
      <c r="DU695" s="69"/>
      <c r="DV695" s="7"/>
      <c r="DW695" s="10"/>
      <c r="DX695" s="81">
        <v>6.46E-9</v>
      </c>
      <c r="DY695" s="64"/>
      <c r="DZ695" s="64" t="s">
        <v>1311</v>
      </c>
      <c r="EA695" s="7"/>
      <c r="EB695" s="7"/>
    </row>
    <row r="696">
      <c r="A696" s="55" t="s">
        <v>1440</v>
      </c>
      <c r="B696" s="55" t="s">
        <v>1440</v>
      </c>
      <c r="C696" s="4"/>
      <c r="D696" s="4"/>
      <c r="E696" s="4"/>
      <c r="F696" s="57" t="s">
        <v>168</v>
      </c>
      <c r="G696" s="58">
        <v>246.9096752</v>
      </c>
      <c r="H696" s="58">
        <v>-24.61627826</v>
      </c>
      <c r="I696" s="6" t="s">
        <v>158</v>
      </c>
      <c r="J696" s="6" t="s">
        <v>169</v>
      </c>
      <c r="K696" s="58">
        <v>1.0</v>
      </c>
      <c r="L696" s="5"/>
      <c r="M696" s="60">
        <v>2.0</v>
      </c>
      <c r="N696" s="58">
        <v>134.5750121</v>
      </c>
      <c r="O696" s="58">
        <v>-7.493</v>
      </c>
      <c r="P696" s="58">
        <v>0.346</v>
      </c>
      <c r="Q696" s="58">
        <v>-24.737</v>
      </c>
      <c r="R696" s="58">
        <v>0.222</v>
      </c>
      <c r="S696" s="5"/>
      <c r="T696" s="5"/>
      <c r="U696" s="6">
        <f t="shared" si="40"/>
        <v>11.11111111</v>
      </c>
      <c r="V696" s="6">
        <f t="shared" si="41"/>
        <v>4.119288753</v>
      </c>
      <c r="W696" s="60">
        <v>2.7</v>
      </c>
      <c r="X696" s="60">
        <v>1.0</v>
      </c>
      <c r="Y696" s="83" t="s">
        <v>1308</v>
      </c>
      <c r="Z696" s="58">
        <v>17.69</v>
      </c>
      <c r="AA696" s="6"/>
      <c r="AB696" s="59">
        <v>11.38</v>
      </c>
      <c r="AC696" s="60">
        <v>0.026</v>
      </c>
      <c r="AD696" s="61">
        <v>9.431</v>
      </c>
      <c r="AE696" s="61">
        <v>0.026</v>
      </c>
      <c r="AF696" s="59">
        <v>8.27</v>
      </c>
      <c r="AG696" s="60">
        <v>0.033</v>
      </c>
      <c r="AH696" s="6"/>
      <c r="AI696" s="6"/>
      <c r="AJ696" s="76" t="s">
        <v>1309</v>
      </c>
      <c r="AK696" s="64" t="s">
        <v>1310</v>
      </c>
      <c r="AL696" s="64">
        <v>2005.0</v>
      </c>
      <c r="AM696" s="13"/>
      <c r="AN696" s="77">
        <v>150.0</v>
      </c>
      <c r="AO696" s="13"/>
      <c r="AP696" s="13" t="s">
        <v>459</v>
      </c>
      <c r="AQ696" s="97">
        <v>3.0</v>
      </c>
      <c r="AR696" s="78">
        <v>4350.0</v>
      </c>
      <c r="AS696" s="7"/>
      <c r="AT696" s="79">
        <v>0.6</v>
      </c>
      <c r="AU696" s="7"/>
      <c r="AV696" s="64">
        <v>1.6</v>
      </c>
      <c r="AW696" s="7"/>
      <c r="AX696" s="73">
        <v>2.23</v>
      </c>
      <c r="AY696" s="7"/>
      <c r="AZ696" s="11" t="s">
        <v>162</v>
      </c>
      <c r="BA696" s="68" t="s">
        <v>1303</v>
      </c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68">
        <v>3.3</v>
      </c>
      <c r="CA696" s="68">
        <v>0.2</v>
      </c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68">
        <v>1.1</v>
      </c>
      <c r="CM696" s="68">
        <v>0.4</v>
      </c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69"/>
      <c r="DN696" s="69"/>
      <c r="DO696" s="69"/>
      <c r="DP696" s="69"/>
      <c r="DQ696" s="11"/>
      <c r="DR696" s="69"/>
      <c r="DS696" s="69"/>
      <c r="DT696" s="69"/>
      <c r="DU696" s="69"/>
      <c r="DV696" s="7"/>
      <c r="DW696" s="10"/>
      <c r="DX696" s="81">
        <v>1.29E-8</v>
      </c>
      <c r="DY696" s="64"/>
      <c r="DZ696" s="64" t="s">
        <v>1311</v>
      </c>
      <c r="EA696" s="13"/>
      <c r="EB696" s="13"/>
    </row>
    <row r="697">
      <c r="A697" s="55" t="s">
        <v>1372</v>
      </c>
      <c r="B697" s="55" t="s">
        <v>1372</v>
      </c>
      <c r="C697" s="4"/>
      <c r="D697" s="4"/>
      <c r="E697" s="4"/>
      <c r="F697" s="57" t="s">
        <v>168</v>
      </c>
      <c r="G697" s="58">
        <v>246.8075869</v>
      </c>
      <c r="H697" s="58">
        <v>-24.72545783</v>
      </c>
      <c r="I697" s="6" t="s">
        <v>158</v>
      </c>
      <c r="J697" s="6" t="s">
        <v>169</v>
      </c>
      <c r="K697" s="58">
        <v>1.0</v>
      </c>
      <c r="L697" s="5"/>
      <c r="M697" s="60">
        <v>2.0</v>
      </c>
      <c r="N697" s="58">
        <v>145.4503142</v>
      </c>
      <c r="O697" s="59">
        <v>-6.64</v>
      </c>
      <c r="P697" s="59">
        <v>0.987</v>
      </c>
      <c r="Q697" s="59">
        <v>-24.157</v>
      </c>
      <c r="R697" s="59">
        <v>0.665</v>
      </c>
      <c r="S697" s="60">
        <v>-5.4</v>
      </c>
      <c r="T697" s="60">
        <v>1.2</v>
      </c>
      <c r="U697" s="6">
        <f t="shared" si="40"/>
        <v>12.75720165</v>
      </c>
      <c r="V697" s="6">
        <f t="shared" si="41"/>
        <v>4.120580753</v>
      </c>
      <c r="W697" s="60">
        <v>3.1</v>
      </c>
      <c r="X697" s="60">
        <v>1.0</v>
      </c>
      <c r="Y697" s="83" t="s">
        <v>1308</v>
      </c>
      <c r="Z697" s="6"/>
      <c r="AA697" s="6"/>
      <c r="AB697" s="59">
        <v>13.33</v>
      </c>
      <c r="AC697" s="60">
        <v>0.026</v>
      </c>
      <c r="AD697" s="61">
        <v>11.23</v>
      </c>
      <c r="AE697" s="61">
        <v>0.026</v>
      </c>
      <c r="AF697" s="59">
        <v>9.98</v>
      </c>
      <c r="AG697" s="60">
        <v>0.019</v>
      </c>
      <c r="AH697" s="6"/>
      <c r="AI697" s="6"/>
      <c r="AJ697" s="76" t="s">
        <v>1309</v>
      </c>
      <c r="AK697" s="64" t="s">
        <v>1310</v>
      </c>
      <c r="AL697" s="64">
        <v>2005.0</v>
      </c>
      <c r="AM697" s="13"/>
      <c r="AN697" s="77">
        <v>150.0</v>
      </c>
      <c r="AO697" s="13"/>
      <c r="AP697" s="13" t="s">
        <v>1441</v>
      </c>
      <c r="AQ697" s="7"/>
      <c r="AR697" s="78">
        <v>3950.0</v>
      </c>
      <c r="AS697" s="64">
        <v>150.0</v>
      </c>
      <c r="AT697" s="79">
        <v>0.6</v>
      </c>
      <c r="AU697" s="7"/>
      <c r="AV697" s="64">
        <v>0.35</v>
      </c>
      <c r="AW697" s="7"/>
      <c r="AX697" s="70"/>
      <c r="AY697" s="64"/>
      <c r="AZ697" s="11" t="s">
        <v>162</v>
      </c>
      <c r="BA697" s="68" t="s">
        <v>1303</v>
      </c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68">
        <v>6.5</v>
      </c>
      <c r="CA697" s="68">
        <v>0.3</v>
      </c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68">
        <v>3.3</v>
      </c>
      <c r="CM697" s="68">
        <v>0.1</v>
      </c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69"/>
      <c r="DN697" s="69"/>
      <c r="DO697" s="69"/>
      <c r="DP697" s="69"/>
      <c r="DQ697" s="11"/>
      <c r="DR697" s="69"/>
      <c r="DS697" s="69"/>
      <c r="DT697" s="69"/>
      <c r="DU697" s="69"/>
      <c r="DV697" s="7"/>
      <c r="DW697" s="10"/>
      <c r="DX697" s="81">
        <v>2.34E-9</v>
      </c>
      <c r="DY697" s="64"/>
      <c r="DZ697" s="64" t="s">
        <v>1311</v>
      </c>
      <c r="EA697" s="7"/>
      <c r="EB697" s="7"/>
    </row>
    <row r="698">
      <c r="A698" s="55" t="s">
        <v>1333</v>
      </c>
      <c r="B698" s="55" t="s">
        <v>1333</v>
      </c>
      <c r="C698" s="4"/>
      <c r="D698" s="4"/>
      <c r="E698" s="4"/>
      <c r="F698" s="57" t="s">
        <v>168</v>
      </c>
      <c r="G698" s="58">
        <v>246.800547</v>
      </c>
      <c r="H698" s="58">
        <v>-24.580317</v>
      </c>
      <c r="I698" s="6" t="s">
        <v>158</v>
      </c>
      <c r="J698" s="6" t="s">
        <v>169</v>
      </c>
      <c r="K698" s="58">
        <v>1.0</v>
      </c>
      <c r="L698" s="5"/>
      <c r="M698" s="5"/>
      <c r="N698" s="6"/>
      <c r="O698" s="6"/>
      <c r="P698" s="6"/>
      <c r="Q698" s="6"/>
      <c r="R698" s="6"/>
      <c r="S698" s="5"/>
      <c r="T698" s="5"/>
      <c r="U698" s="6">
        <f t="shared" si="40"/>
        <v>15.22633745</v>
      </c>
      <c r="V698" s="6">
        <f t="shared" si="41"/>
        <v>4.122851909</v>
      </c>
      <c r="W698" s="60">
        <v>3.7</v>
      </c>
      <c r="X698" s="60">
        <v>1.0</v>
      </c>
      <c r="Y698" s="83" t="s">
        <v>1308</v>
      </c>
      <c r="Z698" s="6"/>
      <c r="AA698" s="6"/>
      <c r="AB698" s="59">
        <v>15.62</v>
      </c>
      <c r="AC698" s="60">
        <v>0.6</v>
      </c>
      <c r="AD698" s="61">
        <v>13.111</v>
      </c>
      <c r="AE698" s="61">
        <v>0.022</v>
      </c>
      <c r="AF698" s="59">
        <v>11.49</v>
      </c>
      <c r="AG698" s="60">
        <v>0.019</v>
      </c>
      <c r="AH698" s="6"/>
      <c r="AI698" s="6"/>
      <c r="AJ698" s="76" t="s">
        <v>1309</v>
      </c>
      <c r="AK698" s="64" t="s">
        <v>1310</v>
      </c>
      <c r="AL698" s="64">
        <v>2005.0</v>
      </c>
      <c r="AM698" s="13"/>
      <c r="AN698" s="77">
        <v>150.0</v>
      </c>
      <c r="AO698" s="13"/>
      <c r="AP698" s="13" t="s">
        <v>427</v>
      </c>
      <c r="AQ698" s="73">
        <v>2.0</v>
      </c>
      <c r="AR698" s="78">
        <v>3850.0</v>
      </c>
      <c r="AS698" s="64">
        <v>150.0</v>
      </c>
      <c r="AT698" s="79">
        <v>0.6</v>
      </c>
      <c r="AU698" s="7"/>
      <c r="AV698" s="64">
        <v>0.07</v>
      </c>
      <c r="AW698" s="7"/>
      <c r="AX698" s="70"/>
      <c r="AY698" s="7"/>
      <c r="AZ698" s="11" t="s">
        <v>162</v>
      </c>
      <c r="BA698" s="68" t="s">
        <v>1303</v>
      </c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68">
        <v>1.1</v>
      </c>
      <c r="CA698" s="68">
        <v>0.4</v>
      </c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68">
        <v>4.8</v>
      </c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69"/>
      <c r="DN698" s="69"/>
      <c r="DO698" s="69"/>
      <c r="DP698" s="69"/>
      <c r="DQ698" s="11"/>
      <c r="DR698" s="69"/>
      <c r="DS698" s="69"/>
      <c r="DT698" s="69"/>
      <c r="DU698" s="69"/>
      <c r="DV698" s="7"/>
      <c r="DW698" s="10"/>
      <c r="DX698" s="81">
        <v>1.55E-11</v>
      </c>
      <c r="DY698" s="64"/>
      <c r="DZ698" s="64" t="s">
        <v>1311</v>
      </c>
      <c r="EA698" s="7"/>
      <c r="EB698" s="7"/>
    </row>
    <row r="699">
      <c r="A699" s="55" t="s">
        <v>1442</v>
      </c>
      <c r="B699" s="55" t="s">
        <v>1442</v>
      </c>
      <c r="C699" s="4"/>
      <c r="D699" s="3"/>
      <c r="E699" s="3"/>
      <c r="F699" s="57" t="s">
        <v>168</v>
      </c>
      <c r="G699" s="58">
        <v>246.9178577</v>
      </c>
      <c r="H699" s="58">
        <v>-24.36781445</v>
      </c>
      <c r="I699" s="6" t="s">
        <v>158</v>
      </c>
      <c r="J699" s="6" t="s">
        <v>169</v>
      </c>
      <c r="K699" s="58">
        <v>1.0</v>
      </c>
      <c r="L699" s="5"/>
      <c r="M699" s="59">
        <v>2.0</v>
      </c>
      <c r="N699" s="61">
        <v>130.456336264252</v>
      </c>
      <c r="O699" s="61">
        <v>-8.607</v>
      </c>
      <c r="P699" s="61">
        <v>0.1</v>
      </c>
      <c r="Q699" s="61">
        <v>-27.646</v>
      </c>
      <c r="R699" s="61">
        <v>0.074</v>
      </c>
      <c r="S699" s="60">
        <v>-7.1</v>
      </c>
      <c r="T699" s="60">
        <v>1.3</v>
      </c>
      <c r="U699" s="6"/>
      <c r="V699" s="5"/>
      <c r="W699" s="61">
        <v>0.0</v>
      </c>
      <c r="X699" s="5"/>
      <c r="Y699" s="62" t="s">
        <v>160</v>
      </c>
      <c r="Z699" s="60">
        <v>11.11</v>
      </c>
      <c r="AA699" s="60"/>
      <c r="AB699" s="60">
        <v>8.44</v>
      </c>
      <c r="AC699" s="60">
        <v>0.027</v>
      </c>
      <c r="AD699" s="60">
        <v>7.67</v>
      </c>
      <c r="AE699" s="60">
        <v>0.04</v>
      </c>
      <c r="AF699" s="60">
        <v>7.207</v>
      </c>
      <c r="AG699" s="60">
        <v>0.023</v>
      </c>
      <c r="AH699" s="6"/>
      <c r="AI699" s="6"/>
      <c r="AJ699" s="63" t="s">
        <v>160</v>
      </c>
      <c r="AK699" s="64" t="s">
        <v>161</v>
      </c>
      <c r="AL699" s="64">
        <v>2004.0</v>
      </c>
      <c r="AM699" s="7"/>
      <c r="AN699" s="8"/>
      <c r="AO699" s="13"/>
      <c r="AP699" s="13" t="s">
        <v>459</v>
      </c>
      <c r="AQ699" s="64"/>
      <c r="AR699" s="66">
        <v>3981.071706</v>
      </c>
      <c r="AS699" s="7"/>
      <c r="AT699" s="67">
        <v>0.6025595861</v>
      </c>
      <c r="AU699" s="7"/>
      <c r="AV699" s="64">
        <v>1.905460718</v>
      </c>
      <c r="AW699" s="7"/>
      <c r="AX699" s="73">
        <v>2.91</v>
      </c>
      <c r="AY699" s="7"/>
      <c r="AZ699" s="11" t="s">
        <v>162</v>
      </c>
      <c r="BA699" s="68" t="s">
        <v>1303</v>
      </c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68">
        <v>-1.3</v>
      </c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2"/>
      <c r="DK699" s="12"/>
      <c r="DL699" s="12"/>
      <c r="DM699" s="69"/>
      <c r="DN699" s="69"/>
      <c r="DO699" s="69"/>
      <c r="DP699" s="69"/>
      <c r="DQ699" s="11"/>
      <c r="DR699" s="69"/>
      <c r="DS699" s="69"/>
      <c r="DT699" s="69"/>
      <c r="DU699" s="69"/>
      <c r="DV699" s="70">
        <v>-1.38</v>
      </c>
      <c r="DW699" s="10"/>
      <c r="DX699" s="71">
        <v>5.5E-9</v>
      </c>
      <c r="DY699" s="7"/>
      <c r="DZ699" s="64" t="s">
        <v>165</v>
      </c>
      <c r="EA699" s="72" t="s">
        <v>166</v>
      </c>
      <c r="EB699" s="82" t="s">
        <v>1443</v>
      </c>
    </row>
    <row r="700">
      <c r="A700" s="55" t="s">
        <v>1444</v>
      </c>
      <c r="B700" s="55" t="s">
        <v>1444</v>
      </c>
      <c r="C700" s="4"/>
      <c r="D700" s="3"/>
      <c r="E700" s="57" t="s">
        <v>137</v>
      </c>
      <c r="F700" s="57" t="s">
        <v>168</v>
      </c>
      <c r="G700" s="58">
        <v>246.875751</v>
      </c>
      <c r="H700" s="58">
        <v>-24.462046</v>
      </c>
      <c r="I700" s="6" t="s">
        <v>158</v>
      </c>
      <c r="J700" s="6" t="s">
        <v>169</v>
      </c>
      <c r="K700" s="58">
        <v>1.0</v>
      </c>
      <c r="L700" s="5"/>
      <c r="M700" s="59"/>
      <c r="N700" s="60"/>
      <c r="O700" s="60"/>
      <c r="P700" s="60"/>
      <c r="Q700" s="60"/>
      <c r="R700" s="60"/>
      <c r="S700" s="60">
        <v>-6.2</v>
      </c>
      <c r="T700" s="60">
        <v>1.5</v>
      </c>
      <c r="U700" s="5"/>
      <c r="V700" s="5"/>
      <c r="W700" s="61">
        <v>6.6</v>
      </c>
      <c r="X700" s="5"/>
      <c r="Y700" s="62" t="s">
        <v>160</v>
      </c>
      <c r="Z700" s="60"/>
      <c r="AA700" s="60"/>
      <c r="AB700" s="60">
        <v>15.321</v>
      </c>
      <c r="AC700" s="60">
        <v>0.04</v>
      </c>
      <c r="AD700" s="60">
        <v>11.515</v>
      </c>
      <c r="AE700" s="60">
        <v>0.023</v>
      </c>
      <c r="AF700" s="60">
        <v>9.024</v>
      </c>
      <c r="AG700" s="60">
        <v>0.019</v>
      </c>
      <c r="AH700" s="6"/>
      <c r="AI700" s="6"/>
      <c r="AJ700" s="63" t="s">
        <v>160</v>
      </c>
      <c r="AK700" s="64" t="s">
        <v>161</v>
      </c>
      <c r="AL700" s="64">
        <v>2004.0</v>
      </c>
      <c r="AM700" s="7"/>
      <c r="AN700" s="8"/>
      <c r="AO700" s="13"/>
      <c r="AP700" s="64" t="s">
        <v>415</v>
      </c>
      <c r="AQ700" s="65"/>
      <c r="AR700" s="66">
        <v>3981.071706</v>
      </c>
      <c r="AS700" s="7"/>
      <c r="AT700" s="67">
        <v>0.6025595861</v>
      </c>
      <c r="AU700" s="7"/>
      <c r="AV700" s="64">
        <v>1.862087137</v>
      </c>
      <c r="AW700" s="7"/>
      <c r="AX700" s="73">
        <v>2.88</v>
      </c>
      <c r="AY700" s="7"/>
      <c r="AZ700" s="11" t="s">
        <v>162</v>
      </c>
      <c r="BA700" s="68" t="s">
        <v>1303</v>
      </c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68" t="s">
        <v>1334</v>
      </c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2"/>
      <c r="DK700" s="12"/>
      <c r="DL700" s="12"/>
      <c r="DM700" s="69"/>
      <c r="DN700" s="69"/>
      <c r="DO700" s="69"/>
      <c r="DP700" s="69"/>
      <c r="DQ700" s="11"/>
      <c r="DR700" s="69"/>
      <c r="DS700" s="69"/>
      <c r="DT700" s="69"/>
      <c r="DU700" s="69"/>
      <c r="DV700" s="70">
        <v>-1.93</v>
      </c>
      <c r="DW700" s="10"/>
      <c r="DX700" s="71">
        <v>1.55E-9</v>
      </c>
      <c r="DY700" s="7"/>
      <c r="DZ700" s="64" t="s">
        <v>165</v>
      </c>
      <c r="EA700" s="72" t="s">
        <v>166</v>
      </c>
      <c r="EB700" s="82" t="s">
        <v>1445</v>
      </c>
    </row>
    <row r="701">
      <c r="A701" s="55" t="s">
        <v>1400</v>
      </c>
      <c r="B701" s="55" t="s">
        <v>1400</v>
      </c>
      <c r="C701" s="4"/>
      <c r="D701" s="4"/>
      <c r="E701" s="4"/>
      <c r="F701" s="57" t="s">
        <v>168</v>
      </c>
      <c r="G701" s="58">
        <v>246.7879526</v>
      </c>
      <c r="H701" s="58">
        <v>-24.56896969</v>
      </c>
      <c r="I701" s="6" t="s">
        <v>158</v>
      </c>
      <c r="J701" s="6" t="s">
        <v>169</v>
      </c>
      <c r="K701" s="58">
        <v>1.0</v>
      </c>
      <c r="L701" s="5"/>
      <c r="M701" s="59">
        <v>2.0</v>
      </c>
      <c r="N701" s="61">
        <v>130.698452530322</v>
      </c>
      <c r="O701" s="61">
        <v>-9.291</v>
      </c>
      <c r="P701" s="61">
        <v>1.026</v>
      </c>
      <c r="Q701" s="61">
        <v>-25.671</v>
      </c>
      <c r="R701" s="61">
        <v>0.741</v>
      </c>
      <c r="S701" s="60">
        <v>-7.6</v>
      </c>
      <c r="T701" s="60">
        <v>1.5</v>
      </c>
      <c r="U701" s="5"/>
      <c r="V701" s="5"/>
      <c r="W701" s="61">
        <v>4.0</v>
      </c>
      <c r="X701" s="5"/>
      <c r="Y701" s="62" t="s">
        <v>160</v>
      </c>
      <c r="Z701" s="60"/>
      <c r="AA701" s="60"/>
      <c r="AB701" s="60">
        <v>12.547</v>
      </c>
      <c r="AC701" s="60">
        <v>0.023</v>
      </c>
      <c r="AD701" s="60">
        <v>10.188</v>
      </c>
      <c r="AE701" s="60">
        <v>0.022</v>
      </c>
      <c r="AF701" s="60">
        <v>8.915</v>
      </c>
      <c r="AG701" s="60">
        <v>0.019</v>
      </c>
      <c r="AH701" s="6"/>
      <c r="AI701" s="6"/>
      <c r="AJ701" s="63" t="s">
        <v>160</v>
      </c>
      <c r="AK701" s="64" t="s">
        <v>1302</v>
      </c>
      <c r="AL701" s="64">
        <v>2004.0</v>
      </c>
      <c r="AM701" s="7"/>
      <c r="AN701" s="8"/>
      <c r="AO701" s="13"/>
      <c r="AP701" s="64" t="s">
        <v>1401</v>
      </c>
      <c r="AQ701" s="65"/>
      <c r="AR701" s="66">
        <v>3981.071706</v>
      </c>
      <c r="AS701" s="7"/>
      <c r="AT701" s="67">
        <v>0.6165950019</v>
      </c>
      <c r="AU701" s="7"/>
      <c r="AV701" s="64">
        <v>1.9498446</v>
      </c>
      <c r="AW701" s="7"/>
      <c r="AX701" s="73">
        <v>2.94</v>
      </c>
      <c r="AY701" s="7"/>
      <c r="AZ701" s="11" t="s">
        <v>162</v>
      </c>
      <c r="BA701" s="68" t="s">
        <v>1303</v>
      </c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68">
        <v>-1.7</v>
      </c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2"/>
      <c r="DK701" s="12"/>
      <c r="DL701" s="12"/>
      <c r="DM701" s="69"/>
      <c r="DN701" s="69"/>
      <c r="DO701" s="69"/>
      <c r="DP701" s="69"/>
      <c r="DQ701" s="11"/>
      <c r="DR701" s="69"/>
      <c r="DS701" s="69"/>
      <c r="DT701" s="69"/>
      <c r="DU701" s="69"/>
      <c r="DV701" s="70">
        <v>-1.19</v>
      </c>
      <c r="DW701" s="10"/>
      <c r="DX701" s="71">
        <v>8.51E-9</v>
      </c>
      <c r="DY701" s="7"/>
      <c r="DZ701" s="64" t="s">
        <v>165</v>
      </c>
      <c r="EA701" s="72" t="s">
        <v>166</v>
      </c>
      <c r="EB701" s="13"/>
    </row>
    <row r="702">
      <c r="A702" s="55" t="s">
        <v>1446</v>
      </c>
      <c r="B702" s="55" t="s">
        <v>1447</v>
      </c>
      <c r="C702" s="4" t="s">
        <v>156</v>
      </c>
      <c r="D702" s="57">
        <v>3.17</v>
      </c>
      <c r="E702" s="57" t="s">
        <v>137</v>
      </c>
      <c r="F702" s="57" t="s">
        <v>168</v>
      </c>
      <c r="G702" s="58">
        <v>246.8154</v>
      </c>
      <c r="H702" s="58">
        <v>-24.64539</v>
      </c>
      <c r="I702" s="6" t="s">
        <v>158</v>
      </c>
      <c r="J702" s="6" t="s">
        <v>169</v>
      </c>
      <c r="K702" s="58">
        <v>1.0</v>
      </c>
      <c r="L702" s="5"/>
      <c r="M702" s="59"/>
      <c r="N702" s="60"/>
      <c r="O702" s="60"/>
      <c r="P702" s="60"/>
      <c r="Q702" s="60"/>
      <c r="R702" s="60"/>
      <c r="S702" s="60">
        <v>-1.96</v>
      </c>
      <c r="T702" s="60">
        <v>0.82</v>
      </c>
      <c r="U702" s="5"/>
      <c r="V702" s="5"/>
      <c r="W702" s="61">
        <v>5.0</v>
      </c>
      <c r="X702" s="5"/>
      <c r="Y702" s="62" t="s">
        <v>160</v>
      </c>
      <c r="Z702" s="60"/>
      <c r="AA702" s="60"/>
      <c r="AB702" s="60">
        <v>14.17</v>
      </c>
      <c r="AC702" s="60">
        <v>0.01</v>
      </c>
      <c r="AD702" s="60">
        <v>11.62</v>
      </c>
      <c r="AE702" s="60">
        <v>0.01</v>
      </c>
      <c r="AF702" s="60">
        <v>9.484</v>
      </c>
      <c r="AG702" s="60">
        <v>0.053</v>
      </c>
      <c r="AH702" s="6"/>
      <c r="AI702" s="6"/>
      <c r="AJ702" s="63" t="s">
        <v>160</v>
      </c>
      <c r="AK702" s="64" t="s">
        <v>161</v>
      </c>
      <c r="AL702" s="64">
        <v>2004.0</v>
      </c>
      <c r="AM702" s="7"/>
      <c r="AN702" s="8"/>
      <c r="AO702" s="13"/>
      <c r="AP702" s="13"/>
      <c r="AQ702" s="7"/>
      <c r="AR702" s="66">
        <v>3981.071706</v>
      </c>
      <c r="AS702" s="7"/>
      <c r="AT702" s="67">
        <v>0.6309573445</v>
      </c>
      <c r="AU702" s="7"/>
      <c r="AV702" s="64">
        <v>2.041737945</v>
      </c>
      <c r="AW702" s="7"/>
      <c r="AX702" s="73">
        <v>3.01</v>
      </c>
      <c r="AY702" s="7"/>
      <c r="AZ702" s="11" t="s">
        <v>162</v>
      </c>
      <c r="BA702" s="68" t="s">
        <v>1303</v>
      </c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68" t="s">
        <v>1334</v>
      </c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2"/>
      <c r="DK702" s="12"/>
      <c r="DL702" s="12"/>
      <c r="DM702" s="69"/>
      <c r="DN702" s="69"/>
      <c r="DO702" s="69"/>
      <c r="DP702" s="69"/>
      <c r="DQ702" s="11"/>
      <c r="DR702" s="69"/>
      <c r="DS702" s="69"/>
      <c r="DT702" s="69"/>
      <c r="DU702" s="69"/>
      <c r="DV702" s="70">
        <v>-1.89</v>
      </c>
      <c r="DW702" s="10"/>
      <c r="DX702" s="71">
        <v>1.66E-9</v>
      </c>
      <c r="DY702" s="7"/>
      <c r="DZ702" s="64" t="s">
        <v>165</v>
      </c>
      <c r="EA702" s="72" t="s">
        <v>166</v>
      </c>
      <c r="EB702" s="7"/>
    </row>
    <row r="703">
      <c r="A703" s="55" t="s">
        <v>1448</v>
      </c>
      <c r="B703" s="55" t="s">
        <v>1449</v>
      </c>
      <c r="C703" s="4"/>
      <c r="D703" s="3"/>
      <c r="E703" s="57" t="s">
        <v>137</v>
      </c>
      <c r="F703" s="57" t="s">
        <v>168</v>
      </c>
      <c r="G703" s="58">
        <v>246.543048</v>
      </c>
      <c r="H703" s="58">
        <v>-24.348562</v>
      </c>
      <c r="I703" s="6" t="s">
        <v>158</v>
      </c>
      <c r="J703" s="6" t="s">
        <v>169</v>
      </c>
      <c r="K703" s="58">
        <v>1.0</v>
      </c>
      <c r="L703" s="5"/>
      <c r="M703" s="59"/>
      <c r="N703" s="60"/>
      <c r="O703" s="60"/>
      <c r="P703" s="60"/>
      <c r="Q703" s="60"/>
      <c r="R703" s="60"/>
      <c r="S703" s="60">
        <v>-7.58</v>
      </c>
      <c r="T703" s="60">
        <v>0.14</v>
      </c>
      <c r="U703" s="5"/>
      <c r="V703" s="5"/>
      <c r="W703" s="61">
        <v>5.8</v>
      </c>
      <c r="X703" s="5"/>
      <c r="Y703" s="62" t="s">
        <v>160</v>
      </c>
      <c r="Z703" s="60"/>
      <c r="AA703" s="60"/>
      <c r="AB703" s="60">
        <v>14.37</v>
      </c>
      <c r="AC703" s="60">
        <v>0.036</v>
      </c>
      <c r="AD703" s="60">
        <v>10.85</v>
      </c>
      <c r="AE703" s="60">
        <v>0.023</v>
      </c>
      <c r="AF703" s="60">
        <v>8.475</v>
      </c>
      <c r="AG703" s="60">
        <v>0.023</v>
      </c>
      <c r="AH703" s="6"/>
      <c r="AI703" s="6"/>
      <c r="AJ703" s="63" t="s">
        <v>160</v>
      </c>
      <c r="AK703" s="64" t="s">
        <v>161</v>
      </c>
      <c r="AL703" s="64">
        <v>2004.0</v>
      </c>
      <c r="AM703" s="7"/>
      <c r="AN703" s="8"/>
      <c r="AO703" s="13"/>
      <c r="AP703" s="64" t="s">
        <v>427</v>
      </c>
      <c r="AQ703" s="65"/>
      <c r="AR703" s="66">
        <v>4073.802778</v>
      </c>
      <c r="AS703" s="7"/>
      <c r="AT703" s="67">
        <v>0.645654229</v>
      </c>
      <c r="AU703" s="7"/>
      <c r="AV703" s="64">
        <v>2.13796209</v>
      </c>
      <c r="AW703" s="7"/>
      <c r="AX703" s="73">
        <v>2.94</v>
      </c>
      <c r="AY703" s="7"/>
      <c r="AZ703" s="11" t="s">
        <v>162</v>
      </c>
      <c r="BA703" s="68" t="s">
        <v>1303</v>
      </c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68" t="s">
        <v>183</v>
      </c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2"/>
      <c r="DK703" s="12"/>
      <c r="DL703" s="12"/>
      <c r="DM703" s="69"/>
      <c r="DN703" s="69"/>
      <c r="DO703" s="69"/>
      <c r="DP703" s="69"/>
      <c r="DQ703" s="11"/>
      <c r="DR703" s="69"/>
      <c r="DS703" s="69"/>
      <c r="DT703" s="69"/>
      <c r="DU703" s="69"/>
      <c r="DV703" s="70">
        <v>-1.58</v>
      </c>
      <c r="DW703" s="10"/>
      <c r="DX703" s="71">
        <v>3.31E-9</v>
      </c>
      <c r="DY703" s="7"/>
      <c r="DZ703" s="64" t="s">
        <v>165</v>
      </c>
      <c r="EA703" s="72" t="s">
        <v>166</v>
      </c>
      <c r="EB703" s="7"/>
    </row>
    <row r="704">
      <c r="A704" s="55" t="s">
        <v>1450</v>
      </c>
      <c r="B704" s="55" t="s">
        <v>1450</v>
      </c>
      <c r="C704" s="4"/>
      <c r="D704" s="3"/>
      <c r="E704" s="57" t="s">
        <v>137</v>
      </c>
      <c r="F704" s="57" t="s">
        <v>168</v>
      </c>
      <c r="G704" s="58">
        <v>246.839453</v>
      </c>
      <c r="H704" s="58">
        <v>-24.695297</v>
      </c>
      <c r="I704" s="6" t="s">
        <v>158</v>
      </c>
      <c r="J704" s="6" t="s">
        <v>169</v>
      </c>
      <c r="K704" s="58">
        <v>1.0</v>
      </c>
      <c r="L704" s="5"/>
      <c r="M704" s="59"/>
      <c r="N704" s="60"/>
      <c r="O704" s="60">
        <v>-9.6</v>
      </c>
      <c r="P704" s="60">
        <v>0.5</v>
      </c>
      <c r="Q704" s="60">
        <v>-21.3</v>
      </c>
      <c r="R704" s="60">
        <v>0.5</v>
      </c>
      <c r="S704" s="60">
        <v>-5.46</v>
      </c>
      <c r="T704" s="60">
        <v>0.37</v>
      </c>
      <c r="U704" s="5"/>
      <c r="V704" s="5"/>
      <c r="W704" s="61">
        <v>6.6</v>
      </c>
      <c r="X704" s="5"/>
      <c r="Y704" s="62" t="s">
        <v>160</v>
      </c>
      <c r="Z704" s="60"/>
      <c r="AA704" s="60"/>
      <c r="AB704" s="60">
        <v>15.216</v>
      </c>
      <c r="AC704" s="60">
        <v>0.041</v>
      </c>
      <c r="AD704" s="60">
        <v>11.246</v>
      </c>
      <c r="AE704" s="60">
        <v>0.026</v>
      </c>
      <c r="AF704" s="60">
        <v>8.483</v>
      </c>
      <c r="AG704" s="60">
        <v>0.021</v>
      </c>
      <c r="AH704" s="6"/>
      <c r="AI704" s="6"/>
      <c r="AJ704" s="63" t="s">
        <v>160</v>
      </c>
      <c r="AK704" s="64" t="s">
        <v>161</v>
      </c>
      <c r="AL704" s="64">
        <v>2004.0</v>
      </c>
      <c r="AM704" s="7"/>
      <c r="AN704" s="8"/>
      <c r="AO704" s="13"/>
      <c r="AP704" s="13"/>
      <c r="AQ704" s="7"/>
      <c r="AR704" s="66">
        <v>4073.802778</v>
      </c>
      <c r="AS704" s="7"/>
      <c r="AT704" s="67">
        <v>0.645654229</v>
      </c>
      <c r="AU704" s="7"/>
      <c r="AV704" s="64">
        <v>2.089296131</v>
      </c>
      <c r="AW704" s="7"/>
      <c r="AX704" s="73">
        <v>2.88</v>
      </c>
      <c r="AY704" s="7"/>
      <c r="AZ704" s="11" t="s">
        <v>162</v>
      </c>
      <c r="BA704" s="68" t="s">
        <v>1303</v>
      </c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68" t="s">
        <v>1356</v>
      </c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2"/>
      <c r="DK704" s="12"/>
      <c r="DL704" s="12"/>
      <c r="DM704" s="69"/>
      <c r="DN704" s="69"/>
      <c r="DO704" s="69"/>
      <c r="DP704" s="69"/>
      <c r="DQ704" s="11"/>
      <c r="DR704" s="69"/>
      <c r="DS704" s="69"/>
      <c r="DT704" s="69"/>
      <c r="DU704" s="69"/>
      <c r="DV704" s="70">
        <v>-1.52</v>
      </c>
      <c r="DW704" s="10"/>
      <c r="DX704" s="71">
        <v>3.8E-9</v>
      </c>
      <c r="DY704" s="7"/>
      <c r="DZ704" s="64" t="s">
        <v>165</v>
      </c>
      <c r="EA704" s="72" t="s">
        <v>166</v>
      </c>
      <c r="EB704" s="7"/>
    </row>
    <row r="705">
      <c r="A705" s="55" t="s">
        <v>1451</v>
      </c>
      <c r="B705" s="55" t="s">
        <v>1452</v>
      </c>
      <c r="C705" s="4"/>
      <c r="D705" s="4"/>
      <c r="E705" s="4"/>
      <c r="F705" s="57" t="s">
        <v>168</v>
      </c>
      <c r="G705" s="58">
        <v>246.6917</v>
      </c>
      <c r="H705" s="58">
        <v>-24.2</v>
      </c>
      <c r="I705" s="6" t="s">
        <v>158</v>
      </c>
      <c r="J705" s="6" t="s">
        <v>169</v>
      </c>
      <c r="K705" s="58">
        <v>1.0</v>
      </c>
      <c r="L705" s="5"/>
      <c r="M705" s="59">
        <v>2.0</v>
      </c>
      <c r="N705" s="61">
        <v>109.536223629154</v>
      </c>
      <c r="O705" s="61">
        <v>-2.7</v>
      </c>
      <c r="P705" s="61">
        <v>1.138</v>
      </c>
      <c r="Q705" s="61">
        <v>-25.318</v>
      </c>
      <c r="R705" s="61">
        <v>0.748</v>
      </c>
      <c r="S705" s="60"/>
      <c r="T705" s="60"/>
      <c r="U705" s="5"/>
      <c r="V705" s="5"/>
      <c r="W705" s="61">
        <v>1.4</v>
      </c>
      <c r="X705" s="5"/>
      <c r="Y705" s="187" t="s">
        <v>160</v>
      </c>
      <c r="Z705" s="60">
        <v>13.9</v>
      </c>
      <c r="AA705" s="60"/>
      <c r="AB705" s="60">
        <v>9.682</v>
      </c>
      <c r="AC705" s="60">
        <v>0.028</v>
      </c>
      <c r="AD705" s="60">
        <v>8.306</v>
      </c>
      <c r="AE705" s="60">
        <v>0.049</v>
      </c>
      <c r="AF705" s="60">
        <v>7.485</v>
      </c>
      <c r="AG705" s="60">
        <v>0.023</v>
      </c>
      <c r="AH705" s="6"/>
      <c r="AI705" s="6"/>
      <c r="AJ705" s="63" t="s">
        <v>160</v>
      </c>
      <c r="AK705" s="64" t="s">
        <v>161</v>
      </c>
      <c r="AL705" s="64">
        <v>2004.0</v>
      </c>
      <c r="AM705" s="7"/>
      <c r="AN705" s="8"/>
      <c r="AO705" s="13"/>
      <c r="AP705" s="64" t="s">
        <v>1453</v>
      </c>
      <c r="AQ705" s="65"/>
      <c r="AR705" s="66">
        <v>4073.802778</v>
      </c>
      <c r="AS705" s="7"/>
      <c r="AT705" s="67">
        <v>0.6760829754</v>
      </c>
      <c r="AU705" s="7"/>
      <c r="AV705" s="64">
        <v>2.344228815</v>
      </c>
      <c r="AW705" s="7"/>
      <c r="AX705" s="73">
        <v>3.08</v>
      </c>
      <c r="AY705" s="7"/>
      <c r="AZ705" s="11" t="s">
        <v>162</v>
      </c>
      <c r="BA705" s="68" t="s">
        <v>1303</v>
      </c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68">
        <v>-0.6</v>
      </c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2"/>
      <c r="DK705" s="12"/>
      <c r="DL705" s="12"/>
      <c r="DM705" s="69"/>
      <c r="DN705" s="69"/>
      <c r="DO705" s="69"/>
      <c r="DP705" s="69"/>
      <c r="DQ705" s="11"/>
      <c r="DR705" s="69"/>
      <c r="DS705" s="69"/>
      <c r="DT705" s="69"/>
      <c r="DU705" s="69"/>
      <c r="DV705" s="70">
        <v>-1.7</v>
      </c>
      <c r="DW705" s="10"/>
      <c r="DX705" s="71">
        <v>2.45E-9</v>
      </c>
      <c r="DY705" s="7"/>
      <c r="DZ705" s="64" t="s">
        <v>165</v>
      </c>
      <c r="EA705" s="72" t="s">
        <v>166</v>
      </c>
      <c r="EB705" s="7"/>
    </row>
    <row r="706">
      <c r="A706" s="55" t="s">
        <v>1350</v>
      </c>
      <c r="B706" s="55" t="s">
        <v>1350</v>
      </c>
      <c r="C706" s="4"/>
      <c r="D706" s="4"/>
      <c r="E706" s="4"/>
      <c r="F706" s="57" t="s">
        <v>168</v>
      </c>
      <c r="G706" s="58">
        <v>246.598249</v>
      </c>
      <c r="H706" s="58">
        <v>-24.410971</v>
      </c>
      <c r="I706" s="6" t="s">
        <v>158</v>
      </c>
      <c r="J706" s="6" t="s">
        <v>169</v>
      </c>
      <c r="K706" s="61">
        <v>1.0</v>
      </c>
      <c r="L706" s="5"/>
      <c r="M706" s="5"/>
      <c r="N706" s="6"/>
      <c r="O706" s="5"/>
      <c r="P706" s="5"/>
      <c r="Q706" s="5"/>
      <c r="R706" s="5"/>
      <c r="S706" s="60">
        <v>-7.9</v>
      </c>
      <c r="T706" s="60">
        <v>1.5</v>
      </c>
      <c r="U706" s="6">
        <f>W706/0.243</f>
        <v>16.04938272</v>
      </c>
      <c r="V706" s="6">
        <f>U706*SQRT((X706/W706)^2 + (0.004/0.243)^2)</f>
        <v>4.123697707</v>
      </c>
      <c r="W706" s="60">
        <v>3.9</v>
      </c>
      <c r="X706" s="60">
        <v>1.0</v>
      </c>
      <c r="Y706" s="188" t="s">
        <v>1308</v>
      </c>
      <c r="Z706" s="60"/>
      <c r="AA706" s="165"/>
      <c r="AB706" s="59">
        <v>15.05</v>
      </c>
      <c r="AC706" s="60">
        <v>0.06</v>
      </c>
      <c r="AD706" s="61">
        <v>12.253</v>
      </c>
      <c r="AE706" s="61">
        <v>0.043</v>
      </c>
      <c r="AF706" s="59">
        <v>10.22</v>
      </c>
      <c r="AG706" s="60">
        <v>0.03</v>
      </c>
      <c r="AH706" s="6"/>
      <c r="AI706" s="6"/>
      <c r="AJ706" s="76" t="s">
        <v>1309</v>
      </c>
      <c r="AK706" s="64" t="s">
        <v>1310</v>
      </c>
      <c r="AL706" s="64">
        <v>2005.0</v>
      </c>
      <c r="AM706" s="13"/>
      <c r="AN706" s="77">
        <v>150.0</v>
      </c>
      <c r="AO706" s="13"/>
      <c r="AP706" s="13" t="s">
        <v>459</v>
      </c>
      <c r="AQ706" s="97">
        <v>4.0</v>
      </c>
      <c r="AR706" s="78">
        <v>4350.0</v>
      </c>
      <c r="AS706" s="64">
        <v>150.0</v>
      </c>
      <c r="AT706" s="79">
        <v>0.7</v>
      </c>
      <c r="AU706" s="7"/>
      <c r="AV706" s="64">
        <v>0.16</v>
      </c>
      <c r="AW706" s="7"/>
      <c r="AX706" s="70"/>
      <c r="AY706" s="64"/>
      <c r="AZ706" s="11" t="s">
        <v>162</v>
      </c>
      <c r="BA706" s="68" t="s">
        <v>1303</v>
      </c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68">
        <v>4.4</v>
      </c>
      <c r="CA706" s="68">
        <v>0.5</v>
      </c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68">
        <v>0.8</v>
      </c>
      <c r="CM706" s="68">
        <v>0.3</v>
      </c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69"/>
      <c r="DN706" s="69"/>
      <c r="DO706" s="69"/>
      <c r="DP706" s="69"/>
      <c r="DQ706" s="11"/>
      <c r="DR706" s="69"/>
      <c r="DS706" s="69"/>
      <c r="DT706" s="69"/>
      <c r="DU706" s="69"/>
      <c r="DV706" s="7"/>
      <c r="DW706" s="10"/>
      <c r="DX706" s="81">
        <v>2.45E-10</v>
      </c>
      <c r="DY706" s="64"/>
      <c r="DZ706" s="64" t="s">
        <v>1311</v>
      </c>
      <c r="EA706" s="13"/>
      <c r="EB706" s="13"/>
    </row>
    <row r="707">
      <c r="A707" s="55" t="s">
        <v>1454</v>
      </c>
      <c r="B707" s="55" t="s">
        <v>1455</v>
      </c>
      <c r="C707" s="4" t="s">
        <v>156</v>
      </c>
      <c r="D707" s="57">
        <v>5.08</v>
      </c>
      <c r="E707" s="3"/>
      <c r="F707" s="57" t="s">
        <v>168</v>
      </c>
      <c r="G707" s="58">
        <v>246.7417</v>
      </c>
      <c r="H707" s="58">
        <v>-24.7589</v>
      </c>
      <c r="I707" s="6" t="s">
        <v>158</v>
      </c>
      <c r="J707" s="6" t="s">
        <v>169</v>
      </c>
      <c r="K707" s="58">
        <v>1.0</v>
      </c>
      <c r="L707" s="5"/>
      <c r="M707" s="59"/>
      <c r="N707" s="60"/>
      <c r="O707" s="60">
        <v>-11.3</v>
      </c>
      <c r="P707" s="60">
        <v>1.7</v>
      </c>
      <c r="Q707" s="60">
        <v>-25.1</v>
      </c>
      <c r="R707" s="60">
        <v>1.9</v>
      </c>
      <c r="S707" s="60">
        <v>0.89</v>
      </c>
      <c r="T707" s="60">
        <v>0.42</v>
      </c>
      <c r="U707" s="5"/>
      <c r="V707" s="5"/>
      <c r="W707" s="61">
        <v>2.1</v>
      </c>
      <c r="X707" s="5"/>
      <c r="Y707" s="187" t="s">
        <v>160</v>
      </c>
      <c r="Z707" s="60"/>
      <c r="AA707" s="60"/>
      <c r="AB707" s="60">
        <v>10.365</v>
      </c>
      <c r="AC707" s="60">
        <v>0.03</v>
      </c>
      <c r="AD707" s="60">
        <v>8.635</v>
      </c>
      <c r="AE707" s="60">
        <v>0.09</v>
      </c>
      <c r="AF707" s="60">
        <v>7.549</v>
      </c>
      <c r="AG707" s="60">
        <v>0.046</v>
      </c>
      <c r="AH707" s="6"/>
      <c r="AI707" s="6"/>
      <c r="AJ707" s="63" t="s">
        <v>160</v>
      </c>
      <c r="AK707" s="64" t="s">
        <v>161</v>
      </c>
      <c r="AL707" s="64">
        <v>2004.0</v>
      </c>
      <c r="AM707" s="7"/>
      <c r="AN707" s="8"/>
      <c r="AO707" s="13"/>
      <c r="AP707" s="64" t="s">
        <v>571</v>
      </c>
      <c r="AQ707" s="65"/>
      <c r="AR707" s="66">
        <v>4168.693835</v>
      </c>
      <c r="AS707" s="7"/>
      <c r="AT707" s="67">
        <v>0.7079457844</v>
      </c>
      <c r="AU707" s="7"/>
      <c r="AV707" s="64">
        <v>2.454708916</v>
      </c>
      <c r="AW707" s="7"/>
      <c r="AX707" s="73">
        <v>3.01</v>
      </c>
      <c r="AY707" s="7"/>
      <c r="AZ707" s="11" t="s">
        <v>162</v>
      </c>
      <c r="BA707" s="68" t="s">
        <v>1303</v>
      </c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68">
        <v>-7.0</v>
      </c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70">
        <v>-0.23</v>
      </c>
      <c r="DW707" s="10"/>
      <c r="DX707" s="71">
        <v>7.08E-8</v>
      </c>
      <c r="DY707" s="7"/>
      <c r="DZ707" s="64" t="s">
        <v>165</v>
      </c>
      <c r="EA707" s="72" t="s">
        <v>166</v>
      </c>
      <c r="EB707" s="7"/>
    </row>
    <row r="708">
      <c r="A708" s="55" t="s">
        <v>1456</v>
      </c>
      <c r="B708" s="55" t="s">
        <v>1457</v>
      </c>
      <c r="C708" s="4" t="s">
        <v>156</v>
      </c>
      <c r="D708" s="57">
        <v>5.08</v>
      </c>
      <c r="E708" s="4"/>
      <c r="F708" s="57" t="s">
        <v>168</v>
      </c>
      <c r="G708" s="58">
        <v>246.7458</v>
      </c>
      <c r="H708" s="58">
        <v>-24.7603</v>
      </c>
      <c r="I708" s="6" t="s">
        <v>158</v>
      </c>
      <c r="J708" s="6" t="s">
        <v>169</v>
      </c>
      <c r="K708" s="58">
        <v>1.0</v>
      </c>
      <c r="L708" s="5"/>
      <c r="M708" s="59">
        <v>2.0</v>
      </c>
      <c r="N708" s="60">
        <v>114.424331189784</v>
      </c>
      <c r="O708" s="60">
        <v>3.498</v>
      </c>
      <c r="P708" s="60">
        <v>1.019</v>
      </c>
      <c r="Q708" s="60">
        <v>-31.822</v>
      </c>
      <c r="R708" s="60">
        <v>0.646</v>
      </c>
      <c r="S708" s="60">
        <v>-0.27</v>
      </c>
      <c r="T708" s="60">
        <v>0.61</v>
      </c>
      <c r="U708" s="5"/>
      <c r="V708" s="5"/>
      <c r="W708" s="61">
        <v>1.5</v>
      </c>
      <c r="X708" s="5"/>
      <c r="Y708" s="62" t="s">
        <v>160</v>
      </c>
      <c r="Z708" s="60">
        <v>14.15</v>
      </c>
      <c r="AA708" s="60"/>
      <c r="AB708" s="60">
        <v>9.753</v>
      </c>
      <c r="AC708" s="60">
        <v>0.032</v>
      </c>
      <c r="AD708" s="60">
        <v>8.165</v>
      </c>
      <c r="AE708" s="60">
        <v>0.038</v>
      </c>
      <c r="AF708" s="60">
        <v>7.057</v>
      </c>
      <c r="AG708" s="60">
        <v>0.034</v>
      </c>
      <c r="AH708" s="6"/>
      <c r="AI708" s="6"/>
      <c r="AJ708" s="63" t="s">
        <v>160</v>
      </c>
      <c r="AK708" s="64" t="s">
        <v>161</v>
      </c>
      <c r="AL708" s="64">
        <v>2004.0</v>
      </c>
      <c r="AM708" s="7"/>
      <c r="AN708" s="8"/>
      <c r="AO708" s="13"/>
      <c r="AP708" s="64" t="s">
        <v>1458</v>
      </c>
      <c r="AQ708" s="65"/>
      <c r="AR708" s="66">
        <v>4168.693835</v>
      </c>
      <c r="AS708" s="7"/>
      <c r="AT708" s="67">
        <v>0.7244359601</v>
      </c>
      <c r="AU708" s="7"/>
      <c r="AV708" s="64">
        <v>2.511886432</v>
      </c>
      <c r="AW708" s="7"/>
      <c r="AX708" s="73">
        <v>3.05</v>
      </c>
      <c r="AY708" s="7"/>
      <c r="AZ708" s="11" t="s">
        <v>162</v>
      </c>
      <c r="BA708" s="68" t="s">
        <v>1303</v>
      </c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68">
        <v>-10.5</v>
      </c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2"/>
      <c r="DK708" s="12"/>
      <c r="DL708" s="12"/>
      <c r="DM708" s="69"/>
      <c r="DN708" s="69"/>
      <c r="DO708" s="69"/>
      <c r="DP708" s="69"/>
      <c r="DQ708" s="11"/>
      <c r="DR708" s="69"/>
      <c r="DS708" s="69"/>
      <c r="DT708" s="69"/>
      <c r="DU708" s="69"/>
      <c r="DV708" s="70">
        <v>0.03</v>
      </c>
      <c r="DW708" s="10"/>
      <c r="DX708" s="71">
        <v>1.26E-7</v>
      </c>
      <c r="DY708" s="7"/>
      <c r="DZ708" s="64" t="s">
        <v>165</v>
      </c>
      <c r="EA708" s="72" t="s">
        <v>166</v>
      </c>
      <c r="EB708" s="82" t="s">
        <v>1459</v>
      </c>
    </row>
    <row r="709">
      <c r="A709" s="55" t="s">
        <v>1460</v>
      </c>
      <c r="B709" s="55" t="s">
        <v>1461</v>
      </c>
      <c r="C709" s="4"/>
      <c r="D709" s="4"/>
      <c r="E709" s="57" t="s">
        <v>137</v>
      </c>
      <c r="F709" s="57" t="s">
        <v>168</v>
      </c>
      <c r="G709" s="58">
        <v>246.5876202</v>
      </c>
      <c r="H709" s="58">
        <v>-24.26152426</v>
      </c>
      <c r="I709" s="6" t="s">
        <v>158</v>
      </c>
      <c r="J709" s="6" t="s">
        <v>159</v>
      </c>
      <c r="K709" s="58">
        <v>1.0</v>
      </c>
      <c r="L709" s="5"/>
      <c r="M709" s="60">
        <v>2.0</v>
      </c>
      <c r="N709" s="61">
        <v>1357.40464232387</v>
      </c>
      <c r="O709" s="61">
        <v>-3.839</v>
      </c>
      <c r="P709" s="61">
        <v>1.168</v>
      </c>
      <c r="Q709" s="61">
        <v>-2.678</v>
      </c>
      <c r="R709" s="61">
        <v>0.751</v>
      </c>
      <c r="S709" s="60"/>
      <c r="T709" s="60"/>
      <c r="U709" s="5"/>
      <c r="V709" s="5"/>
      <c r="W709" s="61">
        <v>4.5</v>
      </c>
      <c r="X709" s="5"/>
      <c r="Y709" s="187" t="s">
        <v>160</v>
      </c>
      <c r="Z709" s="60"/>
      <c r="AA709" s="60"/>
      <c r="AB709" s="60">
        <v>12.783</v>
      </c>
      <c r="AC709" s="60">
        <v>0.023</v>
      </c>
      <c r="AD709" s="60">
        <v>10.384</v>
      </c>
      <c r="AE709" s="60">
        <v>0.022</v>
      </c>
      <c r="AF709" s="60">
        <v>9.273</v>
      </c>
      <c r="AG709" s="60">
        <v>0.021</v>
      </c>
      <c r="AH709" s="6"/>
      <c r="AI709" s="6"/>
      <c r="AJ709" s="63" t="s">
        <v>160</v>
      </c>
      <c r="AK709" s="64" t="s">
        <v>161</v>
      </c>
      <c r="AL709" s="64">
        <v>2004.0</v>
      </c>
      <c r="AM709" s="7"/>
      <c r="AN709" s="8"/>
      <c r="AO709" s="13"/>
      <c r="AP709" s="13"/>
      <c r="AQ709" s="7"/>
      <c r="AR709" s="66">
        <v>4168.693835</v>
      </c>
      <c r="AS709" s="7"/>
      <c r="AT709" s="67">
        <v>0.7244359601</v>
      </c>
      <c r="AU709" s="7"/>
      <c r="AV709" s="64">
        <v>2.570395783</v>
      </c>
      <c r="AW709" s="7"/>
      <c r="AX709" s="7"/>
      <c r="AY709" s="7"/>
      <c r="AZ709" s="11" t="s">
        <v>162</v>
      </c>
      <c r="BA709" s="68" t="s">
        <v>1303</v>
      </c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68" t="s">
        <v>179</v>
      </c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2"/>
      <c r="DK709" s="12"/>
      <c r="DL709" s="12"/>
      <c r="DM709" s="69"/>
      <c r="DN709" s="69"/>
      <c r="DO709" s="69"/>
      <c r="DP709" s="69"/>
      <c r="DQ709" s="11"/>
      <c r="DR709" s="69"/>
      <c r="DS709" s="69"/>
      <c r="DT709" s="69"/>
      <c r="DU709" s="69"/>
      <c r="DV709" s="70">
        <v>-1.66</v>
      </c>
      <c r="DW709" s="10"/>
      <c r="DX709" s="71">
        <v>2.63E-9</v>
      </c>
      <c r="DY709" s="7"/>
      <c r="DZ709" s="64" t="s">
        <v>165</v>
      </c>
      <c r="EA709" s="72" t="s">
        <v>166</v>
      </c>
      <c r="EB709" s="7"/>
    </row>
    <row r="710">
      <c r="A710" s="55" t="s">
        <v>1462</v>
      </c>
      <c r="B710" s="55" t="s">
        <v>1462</v>
      </c>
      <c r="C710" s="4"/>
      <c r="D710" s="4"/>
      <c r="E710" s="4"/>
      <c r="F710" s="57" t="s">
        <v>168</v>
      </c>
      <c r="G710" s="58">
        <v>246.8879828</v>
      </c>
      <c r="H710" s="58">
        <v>-24.68757255</v>
      </c>
      <c r="I710" s="6" t="s">
        <v>158</v>
      </c>
      <c r="J710" s="6" t="s">
        <v>169</v>
      </c>
      <c r="K710" s="58">
        <v>1.0</v>
      </c>
      <c r="L710" s="5"/>
      <c r="M710" s="59">
        <v>2.0</v>
      </c>
      <c r="N710" s="61">
        <v>137.854976564653</v>
      </c>
      <c r="O710" s="61">
        <v>-8.807</v>
      </c>
      <c r="P710" s="61">
        <v>0.451</v>
      </c>
      <c r="Q710" s="61">
        <v>-25.717</v>
      </c>
      <c r="R710" s="61">
        <v>0.284</v>
      </c>
      <c r="S710" s="60"/>
      <c r="T710" s="60"/>
      <c r="U710" s="5"/>
      <c r="V710" s="5"/>
      <c r="W710" s="61">
        <v>3.2</v>
      </c>
      <c r="X710" s="5"/>
      <c r="Y710" s="187" t="s">
        <v>160</v>
      </c>
      <c r="Z710" s="60">
        <v>17.66</v>
      </c>
      <c r="AA710" s="60"/>
      <c r="AB710" s="60">
        <v>11.322</v>
      </c>
      <c r="AC710" s="60">
        <v>0.029</v>
      </c>
      <c r="AD710" s="60">
        <v>9.133</v>
      </c>
      <c r="AE710" s="60">
        <v>0.024</v>
      </c>
      <c r="AF710" s="60">
        <v>7.806</v>
      </c>
      <c r="AG710" s="60">
        <v>0.021</v>
      </c>
      <c r="AH710" s="6"/>
      <c r="AI710" s="6"/>
      <c r="AJ710" s="63" t="s">
        <v>160</v>
      </c>
      <c r="AK710" s="64" t="s">
        <v>161</v>
      </c>
      <c r="AL710" s="64">
        <v>2004.0</v>
      </c>
      <c r="AM710" s="7"/>
      <c r="AN710" s="8"/>
      <c r="AO710" s="13"/>
      <c r="AP710" s="64" t="s">
        <v>1434</v>
      </c>
      <c r="AQ710" s="65"/>
      <c r="AR710" s="66">
        <v>4265.795188</v>
      </c>
      <c r="AS710" s="7"/>
      <c r="AT710" s="67">
        <v>0.8128305162</v>
      </c>
      <c r="AU710" s="7"/>
      <c r="AV710" s="64">
        <v>3.090295433</v>
      </c>
      <c r="AW710" s="7"/>
      <c r="AX710" s="73">
        <v>3.23</v>
      </c>
      <c r="AY710" s="7"/>
      <c r="AZ710" s="11" t="s">
        <v>162</v>
      </c>
      <c r="BA710" s="68" t="s">
        <v>1303</v>
      </c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68">
        <v>-4.0</v>
      </c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2"/>
      <c r="DK710" s="12"/>
      <c r="DL710" s="12"/>
      <c r="DM710" s="69"/>
      <c r="DN710" s="69"/>
      <c r="DO710" s="69"/>
      <c r="DP710" s="69"/>
      <c r="DQ710" s="11"/>
      <c r="DR710" s="69"/>
      <c r="DS710" s="69"/>
      <c r="DT710" s="69"/>
      <c r="DU710" s="69"/>
      <c r="DV710" s="70">
        <v>-0.43</v>
      </c>
      <c r="DW710" s="10"/>
      <c r="DX710" s="71">
        <v>4.07E-8</v>
      </c>
      <c r="DY710" s="7"/>
      <c r="DZ710" s="64" t="s">
        <v>165</v>
      </c>
      <c r="EA710" s="72" t="s">
        <v>166</v>
      </c>
      <c r="EB710" s="7"/>
    </row>
    <row r="711">
      <c r="A711" s="55" t="s">
        <v>1463</v>
      </c>
      <c r="B711" s="55" t="s">
        <v>1463</v>
      </c>
      <c r="C711" s="4"/>
      <c r="D711" s="4"/>
      <c r="E711" s="4"/>
      <c r="F711" s="57" t="s">
        <v>168</v>
      </c>
      <c r="G711" s="58">
        <v>246.6003734</v>
      </c>
      <c r="H711" s="58">
        <v>-24.27040463</v>
      </c>
      <c r="I711" s="6" t="s">
        <v>158</v>
      </c>
      <c r="J711" s="6" t="s">
        <v>169</v>
      </c>
      <c r="K711" s="58">
        <v>1.0</v>
      </c>
      <c r="L711" s="5"/>
      <c r="M711" s="59">
        <v>2.0</v>
      </c>
      <c r="N711" s="61">
        <v>136.223078914029</v>
      </c>
      <c r="O711" s="61">
        <v>-8.83</v>
      </c>
      <c r="P711" s="61">
        <v>0.248</v>
      </c>
      <c r="Q711" s="61">
        <v>-24.204</v>
      </c>
      <c r="R711" s="61">
        <v>0.157</v>
      </c>
      <c r="S711" s="60"/>
      <c r="T711" s="60"/>
      <c r="U711" s="6"/>
      <c r="V711" s="5"/>
      <c r="W711" s="61">
        <v>2.0</v>
      </c>
      <c r="X711" s="5"/>
      <c r="Y711" s="187" t="s">
        <v>160</v>
      </c>
      <c r="Z711" s="60">
        <v>15.81</v>
      </c>
      <c r="AA711" s="60"/>
      <c r="AB711" s="60">
        <v>9.999</v>
      </c>
      <c r="AC711" s="60">
        <v>0.023</v>
      </c>
      <c r="AD711" s="60">
        <v>8.092</v>
      </c>
      <c r="AE711" s="60">
        <v>0.049</v>
      </c>
      <c r="AF711" s="60">
        <v>6.685</v>
      </c>
      <c r="AG711" s="60">
        <v>0.023</v>
      </c>
      <c r="AH711" s="6"/>
      <c r="AI711" s="6"/>
      <c r="AJ711" s="63" t="s">
        <v>160</v>
      </c>
      <c r="AK711" s="64" t="s">
        <v>161</v>
      </c>
      <c r="AL711" s="64">
        <v>2004.0</v>
      </c>
      <c r="AM711" s="7"/>
      <c r="AN711" s="8"/>
      <c r="AO711" s="13"/>
      <c r="AP711" s="13" t="s">
        <v>453</v>
      </c>
      <c r="AQ711" s="64"/>
      <c r="AR711" s="66">
        <v>4265.795188</v>
      </c>
      <c r="AS711" s="7"/>
      <c r="AT711" s="67">
        <v>0.8511380382</v>
      </c>
      <c r="AU711" s="7"/>
      <c r="AV711" s="64">
        <v>3.388441561</v>
      </c>
      <c r="AW711" s="7"/>
      <c r="AX711" s="73">
        <v>3.38</v>
      </c>
      <c r="AY711" s="7"/>
      <c r="AZ711" s="11" t="s">
        <v>162</v>
      </c>
      <c r="BA711" s="68" t="s">
        <v>1303</v>
      </c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68">
        <v>-12.7</v>
      </c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2"/>
      <c r="DK711" s="12"/>
      <c r="DL711" s="12"/>
      <c r="DM711" s="69"/>
      <c r="DN711" s="69"/>
      <c r="DO711" s="69"/>
      <c r="DP711" s="69"/>
      <c r="DQ711" s="11"/>
      <c r="DR711" s="69"/>
      <c r="DS711" s="69"/>
      <c r="DT711" s="69"/>
      <c r="DU711" s="69"/>
      <c r="DV711" s="70">
        <v>0.3</v>
      </c>
      <c r="DW711" s="10"/>
      <c r="DX711" s="71">
        <v>2.14E-7</v>
      </c>
      <c r="DY711" s="7"/>
      <c r="DZ711" s="64" t="s">
        <v>165</v>
      </c>
      <c r="EA711" s="72" t="s">
        <v>166</v>
      </c>
      <c r="EB711" s="13"/>
    </row>
    <row r="712">
      <c r="A712" s="55" t="s">
        <v>1464</v>
      </c>
      <c r="B712" s="55" t="s">
        <v>1464</v>
      </c>
      <c r="C712" s="4"/>
      <c r="D712" s="3"/>
      <c r="E712" s="3"/>
      <c r="F712" s="57" t="s">
        <v>168</v>
      </c>
      <c r="G712" s="58">
        <v>246.678559</v>
      </c>
      <c r="H712" s="58">
        <v>-24.341628</v>
      </c>
      <c r="I712" s="6" t="s">
        <v>158</v>
      </c>
      <c r="J712" s="6" t="s">
        <v>169</v>
      </c>
      <c r="K712" s="58">
        <v>1.0</v>
      </c>
      <c r="L712" s="5"/>
      <c r="M712" s="59"/>
      <c r="N712" s="61"/>
      <c r="O712" s="61">
        <v>-10.0</v>
      </c>
      <c r="P712" s="61">
        <v>1.0</v>
      </c>
      <c r="Q712" s="61">
        <v>-24.0</v>
      </c>
      <c r="R712" s="61">
        <v>3.0</v>
      </c>
      <c r="S712" s="60"/>
      <c r="T712" s="60"/>
      <c r="U712" s="5"/>
      <c r="V712" s="5"/>
      <c r="W712" s="61">
        <v>2.5</v>
      </c>
      <c r="X712" s="5"/>
      <c r="Y712" s="62" t="s">
        <v>160</v>
      </c>
      <c r="Z712" s="60">
        <v>16.29</v>
      </c>
      <c r="AA712" s="60">
        <v>0.03</v>
      </c>
      <c r="AB712" s="60">
        <v>10.499</v>
      </c>
      <c r="AC712" s="60">
        <v>0.026</v>
      </c>
      <c r="AD712" s="60">
        <v>8.767</v>
      </c>
      <c r="AE712" s="60">
        <v>0.026</v>
      </c>
      <c r="AF712" s="60">
        <v>7.878</v>
      </c>
      <c r="AG712" s="60">
        <v>0.026</v>
      </c>
      <c r="AH712" s="6"/>
      <c r="AI712" s="6"/>
      <c r="AJ712" s="63" t="s">
        <v>160</v>
      </c>
      <c r="AK712" s="64" t="s">
        <v>161</v>
      </c>
      <c r="AL712" s="64">
        <v>2004.0</v>
      </c>
      <c r="AM712" s="7"/>
      <c r="AN712" s="8"/>
      <c r="AO712" s="13"/>
      <c r="AP712" s="64" t="s">
        <v>434</v>
      </c>
      <c r="AQ712" s="65"/>
      <c r="AR712" s="66">
        <v>4265.795188</v>
      </c>
      <c r="AS712" s="7"/>
      <c r="AT712" s="67">
        <v>0.8511380382</v>
      </c>
      <c r="AU712" s="7"/>
      <c r="AV712" s="64">
        <v>3.388441561</v>
      </c>
      <c r="AW712" s="7"/>
      <c r="AX712" s="73">
        <v>3.38</v>
      </c>
      <c r="AY712" s="7"/>
      <c r="AZ712" s="11" t="s">
        <v>162</v>
      </c>
      <c r="BA712" s="68" t="s">
        <v>1303</v>
      </c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68">
        <v>-1.4</v>
      </c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2"/>
      <c r="DK712" s="12"/>
      <c r="DL712" s="12"/>
      <c r="DM712" s="69"/>
      <c r="DN712" s="69"/>
      <c r="DO712" s="69"/>
      <c r="DP712" s="69"/>
      <c r="DQ712" s="11"/>
      <c r="DR712" s="69"/>
      <c r="DS712" s="69"/>
      <c r="DT712" s="69"/>
      <c r="DU712" s="69"/>
      <c r="DV712" s="70">
        <v>-1.01</v>
      </c>
      <c r="DW712" s="10"/>
      <c r="DX712" s="71">
        <v>1.05E-8</v>
      </c>
      <c r="DY712" s="7"/>
      <c r="DZ712" s="64" t="s">
        <v>165</v>
      </c>
      <c r="EA712" s="72" t="s">
        <v>166</v>
      </c>
      <c r="EB712" s="7"/>
    </row>
    <row r="713">
      <c r="A713" s="55" t="s">
        <v>1465</v>
      </c>
      <c r="B713" s="55" t="s">
        <v>1465</v>
      </c>
      <c r="C713" s="4"/>
      <c r="D713" s="3"/>
      <c r="E713" s="57" t="s">
        <v>137</v>
      </c>
      <c r="F713" s="57" t="s">
        <v>168</v>
      </c>
      <c r="G713" s="58">
        <v>246.7051392</v>
      </c>
      <c r="H713" s="58">
        <v>-24.33428029</v>
      </c>
      <c r="I713" s="6" t="s">
        <v>158</v>
      </c>
      <c r="J713" s="6" t="s">
        <v>159</v>
      </c>
      <c r="K713" s="58">
        <v>1.0</v>
      </c>
      <c r="L713" s="5"/>
      <c r="M713" s="59"/>
      <c r="N713" s="60"/>
      <c r="O713" s="60"/>
      <c r="P713" s="60"/>
      <c r="Q713" s="60"/>
      <c r="R713" s="60"/>
      <c r="S713" s="60"/>
      <c r="T713" s="60"/>
      <c r="U713" s="5"/>
      <c r="V713" s="5"/>
      <c r="W713" s="61">
        <v>4.2</v>
      </c>
      <c r="X713" s="5"/>
      <c r="Y713" s="187" t="s">
        <v>160</v>
      </c>
      <c r="Z713" s="60"/>
      <c r="AA713" s="60"/>
      <c r="AB713" s="60">
        <v>12.2</v>
      </c>
      <c r="AC713" s="60">
        <v>0.023</v>
      </c>
      <c r="AD713" s="60">
        <v>9.852</v>
      </c>
      <c r="AE713" s="60">
        <v>0.023</v>
      </c>
      <c r="AF713" s="60">
        <v>8.687</v>
      </c>
      <c r="AG713" s="60">
        <v>0.021</v>
      </c>
      <c r="AH713" s="6"/>
      <c r="AI713" s="6"/>
      <c r="AJ713" s="63" t="s">
        <v>160</v>
      </c>
      <c r="AK713" s="64" t="s">
        <v>161</v>
      </c>
      <c r="AL713" s="64">
        <v>2004.0</v>
      </c>
      <c r="AM713" s="7"/>
      <c r="AN713" s="8"/>
      <c r="AO713" s="13"/>
      <c r="AP713" s="13"/>
      <c r="AQ713" s="7"/>
      <c r="AR713" s="66">
        <v>4265.795188</v>
      </c>
      <c r="AS713" s="7"/>
      <c r="AT713" s="67">
        <v>0.8511380382</v>
      </c>
      <c r="AU713" s="7"/>
      <c r="AV713" s="64">
        <v>3.388441561</v>
      </c>
      <c r="AW713" s="7"/>
      <c r="AX713" s="73">
        <v>3.38</v>
      </c>
      <c r="AY713" s="7"/>
      <c r="AZ713" s="11" t="s">
        <v>162</v>
      </c>
      <c r="BA713" s="68" t="s">
        <v>1303</v>
      </c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68" t="s">
        <v>1348</v>
      </c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2"/>
      <c r="DK713" s="12"/>
      <c r="DL713" s="12"/>
      <c r="DM713" s="69"/>
      <c r="DN713" s="69"/>
      <c r="DO713" s="69"/>
      <c r="DP713" s="69"/>
      <c r="DQ713" s="11"/>
      <c r="DR713" s="69"/>
      <c r="DS713" s="69"/>
      <c r="DT713" s="69"/>
      <c r="DU713" s="69"/>
      <c r="DV713" s="70">
        <v>-1.75</v>
      </c>
      <c r="DW713" s="10"/>
      <c r="DX713" s="71">
        <v>1.91E-9</v>
      </c>
      <c r="DY713" s="7"/>
      <c r="DZ713" s="64" t="s">
        <v>165</v>
      </c>
      <c r="EA713" s="72" t="s">
        <v>166</v>
      </c>
      <c r="EB713" s="7"/>
    </row>
    <row r="714">
      <c r="A714" s="55" t="s">
        <v>1466</v>
      </c>
      <c r="B714" s="55" t="s">
        <v>1467</v>
      </c>
      <c r="C714" s="4"/>
      <c r="D714" s="3"/>
      <c r="E714" s="57" t="s">
        <v>137</v>
      </c>
      <c r="F714" s="57" t="s">
        <v>168</v>
      </c>
      <c r="G714" s="58">
        <v>246.5702435</v>
      </c>
      <c r="H714" s="58">
        <v>-24.37309837</v>
      </c>
      <c r="I714" s="6" t="s">
        <v>158</v>
      </c>
      <c r="J714" s="6" t="s">
        <v>169</v>
      </c>
      <c r="K714" s="58">
        <v>1.0</v>
      </c>
      <c r="L714" s="5"/>
      <c r="M714" s="59">
        <v>2.0</v>
      </c>
      <c r="N714" s="61">
        <v>138.178803371562</v>
      </c>
      <c r="O714" s="61">
        <v>-8.896</v>
      </c>
      <c r="P714" s="61">
        <v>0.343</v>
      </c>
      <c r="Q714" s="61">
        <v>-26.968</v>
      </c>
      <c r="R714" s="61">
        <v>0.205</v>
      </c>
      <c r="S714" s="60">
        <v>-6.7</v>
      </c>
      <c r="T714" s="60">
        <v>1.4</v>
      </c>
      <c r="U714" s="5"/>
      <c r="V714" s="5"/>
      <c r="W714" s="61">
        <v>3.1</v>
      </c>
      <c r="X714" s="5"/>
      <c r="Y714" s="187" t="s">
        <v>160</v>
      </c>
      <c r="Z714" s="60">
        <v>17.4</v>
      </c>
      <c r="AA714" s="60"/>
      <c r="AB714" s="60">
        <v>11.025</v>
      </c>
      <c r="AC714" s="60">
        <v>0.021</v>
      </c>
      <c r="AD714" s="60">
        <v>9.126</v>
      </c>
      <c r="AE714" s="60">
        <v>0.024</v>
      </c>
      <c r="AF714" s="60">
        <v>8.201</v>
      </c>
      <c r="AG714" s="60">
        <v>0.027</v>
      </c>
      <c r="AH714" s="6"/>
      <c r="AI714" s="6"/>
      <c r="AJ714" s="63" t="s">
        <v>160</v>
      </c>
      <c r="AK714" s="64" t="s">
        <v>161</v>
      </c>
      <c r="AL714" s="64">
        <v>2004.0</v>
      </c>
      <c r="AM714" s="7"/>
      <c r="AN714" s="8"/>
      <c r="AO714" s="13"/>
      <c r="AP714" s="64" t="s">
        <v>1434</v>
      </c>
      <c r="AQ714" s="65"/>
      <c r="AR714" s="66">
        <v>4365.158322</v>
      </c>
      <c r="AS714" s="7"/>
      <c r="AT714" s="67">
        <v>0.87096359</v>
      </c>
      <c r="AU714" s="7"/>
      <c r="AV714" s="64">
        <v>3.467368505</v>
      </c>
      <c r="AW714" s="7"/>
      <c r="AX714" s="73">
        <v>3.26</v>
      </c>
      <c r="AY714" s="7"/>
      <c r="AZ714" s="11" t="s">
        <v>162</v>
      </c>
      <c r="BA714" s="68" t="s">
        <v>1303</v>
      </c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68" t="s">
        <v>1356</v>
      </c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2"/>
      <c r="DK714" s="12"/>
      <c r="DL714" s="12"/>
      <c r="DM714" s="69"/>
      <c r="DN714" s="69"/>
      <c r="DO714" s="69"/>
      <c r="DP714" s="69"/>
      <c r="DQ714" s="11"/>
      <c r="DR714" s="69"/>
      <c r="DS714" s="69"/>
      <c r="DT714" s="69"/>
      <c r="DU714" s="69"/>
      <c r="DV714" s="70">
        <v>-1.26</v>
      </c>
      <c r="DW714" s="10"/>
      <c r="DX714" s="71">
        <v>5.89E-9</v>
      </c>
      <c r="DY714" s="7"/>
      <c r="DZ714" s="64" t="s">
        <v>165</v>
      </c>
      <c r="EA714" s="72" t="s">
        <v>166</v>
      </c>
      <c r="EB714" s="7"/>
    </row>
    <row r="715">
      <c r="A715" s="55" t="s">
        <v>1468</v>
      </c>
      <c r="B715" s="55" t="s">
        <v>1468</v>
      </c>
      <c r="C715" s="4"/>
      <c r="D715" s="3"/>
      <c r="E715" s="57" t="s">
        <v>137</v>
      </c>
      <c r="F715" s="57" t="s">
        <v>168</v>
      </c>
      <c r="G715" s="58">
        <v>246.7928235</v>
      </c>
      <c r="H715" s="58">
        <v>-24.32017238</v>
      </c>
      <c r="I715" s="6" t="s">
        <v>158</v>
      </c>
      <c r="J715" s="6" t="s">
        <v>169</v>
      </c>
      <c r="K715" s="58">
        <v>1.0</v>
      </c>
      <c r="L715" s="5"/>
      <c r="M715" s="59">
        <v>2.0</v>
      </c>
      <c r="N715" s="61">
        <v>138.400642178979</v>
      </c>
      <c r="O715" s="61">
        <v>-5.613</v>
      </c>
      <c r="P715" s="61">
        <v>0.136</v>
      </c>
      <c r="Q715" s="61">
        <v>-29.081</v>
      </c>
      <c r="R715" s="61">
        <v>0.092</v>
      </c>
      <c r="S715" s="61">
        <v>-7.33</v>
      </c>
      <c r="T715" s="61">
        <v>1.64</v>
      </c>
      <c r="U715" s="5"/>
      <c r="V715" s="5"/>
      <c r="W715" s="61">
        <v>0.9</v>
      </c>
      <c r="X715" s="5"/>
      <c r="Y715" s="187" t="s">
        <v>160</v>
      </c>
      <c r="Z715" s="61"/>
      <c r="AA715" s="61"/>
      <c r="AB715" s="61">
        <v>8.745</v>
      </c>
      <c r="AC715" s="61">
        <v>0.027</v>
      </c>
      <c r="AD715" s="61">
        <v>7.507</v>
      </c>
      <c r="AE715" s="61">
        <v>0.038</v>
      </c>
      <c r="AF715" s="61">
        <v>6.719</v>
      </c>
      <c r="AG715" s="61">
        <v>0.024</v>
      </c>
      <c r="AH715" s="6"/>
      <c r="AI715" s="6"/>
      <c r="AJ715" s="63" t="s">
        <v>160</v>
      </c>
      <c r="AK715" s="64" t="s">
        <v>1302</v>
      </c>
      <c r="AL715" s="64">
        <v>2004.0</v>
      </c>
      <c r="AM715" s="7"/>
      <c r="AN715" s="8"/>
      <c r="AO715" s="13"/>
      <c r="AP715" s="13" t="s">
        <v>1469</v>
      </c>
      <c r="AQ715" s="64"/>
      <c r="AR715" s="66">
        <v>4365.158322</v>
      </c>
      <c r="AS715" s="7"/>
      <c r="AT715" s="67">
        <v>0.9120108394</v>
      </c>
      <c r="AU715" s="7"/>
      <c r="AV715" s="64">
        <v>3.801893963</v>
      </c>
      <c r="AW715" s="7"/>
      <c r="AX715" s="73">
        <v>3.42</v>
      </c>
      <c r="AY715" s="7"/>
      <c r="AZ715" s="11" t="s">
        <v>162</v>
      </c>
      <c r="BA715" s="68" t="s">
        <v>1303</v>
      </c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68" t="s">
        <v>1338</v>
      </c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70">
        <v>-1.85</v>
      </c>
      <c r="DW715" s="10"/>
      <c r="DX715" s="71">
        <v>1.45E-9</v>
      </c>
      <c r="DY715" s="7"/>
      <c r="DZ715" s="64" t="s">
        <v>165</v>
      </c>
      <c r="EA715" s="72" t="s">
        <v>166</v>
      </c>
      <c r="EB715" s="82" t="s">
        <v>1470</v>
      </c>
    </row>
    <row r="716">
      <c r="A716" s="55" t="s">
        <v>1462</v>
      </c>
      <c r="B716" s="55" t="s">
        <v>1462</v>
      </c>
      <c r="C716" s="4"/>
      <c r="D716" s="4"/>
      <c r="E716" s="4"/>
      <c r="F716" s="57" t="s">
        <v>168</v>
      </c>
      <c r="G716" s="58">
        <v>246.8879828</v>
      </c>
      <c r="H716" s="58">
        <v>-24.68757255</v>
      </c>
      <c r="I716" s="6" t="s">
        <v>158</v>
      </c>
      <c r="J716" s="6" t="s">
        <v>169</v>
      </c>
      <c r="K716" s="58">
        <v>1.0</v>
      </c>
      <c r="L716" s="5"/>
      <c r="M716" s="60">
        <v>2.0</v>
      </c>
      <c r="N716" s="58">
        <v>137.8549766</v>
      </c>
      <c r="O716" s="58">
        <v>-8.807</v>
      </c>
      <c r="P716" s="58">
        <v>0.451</v>
      </c>
      <c r="Q716" s="58">
        <v>-25.717</v>
      </c>
      <c r="R716" s="58">
        <v>0.284</v>
      </c>
      <c r="S716" s="5"/>
      <c r="T716" s="5"/>
      <c r="U716" s="6">
        <f>W716/0.243</f>
        <v>13.16872428</v>
      </c>
      <c r="V716" s="6">
        <f>U716*SQRT((X716/W716)^2 + (0.004/0.243)^2)</f>
        <v>4.120931528</v>
      </c>
      <c r="W716" s="60">
        <v>3.2</v>
      </c>
      <c r="X716" s="60">
        <v>1.0</v>
      </c>
      <c r="Y716" s="83" t="s">
        <v>1308</v>
      </c>
      <c r="Z716" s="58">
        <v>17.66</v>
      </c>
      <c r="AA716" s="6"/>
      <c r="AB716" s="59">
        <v>11.32</v>
      </c>
      <c r="AC716" s="60">
        <v>0.029</v>
      </c>
      <c r="AD716" s="61">
        <v>9.133</v>
      </c>
      <c r="AE716" s="61">
        <v>0.024</v>
      </c>
      <c r="AF716" s="59">
        <v>7.81</v>
      </c>
      <c r="AG716" s="60">
        <v>0.021</v>
      </c>
      <c r="AH716" s="6"/>
      <c r="AI716" s="6"/>
      <c r="AJ716" s="76" t="s">
        <v>1309</v>
      </c>
      <c r="AK716" s="64" t="s">
        <v>1310</v>
      </c>
      <c r="AL716" s="64">
        <v>2005.0</v>
      </c>
      <c r="AM716" s="7"/>
      <c r="AN716" s="77">
        <v>150.0</v>
      </c>
      <c r="AO716" s="13"/>
      <c r="AP716" s="13" t="s">
        <v>1471</v>
      </c>
      <c r="AQ716" s="73">
        <v>2.0</v>
      </c>
      <c r="AR716" s="78">
        <v>4730.0</v>
      </c>
      <c r="AS716" s="64">
        <v>150.0</v>
      </c>
      <c r="AT716" s="79">
        <v>1.0</v>
      </c>
      <c r="AU716" s="7"/>
      <c r="AV716" s="64">
        <v>3.1</v>
      </c>
      <c r="AW716" s="7"/>
      <c r="AX716" s="73">
        <v>2.63</v>
      </c>
      <c r="AY716" s="7"/>
      <c r="AZ716" s="11" t="s">
        <v>162</v>
      </c>
      <c r="BA716" s="68" t="s">
        <v>1303</v>
      </c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68">
        <v>1.3</v>
      </c>
      <c r="CA716" s="68">
        <v>0.1</v>
      </c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68">
        <v>1.8</v>
      </c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69"/>
      <c r="DN716" s="69"/>
      <c r="DO716" s="69"/>
      <c r="DP716" s="69"/>
      <c r="DQ716" s="11"/>
      <c r="DR716" s="69"/>
      <c r="DS716" s="69"/>
      <c r="DT716" s="69"/>
      <c r="DU716" s="69"/>
      <c r="DV716" s="7"/>
      <c r="DW716" s="10"/>
      <c r="DX716" s="81">
        <v>5.25E-9</v>
      </c>
      <c r="DY716" s="64"/>
      <c r="DZ716" s="64" t="s">
        <v>1311</v>
      </c>
      <c r="EA716" s="7"/>
      <c r="EB716" s="7"/>
    </row>
    <row r="717">
      <c r="A717" s="55" t="s">
        <v>1472</v>
      </c>
      <c r="B717" s="55" t="s">
        <v>1472</v>
      </c>
      <c r="C717" s="4"/>
      <c r="D717" s="4"/>
      <c r="E717" s="4"/>
      <c r="F717" s="57" t="s">
        <v>168</v>
      </c>
      <c r="G717" s="58">
        <v>246.75973</v>
      </c>
      <c r="H717" s="58">
        <v>-24.624231</v>
      </c>
      <c r="I717" s="6" t="s">
        <v>158</v>
      </c>
      <c r="J717" s="6" t="s">
        <v>169</v>
      </c>
      <c r="K717" s="58">
        <v>1.0</v>
      </c>
      <c r="L717" s="5"/>
      <c r="M717" s="59"/>
      <c r="N717" s="60"/>
      <c r="O717" s="60"/>
      <c r="P717" s="60"/>
      <c r="Q717" s="60"/>
      <c r="R717" s="60"/>
      <c r="S717" s="60"/>
      <c r="T717" s="60"/>
      <c r="U717" s="5"/>
      <c r="V717" s="5"/>
      <c r="W717" s="61">
        <v>6.3</v>
      </c>
      <c r="X717" s="5"/>
      <c r="Y717" s="187" t="s">
        <v>160</v>
      </c>
      <c r="Z717" s="60"/>
      <c r="AA717" s="60"/>
      <c r="AB717" s="60">
        <v>14.164</v>
      </c>
      <c r="AC717" s="60">
        <v>0.029</v>
      </c>
      <c r="AD717" s="60">
        <v>10.478</v>
      </c>
      <c r="AE717" s="60">
        <v>0.023</v>
      </c>
      <c r="AF717" s="60">
        <v>8.064</v>
      </c>
      <c r="AG717" s="60">
        <v>0.016</v>
      </c>
      <c r="AH717" s="6"/>
      <c r="AI717" s="6"/>
      <c r="AJ717" s="63" t="s">
        <v>160</v>
      </c>
      <c r="AK717" s="64" t="s">
        <v>161</v>
      </c>
      <c r="AL717" s="64">
        <v>2004.0</v>
      </c>
      <c r="AM717" s="7"/>
      <c r="AN717" s="8"/>
      <c r="AO717" s="13"/>
      <c r="AP717" s="64" t="s">
        <v>1473</v>
      </c>
      <c r="AQ717" s="64"/>
      <c r="AR717" s="66">
        <v>4466.835922</v>
      </c>
      <c r="AS717" s="7"/>
      <c r="AT717" s="67">
        <v>1.023292992</v>
      </c>
      <c r="AU717" s="7"/>
      <c r="AV717" s="64">
        <v>4.570881896</v>
      </c>
      <c r="AW717" s="7"/>
      <c r="AX717" s="73">
        <v>3.58</v>
      </c>
      <c r="AY717" s="7"/>
      <c r="AZ717" s="11" t="s">
        <v>162</v>
      </c>
      <c r="BA717" s="68" t="s">
        <v>1303</v>
      </c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68">
        <v>-8.4</v>
      </c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2"/>
      <c r="DK717" s="12"/>
      <c r="DL717" s="12"/>
      <c r="DM717" s="69"/>
      <c r="DN717" s="69"/>
      <c r="DO717" s="69"/>
      <c r="DP717" s="69"/>
      <c r="DQ717" s="11"/>
      <c r="DR717" s="69"/>
      <c r="DS717" s="69"/>
      <c r="DT717" s="69"/>
      <c r="DU717" s="69"/>
      <c r="DV717" s="70">
        <v>0.21</v>
      </c>
      <c r="DW717" s="10"/>
      <c r="DX717" s="71">
        <v>1.58E-7</v>
      </c>
      <c r="DY717" s="7"/>
      <c r="DZ717" s="64" t="s">
        <v>165</v>
      </c>
      <c r="EA717" s="72" t="s">
        <v>166</v>
      </c>
      <c r="EB717" s="82" t="s">
        <v>1474</v>
      </c>
    </row>
    <row r="718">
      <c r="A718" s="55" t="s">
        <v>1475</v>
      </c>
      <c r="B718" s="55" t="s">
        <v>1475</v>
      </c>
      <c r="C718" s="4"/>
      <c r="D718" s="4"/>
      <c r="E718" s="4"/>
      <c r="F718" s="57" t="s">
        <v>168</v>
      </c>
      <c r="G718" s="58">
        <v>246.5973729</v>
      </c>
      <c r="H718" s="58">
        <v>-24.34988351</v>
      </c>
      <c r="I718" s="6" t="s">
        <v>158</v>
      </c>
      <c r="J718" s="6" t="s">
        <v>169</v>
      </c>
      <c r="K718" s="58">
        <v>1.0</v>
      </c>
      <c r="L718" s="5"/>
      <c r="M718" s="59">
        <v>2.0</v>
      </c>
      <c r="N718" s="61">
        <v>137.858777468361</v>
      </c>
      <c r="O718" s="61">
        <v>-6.858</v>
      </c>
      <c r="P718" s="61">
        <v>0.225</v>
      </c>
      <c r="Q718" s="61">
        <v>-26.451</v>
      </c>
      <c r="R718" s="61">
        <v>0.126</v>
      </c>
      <c r="S718" s="61">
        <v>-7.5</v>
      </c>
      <c r="T718" s="61">
        <v>1.83</v>
      </c>
      <c r="U718" s="5"/>
      <c r="V718" s="5"/>
      <c r="W718" s="61">
        <v>1.5</v>
      </c>
      <c r="X718" s="5"/>
      <c r="Y718" s="187" t="s">
        <v>160</v>
      </c>
      <c r="Z718" s="61">
        <v>14.33</v>
      </c>
      <c r="AA718" s="61"/>
      <c r="AB718" s="61">
        <v>8.97</v>
      </c>
      <c r="AC718" s="61">
        <v>0.03</v>
      </c>
      <c r="AD718" s="61">
        <v>7.5</v>
      </c>
      <c r="AE718" s="61">
        <v>0.027</v>
      </c>
      <c r="AF718" s="61">
        <v>6.571</v>
      </c>
      <c r="AG718" s="61">
        <v>0.018</v>
      </c>
      <c r="AH718" s="6"/>
      <c r="AI718" s="6"/>
      <c r="AJ718" s="63" t="s">
        <v>160</v>
      </c>
      <c r="AK718" s="64" t="s">
        <v>161</v>
      </c>
      <c r="AL718" s="64">
        <v>2004.0</v>
      </c>
      <c r="AM718" s="7"/>
      <c r="AN718" s="8"/>
      <c r="AO718" s="13"/>
      <c r="AP718" s="64" t="s">
        <v>584</v>
      </c>
      <c r="AQ718" s="65"/>
      <c r="AR718" s="66">
        <v>4570.881896</v>
      </c>
      <c r="AS718" s="7"/>
      <c r="AT718" s="67">
        <v>1.122018454</v>
      </c>
      <c r="AU718" s="7"/>
      <c r="AV718" s="64">
        <v>5.370317964</v>
      </c>
      <c r="AW718" s="7"/>
      <c r="AX718" s="73">
        <v>3.71</v>
      </c>
      <c r="AY718" s="7"/>
      <c r="AZ718" s="11" t="s">
        <v>162</v>
      </c>
      <c r="BA718" s="68" t="s">
        <v>1303</v>
      </c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68">
        <v>-0.7</v>
      </c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2"/>
      <c r="DK718" s="12"/>
      <c r="DL718" s="12"/>
      <c r="DM718" s="69"/>
      <c r="DN718" s="69"/>
      <c r="DO718" s="69"/>
      <c r="DP718" s="69"/>
      <c r="DQ718" s="11"/>
      <c r="DR718" s="69"/>
      <c r="DS718" s="69"/>
      <c r="DT718" s="69"/>
      <c r="DU718" s="69"/>
      <c r="DV718" s="70">
        <v>-1.17</v>
      </c>
      <c r="DW718" s="10"/>
      <c r="DX718" s="71">
        <v>6.17E-9</v>
      </c>
      <c r="DY718" s="7"/>
      <c r="DZ718" s="64" t="s">
        <v>165</v>
      </c>
      <c r="EA718" s="72" t="s">
        <v>166</v>
      </c>
      <c r="EB718" s="13"/>
    </row>
    <row r="719">
      <c r="A719" s="55" t="s">
        <v>1476</v>
      </c>
      <c r="B719" s="55" t="s">
        <v>1476</v>
      </c>
      <c r="C719" s="3"/>
      <c r="D719" s="3"/>
      <c r="E719" s="57" t="s">
        <v>137</v>
      </c>
      <c r="F719" s="57" t="s">
        <v>168</v>
      </c>
      <c r="G719" s="58">
        <v>247.1361988</v>
      </c>
      <c r="H719" s="58">
        <v>-24.37916933</v>
      </c>
      <c r="I719" s="6" t="s">
        <v>158</v>
      </c>
      <c r="J719" s="6" t="s">
        <v>159</v>
      </c>
      <c r="K719" s="58">
        <v>1.0</v>
      </c>
      <c r="L719" s="5"/>
      <c r="M719" s="59">
        <v>2.0</v>
      </c>
      <c r="N719" s="61">
        <v>136.004460946319</v>
      </c>
      <c r="O719" s="61">
        <v>-9.467</v>
      </c>
      <c r="P719" s="61">
        <v>0.121</v>
      </c>
      <c r="Q719" s="61">
        <v>-28.057</v>
      </c>
      <c r="R719" s="61">
        <v>0.088</v>
      </c>
      <c r="S719" s="60"/>
      <c r="T719" s="60"/>
      <c r="U719" s="5"/>
      <c r="V719" s="5"/>
      <c r="W719" s="61">
        <v>1.3</v>
      </c>
      <c r="X719" s="5"/>
      <c r="Y719" s="62" t="s">
        <v>160</v>
      </c>
      <c r="Z719" s="60">
        <v>12.59</v>
      </c>
      <c r="AA719" s="60"/>
      <c r="AB719" s="60">
        <v>8.731</v>
      </c>
      <c r="AC719" s="60">
        <v>0.027</v>
      </c>
      <c r="AD719" s="60">
        <v>7.48</v>
      </c>
      <c r="AE719" s="60">
        <v>0.04</v>
      </c>
      <c r="AF719" s="60">
        <v>6.85</v>
      </c>
      <c r="AG719" s="60">
        <v>0.023</v>
      </c>
      <c r="AH719" s="6"/>
      <c r="AI719" s="6"/>
      <c r="AJ719" s="63" t="s">
        <v>160</v>
      </c>
      <c r="AK719" s="64" t="s">
        <v>161</v>
      </c>
      <c r="AL719" s="64">
        <v>2004.0</v>
      </c>
      <c r="AM719" s="7"/>
      <c r="AN719" s="8"/>
      <c r="AO719" s="13"/>
      <c r="AP719" s="13" t="s">
        <v>1477</v>
      </c>
      <c r="AQ719" s="64"/>
      <c r="AR719" s="66">
        <v>4677.351413</v>
      </c>
      <c r="AS719" s="7"/>
      <c r="AT719" s="67">
        <v>1.174897555</v>
      </c>
      <c r="AU719" s="7"/>
      <c r="AV719" s="64">
        <v>5.754399373</v>
      </c>
      <c r="AW719" s="7"/>
      <c r="AX719" s="73">
        <v>0.64</v>
      </c>
      <c r="AY719" s="7"/>
      <c r="AZ719" s="11" t="s">
        <v>162</v>
      </c>
      <c r="BA719" s="68" t="s">
        <v>1303</v>
      </c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68" t="s">
        <v>1348</v>
      </c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2"/>
      <c r="DK719" s="12"/>
      <c r="DL719" s="12"/>
      <c r="DM719" s="69"/>
      <c r="DN719" s="69"/>
      <c r="DO719" s="69"/>
      <c r="DP719" s="69"/>
      <c r="DQ719" s="11"/>
      <c r="DR719" s="69"/>
      <c r="DS719" s="69"/>
      <c r="DT719" s="69"/>
      <c r="DU719" s="69"/>
      <c r="DV719" s="70">
        <v>-1.47</v>
      </c>
      <c r="DW719" s="10"/>
      <c r="DX719" s="71">
        <v>3.02E-9</v>
      </c>
      <c r="DY719" s="7"/>
      <c r="DZ719" s="64" t="s">
        <v>165</v>
      </c>
      <c r="EA719" s="72" t="s">
        <v>166</v>
      </c>
      <c r="EB719" s="82" t="s">
        <v>1332</v>
      </c>
    </row>
    <row r="720">
      <c r="A720" s="55" t="s">
        <v>1478</v>
      </c>
      <c r="B720" s="55" t="s">
        <v>1478</v>
      </c>
      <c r="C720" s="4"/>
      <c r="D720" s="4"/>
      <c r="E720" s="57" t="s">
        <v>137</v>
      </c>
      <c r="F720" s="57" t="s">
        <v>168</v>
      </c>
      <c r="G720" s="58">
        <v>246.6002172</v>
      </c>
      <c r="H720" s="58">
        <v>-24.41336253</v>
      </c>
      <c r="I720" s="6" t="s">
        <v>158</v>
      </c>
      <c r="J720" s="6" t="s">
        <v>169</v>
      </c>
      <c r="K720" s="58">
        <v>1.0</v>
      </c>
      <c r="L720" s="5"/>
      <c r="M720" s="59">
        <v>2.0</v>
      </c>
      <c r="N720" s="61">
        <v>137.868280644672</v>
      </c>
      <c r="O720" s="61">
        <v>-9.649</v>
      </c>
      <c r="P720" s="61">
        <v>0.369</v>
      </c>
      <c r="Q720" s="61">
        <v>-24.676</v>
      </c>
      <c r="R720" s="61">
        <v>0.244</v>
      </c>
      <c r="S720" s="60">
        <v>-7.81</v>
      </c>
      <c r="T720" s="60">
        <v>0.14</v>
      </c>
      <c r="U720" s="5"/>
      <c r="V720" s="5"/>
      <c r="W720" s="61">
        <v>3.9</v>
      </c>
      <c r="X720" s="5"/>
      <c r="Y720" s="187" t="s">
        <v>160</v>
      </c>
      <c r="Z720" s="60">
        <v>17.81</v>
      </c>
      <c r="AA720" s="60"/>
      <c r="AB720" s="60">
        <v>11.115</v>
      </c>
      <c r="AC720" s="60">
        <v>0.027</v>
      </c>
      <c r="AD720" s="60">
        <v>8.718</v>
      </c>
      <c r="AE720" s="60">
        <v>0.047</v>
      </c>
      <c r="AF720" s="60">
        <v>7.324</v>
      </c>
      <c r="AG720" s="60">
        <v>0.017</v>
      </c>
      <c r="AH720" s="6"/>
      <c r="AI720" s="6"/>
      <c r="AJ720" s="63" t="s">
        <v>160</v>
      </c>
      <c r="AK720" s="64" t="s">
        <v>161</v>
      </c>
      <c r="AL720" s="64">
        <v>2004.0</v>
      </c>
      <c r="AM720" s="7"/>
      <c r="AN720" s="8"/>
      <c r="AO720" s="13"/>
      <c r="AP720" s="64" t="s">
        <v>1434</v>
      </c>
      <c r="AQ720" s="64"/>
      <c r="AR720" s="66">
        <v>4786.300923</v>
      </c>
      <c r="AS720" s="7"/>
      <c r="AT720" s="67">
        <v>1.348962883</v>
      </c>
      <c r="AU720" s="7"/>
      <c r="AV720" s="64">
        <v>7.244359601</v>
      </c>
      <c r="AW720" s="7"/>
      <c r="AX720" s="73">
        <v>3.93</v>
      </c>
      <c r="AY720" s="7"/>
      <c r="AZ720" s="11" t="s">
        <v>162</v>
      </c>
      <c r="BA720" s="68" t="s">
        <v>1303</v>
      </c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68" t="s">
        <v>1334</v>
      </c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2"/>
      <c r="DK720" s="12"/>
      <c r="DL720" s="12"/>
      <c r="DM720" s="69"/>
      <c r="DN720" s="69"/>
      <c r="DO720" s="69"/>
      <c r="DP720" s="69"/>
      <c r="DQ720" s="11"/>
      <c r="DR720" s="69"/>
      <c r="DS720" s="69"/>
      <c r="DT720" s="69"/>
      <c r="DU720" s="69"/>
      <c r="DV720" s="70">
        <v>-1.2</v>
      </c>
      <c r="DW720" s="10"/>
      <c r="DX720" s="71">
        <v>5.13E-9</v>
      </c>
      <c r="DY720" s="7"/>
      <c r="DZ720" s="64" t="s">
        <v>165</v>
      </c>
      <c r="EA720" s="72" t="s">
        <v>166</v>
      </c>
      <c r="EB720" s="7"/>
    </row>
    <row r="721">
      <c r="A721" s="167" t="s">
        <v>449</v>
      </c>
      <c r="B721" s="189" t="s">
        <v>418</v>
      </c>
      <c r="C721" s="3"/>
      <c r="D721" s="4"/>
      <c r="E721" s="4"/>
      <c r="F721" s="57" t="s">
        <v>168</v>
      </c>
      <c r="G721" s="61">
        <v>66.7616320833333</v>
      </c>
      <c r="H721" s="61">
        <v>25.7062377777777</v>
      </c>
      <c r="I721" s="60" t="s">
        <v>199</v>
      </c>
      <c r="J721" s="60" t="s">
        <v>169</v>
      </c>
      <c r="K721" s="61">
        <v>1.5</v>
      </c>
      <c r="L721" s="60"/>
      <c r="M721" s="60">
        <v>2.0</v>
      </c>
      <c r="N721" s="61">
        <v>124.354908910029</v>
      </c>
      <c r="O721" s="61">
        <v>3.504</v>
      </c>
      <c r="P721" s="61">
        <v>0.793</v>
      </c>
      <c r="Q721" s="61">
        <v>-26.65</v>
      </c>
      <c r="R721" s="61">
        <v>0.685</v>
      </c>
      <c r="S721" s="60">
        <v>16.46</v>
      </c>
      <c r="T721" s="60">
        <v>0.339</v>
      </c>
      <c r="U721" s="61">
        <v>0.45</v>
      </c>
      <c r="V721" s="5"/>
      <c r="W721" s="5"/>
      <c r="X721" s="5"/>
      <c r="Y721" s="188" t="s">
        <v>1479</v>
      </c>
      <c r="Z721" s="60">
        <v>10.31</v>
      </c>
      <c r="AA721" s="60"/>
      <c r="AB721" s="60">
        <v>8.171</v>
      </c>
      <c r="AC721" s="60">
        <v>0.026</v>
      </c>
      <c r="AD721" s="60">
        <v>7.256</v>
      </c>
      <c r="AE721" s="60">
        <v>0.023</v>
      </c>
      <c r="AF721" s="60">
        <v>6.734</v>
      </c>
      <c r="AG721" s="60">
        <v>0.024</v>
      </c>
      <c r="AH721" s="60"/>
      <c r="AI721" s="60"/>
      <c r="AJ721" s="76" t="s">
        <v>1479</v>
      </c>
      <c r="AK721" s="64" t="s">
        <v>1480</v>
      </c>
      <c r="AL721" s="70">
        <v>2005.0</v>
      </c>
      <c r="AM721" s="7"/>
      <c r="AN721" s="77">
        <v>140.0</v>
      </c>
      <c r="AO721" s="64"/>
      <c r="AP721" s="64" t="s">
        <v>571</v>
      </c>
      <c r="AQ721" s="13"/>
      <c r="AR721" s="66">
        <v>3470.0</v>
      </c>
      <c r="AS721" s="97"/>
      <c r="AT721" s="67">
        <v>0.27</v>
      </c>
      <c r="AU721" s="70"/>
      <c r="AV721" s="64">
        <v>1.97</v>
      </c>
      <c r="AW721" s="13"/>
      <c r="AX721" s="70">
        <v>3.37</v>
      </c>
      <c r="AY721" s="73"/>
      <c r="AZ721" s="11" t="s">
        <v>162</v>
      </c>
      <c r="BA721" s="68" t="s">
        <v>1481</v>
      </c>
      <c r="BB721" s="68"/>
      <c r="BC721" s="68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68">
        <v>-6.49</v>
      </c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68">
        <v>-1.08</v>
      </c>
      <c r="CM721" s="11"/>
      <c r="CN721" s="11"/>
      <c r="CO721" s="11"/>
      <c r="CP721" s="68">
        <v>-3.97</v>
      </c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2"/>
      <c r="DK721" s="12"/>
      <c r="DL721" s="12"/>
      <c r="DM721" s="69"/>
      <c r="DN721" s="69"/>
      <c r="DO721" s="69"/>
      <c r="DP721" s="69"/>
      <c r="DQ721" s="11"/>
      <c r="DR721" s="69"/>
      <c r="DS721" s="69"/>
      <c r="DT721" s="69"/>
      <c r="DU721" s="69"/>
      <c r="DV721" s="70">
        <v>-0.63</v>
      </c>
      <c r="DW721" s="98"/>
      <c r="DX721" s="71">
        <v>1.17E-7</v>
      </c>
      <c r="DY721" s="114"/>
      <c r="DZ721" s="64" t="s">
        <v>1479</v>
      </c>
      <c r="EA721" s="64"/>
      <c r="EB721" s="82"/>
    </row>
    <row r="722">
      <c r="A722" s="74" t="s">
        <v>1482</v>
      </c>
      <c r="B722" s="189" t="s">
        <v>1483</v>
      </c>
      <c r="C722" s="4" t="s">
        <v>156</v>
      </c>
      <c r="D722" s="57">
        <v>1.305</v>
      </c>
      <c r="E722" s="3"/>
      <c r="F722" s="57" t="s">
        <v>168</v>
      </c>
      <c r="G722" s="61">
        <v>242.880450416666</v>
      </c>
      <c r="H722" s="61">
        <v>-18.6408016666666</v>
      </c>
      <c r="I722" s="60" t="s">
        <v>608</v>
      </c>
      <c r="J722" s="60" t="s">
        <v>169</v>
      </c>
      <c r="K722" s="58">
        <v>1.0</v>
      </c>
      <c r="L722" s="5"/>
      <c r="M722" s="60">
        <v>2.0</v>
      </c>
      <c r="N722" s="61">
        <v>156.833223550076</v>
      </c>
      <c r="O722" s="61">
        <v>-9.478</v>
      </c>
      <c r="P722" s="61">
        <v>0.468</v>
      </c>
      <c r="Q722" s="61">
        <v>-23.168</v>
      </c>
      <c r="R722" s="61">
        <v>0.427</v>
      </c>
      <c r="S722" s="60"/>
      <c r="T722" s="60"/>
      <c r="U722" s="60">
        <v>2.1</v>
      </c>
      <c r="V722" s="5"/>
      <c r="W722" s="5"/>
      <c r="X722" s="5"/>
      <c r="Y722" s="83" t="s">
        <v>1479</v>
      </c>
      <c r="Z722" s="60"/>
      <c r="AA722" s="60"/>
      <c r="AB722" s="60"/>
      <c r="AC722" s="60"/>
      <c r="AD722" s="60"/>
      <c r="AE722" s="60"/>
      <c r="AF722" s="60"/>
      <c r="AG722" s="60"/>
      <c r="AH722" s="6"/>
      <c r="AI722" s="6"/>
      <c r="AJ722" s="76" t="s">
        <v>1479</v>
      </c>
      <c r="AK722" s="64" t="s">
        <v>1484</v>
      </c>
      <c r="AL722" s="64">
        <v>2002.0</v>
      </c>
      <c r="AM722" s="7"/>
      <c r="AN722" s="77">
        <v>160.0</v>
      </c>
      <c r="AO722" s="13"/>
      <c r="AP722" s="64" t="s">
        <v>430</v>
      </c>
      <c r="AQ722" s="7"/>
      <c r="AR722" s="66">
        <v>3450.0</v>
      </c>
      <c r="AS722" s="7"/>
      <c r="AT722" s="67">
        <v>0.3</v>
      </c>
      <c r="AU722" s="7"/>
      <c r="AV722" s="64">
        <v>2.19</v>
      </c>
      <c r="AW722" s="7"/>
      <c r="AX722" s="73"/>
      <c r="AY722" s="7"/>
      <c r="AZ722" s="11" t="s">
        <v>162</v>
      </c>
      <c r="BA722" s="68" t="s">
        <v>1481</v>
      </c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68">
        <v>-5.29</v>
      </c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2"/>
      <c r="DK722" s="12"/>
      <c r="DL722" s="12"/>
      <c r="DM722" s="11"/>
      <c r="DN722" s="11"/>
      <c r="DO722" s="11"/>
      <c r="DP722" s="11"/>
      <c r="DQ722" s="11"/>
      <c r="DR722" s="11"/>
      <c r="DS722" s="11"/>
      <c r="DT722" s="11"/>
      <c r="DU722" s="11"/>
      <c r="DV722" s="70">
        <v>-0.42</v>
      </c>
      <c r="DW722" s="10"/>
      <c r="DX722" s="71">
        <v>2.09E-7</v>
      </c>
      <c r="DY722" s="7"/>
      <c r="DZ722" s="190" t="s">
        <v>1479</v>
      </c>
      <c r="EA722" s="7"/>
      <c r="EB722" s="7"/>
    </row>
    <row r="723">
      <c r="A723" s="167" t="s">
        <v>1485</v>
      </c>
      <c r="B723" s="189" t="s">
        <v>426</v>
      </c>
      <c r="C723" s="3"/>
      <c r="D723" s="4"/>
      <c r="E723" s="4"/>
      <c r="F723" s="57" t="s">
        <v>168</v>
      </c>
      <c r="G723" s="61">
        <v>69.6191174999999</v>
      </c>
      <c r="H723" s="61">
        <v>26.1804088888888</v>
      </c>
      <c r="I723" s="60" t="s">
        <v>199</v>
      </c>
      <c r="J723" s="60" t="s">
        <v>169</v>
      </c>
      <c r="K723" s="61">
        <v>1.5</v>
      </c>
      <c r="L723" s="60"/>
      <c r="M723" s="60">
        <v>2.0</v>
      </c>
      <c r="N723" s="61">
        <v>139.380592646279</v>
      </c>
      <c r="O723" s="61">
        <v>6.128</v>
      </c>
      <c r="P723" s="61">
        <v>0.126</v>
      </c>
      <c r="Q723" s="61">
        <v>-21.34</v>
      </c>
      <c r="R723" s="61">
        <v>0.091</v>
      </c>
      <c r="S723" s="60">
        <v>16.55</v>
      </c>
      <c r="T723" s="60">
        <v>0.208</v>
      </c>
      <c r="U723" s="61">
        <v>2.3</v>
      </c>
      <c r="V723" s="5"/>
      <c r="W723" s="5"/>
      <c r="X723" s="5"/>
      <c r="Y723" s="188" t="s">
        <v>1479</v>
      </c>
      <c r="Z723" s="60">
        <v>13.01</v>
      </c>
      <c r="AA723" s="60"/>
      <c r="AB723" s="60">
        <v>9.47</v>
      </c>
      <c r="AC723" s="60">
        <v>0.022</v>
      </c>
      <c r="AD723" s="60">
        <v>8.24</v>
      </c>
      <c r="AE723" s="60">
        <v>0.03</v>
      </c>
      <c r="AF723" s="60">
        <v>7.303</v>
      </c>
      <c r="AG723" s="60">
        <v>0.017</v>
      </c>
      <c r="AH723" s="60"/>
      <c r="AI723" s="60"/>
      <c r="AJ723" s="76" t="s">
        <v>1479</v>
      </c>
      <c r="AK723" s="64" t="s">
        <v>1484</v>
      </c>
      <c r="AL723" s="70">
        <v>2005.0</v>
      </c>
      <c r="AM723" s="7"/>
      <c r="AN723" s="77">
        <v>140.0</v>
      </c>
      <c r="AO723" s="64"/>
      <c r="AP723" s="64" t="s">
        <v>427</v>
      </c>
      <c r="AQ723" s="13"/>
      <c r="AR723" s="66">
        <v>3850.0</v>
      </c>
      <c r="AS723" s="97"/>
      <c r="AT723" s="67">
        <v>0.37</v>
      </c>
      <c r="AU723" s="70"/>
      <c r="AV723" s="64">
        <v>1.0</v>
      </c>
      <c r="AW723" s="13"/>
      <c r="AX723" s="70">
        <v>2.25</v>
      </c>
      <c r="AY723" s="73"/>
      <c r="AZ723" s="11" t="s">
        <v>162</v>
      </c>
      <c r="BA723" s="68" t="s">
        <v>1481</v>
      </c>
      <c r="BB723" s="68"/>
      <c r="BC723" s="68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68">
        <v>-9.56</v>
      </c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68">
        <v>-2.28</v>
      </c>
      <c r="CM723" s="11"/>
      <c r="CN723" s="11"/>
      <c r="CO723" s="11"/>
      <c r="CP723" s="68">
        <v>-4.18</v>
      </c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2"/>
      <c r="DK723" s="12"/>
      <c r="DL723" s="12"/>
      <c r="DM723" s="69"/>
      <c r="DN723" s="69"/>
      <c r="DO723" s="69"/>
      <c r="DP723" s="69"/>
      <c r="DQ723" s="11"/>
      <c r="DR723" s="69"/>
      <c r="DS723" s="69"/>
      <c r="DT723" s="69"/>
      <c r="DU723" s="69"/>
      <c r="DV723" s="70">
        <v>-0.67</v>
      </c>
      <c r="DW723" s="98"/>
      <c r="DX723" s="71">
        <v>5.25E-8</v>
      </c>
      <c r="DY723" s="114"/>
      <c r="DZ723" s="64" t="s">
        <v>1479</v>
      </c>
      <c r="EA723" s="64"/>
      <c r="EB723" s="82"/>
    </row>
    <row r="724">
      <c r="A724" s="167" t="s">
        <v>1486</v>
      </c>
      <c r="B724" s="189" t="s">
        <v>1487</v>
      </c>
      <c r="C724" s="3"/>
      <c r="D724" s="4"/>
      <c r="E724" s="4"/>
      <c r="F724" s="57" t="s">
        <v>168</v>
      </c>
      <c r="G724" s="61">
        <v>71.7758966666666</v>
      </c>
      <c r="H724" s="61">
        <v>16.9785594444444</v>
      </c>
      <c r="I724" s="60" t="s">
        <v>199</v>
      </c>
      <c r="J724" s="60" t="s">
        <v>169</v>
      </c>
      <c r="K724" s="61">
        <v>1.5</v>
      </c>
      <c r="L724" s="60"/>
      <c r="M724" s="60">
        <v>2.0</v>
      </c>
      <c r="N724" s="61">
        <v>195.656427313637</v>
      </c>
      <c r="O724" s="61">
        <v>5.106</v>
      </c>
      <c r="P724" s="61">
        <v>0.145</v>
      </c>
      <c r="Q724" s="61">
        <v>-13.924</v>
      </c>
      <c r="R724" s="61">
        <v>0.066</v>
      </c>
      <c r="S724" s="60">
        <v>21.1</v>
      </c>
      <c r="T724" s="60">
        <v>0.04</v>
      </c>
      <c r="U724" s="61">
        <v>1.7</v>
      </c>
      <c r="V724" s="5"/>
      <c r="W724" s="5"/>
      <c r="X724" s="5"/>
      <c r="Y724" s="188" t="s">
        <v>1479</v>
      </c>
      <c r="Z724" s="60">
        <v>12.19</v>
      </c>
      <c r="AA724" s="60">
        <v>0.41</v>
      </c>
      <c r="AB724" s="60">
        <v>8.845</v>
      </c>
      <c r="AC724" s="60">
        <v>0.024</v>
      </c>
      <c r="AD724" s="60">
        <v>7.8</v>
      </c>
      <c r="AE724" s="60">
        <v>0.05</v>
      </c>
      <c r="AF724" s="60">
        <v>6.874</v>
      </c>
      <c r="AG724" s="60">
        <v>0.017</v>
      </c>
      <c r="AH724" s="60"/>
      <c r="AI724" s="60"/>
      <c r="AJ724" s="76" t="s">
        <v>1479</v>
      </c>
      <c r="AK724" s="64" t="s">
        <v>1480</v>
      </c>
      <c r="AL724" s="70">
        <v>2002.0</v>
      </c>
      <c r="AM724" s="7"/>
      <c r="AN724" s="77">
        <v>140.0</v>
      </c>
      <c r="AO724" s="64"/>
      <c r="AP724" s="64" t="s">
        <v>434</v>
      </c>
      <c r="AQ724" s="13"/>
      <c r="AR724" s="66">
        <v>4060.0</v>
      </c>
      <c r="AS724" s="97"/>
      <c r="AT724" s="67">
        <v>0.4</v>
      </c>
      <c r="AU724" s="70"/>
      <c r="AV724" s="64">
        <v>1.7</v>
      </c>
      <c r="AW724" s="13"/>
      <c r="AX724" s="73"/>
      <c r="AY724" s="73"/>
      <c r="AZ724" s="11" t="s">
        <v>162</v>
      </c>
      <c r="BA724" s="68" t="s">
        <v>1481</v>
      </c>
      <c r="BB724" s="68"/>
      <c r="BC724" s="68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68">
        <v>-16.78</v>
      </c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68">
        <v>-7.39</v>
      </c>
      <c r="CM724" s="11"/>
      <c r="CN724" s="11"/>
      <c r="CO724" s="11"/>
      <c r="CP724" s="68">
        <v>-6.86</v>
      </c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2"/>
      <c r="DK724" s="12"/>
      <c r="DL724" s="12"/>
      <c r="DM724" s="69"/>
      <c r="DN724" s="69"/>
      <c r="DO724" s="69"/>
      <c r="DP724" s="69"/>
      <c r="DQ724" s="11"/>
      <c r="DR724" s="69"/>
      <c r="DS724" s="69"/>
      <c r="DT724" s="69"/>
      <c r="DU724" s="69"/>
      <c r="DV724" s="70">
        <v>-0.24</v>
      </c>
      <c r="DW724" s="98"/>
      <c r="DX724" s="71">
        <v>1.51E-7</v>
      </c>
      <c r="DY724" s="114"/>
      <c r="DZ724" s="64" t="s">
        <v>1479</v>
      </c>
      <c r="EA724" s="64"/>
      <c r="EB724" s="82"/>
    </row>
    <row r="725">
      <c r="A725" s="167" t="s">
        <v>1488</v>
      </c>
      <c r="B725" s="189" t="s">
        <v>1488</v>
      </c>
      <c r="C725" s="3"/>
      <c r="D725" s="4"/>
      <c r="E725" s="4"/>
      <c r="F725" s="57" t="s">
        <v>168</v>
      </c>
      <c r="G725" s="61">
        <v>285.454583333333</v>
      </c>
      <c r="H725" s="61">
        <v>-36.9711111111111</v>
      </c>
      <c r="I725" s="60"/>
      <c r="J725" s="60" t="s">
        <v>257</v>
      </c>
      <c r="K725" s="61"/>
      <c r="L725" s="60"/>
      <c r="M725" s="60"/>
      <c r="N725" s="61"/>
      <c r="O725" s="61"/>
      <c r="P725" s="61"/>
      <c r="Q725" s="61"/>
      <c r="R725" s="61"/>
      <c r="S725" s="60"/>
      <c r="T725" s="60"/>
      <c r="U725" s="61">
        <v>30.0</v>
      </c>
      <c r="V725" s="5"/>
      <c r="W725" s="5"/>
      <c r="X725" s="5"/>
      <c r="Y725" s="83" t="s">
        <v>1479</v>
      </c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76" t="s">
        <v>1479</v>
      </c>
      <c r="AK725" s="64" t="s">
        <v>1489</v>
      </c>
      <c r="AL725" s="70">
        <v>2007.0</v>
      </c>
      <c r="AM725" s="7"/>
      <c r="AN725" s="77">
        <v>130.0</v>
      </c>
      <c r="AO725" s="64"/>
      <c r="AP725" s="64" t="s">
        <v>434</v>
      </c>
      <c r="AQ725" s="13"/>
      <c r="AR725" s="66">
        <v>4060.0</v>
      </c>
      <c r="AS725" s="97"/>
      <c r="AT725" s="67">
        <v>0.4</v>
      </c>
      <c r="AU725" s="70"/>
      <c r="AV725" s="64">
        <v>3.1</v>
      </c>
      <c r="AW725" s="13"/>
      <c r="AX725" s="70">
        <v>3.6</v>
      </c>
      <c r="AY725" s="73"/>
      <c r="AZ725" s="11" t="s">
        <v>162</v>
      </c>
      <c r="BA725" s="68" t="s">
        <v>1481</v>
      </c>
      <c r="BB725" s="68"/>
      <c r="BC725" s="68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68">
        <v>-3.71</v>
      </c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2"/>
      <c r="DK725" s="12"/>
      <c r="DL725" s="12"/>
      <c r="DM725" s="69"/>
      <c r="DN725" s="69"/>
      <c r="DO725" s="69"/>
      <c r="DP725" s="69"/>
      <c r="DQ725" s="11"/>
      <c r="DR725" s="69"/>
      <c r="DS725" s="69"/>
      <c r="DT725" s="69"/>
      <c r="DU725" s="69"/>
      <c r="DV725" s="70">
        <v>0.21</v>
      </c>
      <c r="DW725" s="98"/>
      <c r="DX725" s="71">
        <v>5.89E-7</v>
      </c>
      <c r="DY725" s="114"/>
      <c r="DZ725" s="64" t="s">
        <v>1479</v>
      </c>
      <c r="EA725" s="64"/>
      <c r="EB725" s="82"/>
    </row>
    <row r="726">
      <c r="A726" s="167" t="s">
        <v>1490</v>
      </c>
      <c r="B726" s="191" t="s">
        <v>1491</v>
      </c>
      <c r="C726" s="3"/>
      <c r="D726" s="4"/>
      <c r="E726" s="4"/>
      <c r="F726" s="57" t="s">
        <v>168</v>
      </c>
      <c r="G726" s="61">
        <v>246.571144583333</v>
      </c>
      <c r="H726" s="61">
        <v>-24.3393316666666</v>
      </c>
      <c r="I726" s="6" t="s">
        <v>158</v>
      </c>
      <c r="J726" s="60" t="s">
        <v>169</v>
      </c>
      <c r="K726" s="61">
        <v>1.0</v>
      </c>
      <c r="L726" s="60"/>
      <c r="M726" s="60">
        <v>2.0</v>
      </c>
      <c r="N726" s="61">
        <v>134.273246055723</v>
      </c>
      <c r="O726" s="61">
        <v>-6.596</v>
      </c>
      <c r="P726" s="61">
        <v>0.142</v>
      </c>
      <c r="Q726" s="61">
        <v>-27.057</v>
      </c>
      <c r="R726" s="61">
        <v>0.089</v>
      </c>
      <c r="S726" s="60"/>
      <c r="T726" s="60"/>
      <c r="U726" s="61">
        <v>5.7</v>
      </c>
      <c r="V726" s="5"/>
      <c r="W726" s="5"/>
      <c r="X726" s="5"/>
      <c r="Y726" s="188" t="s">
        <v>1479</v>
      </c>
      <c r="Z726" s="60">
        <v>14.02</v>
      </c>
      <c r="AA726" s="60"/>
      <c r="AB726" s="60">
        <v>9.65</v>
      </c>
      <c r="AC726" s="60">
        <v>0.03</v>
      </c>
      <c r="AD726" s="60">
        <v>8.609</v>
      </c>
      <c r="AE726" s="60">
        <v>0.04</v>
      </c>
      <c r="AF726" s="60">
        <v>8.063</v>
      </c>
      <c r="AG726" s="60">
        <v>0.02</v>
      </c>
      <c r="AH726" s="60"/>
      <c r="AI726" s="60"/>
      <c r="AJ726" s="76" t="s">
        <v>1479</v>
      </c>
      <c r="AK726" s="64" t="s">
        <v>1489</v>
      </c>
      <c r="AL726" s="70">
        <v>2007.0</v>
      </c>
      <c r="AM726" s="7"/>
      <c r="AN726" s="77">
        <v>120.0</v>
      </c>
      <c r="AO726" s="64"/>
      <c r="AP726" s="64" t="s">
        <v>584</v>
      </c>
      <c r="AQ726" s="13"/>
      <c r="AR726" s="66">
        <v>5250.0</v>
      </c>
      <c r="AS726" s="97"/>
      <c r="AT726" s="67">
        <v>0.47</v>
      </c>
      <c r="AU726" s="70"/>
      <c r="AV726" s="64">
        <v>8.78</v>
      </c>
      <c r="AW726" s="13"/>
      <c r="AX726" s="73"/>
      <c r="AY726" s="73"/>
      <c r="AZ726" s="11" t="s">
        <v>162</v>
      </c>
      <c r="BA726" s="68" t="s">
        <v>1481</v>
      </c>
      <c r="BB726" s="68"/>
      <c r="BC726" s="68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68">
        <v>-1.51</v>
      </c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2"/>
      <c r="DK726" s="12"/>
      <c r="DL726" s="12"/>
      <c r="DM726" s="69"/>
      <c r="DN726" s="69"/>
      <c r="DO726" s="69"/>
      <c r="DP726" s="69"/>
      <c r="DQ726" s="11"/>
      <c r="DR726" s="69"/>
      <c r="DS726" s="69"/>
      <c r="DT726" s="69"/>
      <c r="DU726" s="69"/>
      <c r="DV726" s="70">
        <v>-0.92</v>
      </c>
      <c r="DW726" s="98"/>
      <c r="DX726" s="71">
        <v>3.63E-8</v>
      </c>
      <c r="DY726" s="114"/>
      <c r="DZ726" s="64" t="s">
        <v>1479</v>
      </c>
      <c r="EA726" s="64"/>
      <c r="EB726" s="72" t="s">
        <v>1492</v>
      </c>
    </row>
    <row r="727">
      <c r="A727" s="167" t="s">
        <v>1493</v>
      </c>
      <c r="B727" s="189" t="s">
        <v>1494</v>
      </c>
      <c r="C727" s="3"/>
      <c r="D727" s="4"/>
      <c r="E727" s="4"/>
      <c r="F727" s="57" t="s">
        <v>168</v>
      </c>
      <c r="G727" s="61">
        <v>246.484024583333</v>
      </c>
      <c r="H727" s="61">
        <v>-24.3467330555555</v>
      </c>
      <c r="I727" s="6" t="s">
        <v>158</v>
      </c>
      <c r="J727" s="60" t="s">
        <v>169</v>
      </c>
      <c r="K727" s="61">
        <v>1.0</v>
      </c>
      <c r="L727" s="60"/>
      <c r="M727" s="60">
        <v>2.0</v>
      </c>
      <c r="N727" s="61">
        <v>134.596748142564</v>
      </c>
      <c r="O727" s="61">
        <v>-7.48</v>
      </c>
      <c r="P727" s="61">
        <v>0.135</v>
      </c>
      <c r="Q727" s="61">
        <v>-26.615</v>
      </c>
      <c r="R727" s="61">
        <v>0.083</v>
      </c>
      <c r="S727" s="60"/>
      <c r="T727" s="60"/>
      <c r="U727" s="61">
        <v>1.9</v>
      </c>
      <c r="V727" s="5"/>
      <c r="W727" s="5"/>
      <c r="X727" s="5"/>
      <c r="Y727" s="188" t="s">
        <v>1479</v>
      </c>
      <c r="Z727" s="60">
        <v>11.7</v>
      </c>
      <c r="AA727" s="60"/>
      <c r="AB727" s="60">
        <v>9.154</v>
      </c>
      <c r="AC727" s="60">
        <v>0.02</v>
      </c>
      <c r="AD727" s="60">
        <v>8.145</v>
      </c>
      <c r="AE727" s="60">
        <v>0.046</v>
      </c>
      <c r="AF727" s="60">
        <v>7.518</v>
      </c>
      <c r="AG727" s="60">
        <v>0.024</v>
      </c>
      <c r="AH727" s="60"/>
      <c r="AI727" s="60"/>
      <c r="AJ727" s="76" t="s">
        <v>1479</v>
      </c>
      <c r="AK727" s="64" t="s">
        <v>1484</v>
      </c>
      <c r="AL727" s="70">
        <v>2005.0</v>
      </c>
      <c r="AM727" s="7"/>
      <c r="AN727" s="77">
        <v>120.0</v>
      </c>
      <c r="AO727" s="64"/>
      <c r="AP727" s="64" t="s">
        <v>453</v>
      </c>
      <c r="AQ727" s="13"/>
      <c r="AR727" s="66">
        <v>4197.0</v>
      </c>
      <c r="AS727" s="97"/>
      <c r="AT727" s="67">
        <v>0.52</v>
      </c>
      <c r="AU727" s="70"/>
      <c r="AV727" s="64">
        <v>1.5</v>
      </c>
      <c r="AW727" s="13"/>
      <c r="AX727" s="73"/>
      <c r="AY727" s="73"/>
      <c r="AZ727" s="11" t="s">
        <v>162</v>
      </c>
      <c r="BA727" s="68" t="s">
        <v>1481</v>
      </c>
      <c r="BB727" s="68"/>
      <c r="BC727" s="68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68">
        <v>-9.78</v>
      </c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2"/>
      <c r="DK727" s="12"/>
      <c r="DL727" s="12"/>
      <c r="DM727" s="69"/>
      <c r="DN727" s="69"/>
      <c r="DO727" s="69"/>
      <c r="DP727" s="69"/>
      <c r="DQ727" s="11"/>
      <c r="DR727" s="69"/>
      <c r="DS727" s="69"/>
      <c r="DT727" s="69"/>
      <c r="DU727" s="69"/>
      <c r="DV727" s="70">
        <v>-0.8</v>
      </c>
      <c r="DW727" s="98"/>
      <c r="DX727" s="71">
        <v>2.82E-8</v>
      </c>
      <c r="DY727" s="114"/>
      <c r="DZ727" s="64" t="s">
        <v>1479</v>
      </c>
      <c r="EA727" s="64"/>
      <c r="EB727" s="82"/>
    </row>
    <row r="728">
      <c r="A728" s="167" t="s">
        <v>1495</v>
      </c>
      <c r="B728" s="189" t="s">
        <v>446</v>
      </c>
      <c r="C728" s="3"/>
      <c r="D728" s="4"/>
      <c r="E728" s="4"/>
      <c r="F728" s="57" t="s">
        <v>168</v>
      </c>
      <c r="G728" s="61">
        <v>73.7957554166666</v>
      </c>
      <c r="H728" s="61">
        <v>30.3664930555555</v>
      </c>
      <c r="I728" s="60" t="s">
        <v>1496</v>
      </c>
      <c r="J728" s="60" t="s">
        <v>1497</v>
      </c>
      <c r="K728" s="61"/>
      <c r="L728" s="60"/>
      <c r="M728" s="60">
        <v>2.0</v>
      </c>
      <c r="N728" s="61">
        <v>159.637304045209</v>
      </c>
      <c r="O728" s="61">
        <v>3.899</v>
      </c>
      <c r="P728" s="61">
        <v>0.148</v>
      </c>
      <c r="Q728" s="61">
        <v>-24.451</v>
      </c>
      <c r="R728" s="61">
        <v>0.072</v>
      </c>
      <c r="S728" s="60">
        <v>15.15</v>
      </c>
      <c r="T728" s="60">
        <v>0.04</v>
      </c>
      <c r="U728" s="61">
        <v>0.31</v>
      </c>
      <c r="V728" s="5"/>
      <c r="W728" s="5"/>
      <c r="X728" s="5"/>
      <c r="Y728" s="83" t="s">
        <v>1479</v>
      </c>
      <c r="Z728" s="60">
        <v>11.798</v>
      </c>
      <c r="AA728" s="60">
        <v>0.05</v>
      </c>
      <c r="AB728" s="60">
        <v>9.341</v>
      </c>
      <c r="AC728" s="60">
        <v>0.018</v>
      </c>
      <c r="AD728" s="60">
        <v>8.603</v>
      </c>
      <c r="AE728" s="60">
        <v>0.024</v>
      </c>
      <c r="AF728" s="60">
        <v>8.283</v>
      </c>
      <c r="AG728" s="60">
        <v>0.017</v>
      </c>
      <c r="AH728" s="60"/>
      <c r="AI728" s="60"/>
      <c r="AJ728" s="76" t="s">
        <v>1479</v>
      </c>
      <c r="AK728" s="64" t="s">
        <v>1484</v>
      </c>
      <c r="AL728" s="70">
        <v>2004.0</v>
      </c>
      <c r="AM728" s="7"/>
      <c r="AN728" s="77">
        <v>140.0</v>
      </c>
      <c r="AO728" s="64"/>
      <c r="AP728" s="64" t="s">
        <v>434</v>
      </c>
      <c r="AQ728" s="13"/>
      <c r="AR728" s="66">
        <v>4060.0</v>
      </c>
      <c r="AS728" s="97"/>
      <c r="AT728" s="67">
        <v>0.52</v>
      </c>
      <c r="AU728" s="70"/>
      <c r="AV728" s="64">
        <v>0.74</v>
      </c>
      <c r="AW728" s="13"/>
      <c r="AX728" s="70">
        <v>1.78</v>
      </c>
      <c r="AY728" s="73"/>
      <c r="AZ728" s="11" t="s">
        <v>162</v>
      </c>
      <c r="BA728" s="68" t="s">
        <v>1481</v>
      </c>
      <c r="BB728" s="68"/>
      <c r="BC728" s="68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68">
        <v>-12.2</v>
      </c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68">
        <v>-7.12</v>
      </c>
      <c r="CM728" s="11"/>
      <c r="CN728" s="11"/>
      <c r="CO728" s="11"/>
      <c r="CP728" s="68">
        <v>-29.9</v>
      </c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2"/>
      <c r="DK728" s="12"/>
      <c r="DL728" s="12"/>
      <c r="DM728" s="69"/>
      <c r="DN728" s="69"/>
      <c r="DO728" s="69"/>
      <c r="DP728" s="69"/>
      <c r="DQ728" s="11"/>
      <c r="DR728" s="69"/>
      <c r="DS728" s="69"/>
      <c r="DT728" s="69"/>
      <c r="DU728" s="69"/>
      <c r="DV728" s="70">
        <v>-0.8</v>
      </c>
      <c r="DW728" s="98"/>
      <c r="DX728" s="71">
        <v>2.19E-8</v>
      </c>
      <c r="DY728" s="114"/>
      <c r="DZ728" s="64" t="s">
        <v>1479</v>
      </c>
      <c r="EA728" s="64"/>
      <c r="EB728" s="82"/>
    </row>
    <row r="729">
      <c r="A729" s="167" t="s">
        <v>1498</v>
      </c>
      <c r="B729" s="189" t="s">
        <v>1498</v>
      </c>
      <c r="C729" s="3"/>
      <c r="D729" s="4"/>
      <c r="E729" s="4"/>
      <c r="F729" s="57" t="s">
        <v>168</v>
      </c>
      <c r="G729" s="61">
        <v>68.0642404166666</v>
      </c>
      <c r="H729" s="61">
        <v>24.4832166666666</v>
      </c>
      <c r="I729" s="60" t="s">
        <v>1499</v>
      </c>
      <c r="J729" s="60" t="s">
        <v>169</v>
      </c>
      <c r="K729" s="61"/>
      <c r="L729" s="60"/>
      <c r="M729" s="60">
        <v>2.0</v>
      </c>
      <c r="N729" s="61">
        <v>130.458038172021</v>
      </c>
      <c r="O729" s="61">
        <v>5.017</v>
      </c>
      <c r="P729" s="61">
        <v>0.317</v>
      </c>
      <c r="Q729" s="61">
        <v>-21.378</v>
      </c>
      <c r="R729" s="61">
        <v>0.243</v>
      </c>
      <c r="S729" s="60">
        <v>15.5</v>
      </c>
      <c r="T729" s="60">
        <v>0.237</v>
      </c>
      <c r="U729" s="61">
        <v>11.9</v>
      </c>
      <c r="V729" s="5"/>
      <c r="W729" s="5"/>
      <c r="X729" s="5"/>
      <c r="Y729" s="188" t="s">
        <v>1479</v>
      </c>
      <c r="Z729" s="60"/>
      <c r="AA729" s="60"/>
      <c r="AB729" s="60">
        <v>11.237</v>
      </c>
      <c r="AC729" s="60">
        <v>0.024</v>
      </c>
      <c r="AD729" s="60">
        <v>9.319</v>
      </c>
      <c r="AE729" s="60">
        <v>0.02</v>
      </c>
      <c r="AF729" s="60">
        <v>8.101</v>
      </c>
      <c r="AG729" s="60">
        <v>0.029</v>
      </c>
      <c r="AH729" s="60"/>
      <c r="AI729" s="60"/>
      <c r="AJ729" s="76" t="s">
        <v>1479</v>
      </c>
      <c r="AK729" s="64" t="s">
        <v>1484</v>
      </c>
      <c r="AL729" s="70">
        <v>2008.0</v>
      </c>
      <c r="AM729" s="7"/>
      <c r="AN729" s="77">
        <v>140.0</v>
      </c>
      <c r="AO729" s="64"/>
      <c r="AP729" s="64" t="s">
        <v>427</v>
      </c>
      <c r="AQ729" s="13"/>
      <c r="AR729" s="66">
        <v>3800.0</v>
      </c>
      <c r="AS729" s="97"/>
      <c r="AT729" s="67">
        <v>0.52</v>
      </c>
      <c r="AU729" s="70"/>
      <c r="AV729" s="64">
        <v>2.11</v>
      </c>
      <c r="AW729" s="13"/>
      <c r="AX729" s="73"/>
      <c r="AY729" s="73"/>
      <c r="AZ729" s="11" t="s">
        <v>162</v>
      </c>
      <c r="BA729" s="68" t="s">
        <v>1481</v>
      </c>
      <c r="BB729" s="68"/>
      <c r="BC729" s="68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68">
        <v>-5.61</v>
      </c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68">
        <v>-4.49</v>
      </c>
      <c r="CM729" s="11"/>
      <c r="CN729" s="11"/>
      <c r="CO729" s="11"/>
      <c r="CP729" s="68">
        <v>-6.7</v>
      </c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2"/>
      <c r="DK729" s="12"/>
      <c r="DL729" s="12"/>
      <c r="DM729" s="69"/>
      <c r="DN729" s="69"/>
      <c r="DO729" s="69"/>
      <c r="DP729" s="69"/>
      <c r="DQ729" s="11"/>
      <c r="DR729" s="69"/>
      <c r="DS729" s="69"/>
      <c r="DT729" s="69"/>
      <c r="DU729" s="69"/>
      <c r="DV729" s="70">
        <v>-0.44</v>
      </c>
      <c r="DW729" s="98"/>
      <c r="DX729" s="71">
        <v>9.55E-8</v>
      </c>
      <c r="DY729" s="114"/>
      <c r="DZ729" s="64" t="s">
        <v>1479</v>
      </c>
      <c r="EA729" s="64"/>
      <c r="EB729" s="82"/>
    </row>
    <row r="730">
      <c r="A730" s="167" t="s">
        <v>1500</v>
      </c>
      <c r="B730" s="189" t="s">
        <v>1501</v>
      </c>
      <c r="C730" s="3"/>
      <c r="D730" s="4"/>
      <c r="E730" s="4"/>
      <c r="F730" s="57" t="s">
        <v>168</v>
      </c>
      <c r="G730" s="61">
        <v>246.578659166666</v>
      </c>
      <c r="H730" s="61">
        <v>-24.4721383333333</v>
      </c>
      <c r="I730" s="6" t="s">
        <v>158</v>
      </c>
      <c r="J730" s="60" t="s">
        <v>169</v>
      </c>
      <c r="K730" s="61">
        <v>1.0</v>
      </c>
      <c r="L730" s="60"/>
      <c r="M730" s="60">
        <v>2.0</v>
      </c>
      <c r="N730" s="61">
        <v>138.421715598743</v>
      </c>
      <c r="O730" s="61">
        <v>-8.993</v>
      </c>
      <c r="P730" s="61">
        <v>0.64</v>
      </c>
      <c r="Q730" s="61">
        <v>-27.342</v>
      </c>
      <c r="R730" s="61">
        <v>0.369</v>
      </c>
      <c r="S730" s="60">
        <v>-3.26</v>
      </c>
      <c r="T730" s="60">
        <v>0.64</v>
      </c>
      <c r="U730" s="61">
        <v>0.97</v>
      </c>
      <c r="V730" s="5"/>
      <c r="W730" s="5"/>
      <c r="X730" s="5"/>
      <c r="Y730" s="188" t="s">
        <v>1479</v>
      </c>
      <c r="Z730" s="60"/>
      <c r="AA730" s="60"/>
      <c r="AB730" s="60">
        <v>12.579</v>
      </c>
      <c r="AC730" s="60">
        <v>0.021</v>
      </c>
      <c r="AD730" s="60">
        <v>9.933</v>
      </c>
      <c r="AE730" s="60">
        <v>0.024</v>
      </c>
      <c r="AF730" s="60">
        <v>8.072</v>
      </c>
      <c r="AG730" s="60">
        <v>0.031</v>
      </c>
      <c r="AH730" s="60"/>
      <c r="AI730" s="60"/>
      <c r="AJ730" s="76" t="s">
        <v>1479</v>
      </c>
      <c r="AK730" s="64" t="s">
        <v>1480</v>
      </c>
      <c r="AL730" s="70">
        <v>2008.0</v>
      </c>
      <c r="AM730" s="7"/>
      <c r="AN730" s="77">
        <v>120.0</v>
      </c>
      <c r="AO730" s="64"/>
      <c r="AP730" s="64" t="s">
        <v>427</v>
      </c>
      <c r="AQ730" s="13"/>
      <c r="AR730" s="66">
        <v>3890.0</v>
      </c>
      <c r="AS730" s="97"/>
      <c r="AT730" s="67">
        <v>0.52</v>
      </c>
      <c r="AU730" s="70"/>
      <c r="AV730" s="64">
        <v>1.5</v>
      </c>
      <c r="AW730" s="13"/>
      <c r="AX730" s="73"/>
      <c r="AY730" s="73"/>
      <c r="AZ730" s="11" t="s">
        <v>162</v>
      </c>
      <c r="BA730" s="68" t="s">
        <v>1481</v>
      </c>
      <c r="BB730" s="68"/>
      <c r="BC730" s="68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68">
        <v>-8.9</v>
      </c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68">
        <v>-3.35</v>
      </c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2"/>
      <c r="DK730" s="12"/>
      <c r="DL730" s="12"/>
      <c r="DM730" s="69"/>
      <c r="DN730" s="69"/>
      <c r="DO730" s="69"/>
      <c r="DP730" s="69"/>
      <c r="DQ730" s="11"/>
      <c r="DR730" s="69"/>
      <c r="DS730" s="69"/>
      <c r="DT730" s="69"/>
      <c r="DU730" s="69"/>
      <c r="DV730" s="70">
        <v>-0.87</v>
      </c>
      <c r="DW730" s="98"/>
      <c r="DX730" s="71">
        <v>2.75E-8</v>
      </c>
      <c r="DY730" s="114"/>
      <c r="DZ730" s="64" t="s">
        <v>1479</v>
      </c>
      <c r="EA730" s="64"/>
      <c r="EB730" s="82"/>
    </row>
    <row r="731">
      <c r="A731" s="74" t="s">
        <v>447</v>
      </c>
      <c r="B731" s="189" t="s">
        <v>448</v>
      </c>
      <c r="C731" s="4"/>
      <c r="D731" s="4"/>
      <c r="E731" s="4"/>
      <c r="F731" s="57" t="s">
        <v>168</v>
      </c>
      <c r="G731" s="61">
        <v>68.7309258333333</v>
      </c>
      <c r="H731" s="61">
        <v>24.4813994444444</v>
      </c>
      <c r="I731" s="60" t="s">
        <v>199</v>
      </c>
      <c r="J731" s="60" t="s">
        <v>169</v>
      </c>
      <c r="K731" s="58">
        <v>11.0</v>
      </c>
      <c r="L731" s="5"/>
      <c r="M731" s="60">
        <v>2.0</v>
      </c>
      <c r="N731" s="61">
        <v>137.196795082866</v>
      </c>
      <c r="O731" s="61">
        <v>3.483</v>
      </c>
      <c r="P731" s="61">
        <v>0.354</v>
      </c>
      <c r="Q731" s="61">
        <v>-20.987</v>
      </c>
      <c r="R731" s="61">
        <v>0.192</v>
      </c>
      <c r="S731" s="60">
        <v>17.37</v>
      </c>
      <c r="T731" s="60">
        <v>0.15</v>
      </c>
      <c r="U731" s="60">
        <v>0.74</v>
      </c>
      <c r="V731" s="5"/>
      <c r="W731" s="5"/>
      <c r="X731" s="5"/>
      <c r="Y731" s="188" t="s">
        <v>1479</v>
      </c>
      <c r="Z731" s="60"/>
      <c r="AA731" s="60"/>
      <c r="AB731" s="60">
        <v>9.433</v>
      </c>
      <c r="AC731" s="60">
        <v>0.024</v>
      </c>
      <c r="AD731" s="60">
        <v>8.546</v>
      </c>
      <c r="AE731" s="60">
        <v>0.023</v>
      </c>
      <c r="AF731" s="60">
        <v>8.047</v>
      </c>
      <c r="AG731" s="60">
        <v>0.024</v>
      </c>
      <c r="AH731" s="6"/>
      <c r="AI731" s="6"/>
      <c r="AJ731" s="76" t="s">
        <v>1479</v>
      </c>
      <c r="AK731" s="64" t="s">
        <v>1480</v>
      </c>
      <c r="AL731" s="64">
        <v>2003.0</v>
      </c>
      <c r="AM731" s="7"/>
      <c r="AN731" s="77">
        <v>140.0</v>
      </c>
      <c r="AO731" s="13"/>
      <c r="AP731" s="64" t="s">
        <v>434</v>
      </c>
      <c r="AQ731" s="7"/>
      <c r="AR731" s="66">
        <v>4060.0</v>
      </c>
      <c r="AS731" s="7"/>
      <c r="AT731" s="67">
        <v>0.53</v>
      </c>
      <c r="AU731" s="7"/>
      <c r="AV731" s="64">
        <v>0.71</v>
      </c>
      <c r="AW731" s="7"/>
      <c r="AX731" s="70">
        <v>1.74</v>
      </c>
      <c r="AY731" s="7"/>
      <c r="AZ731" s="11" t="s">
        <v>162</v>
      </c>
      <c r="BA731" s="68" t="s">
        <v>1481</v>
      </c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68">
        <v>-2.58</v>
      </c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68">
        <v>-0.59</v>
      </c>
      <c r="CM731" s="11"/>
      <c r="CN731" s="11"/>
      <c r="CO731" s="11"/>
      <c r="CP731" s="68">
        <v>-2.21</v>
      </c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2"/>
      <c r="DK731" s="12"/>
      <c r="DL731" s="12"/>
      <c r="DM731" s="12"/>
      <c r="DN731" s="12"/>
      <c r="DO731" s="12"/>
      <c r="DP731" s="12"/>
      <c r="DQ731" s="11"/>
      <c r="DR731" s="12"/>
      <c r="DS731" s="12"/>
      <c r="DT731" s="12"/>
      <c r="DU731" s="12"/>
      <c r="DV731" s="70">
        <v>-1.43</v>
      </c>
      <c r="DW731" s="10"/>
      <c r="DX731" s="71">
        <v>4.9E-9</v>
      </c>
      <c r="DY731" s="7"/>
      <c r="DZ731" s="190" t="s">
        <v>1479</v>
      </c>
      <c r="EA731" s="7"/>
      <c r="EB731" s="7"/>
    </row>
    <row r="732">
      <c r="A732" s="167" t="s">
        <v>1502</v>
      </c>
      <c r="B732" s="189" t="s">
        <v>1503</v>
      </c>
      <c r="C732" s="3"/>
      <c r="D732" s="4"/>
      <c r="E732" s="4"/>
      <c r="F732" s="57" t="s">
        <v>168</v>
      </c>
      <c r="G732" s="61">
        <v>67.9102995833333</v>
      </c>
      <c r="H732" s="61">
        <v>18.2328013888888</v>
      </c>
      <c r="I732" s="60" t="s">
        <v>199</v>
      </c>
      <c r="J732" s="60" t="s">
        <v>257</v>
      </c>
      <c r="K732" s="61">
        <v>1.5</v>
      </c>
      <c r="L732" s="60"/>
      <c r="M732" s="60"/>
      <c r="N732" s="61"/>
      <c r="O732" s="61">
        <v>4.2</v>
      </c>
      <c r="P732" s="61">
        <v>3.2</v>
      </c>
      <c r="Q732" s="61">
        <v>-15.3</v>
      </c>
      <c r="R732" s="61">
        <v>6.9</v>
      </c>
      <c r="S732" s="60"/>
      <c r="T732" s="60"/>
      <c r="U732" s="61">
        <v>3.2</v>
      </c>
      <c r="V732" s="5"/>
      <c r="W732" s="5"/>
      <c r="X732" s="5"/>
      <c r="Y732" s="83" t="s">
        <v>1479</v>
      </c>
      <c r="Z732" s="60">
        <v>14.39</v>
      </c>
      <c r="AA732" s="60">
        <v>0.18</v>
      </c>
      <c r="AB732" s="60">
        <v>10.624</v>
      </c>
      <c r="AC732" s="60">
        <v>0.042</v>
      </c>
      <c r="AD732" s="60">
        <v>9.171</v>
      </c>
      <c r="AE732" s="60">
        <v>0.046</v>
      </c>
      <c r="AF732" s="60">
        <v>7.41</v>
      </c>
      <c r="AG732" s="60">
        <v>0.017</v>
      </c>
      <c r="AH732" s="60"/>
      <c r="AI732" s="60"/>
      <c r="AJ732" s="76" t="s">
        <v>1479</v>
      </c>
      <c r="AK732" s="64" t="s">
        <v>1480</v>
      </c>
      <c r="AL732" s="70">
        <v>2001.0</v>
      </c>
      <c r="AM732" s="7"/>
      <c r="AN732" s="77">
        <v>140.0</v>
      </c>
      <c r="AO732" s="64"/>
      <c r="AP732" s="64" t="s">
        <v>459</v>
      </c>
      <c r="AQ732" s="13"/>
      <c r="AR732" s="66">
        <v>4350.0</v>
      </c>
      <c r="AS732" s="97"/>
      <c r="AT732" s="67">
        <v>0.55</v>
      </c>
      <c r="AU732" s="70"/>
      <c r="AV732" s="64">
        <v>0.9</v>
      </c>
      <c r="AW732" s="13"/>
      <c r="AX732" s="73"/>
      <c r="AY732" s="73"/>
      <c r="AZ732" s="11" t="s">
        <v>162</v>
      </c>
      <c r="BA732" s="68" t="s">
        <v>1481</v>
      </c>
      <c r="BB732" s="68"/>
      <c r="BC732" s="68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68">
        <v>-12.89</v>
      </c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68">
        <v>-4.71</v>
      </c>
      <c r="CM732" s="11"/>
      <c r="CN732" s="11"/>
      <c r="CO732" s="11"/>
      <c r="CP732" s="68">
        <v>-6.0</v>
      </c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2"/>
      <c r="DK732" s="12"/>
      <c r="DL732" s="12"/>
      <c r="DM732" s="69"/>
      <c r="DN732" s="69"/>
      <c r="DO732" s="69"/>
      <c r="DP732" s="69"/>
      <c r="DQ732" s="11"/>
      <c r="DR732" s="69"/>
      <c r="DS732" s="69"/>
      <c r="DT732" s="69"/>
      <c r="DU732" s="69"/>
      <c r="DV732" s="70">
        <v>-0.1</v>
      </c>
      <c r="DW732" s="98"/>
      <c r="DX732" s="71">
        <v>9.77E-8</v>
      </c>
      <c r="DY732" s="114"/>
      <c r="DZ732" s="64" t="s">
        <v>1479</v>
      </c>
      <c r="EA732" s="64"/>
      <c r="EB732" s="82"/>
    </row>
    <row r="733">
      <c r="A733" s="167" t="s">
        <v>1504</v>
      </c>
      <c r="B733" s="189" t="s">
        <v>1505</v>
      </c>
      <c r="C733" s="3"/>
      <c r="D733" s="4"/>
      <c r="E733" s="4"/>
      <c r="F733" s="57" t="s">
        <v>168</v>
      </c>
      <c r="G733" s="61">
        <v>70.6570816666666</v>
      </c>
      <c r="H733" s="61">
        <v>25.2602755555555</v>
      </c>
      <c r="I733" s="60" t="s">
        <v>199</v>
      </c>
      <c r="J733" s="60" t="s">
        <v>169</v>
      </c>
      <c r="K733" s="61">
        <v>1.5</v>
      </c>
      <c r="L733" s="60"/>
      <c r="M733" s="5"/>
      <c r="N733" s="61"/>
      <c r="O733" s="61">
        <v>3.3</v>
      </c>
      <c r="P733" s="61">
        <v>7.1</v>
      </c>
      <c r="Q733" s="61">
        <v>-14.3</v>
      </c>
      <c r="R733" s="61">
        <v>6.7</v>
      </c>
      <c r="S733" s="60">
        <v>18.56</v>
      </c>
      <c r="T733" s="60">
        <v>0.207</v>
      </c>
      <c r="U733" s="61">
        <v>0.6</v>
      </c>
      <c r="V733" s="5"/>
      <c r="W733" s="5"/>
      <c r="X733" s="5"/>
      <c r="Y733" s="188" t="s">
        <v>1479</v>
      </c>
      <c r="Z733" s="60">
        <v>14.42</v>
      </c>
      <c r="AA733" s="60"/>
      <c r="AB733" s="60">
        <v>10.995</v>
      </c>
      <c r="AC733" s="60">
        <v>0.021</v>
      </c>
      <c r="AD733" s="60">
        <v>9.689</v>
      </c>
      <c r="AE733" s="60">
        <v>0.017</v>
      </c>
      <c r="AF733" s="60">
        <v>8.76</v>
      </c>
      <c r="AG733" s="60">
        <v>0.016</v>
      </c>
      <c r="AH733" s="60"/>
      <c r="AI733" s="60"/>
      <c r="AJ733" s="76" t="s">
        <v>1479</v>
      </c>
      <c r="AK733" s="64" t="s">
        <v>1484</v>
      </c>
      <c r="AL733" s="70">
        <v>2006.0</v>
      </c>
      <c r="AM733" s="7"/>
      <c r="AN733" s="77">
        <v>140.0</v>
      </c>
      <c r="AO733" s="64"/>
      <c r="AP733" s="64" t="s">
        <v>427</v>
      </c>
      <c r="AQ733" s="13"/>
      <c r="AR733" s="66">
        <v>3850.0</v>
      </c>
      <c r="AS733" s="97"/>
      <c r="AT733" s="67">
        <v>0.57</v>
      </c>
      <c r="AU733" s="70"/>
      <c r="AV733" s="64">
        <v>0.18</v>
      </c>
      <c r="AW733" s="13"/>
      <c r="AX733" s="73"/>
      <c r="AY733" s="73"/>
      <c r="AZ733" s="11" t="s">
        <v>162</v>
      </c>
      <c r="BA733" s="68" t="s">
        <v>1481</v>
      </c>
      <c r="BB733" s="68"/>
      <c r="BC733" s="68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68">
        <v>-7.5</v>
      </c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68">
        <v>-3.4</v>
      </c>
      <c r="CM733" s="11"/>
      <c r="CN733" s="11"/>
      <c r="CO733" s="11"/>
      <c r="CP733" s="68">
        <v>-5.78</v>
      </c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2"/>
      <c r="DK733" s="12"/>
      <c r="DL733" s="12"/>
      <c r="DM733" s="69"/>
      <c r="DN733" s="69"/>
      <c r="DO733" s="69"/>
      <c r="DP733" s="69"/>
      <c r="DQ733" s="11"/>
      <c r="DR733" s="69"/>
      <c r="DS733" s="69"/>
      <c r="DT733" s="69"/>
      <c r="DU733" s="69"/>
      <c r="DV733" s="70">
        <v>-1.06</v>
      </c>
      <c r="DW733" s="98"/>
      <c r="DX733" s="71">
        <v>5.75E-9</v>
      </c>
      <c r="DY733" s="114"/>
      <c r="DZ733" s="64" t="s">
        <v>1479</v>
      </c>
      <c r="EA733" s="64"/>
      <c r="EB733" s="82"/>
    </row>
    <row r="734">
      <c r="A734" s="167" t="s">
        <v>1506</v>
      </c>
      <c r="B734" s="189" t="s">
        <v>1507</v>
      </c>
      <c r="C734" s="57" t="s">
        <v>156</v>
      </c>
      <c r="D734" s="57">
        <v>1.4</v>
      </c>
      <c r="E734" s="4"/>
      <c r="F734" s="57" t="s">
        <v>168</v>
      </c>
      <c r="G734" s="61">
        <v>285.285820833333</v>
      </c>
      <c r="H734" s="61">
        <v>-36.9555263888888</v>
      </c>
      <c r="I734" s="60" t="s">
        <v>1508</v>
      </c>
      <c r="J734" s="60" t="s">
        <v>169</v>
      </c>
      <c r="K734" s="61">
        <v>2.0</v>
      </c>
      <c r="L734" s="60">
        <v>1.0</v>
      </c>
      <c r="M734" s="60"/>
      <c r="N734" s="61"/>
      <c r="O734" s="61">
        <v>-2.6</v>
      </c>
      <c r="P734" s="61">
        <v>1.0</v>
      </c>
      <c r="Q734" s="61">
        <v>-9.8</v>
      </c>
      <c r="R734" s="61">
        <v>1.5</v>
      </c>
      <c r="S734" s="60">
        <v>-33.0</v>
      </c>
      <c r="T734" s="60">
        <v>5.0</v>
      </c>
      <c r="U734" s="61">
        <v>1.0</v>
      </c>
      <c r="V734" s="60"/>
      <c r="W734" s="60"/>
      <c r="X734" s="5"/>
      <c r="Y734" s="188" t="s">
        <v>1479</v>
      </c>
      <c r="Z734" s="60">
        <v>11.41</v>
      </c>
      <c r="AA734" s="60">
        <v>0.1</v>
      </c>
      <c r="AB734" s="60">
        <v>8.194</v>
      </c>
      <c r="AC734" s="60">
        <v>0.021</v>
      </c>
      <c r="AD734" s="60">
        <v>7.051</v>
      </c>
      <c r="AE734" s="60">
        <v>0.024</v>
      </c>
      <c r="AF734" s="60">
        <v>7.27</v>
      </c>
      <c r="AG734" s="60">
        <v>0.08</v>
      </c>
      <c r="AH734" s="60"/>
      <c r="AI734" s="60"/>
      <c r="AJ734" s="76" t="s">
        <v>1479</v>
      </c>
      <c r="AK734" s="64" t="s">
        <v>1489</v>
      </c>
      <c r="AL734" s="70">
        <v>2007.0</v>
      </c>
      <c r="AM734" s="7"/>
      <c r="AN734" s="77">
        <v>130.0</v>
      </c>
      <c r="AO734" s="64"/>
      <c r="AP734" s="64" t="s">
        <v>427</v>
      </c>
      <c r="AQ734" s="13"/>
      <c r="AR734" s="66">
        <v>3800.0</v>
      </c>
      <c r="AS734" s="97"/>
      <c r="AT734" s="67">
        <v>0.6</v>
      </c>
      <c r="AU734" s="70"/>
      <c r="AV734" s="64">
        <v>0.76</v>
      </c>
      <c r="AW734" s="13"/>
      <c r="AX734" s="73"/>
      <c r="AY734" s="73"/>
      <c r="AZ734" s="11" t="s">
        <v>162</v>
      </c>
      <c r="BA734" s="68" t="s">
        <v>1481</v>
      </c>
      <c r="BB734" s="68"/>
      <c r="BC734" s="68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68">
        <v>-4.75</v>
      </c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2"/>
      <c r="DK734" s="12"/>
      <c r="DL734" s="12"/>
      <c r="DM734" s="69"/>
      <c r="DN734" s="69"/>
      <c r="DO734" s="69"/>
      <c r="DP734" s="69"/>
      <c r="DQ734" s="11"/>
      <c r="DR734" s="69"/>
      <c r="DS734" s="69"/>
      <c r="DT734" s="69"/>
      <c r="DU734" s="69"/>
      <c r="DV734" s="70">
        <v>-0.65</v>
      </c>
      <c r="DW734" s="98"/>
      <c r="DX734" s="71">
        <v>2.95E-8</v>
      </c>
      <c r="DY734" s="114"/>
      <c r="DZ734" s="64" t="s">
        <v>1479</v>
      </c>
      <c r="EA734" s="64" t="s">
        <v>1509</v>
      </c>
      <c r="EB734" s="82"/>
    </row>
    <row r="735">
      <c r="A735" s="167" t="s">
        <v>1510</v>
      </c>
      <c r="B735" s="189" t="s">
        <v>1511</v>
      </c>
      <c r="C735" s="3"/>
      <c r="D735" s="4"/>
      <c r="E735" s="4"/>
      <c r="F735" s="57" t="s">
        <v>168</v>
      </c>
      <c r="G735" s="61">
        <v>167.0058225</v>
      </c>
      <c r="H735" s="61">
        <v>-77.7079386111111</v>
      </c>
      <c r="I735" s="60" t="s">
        <v>1512</v>
      </c>
      <c r="J735" s="60" t="s">
        <v>169</v>
      </c>
      <c r="K735" s="61"/>
      <c r="L735" s="60"/>
      <c r="M735" s="60"/>
      <c r="N735" s="61"/>
      <c r="O735" s="61">
        <v>-13.3</v>
      </c>
      <c r="P735" s="61">
        <v>0.9</v>
      </c>
      <c r="Q735" s="61">
        <v>0.3</v>
      </c>
      <c r="R735" s="61">
        <v>1.0</v>
      </c>
      <c r="S735" s="60">
        <v>10.65</v>
      </c>
      <c r="T735" s="60">
        <v>0.4</v>
      </c>
      <c r="U735" s="61">
        <v>2.39</v>
      </c>
      <c r="V735" s="5"/>
      <c r="W735" s="5"/>
      <c r="X735" s="5"/>
      <c r="Y735" s="83" t="s">
        <v>1479</v>
      </c>
      <c r="Z735" s="60"/>
      <c r="AA735" s="60"/>
      <c r="AB735" s="60">
        <v>8.703</v>
      </c>
      <c r="AC735" s="60">
        <v>0.027</v>
      </c>
      <c r="AD735" s="60">
        <v>7.637</v>
      </c>
      <c r="AE735" s="60">
        <v>0.036</v>
      </c>
      <c r="AF735" s="60">
        <v>6.962</v>
      </c>
      <c r="AG735" s="60">
        <v>0.026</v>
      </c>
      <c r="AH735" s="60"/>
      <c r="AI735" s="60"/>
      <c r="AJ735" s="76" t="s">
        <v>1479</v>
      </c>
      <c r="AK735" s="64" t="s">
        <v>1489</v>
      </c>
      <c r="AL735" s="70">
        <v>2009.0</v>
      </c>
      <c r="AM735" s="7"/>
      <c r="AN735" s="77">
        <v>150.0</v>
      </c>
      <c r="AO735" s="64"/>
      <c r="AP735" s="64" t="s">
        <v>459</v>
      </c>
      <c r="AQ735" s="13"/>
      <c r="AR735" s="78"/>
      <c r="AS735" s="97"/>
      <c r="AT735" s="67">
        <v>0.6</v>
      </c>
      <c r="AU735" s="70"/>
      <c r="AV735" s="64">
        <v>3.37</v>
      </c>
      <c r="AW735" s="13"/>
      <c r="AX735" s="70">
        <v>2.75</v>
      </c>
      <c r="AY735" s="73"/>
      <c r="AZ735" s="11" t="s">
        <v>162</v>
      </c>
      <c r="BA735" s="68" t="s">
        <v>1481</v>
      </c>
      <c r="BB735" s="68"/>
      <c r="BC735" s="68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68">
        <v>-9.18</v>
      </c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2"/>
      <c r="DK735" s="12"/>
      <c r="DL735" s="12"/>
      <c r="DM735" s="69"/>
      <c r="DN735" s="69"/>
      <c r="DO735" s="69"/>
      <c r="DP735" s="69"/>
      <c r="DQ735" s="11"/>
      <c r="DR735" s="69"/>
      <c r="DS735" s="69"/>
      <c r="DT735" s="69"/>
      <c r="DU735" s="69"/>
      <c r="DV735" s="70">
        <v>-0.77</v>
      </c>
      <c r="DW735" s="98"/>
      <c r="DX735" s="71">
        <v>3.16E-8</v>
      </c>
      <c r="DY735" s="114"/>
      <c r="DZ735" s="64" t="s">
        <v>1479</v>
      </c>
      <c r="EA735" s="64"/>
      <c r="EB735" s="82"/>
    </row>
    <row r="736">
      <c r="A736" s="167" t="s">
        <v>1513</v>
      </c>
      <c r="B736" s="189" t="s">
        <v>1514</v>
      </c>
      <c r="C736" s="3"/>
      <c r="D736" s="4"/>
      <c r="E736" s="4"/>
      <c r="F736" s="57" t="s">
        <v>168</v>
      </c>
      <c r="G736" s="61">
        <v>68.4530562499999</v>
      </c>
      <c r="H736" s="61">
        <v>18.1694372222222</v>
      </c>
      <c r="I736" s="60" t="s">
        <v>199</v>
      </c>
      <c r="J736" s="60" t="s">
        <v>1497</v>
      </c>
      <c r="K736" s="61">
        <v>1.5</v>
      </c>
      <c r="L736" s="60"/>
      <c r="M736" s="60">
        <v>2.0</v>
      </c>
      <c r="N736" s="61">
        <v>145.144200763458</v>
      </c>
      <c r="O736" s="61">
        <v>11.788</v>
      </c>
      <c r="P736" s="61">
        <v>0.123</v>
      </c>
      <c r="Q736" s="61">
        <v>-18.361</v>
      </c>
      <c r="R736" s="61">
        <v>0.059</v>
      </c>
      <c r="S736" s="60">
        <v>18.607</v>
      </c>
      <c r="T736" s="60">
        <v>0.011</v>
      </c>
      <c r="U736" s="61">
        <v>1.1</v>
      </c>
      <c r="V736" s="5"/>
      <c r="W736" s="5"/>
      <c r="X736" s="5"/>
      <c r="Y736" s="188" t="s">
        <v>1479</v>
      </c>
      <c r="Z736" s="60"/>
      <c r="AA736" s="60"/>
      <c r="AB736" s="60">
        <v>10.442</v>
      </c>
      <c r="AC736" s="60">
        <v>0.022</v>
      </c>
      <c r="AD736" s="60">
        <v>9.757</v>
      </c>
      <c r="AE736" s="60">
        <v>0.021</v>
      </c>
      <c r="AF736" s="60">
        <v>9.522</v>
      </c>
      <c r="AG736" s="60">
        <v>0.02</v>
      </c>
      <c r="AH736" s="60"/>
      <c r="AI736" s="60"/>
      <c r="AJ736" s="76" t="s">
        <v>1479</v>
      </c>
      <c r="AK736" s="64" t="s">
        <v>1484</v>
      </c>
      <c r="AL736" s="70">
        <v>2003.0</v>
      </c>
      <c r="AM736" s="7"/>
      <c r="AN736" s="77">
        <v>140.0</v>
      </c>
      <c r="AO736" s="64"/>
      <c r="AP736" s="64" t="s">
        <v>419</v>
      </c>
      <c r="AQ736" s="13"/>
      <c r="AR736" s="66">
        <v>3705.0</v>
      </c>
      <c r="AS736" s="97"/>
      <c r="AT736" s="67">
        <v>0.62</v>
      </c>
      <c r="AU736" s="70"/>
      <c r="AV736" s="64">
        <v>0.32</v>
      </c>
      <c r="AW736" s="13"/>
      <c r="AX736" s="73"/>
      <c r="AY736" s="73"/>
      <c r="AZ736" s="11" t="s">
        <v>162</v>
      </c>
      <c r="BA736" s="68" t="s">
        <v>1481</v>
      </c>
      <c r="BB736" s="68"/>
      <c r="BC736" s="68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68">
        <v>-20.73</v>
      </c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2"/>
      <c r="DK736" s="12"/>
      <c r="DL736" s="12"/>
      <c r="DM736" s="69"/>
      <c r="DN736" s="69"/>
      <c r="DO736" s="69"/>
      <c r="DP736" s="69"/>
      <c r="DQ736" s="11"/>
      <c r="DR736" s="69"/>
      <c r="DS736" s="69"/>
      <c r="DT736" s="69"/>
      <c r="DU736" s="69"/>
      <c r="DV736" s="70">
        <v>-1.42</v>
      </c>
      <c r="DW736" s="98"/>
      <c r="DX736" s="71">
        <v>3.31E-9</v>
      </c>
      <c r="DY736" s="114"/>
      <c r="DZ736" s="64" t="s">
        <v>1479</v>
      </c>
      <c r="EA736" s="64"/>
      <c r="EB736" s="82"/>
    </row>
    <row r="737">
      <c r="A737" s="167" t="s">
        <v>1515</v>
      </c>
      <c r="B737" s="189" t="s">
        <v>1516</v>
      </c>
      <c r="C737" s="3"/>
      <c r="D737" s="4"/>
      <c r="E737" s="4"/>
      <c r="F737" s="57" t="s">
        <v>168</v>
      </c>
      <c r="G737" s="61">
        <v>68.1323454166666</v>
      </c>
      <c r="H737" s="61">
        <v>24.3341824999999</v>
      </c>
      <c r="I737" s="60" t="s">
        <v>199</v>
      </c>
      <c r="J737" s="60" t="s">
        <v>169</v>
      </c>
      <c r="K737" s="61">
        <v>1.5</v>
      </c>
      <c r="L737" s="60"/>
      <c r="M737" s="60">
        <v>2.0</v>
      </c>
      <c r="N737" s="61">
        <v>130.025484995059</v>
      </c>
      <c r="O737" s="61">
        <v>7.121</v>
      </c>
      <c r="P737" s="61">
        <v>0.143</v>
      </c>
      <c r="Q737" s="61">
        <v>-21.497</v>
      </c>
      <c r="R737" s="61">
        <v>0.106</v>
      </c>
      <c r="S737" s="60">
        <v>16.0</v>
      </c>
      <c r="T737" s="60">
        <v>0.346</v>
      </c>
      <c r="U737" s="61">
        <v>2.72</v>
      </c>
      <c r="V737" s="5"/>
      <c r="W737" s="5"/>
      <c r="X737" s="5"/>
      <c r="Y737" s="188" t="s">
        <v>1479</v>
      </c>
      <c r="Z737" s="60">
        <v>15.04</v>
      </c>
      <c r="AA737" s="60"/>
      <c r="AB737" s="60">
        <v>9.895</v>
      </c>
      <c r="AC737" s="60">
        <v>0.022</v>
      </c>
      <c r="AD737" s="60">
        <v>8.4</v>
      </c>
      <c r="AE737" s="60">
        <v>0.029</v>
      </c>
      <c r="AF737" s="60">
        <v>7.347</v>
      </c>
      <c r="AG737" s="60">
        <v>0.017</v>
      </c>
      <c r="AH737" s="60"/>
      <c r="AI737" s="60"/>
      <c r="AJ737" s="76" t="s">
        <v>1479</v>
      </c>
      <c r="AK737" s="64" t="s">
        <v>1484</v>
      </c>
      <c r="AL737" s="70">
        <v>2008.0</v>
      </c>
      <c r="AM737" s="7"/>
      <c r="AN737" s="77">
        <v>140.0</v>
      </c>
      <c r="AO737" s="64"/>
      <c r="AP737" s="64" t="s">
        <v>427</v>
      </c>
      <c r="AQ737" s="13"/>
      <c r="AR737" s="66">
        <v>3918.0</v>
      </c>
      <c r="AS737" s="97"/>
      <c r="AT737" s="67">
        <v>0.7</v>
      </c>
      <c r="AU737" s="70"/>
      <c r="AV737" s="64">
        <v>0.51</v>
      </c>
      <c r="AW737" s="13"/>
      <c r="AX737" s="73"/>
      <c r="AY737" s="73"/>
      <c r="AZ737" s="11" t="s">
        <v>162</v>
      </c>
      <c r="BA737" s="68" t="s">
        <v>1481</v>
      </c>
      <c r="BB737" s="68"/>
      <c r="BC737" s="68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68">
        <v>-13.19</v>
      </c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2"/>
      <c r="DK737" s="12"/>
      <c r="DL737" s="12"/>
      <c r="DM737" s="69"/>
      <c r="DN737" s="69"/>
      <c r="DO737" s="69"/>
      <c r="DP737" s="69"/>
      <c r="DQ737" s="11"/>
      <c r="DR737" s="69"/>
      <c r="DS737" s="69"/>
      <c r="DT737" s="69"/>
      <c r="DU737" s="69"/>
      <c r="DV737" s="70">
        <v>-0.27</v>
      </c>
      <c r="DW737" s="98"/>
      <c r="DX737" s="71">
        <v>4.68E-8</v>
      </c>
      <c r="DY737" s="114"/>
      <c r="DZ737" s="64" t="s">
        <v>1479</v>
      </c>
      <c r="EA737" s="64"/>
      <c r="EB737" s="82"/>
    </row>
    <row r="738">
      <c r="A738" s="167" t="s">
        <v>1517</v>
      </c>
      <c r="B738" s="189" t="s">
        <v>1518</v>
      </c>
      <c r="C738" s="3"/>
      <c r="D738" s="4"/>
      <c r="E738" s="4"/>
      <c r="F738" s="57" t="s">
        <v>168</v>
      </c>
      <c r="G738" s="61">
        <v>68.4128191666666</v>
      </c>
      <c r="H738" s="61">
        <v>25.3439158333333</v>
      </c>
      <c r="I738" s="60" t="s">
        <v>199</v>
      </c>
      <c r="J738" s="60" t="s">
        <v>169</v>
      </c>
      <c r="K738" s="61">
        <v>1.5</v>
      </c>
      <c r="L738" s="60"/>
      <c r="M738" s="60">
        <v>2.0</v>
      </c>
      <c r="N738" s="61">
        <v>159.339696298538</v>
      </c>
      <c r="O738" s="61">
        <v>9.329</v>
      </c>
      <c r="P738" s="61">
        <v>0.087</v>
      </c>
      <c r="Q738" s="61">
        <v>-18.29</v>
      </c>
      <c r="R738" s="61">
        <v>0.065</v>
      </c>
      <c r="S738" s="60">
        <v>16.43</v>
      </c>
      <c r="T738" s="60">
        <v>0.425</v>
      </c>
      <c r="U738" s="61">
        <v>2.0</v>
      </c>
      <c r="V738" s="5"/>
      <c r="W738" s="5"/>
      <c r="X738" s="5"/>
      <c r="Y738" s="188" t="s">
        <v>1479</v>
      </c>
      <c r="Z738" s="60">
        <v>11.85</v>
      </c>
      <c r="AA738" s="60"/>
      <c r="AB738" s="60">
        <v>9.63</v>
      </c>
      <c r="AC738" s="60">
        <v>0.021</v>
      </c>
      <c r="AD738" s="60">
        <v>8.679</v>
      </c>
      <c r="AE738" s="60">
        <v>0.027</v>
      </c>
      <c r="AF738" s="60">
        <v>7.96</v>
      </c>
      <c r="AG738" s="60">
        <v>0.021</v>
      </c>
      <c r="AH738" s="60"/>
      <c r="AI738" s="60"/>
      <c r="AJ738" s="76" t="s">
        <v>1479</v>
      </c>
      <c r="AK738" s="64" t="s">
        <v>1484</v>
      </c>
      <c r="AL738" s="70">
        <v>2003.0</v>
      </c>
      <c r="AM738" s="7"/>
      <c r="AN738" s="77">
        <v>140.0</v>
      </c>
      <c r="AO738" s="64"/>
      <c r="AP738" s="64" t="s">
        <v>434</v>
      </c>
      <c r="AQ738" s="13"/>
      <c r="AR738" s="66">
        <v>4060.0</v>
      </c>
      <c r="AS738" s="97"/>
      <c r="AT738" s="67">
        <v>0.76</v>
      </c>
      <c r="AU738" s="70"/>
      <c r="AV738" s="64">
        <v>1.16</v>
      </c>
      <c r="AW738" s="13"/>
      <c r="AX738" s="73"/>
      <c r="AY738" s="73"/>
      <c r="AZ738" s="11" t="s">
        <v>162</v>
      </c>
      <c r="BA738" s="68" t="s">
        <v>1481</v>
      </c>
      <c r="BB738" s="68"/>
      <c r="BC738" s="68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68">
        <v>-24.63</v>
      </c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68">
        <v>-14.91</v>
      </c>
      <c r="CM738" s="11"/>
      <c r="CN738" s="11"/>
      <c r="CO738" s="11"/>
      <c r="CP738" s="68">
        <v>-12.2</v>
      </c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2"/>
      <c r="DK738" s="12"/>
      <c r="DL738" s="12"/>
      <c r="DM738" s="69"/>
      <c r="DN738" s="69"/>
      <c r="DO738" s="69"/>
      <c r="DP738" s="69"/>
      <c r="DQ738" s="11"/>
      <c r="DR738" s="69"/>
      <c r="DS738" s="69"/>
      <c r="DT738" s="69"/>
      <c r="DU738" s="69"/>
      <c r="DV738" s="70">
        <v>-0.47</v>
      </c>
      <c r="DW738" s="98"/>
      <c r="DX738" s="71">
        <v>3.89E-8</v>
      </c>
      <c r="DY738" s="114"/>
      <c r="DZ738" s="64" t="s">
        <v>1479</v>
      </c>
      <c r="EA738" s="64"/>
      <c r="EB738" s="82"/>
    </row>
    <row r="739">
      <c r="A739" s="167" t="s">
        <v>454</v>
      </c>
      <c r="B739" s="189" t="s">
        <v>455</v>
      </c>
      <c r="C739" s="3"/>
      <c r="D739" s="4"/>
      <c r="E739" s="4"/>
      <c r="F739" s="57" t="s">
        <v>168</v>
      </c>
      <c r="G739" s="61">
        <v>165.4662725</v>
      </c>
      <c r="H739" s="61">
        <v>-34.7047308333333</v>
      </c>
      <c r="I739" s="6" t="s">
        <v>224</v>
      </c>
      <c r="J739" s="60" t="s">
        <v>1497</v>
      </c>
      <c r="K739" s="61"/>
      <c r="L739" s="60"/>
      <c r="M739" s="60">
        <v>2.0</v>
      </c>
      <c r="N739" s="61">
        <v>60.0860432138822</v>
      </c>
      <c r="O739" s="61">
        <v>-68.389</v>
      </c>
      <c r="P739" s="61">
        <v>0.054</v>
      </c>
      <c r="Q739" s="61">
        <v>-14.016</v>
      </c>
      <c r="R739" s="61">
        <v>0.059</v>
      </c>
      <c r="S739" s="60">
        <v>12.335</v>
      </c>
      <c r="T739" s="60">
        <v>0.002</v>
      </c>
      <c r="U739" s="61">
        <v>0.0</v>
      </c>
      <c r="V739" s="5"/>
      <c r="W739" s="5"/>
      <c r="X739" s="5"/>
      <c r="Y739" s="83" t="s">
        <v>1479</v>
      </c>
      <c r="Z739" s="60">
        <v>10.626</v>
      </c>
      <c r="AA739" s="60">
        <v>0.05</v>
      </c>
      <c r="AB739" s="60">
        <v>8.217</v>
      </c>
      <c r="AC739" s="60">
        <v>0.024</v>
      </c>
      <c r="AD739" s="60">
        <v>7.558</v>
      </c>
      <c r="AE739" s="60">
        <v>0.042</v>
      </c>
      <c r="AF739" s="60">
        <v>7.297</v>
      </c>
      <c r="AG739" s="60">
        <v>0.024</v>
      </c>
      <c r="AH739" s="60"/>
      <c r="AI739" s="60"/>
      <c r="AJ739" s="76" t="s">
        <v>1479</v>
      </c>
      <c r="AK739" s="64" t="s">
        <v>1480</v>
      </c>
      <c r="AL739" s="70">
        <v>2001.0</v>
      </c>
      <c r="AM739" s="7"/>
      <c r="AN739" s="77">
        <v>56.0</v>
      </c>
      <c r="AO739" s="64"/>
      <c r="AP739" s="64" t="s">
        <v>434</v>
      </c>
      <c r="AQ739" s="13"/>
      <c r="AR739" s="66">
        <v>4060.0</v>
      </c>
      <c r="AS739" s="97"/>
      <c r="AT739" s="67">
        <v>0.77</v>
      </c>
      <c r="AU739" s="70"/>
      <c r="AV739" s="64">
        <v>0.17</v>
      </c>
      <c r="AW739" s="13"/>
      <c r="AX739" s="70">
        <v>0.83</v>
      </c>
      <c r="AY739" s="73"/>
      <c r="AZ739" s="11" t="s">
        <v>162</v>
      </c>
      <c r="BA739" s="68" t="s">
        <v>1481</v>
      </c>
      <c r="BB739" s="68"/>
      <c r="BC739" s="68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68">
        <v>-7.27</v>
      </c>
      <c r="CM739" s="11"/>
      <c r="CN739" s="11"/>
      <c r="CO739" s="11"/>
      <c r="CP739" s="68">
        <v>-27.38</v>
      </c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2"/>
      <c r="DK739" s="12"/>
      <c r="DL739" s="12"/>
      <c r="DM739" s="69"/>
      <c r="DN739" s="69"/>
      <c r="DO739" s="69"/>
      <c r="DP739" s="69"/>
      <c r="DQ739" s="11"/>
      <c r="DR739" s="69"/>
      <c r="DS739" s="69"/>
      <c r="DT739" s="69"/>
      <c r="DU739" s="69"/>
      <c r="DV739" s="70">
        <v>-1.3</v>
      </c>
      <c r="DW739" s="98"/>
      <c r="DX739" s="71">
        <v>2.14E-9</v>
      </c>
      <c r="DY739" s="114"/>
      <c r="DZ739" s="64" t="s">
        <v>1479</v>
      </c>
      <c r="EA739" s="64"/>
      <c r="EB739" s="82"/>
    </row>
    <row r="740">
      <c r="A740" s="74" t="s">
        <v>1519</v>
      </c>
      <c r="B740" s="189" t="s">
        <v>1520</v>
      </c>
      <c r="C740" s="3"/>
      <c r="D740" s="4"/>
      <c r="E740" s="4"/>
      <c r="F740" s="57" t="s">
        <v>168</v>
      </c>
      <c r="G740" s="61">
        <v>68.4667266666666</v>
      </c>
      <c r="H740" s="61">
        <v>22.8416924999999</v>
      </c>
      <c r="I740" s="60" t="s">
        <v>199</v>
      </c>
      <c r="J740" s="60" t="s">
        <v>169</v>
      </c>
      <c r="K740" s="61">
        <v>1.5</v>
      </c>
      <c r="L740" s="5"/>
      <c r="M740" s="60">
        <v>2.0</v>
      </c>
      <c r="N740" s="61">
        <v>158.71000507872</v>
      </c>
      <c r="O740" s="61">
        <v>8.904</v>
      </c>
      <c r="P740" s="61">
        <v>0.101</v>
      </c>
      <c r="Q740" s="61">
        <v>-17.067</v>
      </c>
      <c r="R740" s="61">
        <v>0.075</v>
      </c>
      <c r="S740" s="60">
        <v>16.84</v>
      </c>
      <c r="T740" s="60">
        <v>0.225</v>
      </c>
      <c r="U740" s="60">
        <v>1.8</v>
      </c>
      <c r="V740" s="5"/>
      <c r="W740" s="5"/>
      <c r="X740" s="5"/>
      <c r="Y740" s="188" t="s">
        <v>1479</v>
      </c>
      <c r="Z740" s="60"/>
      <c r="AA740" s="60"/>
      <c r="AB740" s="60">
        <v>9.48</v>
      </c>
      <c r="AC740" s="60">
        <v>0.02</v>
      </c>
      <c r="AD740" s="60">
        <v>8.43</v>
      </c>
      <c r="AE740" s="60">
        <v>0.04</v>
      </c>
      <c r="AF740" s="60">
        <v>7.793</v>
      </c>
      <c r="AG740" s="60">
        <v>0.02</v>
      </c>
      <c r="AH740" s="6"/>
      <c r="AI740" s="6"/>
      <c r="AJ740" s="76" t="s">
        <v>1479</v>
      </c>
      <c r="AK740" s="64" t="s">
        <v>1484</v>
      </c>
      <c r="AL740" s="64">
        <v>2008.0</v>
      </c>
      <c r="AM740" s="7"/>
      <c r="AN740" s="77">
        <v>140.0</v>
      </c>
      <c r="AO740" s="13"/>
      <c r="AP740" s="64" t="s">
        <v>434</v>
      </c>
      <c r="AQ740" s="7"/>
      <c r="AR740" s="66">
        <v>4060.0</v>
      </c>
      <c r="AS740" s="7"/>
      <c r="AT740" s="67">
        <v>0.77</v>
      </c>
      <c r="AU740" s="7"/>
      <c r="AV740" s="64">
        <v>0.84</v>
      </c>
      <c r="AW740" s="7"/>
      <c r="AX740" s="73"/>
      <c r="AY740" s="7"/>
      <c r="AZ740" s="11" t="s">
        <v>162</v>
      </c>
      <c r="BA740" s="68" t="s">
        <v>1481</v>
      </c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68">
        <v>-7.0</v>
      </c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68">
        <v>-4.2</v>
      </c>
      <c r="CM740" s="11"/>
      <c r="CN740" s="11"/>
      <c r="CO740" s="11"/>
      <c r="CP740" s="68">
        <v>-8.88</v>
      </c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2"/>
      <c r="DK740" s="12"/>
      <c r="DL740" s="12"/>
      <c r="DM740" s="12"/>
      <c r="DN740" s="12"/>
      <c r="DO740" s="12"/>
      <c r="DP740" s="12"/>
      <c r="DQ740" s="11"/>
      <c r="DR740" s="12"/>
      <c r="DS740" s="12"/>
      <c r="DT740" s="12"/>
      <c r="DU740" s="12"/>
      <c r="DV740" s="70">
        <v>-0.66</v>
      </c>
      <c r="DW740" s="10"/>
      <c r="DX740" s="71">
        <v>2.09E-8</v>
      </c>
      <c r="DY740" s="7"/>
      <c r="DZ740" s="190" t="s">
        <v>1479</v>
      </c>
      <c r="EA740" s="7"/>
      <c r="EB740" s="7"/>
    </row>
    <row r="741">
      <c r="A741" s="167" t="s">
        <v>1521</v>
      </c>
      <c r="B741" s="189" t="s">
        <v>1522</v>
      </c>
      <c r="C741" s="3"/>
      <c r="D741" s="4"/>
      <c r="E741" s="4"/>
      <c r="F741" s="57" t="s">
        <v>168</v>
      </c>
      <c r="G741" s="61">
        <v>167.349056666666</v>
      </c>
      <c r="H741" s="61">
        <v>-76.3891263888889</v>
      </c>
      <c r="I741" s="60" t="s">
        <v>1512</v>
      </c>
      <c r="J741" s="60" t="s">
        <v>169</v>
      </c>
      <c r="K741" s="61"/>
      <c r="L741" s="60"/>
      <c r="M741" s="60">
        <v>2.0</v>
      </c>
      <c r="N741" s="61">
        <v>192.303994153958</v>
      </c>
      <c r="O741" s="61">
        <v>-21.527</v>
      </c>
      <c r="P741" s="61">
        <v>0.043</v>
      </c>
      <c r="Q741" s="61">
        <v>-0.449</v>
      </c>
      <c r="R741" s="61">
        <v>0.052</v>
      </c>
      <c r="S741" s="60">
        <v>11.0</v>
      </c>
      <c r="T741" s="60">
        <v>1.0</v>
      </c>
      <c r="U741" s="61">
        <v>0.47</v>
      </c>
      <c r="V741" s="5"/>
      <c r="W741" s="5"/>
      <c r="X741" s="5"/>
      <c r="Y741" s="188" t="s">
        <v>1479</v>
      </c>
      <c r="Z741" s="60"/>
      <c r="AA741" s="60"/>
      <c r="AB741" s="60">
        <v>10.44</v>
      </c>
      <c r="AC741" s="60">
        <v>0.027</v>
      </c>
      <c r="AD741" s="60">
        <v>9.214</v>
      </c>
      <c r="AE741" s="60">
        <v>0.023</v>
      </c>
      <c r="AF741" s="60">
        <v>8.242</v>
      </c>
      <c r="AG741" s="60">
        <v>0.038</v>
      </c>
      <c r="AH741" s="60"/>
      <c r="AI741" s="60"/>
      <c r="AJ741" s="76" t="s">
        <v>1479</v>
      </c>
      <c r="AK741" s="64" t="s">
        <v>1489</v>
      </c>
      <c r="AL741" s="70">
        <v>2009.0</v>
      </c>
      <c r="AM741" s="7"/>
      <c r="AN741" s="77">
        <v>150.0</v>
      </c>
      <c r="AO741" s="64"/>
      <c r="AP741" s="64" t="s">
        <v>434</v>
      </c>
      <c r="AQ741" s="13"/>
      <c r="AR741" s="66">
        <v>4060.0</v>
      </c>
      <c r="AS741" s="97"/>
      <c r="AT741" s="67">
        <v>0.78</v>
      </c>
      <c r="AU741" s="70"/>
      <c r="AV741" s="64">
        <v>0.46</v>
      </c>
      <c r="AW741" s="13"/>
      <c r="AX741" s="70">
        <v>1.3</v>
      </c>
      <c r="AY741" s="73"/>
      <c r="AZ741" s="11" t="s">
        <v>162</v>
      </c>
      <c r="BA741" s="68" t="s">
        <v>1481</v>
      </c>
      <c r="BB741" s="68"/>
      <c r="BC741" s="68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68">
        <v>-4.58</v>
      </c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2"/>
      <c r="DK741" s="12"/>
      <c r="DL741" s="12"/>
      <c r="DM741" s="69"/>
      <c r="DN741" s="69"/>
      <c r="DO741" s="69"/>
      <c r="DP741" s="69"/>
      <c r="DQ741" s="11"/>
      <c r="DR741" s="69"/>
      <c r="DS741" s="69"/>
      <c r="DT741" s="69"/>
      <c r="DU741" s="69"/>
      <c r="DV741" s="70">
        <v>-0.73</v>
      </c>
      <c r="DW741" s="98"/>
      <c r="DX741" s="71">
        <v>1.23E-8</v>
      </c>
      <c r="DY741" s="114"/>
      <c r="DZ741" s="64" t="s">
        <v>1479</v>
      </c>
      <c r="EA741" s="64"/>
      <c r="EB741" s="82"/>
    </row>
    <row r="742">
      <c r="A742" s="167" t="s">
        <v>567</v>
      </c>
      <c r="B742" s="189" t="s">
        <v>1523</v>
      </c>
      <c r="C742" s="3"/>
      <c r="D742" s="4"/>
      <c r="E742" s="4"/>
      <c r="F742" s="57" t="s">
        <v>168</v>
      </c>
      <c r="G742" s="61">
        <v>237.300439583333</v>
      </c>
      <c r="H742" s="61">
        <v>-35.6514036111111</v>
      </c>
      <c r="I742" s="60" t="s">
        <v>314</v>
      </c>
      <c r="J742" s="60" t="s">
        <v>169</v>
      </c>
      <c r="K742" s="61">
        <v>3.0</v>
      </c>
      <c r="L742" s="60"/>
      <c r="M742" s="60">
        <v>2.0</v>
      </c>
      <c r="N742" s="61">
        <v>151.818789093338</v>
      </c>
      <c r="O742" s="61">
        <v>-14.257</v>
      </c>
      <c r="P742" s="61">
        <v>0.097</v>
      </c>
      <c r="Q742" s="61">
        <v>-23.596</v>
      </c>
      <c r="R742" s="61">
        <v>0.066</v>
      </c>
      <c r="S742" s="60">
        <v>-3.6</v>
      </c>
      <c r="T742" s="60">
        <v>1.3</v>
      </c>
      <c r="U742" s="61">
        <v>0.5</v>
      </c>
      <c r="V742" s="5"/>
      <c r="W742" s="5"/>
      <c r="X742" s="5"/>
      <c r="Y742" s="188" t="s">
        <v>1479</v>
      </c>
      <c r="Z742" s="60">
        <v>11.15</v>
      </c>
      <c r="AA742" s="60">
        <v>0.12</v>
      </c>
      <c r="AB742" s="60">
        <v>8.605</v>
      </c>
      <c r="AC742" s="60">
        <v>0.021</v>
      </c>
      <c r="AD742" s="60">
        <v>7.702</v>
      </c>
      <c r="AE742" s="60">
        <v>0.033</v>
      </c>
      <c r="AF742" s="60">
        <v>7.096</v>
      </c>
      <c r="AG742" s="60">
        <v>0.02</v>
      </c>
      <c r="AH742" s="60"/>
      <c r="AI742" s="60"/>
      <c r="AJ742" s="76" t="s">
        <v>1479</v>
      </c>
      <c r="AK742" s="64" t="s">
        <v>1480</v>
      </c>
      <c r="AL742" s="70">
        <v>2006.0</v>
      </c>
      <c r="AM742" s="7"/>
      <c r="AN742" s="77">
        <v>100.0</v>
      </c>
      <c r="AO742" s="64"/>
      <c r="AP742" s="64" t="s">
        <v>434</v>
      </c>
      <c r="AQ742" s="13"/>
      <c r="AR742" s="66">
        <v>4060.0</v>
      </c>
      <c r="AS742" s="97"/>
      <c r="AT742" s="67">
        <v>0.8</v>
      </c>
      <c r="AU742" s="70"/>
      <c r="AV742" s="64">
        <v>0.8</v>
      </c>
      <c r="AW742" s="13"/>
      <c r="AX742" s="73"/>
      <c r="AY742" s="73"/>
      <c r="AZ742" s="11" t="s">
        <v>162</v>
      </c>
      <c r="BA742" s="68" t="s">
        <v>1481</v>
      </c>
      <c r="BB742" s="68"/>
      <c r="BC742" s="68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68">
        <v>-3.38</v>
      </c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2"/>
      <c r="DK742" s="12"/>
      <c r="DL742" s="12"/>
      <c r="DM742" s="69"/>
      <c r="DN742" s="69"/>
      <c r="DO742" s="69"/>
      <c r="DP742" s="69"/>
      <c r="DQ742" s="11"/>
      <c r="DR742" s="69"/>
      <c r="DS742" s="69"/>
      <c r="DT742" s="69"/>
      <c r="DU742" s="69"/>
      <c r="DV742" s="70">
        <v>-1.1</v>
      </c>
      <c r="DW742" s="98"/>
      <c r="DX742" s="71">
        <v>7.08E-9</v>
      </c>
      <c r="DY742" s="114"/>
      <c r="DZ742" s="64" t="s">
        <v>1479</v>
      </c>
      <c r="EA742" s="64"/>
      <c r="EB742" s="82"/>
    </row>
    <row r="743">
      <c r="A743" s="167" t="s">
        <v>460</v>
      </c>
      <c r="B743" s="189" t="s">
        <v>461</v>
      </c>
      <c r="C743" s="3"/>
      <c r="D743" s="4"/>
      <c r="E743" s="4"/>
      <c r="F743" s="57" t="s">
        <v>168</v>
      </c>
      <c r="G743" s="61">
        <v>66.7695470833333</v>
      </c>
      <c r="H743" s="61">
        <v>26.1044558333333</v>
      </c>
      <c r="I743" s="60" t="s">
        <v>199</v>
      </c>
      <c r="J743" s="60" t="s">
        <v>169</v>
      </c>
      <c r="K743" s="61">
        <v>1.5</v>
      </c>
      <c r="L743" s="60"/>
      <c r="M743" s="60">
        <v>2.0</v>
      </c>
      <c r="N743" s="61">
        <v>121.1768697591</v>
      </c>
      <c r="O743" s="61">
        <v>6.156</v>
      </c>
      <c r="P743" s="61">
        <v>0.357</v>
      </c>
      <c r="Q743" s="61">
        <v>-19.297</v>
      </c>
      <c r="R743" s="61">
        <v>0.241</v>
      </c>
      <c r="S743" s="60">
        <v>15.4</v>
      </c>
      <c r="T743" s="60">
        <v>0.6</v>
      </c>
      <c r="U743" s="61">
        <v>1.3</v>
      </c>
      <c r="V743" s="5"/>
      <c r="W743" s="5"/>
      <c r="X743" s="5"/>
      <c r="Y743" s="83" t="s">
        <v>1479</v>
      </c>
      <c r="Z743" s="60">
        <v>12.28</v>
      </c>
      <c r="AA743" s="60"/>
      <c r="AB743" s="60">
        <v>8.691</v>
      </c>
      <c r="AC743" s="60">
        <v>0.018</v>
      </c>
      <c r="AD743" s="60">
        <v>7.72</v>
      </c>
      <c r="AE743" s="60">
        <v>0.03</v>
      </c>
      <c r="AF743" s="60">
        <v>6.992</v>
      </c>
      <c r="AG743" s="60">
        <v>0.02</v>
      </c>
      <c r="AH743" s="60"/>
      <c r="AI743" s="60"/>
      <c r="AJ743" s="76" t="s">
        <v>1479</v>
      </c>
      <c r="AK743" s="64" t="s">
        <v>1480</v>
      </c>
      <c r="AL743" s="70">
        <v>2001.0</v>
      </c>
      <c r="AM743" s="7"/>
      <c r="AN743" s="77">
        <v>140.0</v>
      </c>
      <c r="AO743" s="64"/>
      <c r="AP743" s="64" t="s">
        <v>453</v>
      </c>
      <c r="AQ743" s="13"/>
      <c r="AR743" s="66">
        <v>4200.0</v>
      </c>
      <c r="AS743" s="97"/>
      <c r="AT743" s="67">
        <v>0.85</v>
      </c>
      <c r="AU743" s="70"/>
      <c r="AV743" s="64">
        <v>0.28</v>
      </c>
      <c r="AW743" s="13"/>
      <c r="AX743" s="70">
        <v>1.0</v>
      </c>
      <c r="AY743" s="73"/>
      <c r="AZ743" s="11" t="s">
        <v>162</v>
      </c>
      <c r="BA743" s="68" t="s">
        <v>1481</v>
      </c>
      <c r="BB743" s="68"/>
      <c r="BC743" s="68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68">
        <v>-19.14</v>
      </c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68">
        <v>-11.52</v>
      </c>
      <c r="CM743" s="11"/>
      <c r="CN743" s="11"/>
      <c r="CO743" s="11"/>
      <c r="CP743" s="68">
        <v>-7.16</v>
      </c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2"/>
      <c r="DK743" s="12"/>
      <c r="DL743" s="12"/>
      <c r="DM743" s="69"/>
      <c r="DN743" s="69"/>
      <c r="DO743" s="69"/>
      <c r="DP743" s="69"/>
      <c r="DQ743" s="11"/>
      <c r="DR743" s="69"/>
      <c r="DS743" s="69"/>
      <c r="DT743" s="69"/>
      <c r="DU743" s="69"/>
      <c r="DV743" s="70">
        <v>-0.17</v>
      </c>
      <c r="DW743" s="98"/>
      <c r="DX743" s="71">
        <v>3.24E-8</v>
      </c>
      <c r="DY743" s="114"/>
      <c r="DZ743" s="64" t="s">
        <v>1479</v>
      </c>
      <c r="EA743" s="64"/>
      <c r="EB743" s="82"/>
    </row>
    <row r="744">
      <c r="A744" s="167" t="s">
        <v>1524</v>
      </c>
      <c r="B744" s="189" t="s">
        <v>462</v>
      </c>
      <c r="C744" s="3"/>
      <c r="D744" s="4"/>
      <c r="E744" s="4"/>
      <c r="F744" s="57" t="s">
        <v>168</v>
      </c>
      <c r="G744" s="61">
        <v>71.9524808333333</v>
      </c>
      <c r="H744" s="61">
        <v>29.4197747222222</v>
      </c>
      <c r="I744" s="60" t="s">
        <v>199</v>
      </c>
      <c r="J744" s="60" t="s">
        <v>169</v>
      </c>
      <c r="K744" s="61">
        <v>1.5</v>
      </c>
      <c r="L744" s="60"/>
      <c r="M744" s="60">
        <v>2.0</v>
      </c>
      <c r="N744" s="61">
        <v>159.071025212757</v>
      </c>
      <c r="O744" s="61">
        <v>5.043</v>
      </c>
      <c r="P744" s="61">
        <v>0.076</v>
      </c>
      <c r="Q744" s="61">
        <v>-24.334</v>
      </c>
      <c r="R744" s="61">
        <v>0.04</v>
      </c>
      <c r="S744" s="60">
        <v>13.0</v>
      </c>
      <c r="T744" s="60"/>
      <c r="U744" s="61">
        <v>0.34</v>
      </c>
      <c r="V744" s="5"/>
      <c r="W744" s="5"/>
      <c r="X744" s="5"/>
      <c r="Y744" s="188" t="s">
        <v>1479</v>
      </c>
      <c r="Z744" s="60">
        <v>12.37</v>
      </c>
      <c r="AA744" s="60">
        <v>0.13</v>
      </c>
      <c r="AB744" s="60">
        <v>9.465</v>
      </c>
      <c r="AC744" s="60">
        <v>0.018</v>
      </c>
      <c r="AD744" s="60">
        <v>8.6</v>
      </c>
      <c r="AE744" s="60">
        <v>0.03</v>
      </c>
      <c r="AF744" s="60">
        <v>8.036</v>
      </c>
      <c r="AG744" s="60">
        <v>0.029</v>
      </c>
      <c r="AH744" s="60"/>
      <c r="AI744" s="60"/>
      <c r="AJ744" s="76" t="s">
        <v>1479</v>
      </c>
      <c r="AK744" s="64" t="s">
        <v>1484</v>
      </c>
      <c r="AL744" s="70">
        <v>2007.0</v>
      </c>
      <c r="AM744" s="7"/>
      <c r="AN744" s="77">
        <v>140.0</v>
      </c>
      <c r="AO744" s="64"/>
      <c r="AP744" s="64" t="s">
        <v>459</v>
      </c>
      <c r="AQ744" s="13"/>
      <c r="AR744" s="66">
        <v>4350.0</v>
      </c>
      <c r="AS744" s="97"/>
      <c r="AT744" s="67">
        <v>0.87</v>
      </c>
      <c r="AU744" s="70"/>
      <c r="AV744" s="64">
        <v>0.57</v>
      </c>
      <c r="AW744" s="13"/>
      <c r="AX744" s="70">
        <v>1.36</v>
      </c>
      <c r="AY744" s="73"/>
      <c r="AZ744" s="11" t="s">
        <v>162</v>
      </c>
      <c r="BA744" s="68" t="s">
        <v>1481</v>
      </c>
      <c r="BB744" s="68"/>
      <c r="BC744" s="68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68">
        <v>-4.96</v>
      </c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68">
        <v>-1.23</v>
      </c>
      <c r="CM744" s="11"/>
      <c r="CN744" s="11"/>
      <c r="CO744" s="11"/>
      <c r="CP744" s="68">
        <v>-6.99</v>
      </c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2"/>
      <c r="DK744" s="12"/>
      <c r="DL744" s="12"/>
      <c r="DM744" s="69"/>
      <c r="DN744" s="69"/>
      <c r="DO744" s="69"/>
      <c r="DP744" s="69"/>
      <c r="DQ744" s="11"/>
      <c r="DR744" s="69"/>
      <c r="DS744" s="69"/>
      <c r="DT744" s="69"/>
      <c r="DU744" s="69"/>
      <c r="DV744" s="70">
        <v>-1.01</v>
      </c>
      <c r="DW744" s="98"/>
      <c r="DX744" s="71">
        <v>6.03E-9</v>
      </c>
      <c r="DY744" s="114"/>
      <c r="DZ744" s="64" t="s">
        <v>1479</v>
      </c>
      <c r="EA744" s="64"/>
      <c r="EB744" s="82"/>
    </row>
    <row r="745">
      <c r="A745" s="167" t="s">
        <v>1525</v>
      </c>
      <c r="B745" s="189" t="s">
        <v>1526</v>
      </c>
      <c r="C745" s="3"/>
      <c r="D745" s="4"/>
      <c r="E745" s="4"/>
      <c r="F745" s="57" t="s">
        <v>168</v>
      </c>
      <c r="G745" s="61">
        <v>246.796582916666</v>
      </c>
      <c r="H745" s="61">
        <v>-24.67963</v>
      </c>
      <c r="I745" s="6" t="s">
        <v>158</v>
      </c>
      <c r="J745" s="60" t="s">
        <v>257</v>
      </c>
      <c r="K745" s="58">
        <v>1.0</v>
      </c>
      <c r="L745" s="60"/>
      <c r="M745" s="60"/>
      <c r="N745" s="61"/>
      <c r="O745" s="61">
        <v>-5.6</v>
      </c>
      <c r="P745" s="61">
        <v>0.4</v>
      </c>
      <c r="Q745" s="61">
        <v>-22.1</v>
      </c>
      <c r="R745" s="61">
        <v>0.4</v>
      </c>
      <c r="S745" s="60">
        <v>-5.8</v>
      </c>
      <c r="T745" s="60">
        <v>1.5</v>
      </c>
      <c r="U745" s="61">
        <v>34.2</v>
      </c>
      <c r="V745" s="5"/>
      <c r="W745" s="5"/>
      <c r="X745" s="5"/>
      <c r="Y745" s="188" t="s">
        <v>1479</v>
      </c>
      <c r="Z745" s="60"/>
      <c r="AA745" s="60"/>
      <c r="AB745" s="60">
        <v>17.81</v>
      </c>
      <c r="AC745" s="60">
        <v>0.07</v>
      </c>
      <c r="AD745" s="60">
        <v>12.881</v>
      </c>
      <c r="AE745" s="60">
        <v>0.027</v>
      </c>
      <c r="AF745" s="60">
        <v>10.196</v>
      </c>
      <c r="AG745" s="60">
        <v>0.023</v>
      </c>
      <c r="AH745" s="60"/>
      <c r="AI745" s="60"/>
      <c r="AJ745" s="76" t="s">
        <v>1479</v>
      </c>
      <c r="AK745" s="64" t="s">
        <v>1484</v>
      </c>
      <c r="AL745" s="70">
        <v>2006.0</v>
      </c>
      <c r="AM745" s="7"/>
      <c r="AN745" s="77">
        <v>120.0</v>
      </c>
      <c r="AO745" s="64"/>
      <c r="AP745" s="64" t="s">
        <v>395</v>
      </c>
      <c r="AQ745" s="13"/>
      <c r="AR745" s="66">
        <v>4635.0</v>
      </c>
      <c r="AS745" s="97"/>
      <c r="AT745" s="67">
        <v>0.91</v>
      </c>
      <c r="AU745" s="70"/>
      <c r="AV745" s="64">
        <v>3.7</v>
      </c>
      <c r="AW745" s="13"/>
      <c r="AX745" s="73"/>
      <c r="AY745" s="73"/>
      <c r="AZ745" s="11" t="s">
        <v>162</v>
      </c>
      <c r="BA745" s="68" t="s">
        <v>1481</v>
      </c>
      <c r="BB745" s="68"/>
      <c r="BC745" s="68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68">
        <v>-17.9</v>
      </c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68">
        <v>-4.54</v>
      </c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2"/>
      <c r="DK745" s="12"/>
      <c r="DL745" s="12"/>
      <c r="DM745" s="69"/>
      <c r="DN745" s="69"/>
      <c r="DO745" s="69"/>
      <c r="DP745" s="69"/>
      <c r="DQ745" s="11"/>
      <c r="DR745" s="69"/>
      <c r="DS745" s="69"/>
      <c r="DT745" s="69"/>
      <c r="DU745" s="69"/>
      <c r="DV745" s="70">
        <v>-0.86</v>
      </c>
      <c r="DW745" s="98"/>
      <c r="DX745" s="71">
        <v>1.82E-8</v>
      </c>
      <c r="DY745" s="114"/>
      <c r="DZ745" s="64" t="s">
        <v>1479</v>
      </c>
      <c r="EA745" s="64"/>
      <c r="EB745" s="82"/>
    </row>
    <row r="746">
      <c r="A746" s="167" t="s">
        <v>465</v>
      </c>
      <c r="B746" s="189" t="s">
        <v>1527</v>
      </c>
      <c r="C746" s="3"/>
      <c r="D746" s="4"/>
      <c r="E746" s="4"/>
      <c r="F746" s="57" t="s">
        <v>168</v>
      </c>
      <c r="G746" s="61">
        <v>239.176295416666</v>
      </c>
      <c r="H746" s="61">
        <v>-37.8209647222222</v>
      </c>
      <c r="I746" s="60" t="s">
        <v>314</v>
      </c>
      <c r="J746" s="60" t="s">
        <v>169</v>
      </c>
      <c r="K746" s="61">
        <v>3.0</v>
      </c>
      <c r="L746" s="60"/>
      <c r="M746" s="60">
        <v>2.0</v>
      </c>
      <c r="N746" s="61">
        <v>159.573619289259</v>
      </c>
      <c r="O746" s="61">
        <v>-11.546</v>
      </c>
      <c r="P746" s="61">
        <v>0.139</v>
      </c>
      <c r="Q746" s="61">
        <v>-23.234</v>
      </c>
      <c r="R746" s="61">
        <v>0.09</v>
      </c>
      <c r="S746" s="60">
        <v>3.3</v>
      </c>
      <c r="T746" s="60">
        <v>1.8</v>
      </c>
      <c r="U746" s="61">
        <v>0.1</v>
      </c>
      <c r="V746" s="5"/>
      <c r="W746" s="5"/>
      <c r="X746" s="5"/>
      <c r="Y746" s="188" t="s">
        <v>1479</v>
      </c>
      <c r="Z746" s="60"/>
      <c r="AA746" s="60"/>
      <c r="AB746" s="60">
        <v>8.732</v>
      </c>
      <c r="AC746" s="60">
        <v>0.026</v>
      </c>
      <c r="AD746" s="60">
        <v>7.824</v>
      </c>
      <c r="AE746" s="60">
        <v>0.042</v>
      </c>
      <c r="AF746" s="60">
        <v>7.138</v>
      </c>
      <c r="AG746" s="60">
        <v>0.024</v>
      </c>
      <c r="AH746" s="60"/>
      <c r="AI746" s="60"/>
      <c r="AJ746" s="76" t="s">
        <v>1479</v>
      </c>
      <c r="AK746" s="64" t="s">
        <v>1489</v>
      </c>
      <c r="AL746" s="70">
        <v>2007.0</v>
      </c>
      <c r="AM746" s="7"/>
      <c r="AN746" s="77">
        <v>140.0</v>
      </c>
      <c r="AO746" s="64"/>
      <c r="AP746" s="64" t="s">
        <v>434</v>
      </c>
      <c r="AQ746" s="13"/>
      <c r="AR746" s="66">
        <v>4060.0</v>
      </c>
      <c r="AS746" s="97"/>
      <c r="AT746" s="67">
        <v>1.0</v>
      </c>
      <c r="AU746" s="70"/>
      <c r="AV746" s="64">
        <v>0.42</v>
      </c>
      <c r="AW746" s="13"/>
      <c r="AX746" s="70">
        <v>1.3</v>
      </c>
      <c r="AY746" s="73"/>
      <c r="AZ746" s="11" t="s">
        <v>162</v>
      </c>
      <c r="BA746" s="68" t="s">
        <v>1481</v>
      </c>
      <c r="BB746" s="68"/>
      <c r="BC746" s="68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68">
        <v>-6.91</v>
      </c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2"/>
      <c r="DK746" s="12"/>
      <c r="DL746" s="12"/>
      <c r="DM746" s="69"/>
      <c r="DN746" s="69"/>
      <c r="DO746" s="69"/>
      <c r="DP746" s="69"/>
      <c r="DQ746" s="11"/>
      <c r="DR746" s="69"/>
      <c r="DS746" s="69"/>
      <c r="DT746" s="69"/>
      <c r="DU746" s="69"/>
      <c r="DV746" s="70">
        <v>-0.47</v>
      </c>
      <c r="DW746" s="98"/>
      <c r="DX746" s="71">
        <v>1.78E-8</v>
      </c>
      <c r="DY746" s="114"/>
      <c r="DZ746" s="64" t="s">
        <v>1479</v>
      </c>
      <c r="EA746" s="64"/>
      <c r="EB746" s="82"/>
    </row>
    <row r="747">
      <c r="A747" s="167" t="s">
        <v>1528</v>
      </c>
      <c r="B747" s="189" t="s">
        <v>1528</v>
      </c>
      <c r="C747" s="3"/>
      <c r="D747" s="4"/>
      <c r="E747" s="4"/>
      <c r="F747" s="57" t="s">
        <v>168</v>
      </c>
      <c r="G747" s="61">
        <v>246.759729999999</v>
      </c>
      <c r="H747" s="61">
        <v>-24.6242308333333</v>
      </c>
      <c r="I747" s="6" t="s">
        <v>158</v>
      </c>
      <c r="J747" s="60" t="s">
        <v>169</v>
      </c>
      <c r="K747" s="58">
        <v>1.0</v>
      </c>
      <c r="L747" s="60"/>
      <c r="M747" s="60"/>
      <c r="N747" s="61"/>
      <c r="O747" s="61"/>
      <c r="P747" s="61"/>
      <c r="Q747" s="61"/>
      <c r="R747" s="61"/>
      <c r="S747" s="60"/>
      <c r="T747" s="60"/>
      <c r="U747" s="58"/>
      <c r="V747" s="5"/>
      <c r="W747" s="5"/>
      <c r="X747" s="5"/>
      <c r="Y747" s="83" t="s">
        <v>1479</v>
      </c>
      <c r="Z747" s="60"/>
      <c r="AA747" s="60"/>
      <c r="AB747" s="60">
        <v>14.164</v>
      </c>
      <c r="AC747" s="60">
        <v>0.029</v>
      </c>
      <c r="AD747" s="60">
        <v>10.478</v>
      </c>
      <c r="AE747" s="60">
        <v>0.023</v>
      </c>
      <c r="AF747" s="60">
        <v>8.064</v>
      </c>
      <c r="AG747" s="60">
        <v>0.016</v>
      </c>
      <c r="AH747" s="60"/>
      <c r="AI747" s="60"/>
      <c r="AJ747" s="76" t="s">
        <v>1479</v>
      </c>
      <c r="AK747" s="64" t="s">
        <v>1484</v>
      </c>
      <c r="AL747" s="70">
        <v>2002.0</v>
      </c>
      <c r="AM747" s="7"/>
      <c r="AN747" s="77">
        <v>120.0</v>
      </c>
      <c r="AO747" s="64"/>
      <c r="AP747" s="64" t="s">
        <v>459</v>
      </c>
      <c r="AQ747" s="13"/>
      <c r="AR747" s="66">
        <v>4467.0</v>
      </c>
      <c r="AS747" s="97"/>
      <c r="AT747" s="67">
        <v>1.02</v>
      </c>
      <c r="AU747" s="70"/>
      <c r="AV747" s="64">
        <v>4.57</v>
      </c>
      <c r="AW747" s="13"/>
      <c r="AX747" s="73"/>
      <c r="AY747" s="73"/>
      <c r="AZ747" s="11" t="s">
        <v>162</v>
      </c>
      <c r="BA747" s="68" t="s">
        <v>1481</v>
      </c>
      <c r="BB747" s="68"/>
      <c r="BC747" s="68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68">
        <v>-8.4</v>
      </c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68">
        <v>-17.31</v>
      </c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2"/>
      <c r="DK747" s="12"/>
      <c r="DL747" s="12"/>
      <c r="DM747" s="69"/>
      <c r="DN747" s="69"/>
      <c r="DO747" s="69"/>
      <c r="DP747" s="69"/>
      <c r="DQ747" s="11"/>
      <c r="DR747" s="69"/>
      <c r="DS747" s="69"/>
      <c r="DT747" s="69"/>
      <c r="DU747" s="69"/>
      <c r="DV747" s="70">
        <v>0.08</v>
      </c>
      <c r="DW747" s="98"/>
      <c r="DX747" s="71">
        <v>1.7E-7</v>
      </c>
      <c r="DY747" s="114"/>
      <c r="DZ747" s="64" t="s">
        <v>1479</v>
      </c>
      <c r="EA747" s="64"/>
      <c r="EB747" s="82"/>
    </row>
    <row r="748">
      <c r="A748" s="167" t="s">
        <v>1529</v>
      </c>
      <c r="B748" s="189" t="s">
        <v>1530</v>
      </c>
      <c r="C748" s="3"/>
      <c r="D748" s="4"/>
      <c r="E748" s="4"/>
      <c r="F748" s="57" t="s">
        <v>168</v>
      </c>
      <c r="G748" s="61">
        <v>63.5708504166666</v>
      </c>
      <c r="H748" s="61">
        <v>28.1827125</v>
      </c>
      <c r="I748" s="60" t="s">
        <v>199</v>
      </c>
      <c r="J748" s="60" t="s">
        <v>169</v>
      </c>
      <c r="K748" s="61">
        <v>1.5</v>
      </c>
      <c r="L748" s="60"/>
      <c r="M748" s="60">
        <v>2.0</v>
      </c>
      <c r="N748" s="61">
        <v>132.443314261496</v>
      </c>
      <c r="O748" s="61">
        <v>8.278</v>
      </c>
      <c r="P748" s="61">
        <v>0.101</v>
      </c>
      <c r="Q748" s="61">
        <v>-24.159</v>
      </c>
      <c r="R748" s="61">
        <v>0.067</v>
      </c>
      <c r="S748" s="60">
        <v>16.39</v>
      </c>
      <c r="T748" s="60">
        <v>0.43</v>
      </c>
      <c r="U748" s="61">
        <v>2.21</v>
      </c>
      <c r="V748" s="5"/>
      <c r="W748" s="5"/>
      <c r="X748" s="5"/>
      <c r="Y748" s="188" t="s">
        <v>1479</v>
      </c>
      <c r="Z748" s="60">
        <v>12.86</v>
      </c>
      <c r="AA748" s="60"/>
      <c r="AB748" s="60">
        <v>9.557</v>
      </c>
      <c r="AC748" s="60">
        <v>0.022</v>
      </c>
      <c r="AD748" s="60">
        <v>8.243</v>
      </c>
      <c r="AE748" s="60">
        <v>0.027</v>
      </c>
      <c r="AF748" s="60">
        <v>7.127</v>
      </c>
      <c r="AG748" s="60">
        <v>0.023</v>
      </c>
      <c r="AH748" s="60"/>
      <c r="AI748" s="60"/>
      <c r="AJ748" s="76" t="s">
        <v>1479</v>
      </c>
      <c r="AK748" s="64" t="s">
        <v>1489</v>
      </c>
      <c r="AL748" s="70">
        <v>2008.0</v>
      </c>
      <c r="AM748" s="7"/>
      <c r="AN748" s="77">
        <v>140.0</v>
      </c>
      <c r="AO748" s="64"/>
      <c r="AP748" s="64" t="s">
        <v>1471</v>
      </c>
      <c r="AQ748" s="13"/>
      <c r="AR748" s="66">
        <v>4730.0</v>
      </c>
      <c r="AS748" s="97"/>
      <c r="AT748" s="67">
        <v>1.06</v>
      </c>
      <c r="AU748" s="70"/>
      <c r="AV748" s="64">
        <v>0.76</v>
      </c>
      <c r="AW748" s="13"/>
      <c r="AX748" s="73"/>
      <c r="AY748" s="73"/>
      <c r="AZ748" s="11" t="s">
        <v>162</v>
      </c>
      <c r="BA748" s="68" t="s">
        <v>1481</v>
      </c>
      <c r="BB748" s="68"/>
      <c r="BC748" s="68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68">
        <v>-7.24</v>
      </c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68">
        <v>-1.94</v>
      </c>
      <c r="CM748" s="11"/>
      <c r="CN748" s="11"/>
      <c r="CO748" s="11"/>
      <c r="CP748" s="68">
        <v>-4.81</v>
      </c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2"/>
      <c r="DK748" s="12"/>
      <c r="DL748" s="12"/>
      <c r="DM748" s="69"/>
      <c r="DN748" s="69"/>
      <c r="DO748" s="69"/>
      <c r="DP748" s="69"/>
      <c r="DQ748" s="11"/>
      <c r="DR748" s="69"/>
      <c r="DS748" s="69"/>
      <c r="DT748" s="69"/>
      <c r="DU748" s="69"/>
      <c r="DV748" s="70">
        <v>-0.49</v>
      </c>
      <c r="DW748" s="98"/>
      <c r="DX748" s="71">
        <v>1.58E-8</v>
      </c>
      <c r="DY748" s="114"/>
      <c r="DZ748" s="64" t="s">
        <v>1479</v>
      </c>
      <c r="EA748" s="72"/>
      <c r="EB748" s="82"/>
    </row>
    <row r="749">
      <c r="A749" s="167" t="s">
        <v>1531</v>
      </c>
      <c r="B749" s="189" t="s">
        <v>1532</v>
      </c>
      <c r="C749" s="3"/>
      <c r="D749" s="4"/>
      <c r="E749" s="4"/>
      <c r="F749" s="57" t="s">
        <v>168</v>
      </c>
      <c r="G749" s="61">
        <v>247.889432499999</v>
      </c>
      <c r="H749" s="61">
        <v>-24.4603216666666</v>
      </c>
      <c r="I749" s="6" t="s">
        <v>158</v>
      </c>
      <c r="J749" s="60" t="s">
        <v>1497</v>
      </c>
      <c r="K749" s="61">
        <v>1.0</v>
      </c>
      <c r="L749" s="60"/>
      <c r="M749" s="60">
        <v>2.0</v>
      </c>
      <c r="N749" s="61">
        <v>145.910848471583</v>
      </c>
      <c r="O749" s="61">
        <v>-6.101</v>
      </c>
      <c r="P749" s="61">
        <v>0.128</v>
      </c>
      <c r="Q749" s="61">
        <v>-24.212</v>
      </c>
      <c r="R749" s="61">
        <v>0.098</v>
      </c>
      <c r="S749" s="60"/>
      <c r="T749" s="60"/>
      <c r="U749" s="61">
        <v>2.2</v>
      </c>
      <c r="V749" s="5"/>
      <c r="W749" s="5"/>
      <c r="X749" s="5"/>
      <c r="Y749" s="188" t="s">
        <v>1479</v>
      </c>
      <c r="Z749" s="60"/>
      <c r="AA749" s="60"/>
      <c r="AB749" s="60">
        <v>9.233</v>
      </c>
      <c r="AC749" s="60">
        <v>0.023</v>
      </c>
      <c r="AD749" s="60">
        <v>8.246</v>
      </c>
      <c r="AE749" s="60">
        <v>0.057</v>
      </c>
      <c r="AF749" s="60">
        <v>7.61</v>
      </c>
      <c r="AG749" s="60">
        <v>0.024</v>
      </c>
      <c r="AH749" s="60"/>
      <c r="AI749" s="60"/>
      <c r="AJ749" s="76" t="s">
        <v>1479</v>
      </c>
      <c r="AK749" s="64" t="s">
        <v>1480</v>
      </c>
      <c r="AL749" s="70">
        <v>2007.0</v>
      </c>
      <c r="AM749" s="7"/>
      <c r="AN749" s="77">
        <v>120.0</v>
      </c>
      <c r="AO749" s="64"/>
      <c r="AP749" s="64" t="s">
        <v>1471</v>
      </c>
      <c r="AQ749" s="13"/>
      <c r="AR749" s="66">
        <v>4730.0</v>
      </c>
      <c r="AS749" s="97"/>
      <c r="AT749" s="67">
        <v>1.3</v>
      </c>
      <c r="AU749" s="70"/>
      <c r="AV749" s="64">
        <v>1.4</v>
      </c>
      <c r="AW749" s="13"/>
      <c r="AX749" s="70">
        <v>1.75</v>
      </c>
      <c r="AY749" s="73"/>
      <c r="AZ749" s="11" t="s">
        <v>162</v>
      </c>
      <c r="BA749" s="68" t="s">
        <v>1481</v>
      </c>
      <c r="BB749" s="68"/>
      <c r="BC749" s="68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68">
        <v>-3.68</v>
      </c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2"/>
      <c r="DK749" s="12"/>
      <c r="DL749" s="12"/>
      <c r="DM749" s="69"/>
      <c r="DN749" s="69"/>
      <c r="DO749" s="69"/>
      <c r="DP749" s="69"/>
      <c r="DQ749" s="11"/>
      <c r="DR749" s="69"/>
      <c r="DS749" s="69"/>
      <c r="DT749" s="69"/>
      <c r="DU749" s="69"/>
      <c r="DV749" s="70">
        <v>-1.16</v>
      </c>
      <c r="DW749" s="98"/>
      <c r="DX749" s="71">
        <v>3.72E-9</v>
      </c>
      <c r="DY749" s="114"/>
      <c r="DZ749" s="64" t="s">
        <v>1479</v>
      </c>
      <c r="EA749" s="64"/>
      <c r="EB749" s="82"/>
    </row>
    <row r="750">
      <c r="A750" s="74" t="s">
        <v>1533</v>
      </c>
      <c r="B750" s="189" t="s">
        <v>1534</v>
      </c>
      <c r="C750" s="4"/>
      <c r="D750" s="3"/>
      <c r="E750" s="3"/>
      <c r="F750" s="57" t="s">
        <v>168</v>
      </c>
      <c r="G750" s="61">
        <v>252.313764583333</v>
      </c>
      <c r="H750" s="61">
        <v>-14.3690672222222</v>
      </c>
      <c r="I750" s="60" t="s">
        <v>608</v>
      </c>
      <c r="J750" s="60" t="s">
        <v>169</v>
      </c>
      <c r="K750" s="58">
        <v>1.0</v>
      </c>
      <c r="L750" s="5"/>
      <c r="M750" s="60">
        <v>2.0</v>
      </c>
      <c r="N750" s="61">
        <v>120.984816405541</v>
      </c>
      <c r="O750" s="61">
        <v>-7.417</v>
      </c>
      <c r="P750" s="61">
        <v>0.117</v>
      </c>
      <c r="Q750" s="61">
        <v>-23.733</v>
      </c>
      <c r="R750" s="61">
        <v>0.065</v>
      </c>
      <c r="S750" s="60">
        <v>-10.0</v>
      </c>
      <c r="T750" s="60">
        <v>0.4</v>
      </c>
      <c r="U750" s="60">
        <v>1.15</v>
      </c>
      <c r="V750" s="5"/>
      <c r="W750" s="5"/>
      <c r="X750" s="5"/>
      <c r="Y750" s="188" t="s">
        <v>1479</v>
      </c>
      <c r="Z750" s="60"/>
      <c r="AA750" s="60"/>
      <c r="AB750" s="60">
        <v>8.302</v>
      </c>
      <c r="AC750" s="60">
        <v>0.039</v>
      </c>
      <c r="AD750" s="60">
        <v>7.454</v>
      </c>
      <c r="AE750" s="60">
        <v>0.024</v>
      </c>
      <c r="AF750" s="60">
        <v>6.961</v>
      </c>
      <c r="AG750" s="60">
        <v>0.026</v>
      </c>
      <c r="AH750" s="6"/>
      <c r="AI750" s="6"/>
      <c r="AJ750" s="76" t="s">
        <v>1479</v>
      </c>
      <c r="AK750" s="64" t="s">
        <v>1489</v>
      </c>
      <c r="AL750" s="64">
        <v>2008.0</v>
      </c>
      <c r="AM750" s="7"/>
      <c r="AN750" s="77">
        <v>160.0</v>
      </c>
      <c r="AO750" s="13"/>
      <c r="AP750" s="64" t="s">
        <v>459</v>
      </c>
      <c r="AQ750" s="7"/>
      <c r="AR750" s="66">
        <v>4395.0</v>
      </c>
      <c r="AS750" s="7"/>
      <c r="AT750" s="67">
        <v>1.4</v>
      </c>
      <c r="AU750" s="7"/>
      <c r="AV750" s="64">
        <v>2.5</v>
      </c>
      <c r="AW750" s="7"/>
      <c r="AX750" s="70">
        <v>2.4</v>
      </c>
      <c r="AY750" s="7"/>
      <c r="AZ750" s="11" t="s">
        <v>162</v>
      </c>
      <c r="BA750" s="68" t="s">
        <v>1481</v>
      </c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68">
        <v>-4.41</v>
      </c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2"/>
      <c r="DK750" s="12"/>
      <c r="DL750" s="12"/>
      <c r="DM750" s="11"/>
      <c r="DN750" s="11"/>
      <c r="DO750" s="11"/>
      <c r="DP750" s="11"/>
      <c r="DQ750" s="11"/>
      <c r="DR750" s="11"/>
      <c r="DS750" s="11"/>
      <c r="DT750" s="11"/>
      <c r="DU750" s="11"/>
      <c r="DV750" s="70">
        <v>-0.35</v>
      </c>
      <c r="DW750" s="10"/>
      <c r="DX750" s="71">
        <v>3.02E-8</v>
      </c>
      <c r="DY750" s="7"/>
      <c r="DZ750" s="190" t="s">
        <v>1479</v>
      </c>
      <c r="EA750" s="7"/>
      <c r="EB750" s="7"/>
    </row>
    <row r="751">
      <c r="A751" s="167" t="s">
        <v>1535</v>
      </c>
      <c r="B751" s="189" t="s">
        <v>1536</v>
      </c>
      <c r="C751" s="57" t="s">
        <v>156</v>
      </c>
      <c r="D751" s="57">
        <v>21.0</v>
      </c>
      <c r="E751" s="4"/>
      <c r="F751" s="57" t="s">
        <v>168</v>
      </c>
      <c r="G751" s="61">
        <v>228.951857916666</v>
      </c>
      <c r="H751" s="61">
        <v>-37.1544516666666</v>
      </c>
      <c r="I751" s="60" t="s">
        <v>1537</v>
      </c>
      <c r="J751" s="60" t="s">
        <v>1497</v>
      </c>
      <c r="K751" s="61">
        <v>8.0</v>
      </c>
      <c r="L751" s="60">
        <v>4.0</v>
      </c>
      <c r="M751" s="60">
        <v>2.0</v>
      </c>
      <c r="N751" s="61">
        <v>135.768108071414</v>
      </c>
      <c r="O751" s="61">
        <v>-19.114</v>
      </c>
      <c r="P751" s="61">
        <v>0.11</v>
      </c>
      <c r="Q751" s="61">
        <v>-23.14</v>
      </c>
      <c r="R751" s="61">
        <v>0.081</v>
      </c>
      <c r="S751" s="60"/>
      <c r="T751" s="60"/>
      <c r="U751" s="61">
        <v>0.3</v>
      </c>
      <c r="V751" s="5"/>
      <c r="W751" s="5"/>
      <c r="X751" s="5"/>
      <c r="Y751" s="83" t="s">
        <v>1479</v>
      </c>
      <c r="Z751" s="60"/>
      <c r="AA751" s="60"/>
      <c r="AB751" s="60">
        <v>7.279</v>
      </c>
      <c r="AC751" s="60">
        <v>0.026</v>
      </c>
      <c r="AD751" s="60">
        <v>6.587</v>
      </c>
      <c r="AE751" s="60">
        <v>0.031</v>
      </c>
      <c r="AF751" s="60">
        <v>5.843</v>
      </c>
      <c r="AG751" s="60">
        <v>0.02</v>
      </c>
      <c r="AH751" s="60"/>
      <c r="AI751" s="60"/>
      <c r="AJ751" s="76" t="s">
        <v>1479</v>
      </c>
      <c r="AK751" s="64" t="s">
        <v>1480</v>
      </c>
      <c r="AL751" s="70">
        <v>2005.0</v>
      </c>
      <c r="AM751" s="7"/>
      <c r="AN751" s="77">
        <v>84.0</v>
      </c>
      <c r="AO751" s="64"/>
      <c r="AP751" s="64" t="s">
        <v>1538</v>
      </c>
      <c r="AQ751" s="13"/>
      <c r="AR751" s="66">
        <v>6590.0</v>
      </c>
      <c r="AS751" s="97"/>
      <c r="AT751" s="67">
        <v>1.5</v>
      </c>
      <c r="AU751" s="70"/>
      <c r="AV751" s="64">
        <v>8.0</v>
      </c>
      <c r="AW751" s="13"/>
      <c r="AX751" s="73"/>
      <c r="AY751" s="73"/>
      <c r="AZ751" s="11" t="s">
        <v>162</v>
      </c>
      <c r="BA751" s="68" t="s">
        <v>1481</v>
      </c>
      <c r="BB751" s="68"/>
      <c r="BC751" s="68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68">
        <v>-1.3</v>
      </c>
      <c r="CM751" s="11"/>
      <c r="CN751" s="11"/>
      <c r="CO751" s="11"/>
      <c r="CP751" s="68">
        <v>-1.99</v>
      </c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2"/>
      <c r="DK751" s="12"/>
      <c r="DL751" s="12"/>
      <c r="DM751" s="69"/>
      <c r="DN751" s="69"/>
      <c r="DO751" s="69"/>
      <c r="DP751" s="69"/>
      <c r="DQ751" s="11"/>
      <c r="DR751" s="69"/>
      <c r="DS751" s="69"/>
      <c r="DT751" s="69"/>
      <c r="DU751" s="69"/>
      <c r="DV751" s="70">
        <v>-1.11</v>
      </c>
      <c r="DW751" s="98"/>
      <c r="DX751" s="71">
        <v>4.47E-9</v>
      </c>
      <c r="DY751" s="114"/>
      <c r="DZ751" s="64" t="s">
        <v>1479</v>
      </c>
      <c r="EA751" s="64"/>
      <c r="EB751" s="82"/>
    </row>
    <row r="752">
      <c r="A752" s="167" t="s">
        <v>1506</v>
      </c>
      <c r="B752" s="189" t="s">
        <v>1539</v>
      </c>
      <c r="C752" s="57" t="s">
        <v>156</v>
      </c>
      <c r="D752" s="57">
        <v>1.4</v>
      </c>
      <c r="E752" s="4"/>
      <c r="F752" s="57" t="s">
        <v>168</v>
      </c>
      <c r="G752" s="61">
        <v>285.285820833333</v>
      </c>
      <c r="H752" s="61">
        <v>-36.9555263888888</v>
      </c>
      <c r="I752" s="60" t="s">
        <v>1508</v>
      </c>
      <c r="J752" s="60" t="s">
        <v>169</v>
      </c>
      <c r="K752" s="61">
        <v>2.0</v>
      </c>
      <c r="L752" s="60">
        <v>1.0</v>
      </c>
      <c r="M752" s="60"/>
      <c r="N752" s="61"/>
      <c r="O752" s="61">
        <v>-2.6</v>
      </c>
      <c r="P752" s="61">
        <v>1.0</v>
      </c>
      <c r="Q752" s="61">
        <v>-9.8</v>
      </c>
      <c r="R752" s="61">
        <v>1.5</v>
      </c>
      <c r="S752" s="60">
        <v>-33.0</v>
      </c>
      <c r="T752" s="60">
        <v>5.0</v>
      </c>
      <c r="U752" s="61">
        <v>1.0</v>
      </c>
      <c r="V752" s="60"/>
      <c r="W752" s="60"/>
      <c r="X752" s="5"/>
      <c r="Y752" s="188" t="s">
        <v>1479</v>
      </c>
      <c r="Z752" s="60">
        <v>11.41</v>
      </c>
      <c r="AA752" s="60">
        <v>0.1</v>
      </c>
      <c r="AB752" s="60">
        <v>8.194</v>
      </c>
      <c r="AC752" s="60">
        <v>0.021</v>
      </c>
      <c r="AD752" s="60">
        <v>7.051</v>
      </c>
      <c r="AE752" s="60">
        <v>0.024</v>
      </c>
      <c r="AF752" s="60">
        <v>6.56</v>
      </c>
      <c r="AG752" s="60">
        <v>0.06</v>
      </c>
      <c r="AH752" s="60"/>
      <c r="AI752" s="60"/>
      <c r="AJ752" s="76" t="s">
        <v>1479</v>
      </c>
      <c r="AK752" s="64" t="s">
        <v>1489</v>
      </c>
      <c r="AL752" s="70">
        <v>2007.0</v>
      </c>
      <c r="AM752" s="7"/>
      <c r="AN752" s="77">
        <v>130.0</v>
      </c>
      <c r="AO752" s="64"/>
      <c r="AP752" s="64" t="s">
        <v>1471</v>
      </c>
      <c r="AQ752" s="13"/>
      <c r="AR752" s="66">
        <v>4800.0</v>
      </c>
      <c r="AS752" s="97"/>
      <c r="AT752" s="67">
        <v>1.5</v>
      </c>
      <c r="AU752" s="70"/>
      <c r="AV752" s="64">
        <v>2.29</v>
      </c>
      <c r="AW752" s="13"/>
      <c r="AX752" s="73"/>
      <c r="AY752" s="73"/>
      <c r="AZ752" s="11" t="s">
        <v>162</v>
      </c>
      <c r="BA752" s="68" t="s">
        <v>1481</v>
      </c>
      <c r="BB752" s="68"/>
      <c r="BC752" s="68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68">
        <v>-6.06</v>
      </c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2"/>
      <c r="DK752" s="12"/>
      <c r="DL752" s="12"/>
      <c r="DM752" s="69"/>
      <c r="DN752" s="69"/>
      <c r="DO752" s="69"/>
      <c r="DP752" s="69"/>
      <c r="DQ752" s="11"/>
      <c r="DR752" s="69"/>
      <c r="DS752" s="69"/>
      <c r="DT752" s="69"/>
      <c r="DU752" s="69"/>
      <c r="DV752" s="70">
        <v>-0.13</v>
      </c>
      <c r="DW752" s="98"/>
      <c r="DX752" s="71">
        <v>4.37E-8</v>
      </c>
      <c r="DY752" s="114"/>
      <c r="DZ752" s="64" t="s">
        <v>1479</v>
      </c>
      <c r="EA752" s="64" t="s">
        <v>1509</v>
      </c>
      <c r="EB752" s="82"/>
    </row>
    <row r="753">
      <c r="A753" s="74" t="s">
        <v>1540</v>
      </c>
      <c r="B753" s="189" t="s">
        <v>1541</v>
      </c>
      <c r="C753" s="4" t="s">
        <v>156</v>
      </c>
      <c r="D753" s="57">
        <v>1.305</v>
      </c>
      <c r="E753" s="4"/>
      <c r="F753" s="57" t="s">
        <v>168</v>
      </c>
      <c r="G753" s="61">
        <v>242.880670416666</v>
      </c>
      <c r="H753" s="61">
        <v>-18.6404930555555</v>
      </c>
      <c r="I753" s="60" t="s">
        <v>608</v>
      </c>
      <c r="J753" s="60" t="s">
        <v>169</v>
      </c>
      <c r="K753" s="58">
        <v>1.0</v>
      </c>
      <c r="L753" s="5"/>
      <c r="M753" s="60">
        <v>2.0</v>
      </c>
      <c r="N753" s="61">
        <v>127.92631444288</v>
      </c>
      <c r="O753" s="61">
        <v>-7.45</v>
      </c>
      <c r="P753" s="61">
        <v>0.2</v>
      </c>
      <c r="Q753" s="61">
        <v>-26.891</v>
      </c>
      <c r="R753" s="61">
        <v>0.141</v>
      </c>
      <c r="S753" s="60"/>
      <c r="T753" s="60"/>
      <c r="U753" s="60">
        <v>2.9</v>
      </c>
      <c r="V753" s="5"/>
      <c r="W753" s="5"/>
      <c r="X753" s="5"/>
      <c r="Y753" s="188" t="s">
        <v>1479</v>
      </c>
      <c r="Z753" s="60"/>
      <c r="AA753" s="60"/>
      <c r="AB753" s="60"/>
      <c r="AC753" s="60"/>
      <c r="AD753" s="60"/>
      <c r="AE753" s="60"/>
      <c r="AF753" s="60"/>
      <c r="AG753" s="60"/>
      <c r="AH753" s="6"/>
      <c r="AI753" s="6"/>
      <c r="AJ753" s="76" t="s">
        <v>1479</v>
      </c>
      <c r="AK753" s="64" t="s">
        <v>1480</v>
      </c>
      <c r="AL753" s="64">
        <v>2002.0</v>
      </c>
      <c r="AM753" s="7"/>
      <c r="AN753" s="77">
        <v>160.0</v>
      </c>
      <c r="AO753" s="13"/>
      <c r="AP753" s="64" t="s">
        <v>459</v>
      </c>
      <c r="AQ753" s="7"/>
      <c r="AR753" s="66">
        <v>4450.0</v>
      </c>
      <c r="AS753" s="7"/>
      <c r="AT753" s="67">
        <v>1.5</v>
      </c>
      <c r="AU753" s="7"/>
      <c r="AV753" s="64">
        <v>7.1</v>
      </c>
      <c r="AW753" s="7"/>
      <c r="AX753" s="73"/>
      <c r="AY753" s="7"/>
      <c r="AZ753" s="11" t="s">
        <v>162</v>
      </c>
      <c r="BA753" s="68" t="s">
        <v>1481</v>
      </c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68">
        <v>-3.59</v>
      </c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2"/>
      <c r="DK753" s="12"/>
      <c r="DL753" s="12"/>
      <c r="DM753" s="69"/>
      <c r="DN753" s="69"/>
      <c r="DO753" s="69"/>
      <c r="DP753" s="69"/>
      <c r="DQ753" s="11"/>
      <c r="DR753" s="69"/>
      <c r="DS753" s="69"/>
      <c r="DT753" s="69"/>
      <c r="DU753" s="69"/>
      <c r="DV753" s="70">
        <v>-0.18</v>
      </c>
      <c r="DW753" s="10"/>
      <c r="DX753" s="71">
        <v>7.94E-8</v>
      </c>
      <c r="DY753" s="7"/>
      <c r="DZ753" s="190" t="s">
        <v>1479</v>
      </c>
      <c r="EA753" s="7"/>
      <c r="EB753" s="7"/>
    </row>
    <row r="754">
      <c r="A754" s="167" t="s">
        <v>1542</v>
      </c>
      <c r="B754" s="189" t="s">
        <v>1543</v>
      </c>
      <c r="C754" s="3"/>
      <c r="D754" s="4"/>
      <c r="E754" s="4"/>
      <c r="F754" s="57" t="s">
        <v>168</v>
      </c>
      <c r="G754" s="61">
        <v>248.538205833333</v>
      </c>
      <c r="H754" s="61">
        <v>-15.80466</v>
      </c>
      <c r="I754" s="6" t="s">
        <v>158</v>
      </c>
      <c r="J754" s="60" t="s">
        <v>169</v>
      </c>
      <c r="K754" s="58">
        <v>1.0</v>
      </c>
      <c r="L754" s="60"/>
      <c r="M754" s="60">
        <v>2.0</v>
      </c>
      <c r="N754" s="61">
        <v>116.985061007709</v>
      </c>
      <c r="O754" s="61">
        <v>-4.615</v>
      </c>
      <c r="P754" s="61">
        <v>0.123</v>
      </c>
      <c r="Q754" s="61">
        <v>-27.133</v>
      </c>
      <c r="R754" s="61">
        <v>0.072</v>
      </c>
      <c r="S754" s="60"/>
      <c r="T754" s="60"/>
      <c r="U754" s="58"/>
      <c r="V754" s="5"/>
      <c r="W754" s="5"/>
      <c r="X754" s="5"/>
      <c r="Y754" s="188" t="s">
        <v>1479</v>
      </c>
      <c r="Z754" s="60"/>
      <c r="AA754" s="60"/>
      <c r="AB754" s="60">
        <v>8.995</v>
      </c>
      <c r="AC754" s="60">
        <v>0.03</v>
      </c>
      <c r="AD754" s="60">
        <v>7.577</v>
      </c>
      <c r="AE754" s="60">
        <v>0.04</v>
      </c>
      <c r="AF754" s="60">
        <v>6.565</v>
      </c>
      <c r="AG754" s="60">
        <v>0.016</v>
      </c>
      <c r="AH754" s="60"/>
      <c r="AI754" s="60"/>
      <c r="AJ754" s="76" t="s">
        <v>1479</v>
      </c>
      <c r="AK754" s="64" t="s">
        <v>1484</v>
      </c>
      <c r="AL754" s="70">
        <v>2002.0</v>
      </c>
      <c r="AM754" s="7"/>
      <c r="AN754" s="77">
        <v>120.0</v>
      </c>
      <c r="AO754" s="64"/>
      <c r="AP754" s="64" t="s">
        <v>1544</v>
      </c>
      <c r="AQ754" s="13"/>
      <c r="AR754" s="66">
        <v>5662.0</v>
      </c>
      <c r="AS754" s="97"/>
      <c r="AT754" s="67">
        <v>1.6</v>
      </c>
      <c r="AU754" s="70"/>
      <c r="AV754" s="64">
        <v>5.7</v>
      </c>
      <c r="AW754" s="13"/>
      <c r="AX754" s="73"/>
      <c r="AY754" s="73"/>
      <c r="AZ754" s="11" t="s">
        <v>162</v>
      </c>
      <c r="BA754" s="68" t="s">
        <v>1481</v>
      </c>
      <c r="BB754" s="68"/>
      <c r="BC754" s="68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68">
        <v>-8.07</v>
      </c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2"/>
      <c r="DK754" s="12"/>
      <c r="DL754" s="12"/>
      <c r="DM754" s="69"/>
      <c r="DN754" s="69"/>
      <c r="DO754" s="69"/>
      <c r="DP754" s="69"/>
      <c r="DQ754" s="11"/>
      <c r="DR754" s="69"/>
      <c r="DS754" s="69"/>
      <c r="DT754" s="69"/>
      <c r="DU754" s="69"/>
      <c r="DV754" s="70">
        <v>-0.19</v>
      </c>
      <c r="DW754" s="98"/>
      <c r="DX754" s="71">
        <v>3.98E-8</v>
      </c>
      <c r="DY754" s="114"/>
      <c r="DZ754" s="64" t="s">
        <v>1479</v>
      </c>
      <c r="EA754" s="64"/>
      <c r="EB754" s="82"/>
    </row>
    <row r="755">
      <c r="A755" s="167" t="s">
        <v>1545</v>
      </c>
      <c r="B755" s="189" t="s">
        <v>1546</v>
      </c>
      <c r="C755" s="3"/>
      <c r="D755" s="4"/>
      <c r="E755" s="4"/>
      <c r="F755" s="57" t="s">
        <v>168</v>
      </c>
      <c r="G755" s="61">
        <v>73.9974420833333</v>
      </c>
      <c r="H755" s="61">
        <v>30.5670830555555</v>
      </c>
      <c r="I755" s="60" t="s">
        <v>1496</v>
      </c>
      <c r="J755" s="60" t="s">
        <v>169</v>
      </c>
      <c r="K755" s="61"/>
      <c r="L755" s="60"/>
      <c r="M755" s="60">
        <v>2.0</v>
      </c>
      <c r="N755" s="61">
        <v>158.380715564072</v>
      </c>
      <c r="O755" s="61">
        <v>4.647</v>
      </c>
      <c r="P755" s="61">
        <v>0.091</v>
      </c>
      <c r="Q755" s="61">
        <v>-24.319</v>
      </c>
      <c r="R755" s="61">
        <v>0.054</v>
      </c>
      <c r="S755" s="60">
        <v>14.26</v>
      </c>
      <c r="T755" s="60">
        <v>0.05</v>
      </c>
      <c r="U755" s="61">
        <v>0.9</v>
      </c>
      <c r="V755" s="5"/>
      <c r="W755" s="5"/>
      <c r="X755" s="5"/>
      <c r="Y755" s="83" t="s">
        <v>1479</v>
      </c>
      <c r="Z755" s="60">
        <v>9.17</v>
      </c>
      <c r="AA755" s="60"/>
      <c r="AB755" s="60">
        <v>7.199</v>
      </c>
      <c r="AC755" s="60">
        <v>0.02</v>
      </c>
      <c r="AD755" s="60">
        <v>6.558</v>
      </c>
      <c r="AE755" s="60">
        <v>0.02</v>
      </c>
      <c r="AF755" s="60">
        <v>5.99</v>
      </c>
      <c r="AG755" s="60">
        <v>0.023</v>
      </c>
      <c r="AH755" s="60"/>
      <c r="AI755" s="60"/>
      <c r="AJ755" s="76" t="s">
        <v>1479</v>
      </c>
      <c r="AK755" s="64" t="s">
        <v>1484</v>
      </c>
      <c r="AL755" s="70">
        <v>2002.0</v>
      </c>
      <c r="AM755" s="7"/>
      <c r="AN755" s="77">
        <v>140.0</v>
      </c>
      <c r="AO755" s="64"/>
      <c r="AP755" s="64" t="s">
        <v>1469</v>
      </c>
      <c r="AQ755" s="13"/>
      <c r="AR755" s="66">
        <v>5945.0</v>
      </c>
      <c r="AS755" s="97"/>
      <c r="AT755" s="67">
        <v>1.7</v>
      </c>
      <c r="AU755" s="70"/>
      <c r="AV755" s="64">
        <v>7.8</v>
      </c>
      <c r="AW755" s="13"/>
      <c r="AX755" s="70">
        <v>2.6</v>
      </c>
      <c r="AY755" s="73"/>
      <c r="AZ755" s="11" t="s">
        <v>162</v>
      </c>
      <c r="BA755" s="68" t="s">
        <v>1481</v>
      </c>
      <c r="BB755" s="68"/>
      <c r="BC755" s="68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68">
        <v>-0.63</v>
      </c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68">
        <v>-0.67</v>
      </c>
      <c r="CM755" s="11"/>
      <c r="CN755" s="11"/>
      <c r="CO755" s="11"/>
      <c r="CP755" s="68">
        <v>-6.16</v>
      </c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2"/>
      <c r="DK755" s="12"/>
      <c r="DL755" s="12"/>
      <c r="DM755" s="69"/>
      <c r="DN755" s="69"/>
      <c r="DO755" s="69"/>
      <c r="DP755" s="69"/>
      <c r="DQ755" s="11"/>
      <c r="DR755" s="69"/>
      <c r="DS755" s="69"/>
      <c r="DT755" s="69"/>
      <c r="DU755" s="69"/>
      <c r="DV755" s="70">
        <v>-0.1</v>
      </c>
      <c r="DW755" s="98"/>
      <c r="DX755" s="71">
        <v>4.9E-8</v>
      </c>
      <c r="DY755" s="114"/>
      <c r="DZ755" s="64" t="s">
        <v>1479</v>
      </c>
      <c r="EA755" s="64"/>
      <c r="EB755" s="82"/>
    </row>
    <row r="756">
      <c r="A756" s="167" t="s">
        <v>1547</v>
      </c>
      <c r="B756" s="189" t="s">
        <v>1547</v>
      </c>
      <c r="C756" s="3"/>
      <c r="D756" s="4"/>
      <c r="E756" s="4"/>
      <c r="F756" s="57" t="s">
        <v>168</v>
      </c>
      <c r="G756" s="61">
        <v>276.124082916666</v>
      </c>
      <c r="H756" s="61">
        <v>-29.7803688888888</v>
      </c>
      <c r="I756" s="60" t="s">
        <v>1512</v>
      </c>
      <c r="J756" s="60" t="s">
        <v>169</v>
      </c>
      <c r="K756" s="61">
        <v>6.0</v>
      </c>
      <c r="L756" s="60">
        <v>3.0</v>
      </c>
      <c r="M756" s="60">
        <v>2.0</v>
      </c>
      <c r="N756" s="61">
        <v>113.964010165589</v>
      </c>
      <c r="O756" s="61">
        <v>-2.32</v>
      </c>
      <c r="P756" s="61">
        <v>0.112</v>
      </c>
      <c r="Q756" s="61">
        <v>-37.796</v>
      </c>
      <c r="R756" s="61">
        <v>0.093</v>
      </c>
      <c r="S756" s="60"/>
      <c r="T756" s="60"/>
      <c r="U756" s="61">
        <v>0.3</v>
      </c>
      <c r="V756" s="5"/>
      <c r="W756" s="5"/>
      <c r="X756" s="5"/>
      <c r="Y756" s="188" t="s">
        <v>1479</v>
      </c>
      <c r="Z756" s="60"/>
      <c r="AA756" s="60"/>
      <c r="AB756" s="60">
        <v>7.31</v>
      </c>
      <c r="AC756" s="60">
        <v>0.021</v>
      </c>
      <c r="AD756" s="60">
        <v>6.911</v>
      </c>
      <c r="AE756" s="60">
        <v>0.038</v>
      </c>
      <c r="AF756" s="60">
        <v>6.41</v>
      </c>
      <c r="AG756" s="60">
        <v>0.024</v>
      </c>
      <c r="AH756" s="60"/>
      <c r="AI756" s="60"/>
      <c r="AJ756" s="76" t="s">
        <v>1479</v>
      </c>
      <c r="AK756" s="64" t="s">
        <v>1484</v>
      </c>
      <c r="AL756" s="70">
        <v>2002.0</v>
      </c>
      <c r="AM756" s="7"/>
      <c r="AN756" s="77">
        <v>145.0</v>
      </c>
      <c r="AO756" s="64"/>
      <c r="AP756" s="64" t="s">
        <v>1548</v>
      </c>
      <c r="AQ756" s="13"/>
      <c r="AR756" s="66">
        <v>8260.0</v>
      </c>
      <c r="AS756" s="97"/>
      <c r="AT756" s="67">
        <v>1.8</v>
      </c>
      <c r="AU756" s="70"/>
      <c r="AV756" s="64">
        <v>15.0</v>
      </c>
      <c r="AW756" s="13"/>
      <c r="AX756" s="73"/>
      <c r="AY756" s="73"/>
      <c r="AZ756" s="11" t="s">
        <v>162</v>
      </c>
      <c r="BA756" s="68" t="s">
        <v>1481</v>
      </c>
      <c r="BB756" s="68"/>
      <c r="BC756" s="68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68">
        <v>-9.7</v>
      </c>
      <c r="CM756" s="11"/>
      <c r="CN756" s="11"/>
      <c r="CO756" s="11"/>
      <c r="CP756" s="68">
        <v>-4.72</v>
      </c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2"/>
      <c r="DK756" s="12"/>
      <c r="DL756" s="12"/>
      <c r="DM756" s="69"/>
      <c r="DN756" s="69"/>
      <c r="DO756" s="69"/>
      <c r="DP756" s="69"/>
      <c r="DQ756" s="11"/>
      <c r="DR756" s="69"/>
      <c r="DS756" s="69"/>
      <c r="DT756" s="69"/>
      <c r="DU756" s="69"/>
      <c r="DV756" s="70">
        <v>-0.66</v>
      </c>
      <c r="DW756" s="98"/>
      <c r="DX756" s="71">
        <v>9.12E-9</v>
      </c>
      <c r="DY756" s="114"/>
      <c r="DZ756" s="64" t="s">
        <v>1479</v>
      </c>
      <c r="EA756" s="64"/>
      <c r="EB756" s="82"/>
    </row>
    <row r="757">
      <c r="A757" s="167" t="s">
        <v>1531</v>
      </c>
      <c r="B757" s="189" t="s">
        <v>1532</v>
      </c>
      <c r="C757" s="3"/>
      <c r="D757" s="4"/>
      <c r="E757" s="4"/>
      <c r="F757" s="57" t="s">
        <v>168</v>
      </c>
      <c r="G757" s="61">
        <v>247.889432499999</v>
      </c>
      <c r="H757" s="61">
        <v>-24.4603216666666</v>
      </c>
      <c r="I757" s="6" t="s">
        <v>158</v>
      </c>
      <c r="J757" s="60" t="s">
        <v>169</v>
      </c>
      <c r="K757" s="61">
        <v>1.0</v>
      </c>
      <c r="L757" s="60"/>
      <c r="M757" s="60">
        <v>2.0</v>
      </c>
      <c r="N757" s="61">
        <v>145.910848471583</v>
      </c>
      <c r="O757" s="61">
        <v>-6.101</v>
      </c>
      <c r="P757" s="61">
        <v>0.128</v>
      </c>
      <c r="Q757" s="61">
        <v>-24.212</v>
      </c>
      <c r="R757" s="61">
        <v>0.098</v>
      </c>
      <c r="S757" s="60"/>
      <c r="T757" s="60"/>
      <c r="U757" s="61">
        <v>6.0</v>
      </c>
      <c r="V757" s="5"/>
      <c r="W757" s="5"/>
      <c r="X757" s="5"/>
      <c r="Y757" s="188" t="s">
        <v>1479</v>
      </c>
      <c r="Z757" s="60"/>
      <c r="AA757" s="60"/>
      <c r="AB757" s="60">
        <v>9.233</v>
      </c>
      <c r="AC757" s="60">
        <v>0.023</v>
      </c>
      <c r="AD757" s="60">
        <v>8.246</v>
      </c>
      <c r="AE757" s="60">
        <v>0.057</v>
      </c>
      <c r="AF757" s="60">
        <v>7.61</v>
      </c>
      <c r="AG757" s="60">
        <v>0.024</v>
      </c>
      <c r="AH757" s="60"/>
      <c r="AI757" s="60"/>
      <c r="AJ757" s="76" t="s">
        <v>1479</v>
      </c>
      <c r="AK757" s="64" t="s">
        <v>1484</v>
      </c>
      <c r="AL757" s="70">
        <v>2002.0</v>
      </c>
      <c r="AM757" s="7"/>
      <c r="AN757" s="77">
        <v>122.0</v>
      </c>
      <c r="AO757" s="64"/>
      <c r="AP757" s="64" t="s">
        <v>1458</v>
      </c>
      <c r="AQ757" s="13"/>
      <c r="AR757" s="66">
        <v>5080.0</v>
      </c>
      <c r="AS757" s="97"/>
      <c r="AT757" s="67">
        <v>1.8</v>
      </c>
      <c r="AU757" s="70"/>
      <c r="AV757" s="64">
        <v>11.7</v>
      </c>
      <c r="AW757" s="13"/>
      <c r="AX757" s="73"/>
      <c r="AY757" s="73"/>
      <c r="AZ757" s="11" t="s">
        <v>162</v>
      </c>
      <c r="BA757" s="68" t="s">
        <v>1481</v>
      </c>
      <c r="BB757" s="68"/>
      <c r="BC757" s="68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68">
        <v>-4.62</v>
      </c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2"/>
      <c r="DK757" s="12"/>
      <c r="DL757" s="12"/>
      <c r="DM757" s="69"/>
      <c r="DN757" s="69"/>
      <c r="DO757" s="69"/>
      <c r="DP757" s="69"/>
      <c r="DQ757" s="11"/>
      <c r="DR757" s="69"/>
      <c r="DS757" s="69"/>
      <c r="DT757" s="69"/>
      <c r="DU757" s="69"/>
      <c r="DV757" s="70">
        <v>-0.77</v>
      </c>
      <c r="DW757" s="98"/>
      <c r="DX757" s="71">
        <v>1.66E-8</v>
      </c>
      <c r="DY757" s="114"/>
      <c r="DZ757" s="64" t="s">
        <v>1479</v>
      </c>
      <c r="EA757" s="64"/>
      <c r="EB757" s="82"/>
    </row>
    <row r="758">
      <c r="A758" s="167" t="s">
        <v>1549</v>
      </c>
      <c r="B758" s="189" t="s">
        <v>1550</v>
      </c>
      <c r="C758" s="3"/>
      <c r="D758" s="4"/>
      <c r="E758" s="4"/>
      <c r="F758" s="57" t="s">
        <v>168</v>
      </c>
      <c r="G758" s="61">
        <v>74.6927724999999</v>
      </c>
      <c r="H758" s="61">
        <v>29.8436083333333</v>
      </c>
      <c r="I758" s="60" t="s">
        <v>1512</v>
      </c>
      <c r="J758" s="60" t="s">
        <v>169</v>
      </c>
      <c r="K758" s="61">
        <v>5.65</v>
      </c>
      <c r="L758" s="60">
        <v>0.02</v>
      </c>
      <c r="M758" s="60">
        <v>2.0</v>
      </c>
      <c r="N758" s="61">
        <v>161.773032435493</v>
      </c>
      <c r="O758" s="61">
        <v>4.793</v>
      </c>
      <c r="P758" s="61">
        <v>0.133</v>
      </c>
      <c r="Q758" s="61">
        <v>-25.348</v>
      </c>
      <c r="R758" s="61">
        <v>0.073</v>
      </c>
      <c r="S758" s="60"/>
      <c r="T758" s="60"/>
      <c r="U758" s="61">
        <v>0.33</v>
      </c>
      <c r="V758" s="5"/>
      <c r="W758" s="5"/>
      <c r="X758" s="5"/>
      <c r="Y758" s="188" t="s">
        <v>1479</v>
      </c>
      <c r="Z758" s="60">
        <v>7.76</v>
      </c>
      <c r="AA758" s="60"/>
      <c r="AB758" s="60">
        <v>6.865</v>
      </c>
      <c r="AC758" s="60">
        <v>0.021</v>
      </c>
      <c r="AD758" s="60">
        <v>6.26</v>
      </c>
      <c r="AE758" s="60">
        <v>0.03</v>
      </c>
      <c r="AF758" s="60">
        <v>5.527</v>
      </c>
      <c r="AG758" s="60">
        <v>0.021</v>
      </c>
      <c r="AH758" s="60"/>
      <c r="AI758" s="60"/>
      <c r="AJ758" s="76" t="s">
        <v>1479</v>
      </c>
      <c r="AK758" s="64" t="s">
        <v>1484</v>
      </c>
      <c r="AL758" s="70">
        <v>2001.0</v>
      </c>
      <c r="AM758" s="7"/>
      <c r="AN758" s="77">
        <v>137.0</v>
      </c>
      <c r="AO758" s="64"/>
      <c r="AP758" s="64" t="s">
        <v>1548</v>
      </c>
      <c r="AQ758" s="13"/>
      <c r="AR758" s="66">
        <v>8200.0</v>
      </c>
      <c r="AS758" s="97"/>
      <c r="AT758" s="67">
        <v>1.97</v>
      </c>
      <c r="AU758" s="70"/>
      <c r="AV758" s="64">
        <v>21.9</v>
      </c>
      <c r="AW758" s="13"/>
      <c r="AX758" s="73"/>
      <c r="AY758" s="73"/>
      <c r="AZ758" s="11" t="s">
        <v>162</v>
      </c>
      <c r="BA758" s="68" t="s">
        <v>1481</v>
      </c>
      <c r="BB758" s="68"/>
      <c r="BC758" s="68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68">
        <v>-7.0</v>
      </c>
      <c r="CM758" s="11"/>
      <c r="CN758" s="11"/>
      <c r="CO758" s="11"/>
      <c r="CP758" s="68">
        <v>-8.84</v>
      </c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2"/>
      <c r="DK758" s="12"/>
      <c r="DL758" s="12"/>
      <c r="DM758" s="69"/>
      <c r="DN758" s="69"/>
      <c r="DO758" s="69"/>
      <c r="DP758" s="69"/>
      <c r="DQ758" s="11"/>
      <c r="DR758" s="69"/>
      <c r="DS758" s="69"/>
      <c r="DT758" s="69"/>
      <c r="DU758" s="69"/>
      <c r="DV758" s="70">
        <v>0.11</v>
      </c>
      <c r="DW758" s="98"/>
      <c r="DX758" s="71">
        <v>6.17E-8</v>
      </c>
      <c r="DY758" s="114"/>
      <c r="DZ758" s="64" t="s">
        <v>1479</v>
      </c>
      <c r="EA758" s="64"/>
      <c r="EB758" s="82"/>
    </row>
    <row r="759">
      <c r="A759" s="192" t="s">
        <v>1551</v>
      </c>
      <c r="B759" s="191" t="s">
        <v>1552</v>
      </c>
      <c r="C759" s="3"/>
      <c r="D759" s="4"/>
      <c r="E759" s="4"/>
      <c r="F759" s="57" t="s">
        <v>168</v>
      </c>
      <c r="G759" s="61">
        <v>241.741470833333</v>
      </c>
      <c r="H759" s="61">
        <v>-27.7193772222222</v>
      </c>
      <c r="I759" s="60" t="s">
        <v>1553</v>
      </c>
      <c r="J759" s="60" t="s">
        <v>169</v>
      </c>
      <c r="K759" s="61">
        <v>6.0</v>
      </c>
      <c r="L759" s="60">
        <v>3.0</v>
      </c>
      <c r="M759" s="60">
        <v>2.0</v>
      </c>
      <c r="N759" s="61">
        <v>155.349458607136</v>
      </c>
      <c r="O759" s="61">
        <v>-12.594</v>
      </c>
      <c r="P759" s="61">
        <v>0.098</v>
      </c>
      <c r="Q759" s="61">
        <v>-24.4</v>
      </c>
      <c r="R759" s="61">
        <v>0.051</v>
      </c>
      <c r="S759" s="60">
        <v>2.0</v>
      </c>
      <c r="T759" s="60"/>
      <c r="U759" s="61">
        <v>0.2</v>
      </c>
      <c r="V759" s="5"/>
      <c r="W759" s="5"/>
      <c r="X759" s="5"/>
      <c r="Y759" s="188" t="s">
        <v>1479</v>
      </c>
      <c r="Z759" s="60">
        <v>7.82</v>
      </c>
      <c r="AA759" s="60"/>
      <c r="AB759" s="60">
        <v>7.095</v>
      </c>
      <c r="AC759" s="60">
        <v>0.032</v>
      </c>
      <c r="AD759" s="60">
        <v>6.538</v>
      </c>
      <c r="AE759" s="60">
        <v>0.067</v>
      </c>
      <c r="AF759" s="60">
        <v>5.888</v>
      </c>
      <c r="AG759" s="60">
        <v>0.018</v>
      </c>
      <c r="AH759" s="60"/>
      <c r="AI759" s="60"/>
      <c r="AJ759" s="76" t="s">
        <v>1479</v>
      </c>
      <c r="AK759" s="64" t="s">
        <v>1480</v>
      </c>
      <c r="AL759" s="70">
        <v>2002.0</v>
      </c>
      <c r="AM759" s="7"/>
      <c r="AN759" s="77">
        <v>145.0</v>
      </c>
      <c r="AO759" s="64"/>
      <c r="AP759" s="64" t="s">
        <v>1554</v>
      </c>
      <c r="AQ759" s="13"/>
      <c r="AR759" s="66">
        <v>7410.0</v>
      </c>
      <c r="AS759" s="97"/>
      <c r="AT759" s="67">
        <v>2.0</v>
      </c>
      <c r="AU759" s="70"/>
      <c r="AV759" s="64">
        <v>14.8</v>
      </c>
      <c r="AW759" s="13"/>
      <c r="AX759" s="70">
        <v>2.3</v>
      </c>
      <c r="AY759" s="73"/>
      <c r="AZ759" s="11" t="s">
        <v>162</v>
      </c>
      <c r="BA759" s="68" t="s">
        <v>1481</v>
      </c>
      <c r="BB759" s="68"/>
      <c r="BC759" s="68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68">
        <v>-5.1</v>
      </c>
      <c r="CM759" s="11"/>
      <c r="CN759" s="11"/>
      <c r="CO759" s="11"/>
      <c r="CP759" s="68">
        <v>-5.52</v>
      </c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2"/>
      <c r="DK759" s="12"/>
      <c r="DL759" s="12"/>
      <c r="DM759" s="69"/>
      <c r="DN759" s="69"/>
      <c r="DO759" s="69"/>
      <c r="DP759" s="69"/>
      <c r="DQ759" s="11"/>
      <c r="DR759" s="69"/>
      <c r="DS759" s="69"/>
      <c r="DT759" s="69"/>
      <c r="DU759" s="69"/>
      <c r="DV759" s="70">
        <v>-0.35</v>
      </c>
      <c r="DW759" s="98"/>
      <c r="DX759" s="71">
        <v>2.04E-8</v>
      </c>
      <c r="DY759" s="114"/>
      <c r="DZ759" s="64" t="s">
        <v>1479</v>
      </c>
      <c r="EA759" s="64"/>
      <c r="EB759" s="82"/>
    </row>
    <row r="760">
      <c r="A760" s="167" t="s">
        <v>1555</v>
      </c>
      <c r="B760" s="189" t="s">
        <v>1556</v>
      </c>
      <c r="C760" s="3"/>
      <c r="D760" s="4"/>
      <c r="E760" s="4"/>
      <c r="F760" s="57" t="s">
        <v>168</v>
      </c>
      <c r="G760" s="61">
        <v>65.4892216666666</v>
      </c>
      <c r="H760" s="61">
        <v>28.4432036111111</v>
      </c>
      <c r="I760" s="60" t="s">
        <v>199</v>
      </c>
      <c r="J760" s="60" t="s">
        <v>169</v>
      </c>
      <c r="K760" s="61">
        <v>1.5</v>
      </c>
      <c r="L760" s="60"/>
      <c r="M760" s="60">
        <v>2.0</v>
      </c>
      <c r="N760" s="61">
        <v>443.066016836508</v>
      </c>
      <c r="O760" s="61">
        <v>9.1</v>
      </c>
      <c r="P760" s="61">
        <v>0.14</v>
      </c>
      <c r="Q760" s="61">
        <v>-25.859</v>
      </c>
      <c r="R760" s="61">
        <v>0.091</v>
      </c>
      <c r="S760" s="60">
        <v>24.3</v>
      </c>
      <c r="T760" s="60">
        <v>1.9</v>
      </c>
      <c r="U760" s="61">
        <v>2.2</v>
      </c>
      <c r="V760" s="5"/>
      <c r="W760" s="5"/>
      <c r="X760" s="5"/>
      <c r="Y760" s="188" t="s">
        <v>1479</v>
      </c>
      <c r="Z760" s="60">
        <v>9.67</v>
      </c>
      <c r="AA760" s="60"/>
      <c r="AB760" s="60">
        <v>7.155</v>
      </c>
      <c r="AC760" s="60">
        <v>0.019</v>
      </c>
      <c r="AD760" s="60">
        <v>6.13</v>
      </c>
      <c r="AE760" s="60">
        <v>0.06</v>
      </c>
      <c r="AF760" s="60">
        <v>5.395</v>
      </c>
      <c r="AG760" s="60">
        <v>0.023</v>
      </c>
      <c r="AH760" s="60"/>
      <c r="AI760" s="60"/>
      <c r="AJ760" s="76" t="s">
        <v>1479</v>
      </c>
      <c r="AK760" s="64" t="s">
        <v>1484</v>
      </c>
      <c r="AL760" s="70">
        <v>2002.0</v>
      </c>
      <c r="AM760" s="7"/>
      <c r="AN760" s="77">
        <v>140.0</v>
      </c>
      <c r="AO760" s="64"/>
      <c r="AP760" s="64" t="s">
        <v>1469</v>
      </c>
      <c r="AQ760" s="13"/>
      <c r="AR760" s="66">
        <v>5945.0</v>
      </c>
      <c r="AS760" s="97"/>
      <c r="AT760" s="67">
        <v>2.0</v>
      </c>
      <c r="AU760" s="70"/>
      <c r="AV760" s="64">
        <v>9.6</v>
      </c>
      <c r="AW760" s="13"/>
      <c r="AX760" s="70">
        <v>2.9</v>
      </c>
      <c r="AY760" s="73"/>
      <c r="AZ760" s="11" t="s">
        <v>162</v>
      </c>
      <c r="BA760" s="68" t="s">
        <v>1481</v>
      </c>
      <c r="BB760" s="68"/>
      <c r="BC760" s="68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68">
        <v>-2.24</v>
      </c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68">
        <v>-0.51</v>
      </c>
      <c r="CM760" s="11"/>
      <c r="CN760" s="11"/>
      <c r="CO760" s="11"/>
      <c r="CP760" s="68">
        <v>-4.06</v>
      </c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2"/>
      <c r="DK760" s="12"/>
      <c r="DL760" s="12"/>
      <c r="DM760" s="69"/>
      <c r="DN760" s="69"/>
      <c r="DO760" s="69"/>
      <c r="DP760" s="69"/>
      <c r="DQ760" s="11"/>
      <c r="DR760" s="69"/>
      <c r="DS760" s="69"/>
      <c r="DT760" s="69"/>
      <c r="DU760" s="69"/>
      <c r="DV760" s="70">
        <v>0.07</v>
      </c>
      <c r="DW760" s="98"/>
      <c r="DX760" s="71">
        <v>6.76E-8</v>
      </c>
      <c r="DY760" s="114"/>
      <c r="DZ760" s="64" t="s">
        <v>1479</v>
      </c>
      <c r="EA760" s="64"/>
      <c r="EB760" s="82"/>
    </row>
    <row r="761">
      <c r="A761" s="167" t="s">
        <v>1557</v>
      </c>
      <c r="B761" s="189" t="s">
        <v>1558</v>
      </c>
      <c r="C761" s="3"/>
      <c r="D761" s="4"/>
      <c r="E761" s="4"/>
      <c r="F761" s="57" t="s">
        <v>168</v>
      </c>
      <c r="G761" s="61">
        <v>82.6147024999999</v>
      </c>
      <c r="H761" s="61">
        <v>25.3325227777777</v>
      </c>
      <c r="I761" s="60" t="s">
        <v>1512</v>
      </c>
      <c r="J761" s="60" t="s">
        <v>169</v>
      </c>
      <c r="K761" s="61">
        <v>8.0</v>
      </c>
      <c r="L761" s="60">
        <v>0.04</v>
      </c>
      <c r="M761" s="60">
        <v>2.0</v>
      </c>
      <c r="N761" s="61">
        <v>160.243570226744</v>
      </c>
      <c r="O761" s="61">
        <v>3.586</v>
      </c>
      <c r="P761" s="61">
        <v>0.112</v>
      </c>
      <c r="Q761" s="61">
        <v>-26.751</v>
      </c>
      <c r="R761" s="61">
        <v>0.083</v>
      </c>
      <c r="S761" s="60"/>
      <c r="T761" s="60"/>
      <c r="U761" s="61">
        <v>0.66</v>
      </c>
      <c r="V761" s="5"/>
      <c r="W761" s="5"/>
      <c r="X761" s="5"/>
      <c r="Y761" s="188" t="s">
        <v>1479</v>
      </c>
      <c r="Z761" s="60"/>
      <c r="AA761" s="60"/>
      <c r="AB761" s="60">
        <v>7.221</v>
      </c>
      <c r="AC761" s="60">
        <v>0.026</v>
      </c>
      <c r="AD761" s="60">
        <v>6.56</v>
      </c>
      <c r="AE761" s="60">
        <v>0.024</v>
      </c>
      <c r="AF761" s="60">
        <v>5.804</v>
      </c>
      <c r="AG761" s="60">
        <v>0.023</v>
      </c>
      <c r="AH761" s="60"/>
      <c r="AI761" s="60"/>
      <c r="AJ761" s="76" t="s">
        <v>1479</v>
      </c>
      <c r="AK761" s="64" t="s">
        <v>1484</v>
      </c>
      <c r="AL761" s="70">
        <v>2002.0</v>
      </c>
      <c r="AM761" s="7"/>
      <c r="AN761" s="77">
        <v>204.0</v>
      </c>
      <c r="AO761" s="64"/>
      <c r="AP761" s="64" t="s">
        <v>1559</v>
      </c>
      <c r="AQ761" s="13"/>
      <c r="AR761" s="66">
        <v>8130.0</v>
      </c>
      <c r="AS761" s="97"/>
      <c r="AT761" s="67">
        <v>2.0</v>
      </c>
      <c r="AU761" s="70"/>
      <c r="AV761" s="64">
        <v>30.0</v>
      </c>
      <c r="AW761" s="13"/>
      <c r="AX761" s="73"/>
      <c r="AY761" s="73"/>
      <c r="AZ761" s="11" t="s">
        <v>162</v>
      </c>
      <c r="BA761" s="68" t="s">
        <v>1481</v>
      </c>
      <c r="BB761" s="68"/>
      <c r="BC761" s="68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68">
        <v>-5.4</v>
      </c>
      <c r="CM761" s="11"/>
      <c r="CN761" s="11"/>
      <c r="CO761" s="11"/>
      <c r="CP761" s="68">
        <v>-3.59</v>
      </c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2"/>
      <c r="DK761" s="12"/>
      <c r="DL761" s="12"/>
      <c r="DM761" s="69"/>
      <c r="DN761" s="69"/>
      <c r="DO761" s="69"/>
      <c r="DP761" s="69"/>
      <c r="DQ761" s="11"/>
      <c r="DR761" s="69"/>
      <c r="DS761" s="69"/>
      <c r="DT761" s="69"/>
      <c r="DU761" s="69"/>
      <c r="DV761" s="70">
        <v>-0.1</v>
      </c>
      <c r="DW761" s="98"/>
      <c r="DX761" s="71">
        <v>4.47E-8</v>
      </c>
      <c r="DY761" s="114"/>
      <c r="DZ761" s="64" t="s">
        <v>1479</v>
      </c>
      <c r="EA761" s="64"/>
      <c r="EB761" s="82"/>
    </row>
    <row r="762">
      <c r="A762" s="167" t="s">
        <v>1560</v>
      </c>
      <c r="B762" s="189" t="s">
        <v>1560</v>
      </c>
      <c r="C762" s="3"/>
      <c r="D762" s="4"/>
      <c r="E762" s="4"/>
      <c r="F762" s="57" t="s">
        <v>168</v>
      </c>
      <c r="G762" s="61">
        <v>239.166759166666</v>
      </c>
      <c r="H762" s="61">
        <v>-22.0277788888888</v>
      </c>
      <c r="I762" s="60" t="s">
        <v>1561</v>
      </c>
      <c r="J762" s="60" t="s">
        <v>169</v>
      </c>
      <c r="K762" s="61">
        <v>7.76</v>
      </c>
      <c r="L762" s="60">
        <v>1.79</v>
      </c>
      <c r="M762" s="60">
        <v>2.0</v>
      </c>
      <c r="N762" s="61">
        <v>148.277753888584</v>
      </c>
      <c r="O762" s="61">
        <v>-13.046</v>
      </c>
      <c r="P762" s="61">
        <v>0.106</v>
      </c>
      <c r="Q762" s="61">
        <v>-22.16</v>
      </c>
      <c r="R762" s="61">
        <v>0.059</v>
      </c>
      <c r="S762" s="60"/>
      <c r="T762" s="60"/>
      <c r="U762" s="61">
        <v>0.8</v>
      </c>
      <c r="V762" s="5"/>
      <c r="W762" s="5"/>
      <c r="X762" s="5"/>
      <c r="Y762" s="83" t="s">
        <v>1479</v>
      </c>
      <c r="Z762" s="60">
        <v>8.31</v>
      </c>
      <c r="AA762" s="60"/>
      <c r="AB762" s="60">
        <v>7.351</v>
      </c>
      <c r="AC762" s="60">
        <v>0.026</v>
      </c>
      <c r="AD762" s="60">
        <v>6.739</v>
      </c>
      <c r="AE762" s="60">
        <v>0.027</v>
      </c>
      <c r="AF762" s="60">
        <v>6.077</v>
      </c>
      <c r="AG762" s="60">
        <v>0.017</v>
      </c>
      <c r="AH762" s="60"/>
      <c r="AI762" s="60"/>
      <c r="AJ762" s="76" t="s">
        <v>1479</v>
      </c>
      <c r="AK762" s="64" t="s">
        <v>1484</v>
      </c>
      <c r="AL762" s="70">
        <v>2002.0</v>
      </c>
      <c r="AM762" s="7"/>
      <c r="AN762" s="77">
        <v>145.0</v>
      </c>
      <c r="AO762" s="64"/>
      <c r="AP762" s="64" t="s">
        <v>1562</v>
      </c>
      <c r="AQ762" s="13"/>
      <c r="AR762" s="66">
        <v>7590.0</v>
      </c>
      <c r="AS762" s="97"/>
      <c r="AT762" s="67">
        <v>2.0</v>
      </c>
      <c r="AU762" s="70"/>
      <c r="AV762" s="64">
        <v>17.0</v>
      </c>
      <c r="AW762" s="13"/>
      <c r="AX762" s="70">
        <v>2.4</v>
      </c>
      <c r="AY762" s="73"/>
      <c r="AZ762" s="11" t="s">
        <v>162</v>
      </c>
      <c r="BA762" s="68" t="s">
        <v>1481</v>
      </c>
      <c r="BB762" s="68"/>
      <c r="BC762" s="68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68">
        <v>-2.4</v>
      </c>
      <c r="CM762" s="11"/>
      <c r="CN762" s="11"/>
      <c r="CO762" s="11"/>
      <c r="CP762" s="68">
        <v>-5.4</v>
      </c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2"/>
      <c r="DK762" s="12"/>
      <c r="DL762" s="12"/>
      <c r="DM762" s="69"/>
      <c r="DN762" s="69"/>
      <c r="DO762" s="69"/>
      <c r="DP762" s="69"/>
      <c r="DQ762" s="11"/>
      <c r="DR762" s="69"/>
      <c r="DS762" s="69"/>
      <c r="DT762" s="69"/>
      <c r="DU762" s="69"/>
      <c r="DV762" s="70">
        <v>-0.28</v>
      </c>
      <c r="DW762" s="98"/>
      <c r="DX762" s="71">
        <v>2.51E-8</v>
      </c>
      <c r="DY762" s="114"/>
      <c r="DZ762" s="64" t="s">
        <v>1479</v>
      </c>
      <c r="EA762" s="64"/>
      <c r="EB762" s="82"/>
    </row>
    <row r="763">
      <c r="A763" s="167" t="s">
        <v>1563</v>
      </c>
      <c r="B763" s="189" t="s">
        <v>1564</v>
      </c>
      <c r="C763" s="3"/>
      <c r="D763" s="4"/>
      <c r="E763" s="4"/>
      <c r="F763" s="57" t="s">
        <v>168</v>
      </c>
      <c r="G763" s="61">
        <v>246.904962916666</v>
      </c>
      <c r="H763" s="61">
        <v>-24.5097308333333</v>
      </c>
      <c r="I763" s="6" t="s">
        <v>158</v>
      </c>
      <c r="J763" s="60" t="s">
        <v>1497</v>
      </c>
      <c r="K763" s="61">
        <v>1.0</v>
      </c>
      <c r="L763" s="60"/>
      <c r="M763" s="60">
        <v>2.0</v>
      </c>
      <c r="N763" s="61">
        <v>134.453781512605</v>
      </c>
      <c r="O763" s="61">
        <v>-9.19</v>
      </c>
      <c r="P763" s="61">
        <v>0.234</v>
      </c>
      <c r="Q763" s="61">
        <v>-23.995</v>
      </c>
      <c r="R763" s="61">
        <v>0.175</v>
      </c>
      <c r="S763" s="60"/>
      <c r="T763" s="60"/>
      <c r="U763" s="61">
        <v>11.5</v>
      </c>
      <c r="V763" s="5"/>
      <c r="W763" s="5"/>
      <c r="X763" s="5"/>
      <c r="Y763" s="188" t="s">
        <v>1479</v>
      </c>
      <c r="Z763" s="60">
        <v>16.66</v>
      </c>
      <c r="AA763" s="60"/>
      <c r="AB763" s="60">
        <v>10.566</v>
      </c>
      <c r="AC763" s="60">
        <v>0.023</v>
      </c>
      <c r="AD763" s="60">
        <v>8.815</v>
      </c>
      <c r="AE763" s="60">
        <v>0.067</v>
      </c>
      <c r="AF763" s="60">
        <v>7.582</v>
      </c>
      <c r="AG763" s="60">
        <v>0.026</v>
      </c>
      <c r="AH763" s="60"/>
      <c r="AI763" s="60"/>
      <c r="AJ763" s="76" t="s">
        <v>1479</v>
      </c>
      <c r="AK763" s="64" t="s">
        <v>1489</v>
      </c>
      <c r="AL763" s="70">
        <v>2008.0</v>
      </c>
      <c r="AM763" s="7"/>
      <c r="AN763" s="77">
        <v>120.0</v>
      </c>
      <c r="AO763" s="64"/>
      <c r="AP763" s="64" t="s">
        <v>1473</v>
      </c>
      <c r="AQ763" s="13"/>
      <c r="AR763" s="66">
        <v>9000.0</v>
      </c>
      <c r="AS763" s="97"/>
      <c r="AT763" s="67">
        <v>2.0</v>
      </c>
      <c r="AU763" s="70"/>
      <c r="AV763" s="64">
        <v>14.3</v>
      </c>
      <c r="AW763" s="13"/>
      <c r="AX763" s="73"/>
      <c r="AY763" s="73"/>
      <c r="AZ763" s="11" t="s">
        <v>162</v>
      </c>
      <c r="BA763" s="68" t="s">
        <v>1481</v>
      </c>
      <c r="BB763" s="68"/>
      <c r="BC763" s="68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68">
        <v>-1.2</v>
      </c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2"/>
      <c r="DK763" s="12"/>
      <c r="DL763" s="12"/>
      <c r="DM763" s="69"/>
      <c r="DN763" s="69"/>
      <c r="DO763" s="69"/>
      <c r="DP763" s="69"/>
      <c r="DQ763" s="11"/>
      <c r="DR763" s="69"/>
      <c r="DS763" s="69"/>
      <c r="DT763" s="69"/>
      <c r="DU763" s="69"/>
      <c r="DV763" s="70">
        <v>-0.89</v>
      </c>
      <c r="DW763" s="98"/>
      <c r="DX763" s="71">
        <v>3.98E-9</v>
      </c>
      <c r="DY763" s="114"/>
      <c r="DZ763" s="64" t="s">
        <v>1479</v>
      </c>
      <c r="EA763" s="64"/>
      <c r="EB763" s="82"/>
    </row>
    <row r="764">
      <c r="A764" s="74" t="s">
        <v>1565</v>
      </c>
      <c r="B764" s="189" t="s">
        <v>1566</v>
      </c>
      <c r="C764" s="4"/>
      <c r="D764" s="4"/>
      <c r="E764" s="4"/>
      <c r="F764" s="57" t="s">
        <v>168</v>
      </c>
      <c r="G764" s="61">
        <v>168.115438333333</v>
      </c>
      <c r="H764" s="61">
        <v>-76.7395272222222</v>
      </c>
      <c r="I764" s="6" t="s">
        <v>268</v>
      </c>
      <c r="J764" s="60" t="s">
        <v>169</v>
      </c>
      <c r="K764" s="59">
        <v>2.0</v>
      </c>
      <c r="L764" s="5"/>
      <c r="M764" s="60">
        <v>2.0</v>
      </c>
      <c r="N764" s="61">
        <v>193.240449090803</v>
      </c>
      <c r="O764" s="61">
        <v>-21.575</v>
      </c>
      <c r="P764" s="61">
        <v>0.047</v>
      </c>
      <c r="Q764" s="61">
        <v>-1.048</v>
      </c>
      <c r="R764" s="61">
        <v>0.045</v>
      </c>
      <c r="S764" s="60">
        <v>14.52</v>
      </c>
      <c r="T764" s="60">
        <v>0.08</v>
      </c>
      <c r="U764" s="60">
        <v>1.67</v>
      </c>
      <c r="V764" s="5"/>
      <c r="W764" s="5"/>
      <c r="X764" s="5"/>
      <c r="Y764" s="188" t="s">
        <v>1479</v>
      </c>
      <c r="Z764" s="60">
        <v>10.51</v>
      </c>
      <c r="AA764" s="60"/>
      <c r="AB764" s="60">
        <v>8.285</v>
      </c>
      <c r="AC764" s="60">
        <v>0.023</v>
      </c>
      <c r="AD764" s="60">
        <v>7.46</v>
      </c>
      <c r="AE764" s="60">
        <v>0.04</v>
      </c>
      <c r="AF764" s="60">
        <v>6.845</v>
      </c>
      <c r="AG764" s="60">
        <v>0.026</v>
      </c>
      <c r="AH764" s="6"/>
      <c r="AI764" s="6"/>
      <c r="AJ764" s="76" t="s">
        <v>1479</v>
      </c>
      <c r="AK764" s="64" t="s">
        <v>1489</v>
      </c>
      <c r="AL764" s="64">
        <v>2009.0</v>
      </c>
      <c r="AM764" s="7"/>
      <c r="AN764" s="77">
        <v>215.0</v>
      </c>
      <c r="AO764" s="13"/>
      <c r="AP764" s="64" t="s">
        <v>1567</v>
      </c>
      <c r="AQ764" s="7"/>
      <c r="AR764" s="66">
        <v>5451.0</v>
      </c>
      <c r="AS764" s="7"/>
      <c r="AT764" s="67">
        <v>2.1</v>
      </c>
      <c r="AU764" s="7"/>
      <c r="AV764" s="64">
        <v>8.0</v>
      </c>
      <c r="AW764" s="7"/>
      <c r="AX764" s="70">
        <v>3.2</v>
      </c>
      <c r="AY764" s="7"/>
      <c r="AZ764" s="11" t="s">
        <v>162</v>
      </c>
      <c r="BA764" s="68" t="s">
        <v>1481</v>
      </c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68">
        <v>-11.17</v>
      </c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2"/>
      <c r="DK764" s="12"/>
      <c r="DL764" s="12"/>
      <c r="DM764" s="69"/>
      <c r="DN764" s="69"/>
      <c r="DO764" s="69"/>
      <c r="DP764" s="69"/>
      <c r="DQ764" s="11"/>
      <c r="DR764" s="69"/>
      <c r="DS764" s="69"/>
      <c r="DT764" s="69"/>
      <c r="DU764" s="69"/>
      <c r="DV764" s="70">
        <v>0.41</v>
      </c>
      <c r="DW764" s="10"/>
      <c r="DX764" s="71">
        <v>1.55E-7</v>
      </c>
      <c r="DY764" s="7"/>
      <c r="DZ764" s="190" t="s">
        <v>1479</v>
      </c>
      <c r="EA764" s="7"/>
      <c r="EB764" s="7"/>
    </row>
    <row r="765">
      <c r="A765" s="74" t="s">
        <v>1568</v>
      </c>
      <c r="B765" s="189" t="s">
        <v>1569</v>
      </c>
      <c r="C765" s="4"/>
      <c r="D765" s="4"/>
      <c r="E765" s="4"/>
      <c r="F765" s="57" t="s">
        <v>168</v>
      </c>
      <c r="G765" s="61">
        <v>84.3052595833333</v>
      </c>
      <c r="H765" s="61">
        <v>-6.58349027777777</v>
      </c>
      <c r="I765" s="6" t="s">
        <v>350</v>
      </c>
      <c r="J765" s="60" t="s">
        <v>169</v>
      </c>
      <c r="K765" s="60">
        <v>3.0</v>
      </c>
      <c r="L765" s="5"/>
      <c r="M765" s="60">
        <v>2.0</v>
      </c>
      <c r="N765" s="61">
        <v>389.074780172749</v>
      </c>
      <c r="O765" s="61">
        <v>0.88</v>
      </c>
      <c r="P765" s="61">
        <v>0.1</v>
      </c>
      <c r="Q765" s="61">
        <v>0.463</v>
      </c>
      <c r="R765" s="61">
        <v>0.099</v>
      </c>
      <c r="S765" s="60">
        <v>29.03</v>
      </c>
      <c r="T765" s="60">
        <v>3.583</v>
      </c>
      <c r="U765" s="60">
        <v>2.4</v>
      </c>
      <c r="V765" s="5"/>
      <c r="W765" s="5"/>
      <c r="X765" s="5"/>
      <c r="Y765" s="188" t="s">
        <v>1479</v>
      </c>
      <c r="Z765" s="60">
        <v>10.06</v>
      </c>
      <c r="AA765" s="60">
        <v>0.03</v>
      </c>
      <c r="AB765" s="60">
        <v>9.113</v>
      </c>
      <c r="AC765" s="60">
        <v>0.024</v>
      </c>
      <c r="AD765" s="60">
        <v>8.565</v>
      </c>
      <c r="AE765" s="60">
        <v>0.04</v>
      </c>
      <c r="AF765" s="60">
        <v>7.897</v>
      </c>
      <c r="AG765" s="60">
        <v>0.029</v>
      </c>
      <c r="AH765" s="6"/>
      <c r="AI765" s="6"/>
      <c r="AJ765" s="76" t="s">
        <v>1479</v>
      </c>
      <c r="AK765" s="64" t="s">
        <v>1484</v>
      </c>
      <c r="AL765" s="64">
        <v>2009.0</v>
      </c>
      <c r="AM765" s="7"/>
      <c r="AN765" s="77">
        <v>400.0</v>
      </c>
      <c r="AO765" s="13"/>
      <c r="AP765" s="64" t="s">
        <v>1570</v>
      </c>
      <c r="AQ765" s="7"/>
      <c r="AR765" s="9"/>
      <c r="AS765" s="7"/>
      <c r="AT765" s="67">
        <v>2.1</v>
      </c>
      <c r="AU765" s="7"/>
      <c r="AV765" s="64">
        <v>27.0</v>
      </c>
      <c r="AW765" s="7"/>
      <c r="AX765" s="70">
        <v>2.7</v>
      </c>
      <c r="AY765" s="7"/>
      <c r="AZ765" s="11" t="s">
        <v>162</v>
      </c>
      <c r="BA765" s="68" t="s">
        <v>1481</v>
      </c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68">
        <v>-3.6</v>
      </c>
      <c r="CM765" s="11"/>
      <c r="CN765" s="11"/>
      <c r="CO765" s="11"/>
      <c r="CP765" s="68">
        <v>-4.74</v>
      </c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2"/>
      <c r="DK765" s="12"/>
      <c r="DL765" s="12"/>
      <c r="DM765" s="69"/>
      <c r="DN765" s="69"/>
      <c r="DO765" s="69"/>
      <c r="DP765" s="69"/>
      <c r="DQ765" s="11"/>
      <c r="DR765" s="69"/>
      <c r="DS765" s="69"/>
      <c r="DT765" s="69"/>
      <c r="DU765" s="69"/>
      <c r="DV765" s="70">
        <v>-0.05</v>
      </c>
      <c r="DW765" s="10"/>
      <c r="DX765" s="71">
        <v>4.57E-8</v>
      </c>
      <c r="DY765" s="7"/>
      <c r="DZ765" s="190" t="s">
        <v>1479</v>
      </c>
      <c r="EA765" s="7"/>
      <c r="EB765" s="7"/>
    </row>
    <row r="766">
      <c r="A766" s="167" t="s">
        <v>1571</v>
      </c>
      <c r="B766" s="189" t="s">
        <v>1572</v>
      </c>
      <c r="C766" s="3"/>
      <c r="D766" s="4"/>
      <c r="E766" s="4"/>
      <c r="F766" s="57" t="s">
        <v>168</v>
      </c>
      <c r="G766" s="61">
        <v>65.4976345833333</v>
      </c>
      <c r="H766" s="61">
        <v>19.5351219444444</v>
      </c>
      <c r="I766" s="60" t="s">
        <v>199</v>
      </c>
      <c r="J766" s="60" t="s">
        <v>169</v>
      </c>
      <c r="K766" s="61">
        <v>1.5</v>
      </c>
      <c r="L766" s="60"/>
      <c r="M766" s="60">
        <v>2.0</v>
      </c>
      <c r="N766" s="61">
        <v>144.320969836917</v>
      </c>
      <c r="O766" s="61">
        <v>11.356</v>
      </c>
      <c r="P766" s="61">
        <v>0.122</v>
      </c>
      <c r="Q766" s="61">
        <v>-14.837</v>
      </c>
      <c r="R766" s="61">
        <v>0.1</v>
      </c>
      <c r="S766" s="60">
        <v>23.9</v>
      </c>
      <c r="T766" s="60">
        <v>1.5</v>
      </c>
      <c r="U766" s="61">
        <v>1.46</v>
      </c>
      <c r="V766" s="5"/>
      <c r="W766" s="5"/>
      <c r="X766" s="5"/>
      <c r="Y766" s="188" t="s">
        <v>1479</v>
      </c>
      <c r="Z766" s="60">
        <v>9.8</v>
      </c>
      <c r="AA766" s="60">
        <v>0.08</v>
      </c>
      <c r="AB766" s="60">
        <v>7.24</v>
      </c>
      <c r="AC766" s="60">
        <v>0.023</v>
      </c>
      <c r="AD766" s="60">
        <v>6.237</v>
      </c>
      <c r="AE766" s="60">
        <v>0.017</v>
      </c>
      <c r="AF766" s="60">
        <v>5.325</v>
      </c>
      <c r="AG766" s="60">
        <v>0.017</v>
      </c>
      <c r="AH766" s="60"/>
      <c r="AI766" s="60"/>
      <c r="AJ766" s="76" t="s">
        <v>1479</v>
      </c>
      <c r="AK766" s="64" t="s">
        <v>1484</v>
      </c>
      <c r="AL766" s="70">
        <v>2002.0</v>
      </c>
      <c r="AM766" s="7"/>
      <c r="AN766" s="77">
        <v>140.0</v>
      </c>
      <c r="AO766" s="64"/>
      <c r="AP766" s="64" t="s">
        <v>584</v>
      </c>
      <c r="AQ766" s="13"/>
      <c r="AR766" s="66">
        <v>5248.0</v>
      </c>
      <c r="AS766" s="97"/>
      <c r="AT766" s="67">
        <v>2.11</v>
      </c>
      <c r="AU766" s="70"/>
      <c r="AV766" s="64">
        <v>7.3</v>
      </c>
      <c r="AW766" s="13"/>
      <c r="AX766" s="73"/>
      <c r="AY766" s="73"/>
      <c r="AZ766" s="11" t="s">
        <v>162</v>
      </c>
      <c r="BA766" s="68" t="s">
        <v>1481</v>
      </c>
      <c r="BB766" s="68"/>
      <c r="BC766" s="68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68">
        <v>-5.51</v>
      </c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2"/>
      <c r="DK766" s="12"/>
      <c r="DL766" s="12"/>
      <c r="DM766" s="69"/>
      <c r="DN766" s="69"/>
      <c r="DO766" s="69"/>
      <c r="DP766" s="69"/>
      <c r="DQ766" s="11"/>
      <c r="DR766" s="69"/>
      <c r="DS766" s="69"/>
      <c r="DT766" s="69"/>
      <c r="DU766" s="69"/>
      <c r="DV766" s="70">
        <v>0.05</v>
      </c>
      <c r="DW766" s="98"/>
      <c r="DX766" s="71">
        <v>6.92E-8</v>
      </c>
      <c r="DY766" s="114"/>
      <c r="DZ766" s="64" t="s">
        <v>1479</v>
      </c>
      <c r="EA766" s="64"/>
      <c r="EB766" s="82"/>
    </row>
    <row r="767">
      <c r="A767" s="167" t="s">
        <v>1573</v>
      </c>
      <c r="B767" s="189" t="s">
        <v>1574</v>
      </c>
      <c r="C767" s="3"/>
      <c r="D767" s="4"/>
      <c r="E767" s="4"/>
      <c r="F767" s="57" t="s">
        <v>168</v>
      </c>
      <c r="G767" s="61">
        <v>237.490618333333</v>
      </c>
      <c r="H767" s="61">
        <v>-3.92120666666666</v>
      </c>
      <c r="I767" s="83" t="s">
        <v>1512</v>
      </c>
      <c r="J767" s="60" t="s">
        <v>169</v>
      </c>
      <c r="K767" s="61">
        <v>5.89</v>
      </c>
      <c r="L767" s="60">
        <v>1.87</v>
      </c>
      <c r="M767" s="60">
        <v>2.0</v>
      </c>
      <c r="N767" s="61">
        <v>110.626811514038</v>
      </c>
      <c r="O767" s="61">
        <v>-17.63</v>
      </c>
      <c r="P767" s="61">
        <v>0.079</v>
      </c>
      <c r="Q767" s="61">
        <v>-18.953</v>
      </c>
      <c r="R767" s="61">
        <v>0.069</v>
      </c>
      <c r="S767" s="60">
        <v>-6.4</v>
      </c>
      <c r="T767" s="60">
        <v>2.4</v>
      </c>
      <c r="U767" s="61">
        <v>0.1</v>
      </c>
      <c r="V767" s="5"/>
      <c r="W767" s="5"/>
      <c r="X767" s="5"/>
      <c r="Y767" s="188" t="s">
        <v>1479</v>
      </c>
      <c r="Z767" s="60">
        <v>7.0</v>
      </c>
      <c r="AA767" s="60"/>
      <c r="AB767" s="60">
        <v>6.872</v>
      </c>
      <c r="AC767" s="60">
        <v>0.027</v>
      </c>
      <c r="AD767" s="60">
        <v>6.861</v>
      </c>
      <c r="AE767" s="60">
        <v>0.04</v>
      </c>
      <c r="AF767" s="60">
        <v>6.821</v>
      </c>
      <c r="AG767" s="60">
        <v>0.026</v>
      </c>
      <c r="AH767" s="60"/>
      <c r="AI767" s="60"/>
      <c r="AJ767" s="76" t="s">
        <v>1479</v>
      </c>
      <c r="AK767" s="64" t="s">
        <v>1484</v>
      </c>
      <c r="AL767" s="70">
        <v>2002.0</v>
      </c>
      <c r="AM767" s="7"/>
      <c r="AN767" s="77">
        <v>99.0</v>
      </c>
      <c r="AO767" s="64"/>
      <c r="AP767" s="64" t="s">
        <v>1575</v>
      </c>
      <c r="AQ767" s="13"/>
      <c r="AR767" s="66">
        <v>9550.0</v>
      </c>
      <c r="AS767" s="97"/>
      <c r="AT767" s="67">
        <v>2.2</v>
      </c>
      <c r="AU767" s="70"/>
      <c r="AV767" s="64">
        <v>22.9</v>
      </c>
      <c r="AW767" s="13"/>
      <c r="AX767" s="70">
        <v>1.8</v>
      </c>
      <c r="AY767" s="73"/>
      <c r="AZ767" s="11" t="s">
        <v>162</v>
      </c>
      <c r="BA767" s="68" t="s">
        <v>1481</v>
      </c>
      <c r="BB767" s="68"/>
      <c r="BC767" s="68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68">
        <v>-4.5</v>
      </c>
      <c r="CM767" s="11"/>
      <c r="CN767" s="11"/>
      <c r="CO767" s="11"/>
      <c r="CP767" s="68">
        <v>-27.0</v>
      </c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2"/>
      <c r="DK767" s="12"/>
      <c r="DL767" s="12"/>
      <c r="DM767" s="69"/>
      <c r="DN767" s="69"/>
      <c r="DO767" s="69"/>
      <c r="DP767" s="69"/>
      <c r="DQ767" s="11"/>
      <c r="DR767" s="69"/>
      <c r="DS767" s="69"/>
      <c r="DT767" s="69"/>
      <c r="DU767" s="69"/>
      <c r="DV767" s="70">
        <v>-0.64</v>
      </c>
      <c r="DW767" s="98"/>
      <c r="DX767" s="71">
        <v>7.41E-9</v>
      </c>
      <c r="DY767" s="114"/>
      <c r="DZ767" s="64" t="s">
        <v>1479</v>
      </c>
      <c r="EA767" s="64"/>
      <c r="EB767" s="82"/>
    </row>
    <row r="768">
      <c r="A768" s="167" t="s">
        <v>1576</v>
      </c>
      <c r="B768" s="189" t="s">
        <v>1576</v>
      </c>
      <c r="C768" s="3"/>
      <c r="D768" s="4"/>
      <c r="E768" s="4"/>
      <c r="F768" s="57" t="s">
        <v>168</v>
      </c>
      <c r="G768" s="61">
        <v>250.074684166666</v>
      </c>
      <c r="H768" s="61">
        <v>-23.8958866666666</v>
      </c>
      <c r="I768" s="6" t="s">
        <v>158</v>
      </c>
      <c r="J768" s="60" t="s">
        <v>169</v>
      </c>
      <c r="K768" s="61">
        <v>4.57</v>
      </c>
      <c r="L768" s="60">
        <v>1.02</v>
      </c>
      <c r="M768" s="60">
        <v>2.0</v>
      </c>
      <c r="N768" s="61">
        <v>150.784077201447</v>
      </c>
      <c r="O768" s="61">
        <v>-4.912</v>
      </c>
      <c r="P768" s="61">
        <v>0.127</v>
      </c>
      <c r="Q768" s="61">
        <v>-19.089</v>
      </c>
      <c r="R768" s="61">
        <v>0.073</v>
      </c>
      <c r="S768" s="60">
        <v>-1.0</v>
      </c>
      <c r="T768" s="60">
        <v>1.9</v>
      </c>
      <c r="U768" s="61">
        <v>1.5</v>
      </c>
      <c r="V768" s="5"/>
      <c r="W768" s="5"/>
      <c r="X768" s="5"/>
      <c r="Y768" s="188" t="s">
        <v>1479</v>
      </c>
      <c r="Z768" s="60">
        <v>8.41</v>
      </c>
      <c r="AA768" s="60"/>
      <c r="AB768" s="60">
        <v>6.947</v>
      </c>
      <c r="AC768" s="60">
        <v>0.02</v>
      </c>
      <c r="AD768" s="60">
        <v>6.214</v>
      </c>
      <c r="AE768" s="60">
        <v>0.02</v>
      </c>
      <c r="AF768" s="60">
        <v>5.476</v>
      </c>
      <c r="AG768" s="60">
        <v>0.017</v>
      </c>
      <c r="AH768" s="60"/>
      <c r="AI768" s="60"/>
      <c r="AJ768" s="76" t="s">
        <v>1479</v>
      </c>
      <c r="AK768" s="64" t="s">
        <v>1484</v>
      </c>
      <c r="AL768" s="70">
        <v>2002.0</v>
      </c>
      <c r="AM768" s="7"/>
      <c r="AN768" s="77">
        <v>203.0</v>
      </c>
      <c r="AO768" s="64"/>
      <c r="AP768" s="64" t="s">
        <v>1577</v>
      </c>
      <c r="AQ768" s="13"/>
      <c r="AR768" s="66">
        <v>8970.0</v>
      </c>
      <c r="AS768" s="97"/>
      <c r="AT768" s="67">
        <v>2.2</v>
      </c>
      <c r="AU768" s="70"/>
      <c r="AV768" s="64">
        <v>36.1</v>
      </c>
      <c r="AW768" s="13"/>
      <c r="AX768" s="70">
        <v>2.5</v>
      </c>
      <c r="AY768" s="73"/>
      <c r="AZ768" s="11" t="s">
        <v>162</v>
      </c>
      <c r="BA768" s="68" t="s">
        <v>1481</v>
      </c>
      <c r="BB768" s="68"/>
      <c r="BC768" s="68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68">
        <v>-5.5</v>
      </c>
      <c r="CM768" s="11"/>
      <c r="CN768" s="11"/>
      <c r="CO768" s="11"/>
      <c r="CP768" s="68">
        <v>-7.15</v>
      </c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2"/>
      <c r="DK768" s="12"/>
      <c r="DL768" s="12"/>
      <c r="DM768" s="69"/>
      <c r="DN768" s="69"/>
      <c r="DO768" s="69"/>
      <c r="DP768" s="69"/>
      <c r="DQ768" s="11"/>
      <c r="DR768" s="69"/>
      <c r="DS768" s="69"/>
      <c r="DT768" s="69"/>
      <c r="DU768" s="69"/>
      <c r="DV768" s="70">
        <v>0.38</v>
      </c>
      <c r="DW768" s="98"/>
      <c r="DX768" s="71">
        <v>1.07E-7</v>
      </c>
      <c r="DY768" s="114"/>
      <c r="DZ768" s="64" t="s">
        <v>1479</v>
      </c>
      <c r="EA768" s="64"/>
      <c r="EB768" s="82"/>
    </row>
    <row r="769">
      <c r="A769" s="167" t="s">
        <v>1578</v>
      </c>
      <c r="B769" s="189" t="s">
        <v>1578</v>
      </c>
      <c r="C769" s="3"/>
      <c r="D769" s="4"/>
      <c r="E769" s="4"/>
      <c r="F769" s="57" t="s">
        <v>168</v>
      </c>
      <c r="G769" s="61">
        <v>269.088700833333</v>
      </c>
      <c r="H769" s="61">
        <v>-21.9560755555555</v>
      </c>
      <c r="I769" s="83" t="s">
        <v>1512</v>
      </c>
      <c r="J769" s="60" t="s">
        <v>169</v>
      </c>
      <c r="K769" s="61">
        <v>6.03</v>
      </c>
      <c r="L769" s="60">
        <v>0.28</v>
      </c>
      <c r="M769" s="60">
        <v>2.0</v>
      </c>
      <c r="N769" s="61">
        <v>101.496051803584</v>
      </c>
      <c r="O769" s="61">
        <v>-7.607</v>
      </c>
      <c r="P769" s="61">
        <v>0.152</v>
      </c>
      <c r="Q769" s="61">
        <v>-39.42</v>
      </c>
      <c r="R769" s="61">
        <v>0.119</v>
      </c>
      <c r="S769" s="60">
        <v>-4.0</v>
      </c>
      <c r="T769" s="60">
        <v>3.3</v>
      </c>
      <c r="U769" s="61">
        <v>0.3</v>
      </c>
      <c r="V769" s="5"/>
      <c r="W769" s="5"/>
      <c r="X769" s="5"/>
      <c r="Y769" s="83" t="s">
        <v>1479</v>
      </c>
      <c r="Z769" s="60">
        <v>6.86</v>
      </c>
      <c r="AA769" s="60">
        <v>0.05</v>
      </c>
      <c r="AB769" s="60">
        <v>6.195</v>
      </c>
      <c r="AC769" s="60">
        <v>0.021</v>
      </c>
      <c r="AD769" s="60">
        <v>5.531</v>
      </c>
      <c r="AE769" s="60">
        <v>0.036</v>
      </c>
      <c r="AF769" s="60">
        <v>4.779</v>
      </c>
      <c r="AG769" s="60">
        <v>0.018</v>
      </c>
      <c r="AH769" s="60"/>
      <c r="AI769" s="60"/>
      <c r="AJ769" s="76" t="s">
        <v>1479</v>
      </c>
      <c r="AK769" s="64" t="s">
        <v>1484</v>
      </c>
      <c r="AL769" s="70">
        <v>2001.0</v>
      </c>
      <c r="AM769" s="7"/>
      <c r="AN769" s="77">
        <v>122.0</v>
      </c>
      <c r="AO769" s="64"/>
      <c r="AP769" s="64" t="s">
        <v>1577</v>
      </c>
      <c r="AQ769" s="13"/>
      <c r="AR769" s="66">
        <v>9450.0</v>
      </c>
      <c r="AS769" s="97"/>
      <c r="AT769" s="67">
        <v>2.3</v>
      </c>
      <c r="AU769" s="70"/>
      <c r="AV769" s="64">
        <v>36.0</v>
      </c>
      <c r="AW769" s="13"/>
      <c r="AX769" s="73"/>
      <c r="AY769" s="73"/>
      <c r="AZ769" s="11" t="s">
        <v>162</v>
      </c>
      <c r="BA769" s="68" t="s">
        <v>1481</v>
      </c>
      <c r="BB769" s="68"/>
      <c r="BC769" s="68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68">
        <v>-6.9</v>
      </c>
      <c r="CM769" s="11"/>
      <c r="CN769" s="11"/>
      <c r="CO769" s="11"/>
      <c r="CP769" s="68">
        <v>-7.68</v>
      </c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2"/>
      <c r="DK769" s="12"/>
      <c r="DL769" s="12"/>
      <c r="DM769" s="69"/>
      <c r="DN769" s="69"/>
      <c r="DO769" s="69"/>
      <c r="DP769" s="69"/>
      <c r="DQ769" s="11"/>
      <c r="DR769" s="69"/>
      <c r="DS769" s="69"/>
      <c r="DT769" s="69"/>
      <c r="DU769" s="69"/>
      <c r="DV769" s="70">
        <v>0.28</v>
      </c>
      <c r="DW769" s="98"/>
      <c r="DX769" s="71">
        <v>7.41E-8</v>
      </c>
      <c r="DY769" s="114"/>
      <c r="DZ769" s="64" t="s">
        <v>1479</v>
      </c>
      <c r="EA769" s="64"/>
      <c r="EB769" s="82"/>
    </row>
    <row r="770">
      <c r="A770" s="167" t="s">
        <v>1579</v>
      </c>
      <c r="B770" s="189" t="s">
        <v>1580</v>
      </c>
      <c r="C770" s="3"/>
      <c r="D770" s="4"/>
      <c r="E770" s="4"/>
      <c r="F770" s="57" t="s">
        <v>168</v>
      </c>
      <c r="G770" s="61">
        <v>81.0048858333333</v>
      </c>
      <c r="H770" s="61">
        <v>24.9604386111111</v>
      </c>
      <c r="I770" s="60" t="s">
        <v>1581</v>
      </c>
      <c r="J770" s="60" t="s">
        <v>169</v>
      </c>
      <c r="K770" s="61">
        <v>5.99</v>
      </c>
      <c r="L770" s="60">
        <v>0.94</v>
      </c>
      <c r="M770" s="60">
        <v>2.0</v>
      </c>
      <c r="N770" s="61">
        <v>114.155251141552</v>
      </c>
      <c r="O770" s="61">
        <v>9.38</v>
      </c>
      <c r="P770" s="61">
        <v>2.12</v>
      </c>
      <c r="Q770" s="61">
        <v>-27.01</v>
      </c>
      <c r="R770" s="61">
        <v>1.06</v>
      </c>
      <c r="S770" s="60">
        <v>-17.0</v>
      </c>
      <c r="T770" s="60"/>
      <c r="U770" s="61">
        <v>0.65</v>
      </c>
      <c r="V770" s="5"/>
      <c r="W770" s="5"/>
      <c r="X770" s="5"/>
      <c r="Y770" s="188" t="s">
        <v>1479</v>
      </c>
      <c r="Z770" s="60">
        <v>8.72</v>
      </c>
      <c r="AA770" s="60">
        <v>0.21</v>
      </c>
      <c r="AB770" s="60">
        <v>6.953</v>
      </c>
      <c r="AC770" s="60">
        <v>0.021</v>
      </c>
      <c r="AD770" s="60">
        <v>6.48</v>
      </c>
      <c r="AE770" s="60">
        <v>0.018</v>
      </c>
      <c r="AF770" s="60">
        <v>5.911</v>
      </c>
      <c r="AG770" s="60">
        <v>0.017</v>
      </c>
      <c r="AH770" s="60"/>
      <c r="AI770" s="60"/>
      <c r="AJ770" s="76" t="s">
        <v>1479</v>
      </c>
      <c r="AK770" s="64" t="s">
        <v>1484</v>
      </c>
      <c r="AL770" s="70">
        <v>2009.0</v>
      </c>
      <c r="AM770" s="7"/>
      <c r="AN770" s="77">
        <v>150.0</v>
      </c>
      <c r="AO770" s="64"/>
      <c r="AP770" s="64" t="s">
        <v>1582</v>
      </c>
      <c r="AQ770" s="13"/>
      <c r="AR770" s="66">
        <v>9120.0</v>
      </c>
      <c r="AS770" s="97"/>
      <c r="AT770" s="67">
        <v>2.3</v>
      </c>
      <c r="AU770" s="70"/>
      <c r="AV770" s="64">
        <v>27.0</v>
      </c>
      <c r="AW770" s="13"/>
      <c r="AX770" s="73"/>
      <c r="AY770" s="73"/>
      <c r="AZ770" s="11" t="s">
        <v>162</v>
      </c>
      <c r="BA770" s="68" t="s">
        <v>1481</v>
      </c>
      <c r="BB770" s="68"/>
      <c r="BC770" s="68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68">
        <v>-2.4</v>
      </c>
      <c r="CM770" s="11"/>
      <c r="CN770" s="11"/>
      <c r="CO770" s="11"/>
      <c r="CP770" s="68">
        <v>-2.63</v>
      </c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2"/>
      <c r="DK770" s="12"/>
      <c r="DL770" s="12"/>
      <c r="DM770" s="69"/>
      <c r="DN770" s="69"/>
      <c r="DO770" s="69"/>
      <c r="DP770" s="69"/>
      <c r="DQ770" s="11"/>
      <c r="DR770" s="69"/>
      <c r="DS770" s="69"/>
      <c r="DT770" s="69"/>
      <c r="DU770" s="69"/>
      <c r="DV770" s="70">
        <v>-0.71</v>
      </c>
      <c r="DW770" s="98"/>
      <c r="DX770" s="71">
        <v>7.08E-9</v>
      </c>
      <c r="DY770" s="114"/>
      <c r="DZ770" s="64" t="s">
        <v>1479</v>
      </c>
      <c r="EA770" s="64"/>
      <c r="EB770" s="82"/>
    </row>
    <row r="771">
      <c r="A771" s="167" t="s">
        <v>1583</v>
      </c>
      <c r="B771" s="189" t="s">
        <v>1584</v>
      </c>
      <c r="C771" s="3"/>
      <c r="D771" s="4"/>
      <c r="E771" s="4"/>
      <c r="F771" s="57" t="s">
        <v>168</v>
      </c>
      <c r="G771" s="61">
        <v>76.1249504166666</v>
      </c>
      <c r="H771" s="61">
        <v>-3.78730222222222</v>
      </c>
      <c r="I771" s="60" t="s">
        <v>1512</v>
      </c>
      <c r="J771" s="60" t="s">
        <v>169</v>
      </c>
      <c r="K771" s="61">
        <v>8.22</v>
      </c>
      <c r="L771" s="60">
        <v>0.27</v>
      </c>
      <c r="M771" s="60">
        <v>2.0</v>
      </c>
      <c r="N771" s="61">
        <v>324.970752632263</v>
      </c>
      <c r="O771" s="61">
        <v>0.785</v>
      </c>
      <c r="P771" s="61">
        <v>0.087</v>
      </c>
      <c r="Q771" s="61">
        <v>-3.924</v>
      </c>
      <c r="R771" s="61">
        <v>0.064</v>
      </c>
      <c r="S771" s="60">
        <v>100.306</v>
      </c>
      <c r="T771" s="60">
        <v>25.736</v>
      </c>
      <c r="U771" s="61">
        <v>0.3</v>
      </c>
      <c r="V771" s="5"/>
      <c r="W771" s="5"/>
      <c r="X771" s="5"/>
      <c r="Y771" s="188" t="s">
        <v>1479</v>
      </c>
      <c r="Z771" s="60">
        <v>9.62</v>
      </c>
      <c r="AA771" s="60"/>
      <c r="AB771" s="60">
        <v>8.707</v>
      </c>
      <c r="AC771" s="60">
        <v>0.021</v>
      </c>
      <c r="AD771" s="60">
        <v>8.044</v>
      </c>
      <c r="AE771" s="60">
        <v>0.034</v>
      </c>
      <c r="AF771" s="60">
        <v>7.214</v>
      </c>
      <c r="AG771" s="60">
        <v>0.02</v>
      </c>
      <c r="AH771" s="60"/>
      <c r="AI771" s="60"/>
      <c r="AJ771" s="76" t="s">
        <v>1479</v>
      </c>
      <c r="AK771" s="64" t="s">
        <v>1484</v>
      </c>
      <c r="AL771" s="70">
        <v>2005.0</v>
      </c>
      <c r="AM771" s="7"/>
      <c r="AN771" s="77">
        <v>450.0</v>
      </c>
      <c r="AO771" s="64"/>
      <c r="AP771" s="64" t="s">
        <v>1559</v>
      </c>
      <c r="AQ771" s="13"/>
      <c r="AR771" s="66">
        <v>8670.0</v>
      </c>
      <c r="AS771" s="97"/>
      <c r="AT771" s="67">
        <v>2.3</v>
      </c>
      <c r="AU771" s="70"/>
      <c r="AV771" s="64">
        <v>39.0</v>
      </c>
      <c r="AW771" s="13"/>
      <c r="AX771" s="73"/>
      <c r="AY771" s="73"/>
      <c r="AZ771" s="11" t="s">
        <v>162</v>
      </c>
      <c r="BA771" s="68" t="s">
        <v>1481</v>
      </c>
      <c r="BB771" s="68"/>
      <c r="BC771" s="68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68">
        <v>-3.9</v>
      </c>
      <c r="CM771" s="11"/>
      <c r="CN771" s="11"/>
      <c r="CO771" s="11"/>
      <c r="CP771" s="68">
        <v>-4.32</v>
      </c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2"/>
      <c r="DK771" s="12"/>
      <c r="DL771" s="12"/>
      <c r="DM771" s="69"/>
      <c r="DN771" s="69"/>
      <c r="DO771" s="69"/>
      <c r="DP771" s="69"/>
      <c r="DQ771" s="11"/>
      <c r="DR771" s="69"/>
      <c r="DS771" s="69"/>
      <c r="DT771" s="69"/>
      <c r="DU771" s="69"/>
      <c r="DV771" s="70">
        <v>0.29</v>
      </c>
      <c r="DW771" s="98"/>
      <c r="DX771" s="71">
        <v>9.33E-8</v>
      </c>
      <c r="DY771" s="114"/>
      <c r="DZ771" s="64" t="s">
        <v>1479</v>
      </c>
      <c r="EA771" s="64"/>
      <c r="EB771" s="82"/>
    </row>
    <row r="772">
      <c r="A772" s="74" t="s">
        <v>1585</v>
      </c>
      <c r="B772" s="189" t="s">
        <v>1586</v>
      </c>
      <c r="C772" s="4"/>
      <c r="D772" s="4"/>
      <c r="E772" s="4"/>
      <c r="F772" s="57" t="s">
        <v>168</v>
      </c>
      <c r="G772" s="61">
        <v>73.9410245833333</v>
      </c>
      <c r="H772" s="61">
        <v>30.5511925</v>
      </c>
      <c r="I772" s="60" t="s">
        <v>199</v>
      </c>
      <c r="J772" s="60" t="s">
        <v>169</v>
      </c>
      <c r="K772" s="61">
        <v>1.5</v>
      </c>
      <c r="L772" s="5"/>
      <c r="M772" s="60">
        <v>2.0</v>
      </c>
      <c r="N772" s="61">
        <v>162.8664495114</v>
      </c>
      <c r="O772" s="61">
        <v>3.926</v>
      </c>
      <c r="P772" s="61">
        <v>0.097</v>
      </c>
      <c r="Q772" s="61">
        <v>-24.112</v>
      </c>
      <c r="R772" s="61">
        <v>0.068</v>
      </c>
      <c r="S772" s="60">
        <v>8.9</v>
      </c>
      <c r="T772" s="60">
        <v>0.9</v>
      </c>
      <c r="U772" s="60">
        <v>0.5</v>
      </c>
      <c r="V772" s="5"/>
      <c r="W772" s="5"/>
      <c r="X772" s="5"/>
      <c r="Y772" s="188" t="s">
        <v>1479</v>
      </c>
      <c r="Z772" s="60">
        <v>6.96</v>
      </c>
      <c r="AA772" s="60">
        <v>0.05</v>
      </c>
      <c r="AB772" s="60">
        <v>5.936</v>
      </c>
      <c r="AC772" s="60">
        <v>0.018</v>
      </c>
      <c r="AD772" s="60">
        <v>5.062</v>
      </c>
      <c r="AE772" s="60">
        <v>0.02</v>
      </c>
      <c r="AF772" s="60">
        <v>4.23</v>
      </c>
      <c r="AG772" s="60">
        <v>0.016</v>
      </c>
      <c r="AH772" s="6"/>
      <c r="AI772" s="6"/>
      <c r="AJ772" s="76" t="s">
        <v>1479</v>
      </c>
      <c r="AK772" s="64" t="s">
        <v>1484</v>
      </c>
      <c r="AL772" s="64">
        <v>2001.0</v>
      </c>
      <c r="AM772" s="7"/>
      <c r="AN772" s="77">
        <v>140.0</v>
      </c>
      <c r="AO772" s="13"/>
      <c r="AP772" s="64" t="s">
        <v>1473</v>
      </c>
      <c r="AQ772" s="7"/>
      <c r="AR772" s="66">
        <v>9840.0</v>
      </c>
      <c r="AS772" s="7"/>
      <c r="AT772" s="67">
        <v>2.4</v>
      </c>
      <c r="AU772" s="7"/>
      <c r="AV772" s="64">
        <v>48.0</v>
      </c>
      <c r="AW772" s="7"/>
      <c r="AX772" s="73"/>
      <c r="AY772" s="7"/>
      <c r="AZ772" s="11" t="s">
        <v>162</v>
      </c>
      <c r="BA772" s="68" t="s">
        <v>1481</v>
      </c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68">
        <v>-5.5</v>
      </c>
      <c r="CM772" s="11"/>
      <c r="CN772" s="11"/>
      <c r="CO772" s="11"/>
      <c r="CP772" s="68">
        <v>-6.75</v>
      </c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2"/>
      <c r="DK772" s="12"/>
      <c r="DL772" s="12"/>
      <c r="DM772" s="12"/>
      <c r="DN772" s="12"/>
      <c r="DO772" s="12"/>
      <c r="DP772" s="12"/>
      <c r="DQ772" s="11"/>
      <c r="DR772" s="12"/>
      <c r="DS772" s="12"/>
      <c r="DT772" s="12"/>
      <c r="DU772" s="12"/>
      <c r="DV772" s="70">
        <v>0.5</v>
      </c>
      <c r="DW772" s="10"/>
      <c r="DX772" s="71">
        <v>1.26E-7</v>
      </c>
      <c r="DY772" s="7"/>
      <c r="DZ772" s="190" t="s">
        <v>1479</v>
      </c>
      <c r="EA772" s="7"/>
      <c r="EB772" s="7"/>
    </row>
    <row r="773">
      <c r="A773" s="167" t="s">
        <v>1587</v>
      </c>
      <c r="B773" s="189" t="s">
        <v>1588</v>
      </c>
      <c r="C773" s="3"/>
      <c r="D773" s="4"/>
      <c r="E773" s="4"/>
      <c r="F773" s="57" t="s">
        <v>168</v>
      </c>
      <c r="G773" s="61">
        <v>84.4461645833333</v>
      </c>
      <c r="H773" s="61">
        <v>-6.70838972222222</v>
      </c>
      <c r="I773" s="60" t="s">
        <v>1512</v>
      </c>
      <c r="J773" s="60" t="s">
        <v>169</v>
      </c>
      <c r="K773" s="61"/>
      <c r="L773" s="60"/>
      <c r="M773" s="60">
        <v>2.0</v>
      </c>
      <c r="N773" s="61">
        <v>787.897888433659</v>
      </c>
      <c r="O773" s="61">
        <v>0.589</v>
      </c>
      <c r="P773" s="61">
        <v>0.603</v>
      </c>
      <c r="Q773" s="61">
        <v>0.203</v>
      </c>
      <c r="R773" s="61">
        <v>0.548</v>
      </c>
      <c r="S773" s="60"/>
      <c r="T773" s="60"/>
      <c r="U773" s="61">
        <v>0.35</v>
      </c>
      <c r="V773" s="5"/>
      <c r="W773" s="5"/>
      <c r="X773" s="5"/>
      <c r="Y773" s="83" t="s">
        <v>1479</v>
      </c>
      <c r="Z773" s="60"/>
      <c r="AA773" s="60"/>
      <c r="AB773" s="60">
        <v>8.405</v>
      </c>
      <c r="AC773" s="60">
        <v>0.021</v>
      </c>
      <c r="AD773" s="60">
        <v>7.947</v>
      </c>
      <c r="AE773" s="60">
        <v>0.038</v>
      </c>
      <c r="AF773" s="60">
        <v>7.368</v>
      </c>
      <c r="AG773" s="60">
        <v>0.021</v>
      </c>
      <c r="AH773" s="60"/>
      <c r="AI773" s="60"/>
      <c r="AJ773" s="76" t="s">
        <v>1479</v>
      </c>
      <c r="AK773" s="64" t="s">
        <v>1484</v>
      </c>
      <c r="AL773" s="70">
        <v>2009.0</v>
      </c>
      <c r="AM773" s="7"/>
      <c r="AN773" s="77">
        <v>240.0</v>
      </c>
      <c r="AO773" s="64"/>
      <c r="AP773" s="64" t="s">
        <v>1582</v>
      </c>
      <c r="AQ773" s="13"/>
      <c r="AR773" s="66">
        <v>10495.0</v>
      </c>
      <c r="AS773" s="97"/>
      <c r="AT773" s="67">
        <v>2.4</v>
      </c>
      <c r="AU773" s="70"/>
      <c r="AV773" s="64">
        <v>29.5</v>
      </c>
      <c r="AW773" s="13"/>
      <c r="AX773" s="73"/>
      <c r="AY773" s="73"/>
      <c r="AZ773" s="11" t="s">
        <v>162</v>
      </c>
      <c r="BA773" s="68" t="s">
        <v>1481</v>
      </c>
      <c r="BB773" s="68"/>
      <c r="BC773" s="68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68">
        <v>-6.83</v>
      </c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2"/>
      <c r="DK773" s="12"/>
      <c r="DL773" s="12"/>
      <c r="DM773" s="69"/>
      <c r="DN773" s="69"/>
      <c r="DO773" s="69"/>
      <c r="DP773" s="69"/>
      <c r="DQ773" s="11"/>
      <c r="DR773" s="69"/>
      <c r="DS773" s="69"/>
      <c r="DT773" s="69"/>
      <c r="DU773" s="69"/>
      <c r="DV773" s="70">
        <v>-0.32</v>
      </c>
      <c r="DW773" s="98"/>
      <c r="DX773" s="71">
        <v>1.32E-8</v>
      </c>
      <c r="DY773" s="114"/>
      <c r="DZ773" s="64" t="s">
        <v>1479</v>
      </c>
      <c r="EA773" s="64"/>
      <c r="EB773" s="82"/>
    </row>
    <row r="774">
      <c r="A774" s="167" t="s">
        <v>1589</v>
      </c>
      <c r="B774" s="189" t="s">
        <v>1590</v>
      </c>
      <c r="C774" s="3"/>
      <c r="D774" s="4"/>
      <c r="E774" s="4"/>
      <c r="F774" s="57" t="s">
        <v>168</v>
      </c>
      <c r="G774" s="61">
        <v>236.303612499999</v>
      </c>
      <c r="H774" s="61">
        <v>-34.2918461111111</v>
      </c>
      <c r="I774" s="60" t="s">
        <v>1591</v>
      </c>
      <c r="J774" s="60" t="s">
        <v>169</v>
      </c>
      <c r="K774" s="61">
        <v>8.0</v>
      </c>
      <c r="L774" s="60">
        <v>4.0</v>
      </c>
      <c r="M774" s="60">
        <v>2.0</v>
      </c>
      <c r="N774" s="61">
        <v>154.194871478574</v>
      </c>
      <c r="O774" s="61">
        <v>-13.625</v>
      </c>
      <c r="P774" s="61">
        <v>0.128</v>
      </c>
      <c r="Q774" s="61">
        <v>-21.605</v>
      </c>
      <c r="R774" s="61">
        <v>0.081</v>
      </c>
      <c r="S774" s="60">
        <v>-4.3</v>
      </c>
      <c r="T774" s="60">
        <v>1.8</v>
      </c>
      <c r="U774" s="61">
        <v>4.0</v>
      </c>
      <c r="V774" s="5"/>
      <c r="W774" s="5"/>
      <c r="X774" s="5"/>
      <c r="Y774" s="188" t="s">
        <v>1479</v>
      </c>
      <c r="Z774" s="60">
        <v>9.6</v>
      </c>
      <c r="AA774" s="60">
        <v>0.02</v>
      </c>
      <c r="AB774" s="60">
        <v>7.573</v>
      </c>
      <c r="AC774" s="60">
        <v>0.021</v>
      </c>
      <c r="AD774" s="60">
        <v>6.866</v>
      </c>
      <c r="AE774" s="60">
        <v>0.029</v>
      </c>
      <c r="AF774" s="60">
        <v>6.48</v>
      </c>
      <c r="AG774" s="60">
        <v>0.02</v>
      </c>
      <c r="AH774" s="60"/>
      <c r="AI774" s="60"/>
      <c r="AJ774" s="76" t="s">
        <v>1479</v>
      </c>
      <c r="AK774" s="64" t="s">
        <v>1489</v>
      </c>
      <c r="AL774" s="70">
        <v>2007.0</v>
      </c>
      <c r="AM774" s="7"/>
      <c r="AN774" s="77">
        <v>159.0</v>
      </c>
      <c r="AO774" s="64"/>
      <c r="AP774" s="64" t="s">
        <v>589</v>
      </c>
      <c r="AQ774" s="13"/>
      <c r="AR774" s="66">
        <v>4900.0</v>
      </c>
      <c r="AS774" s="97"/>
      <c r="AT774" s="67">
        <v>2.5</v>
      </c>
      <c r="AU774" s="70"/>
      <c r="AV774" s="64">
        <v>14.49</v>
      </c>
      <c r="AW774" s="13"/>
      <c r="AX774" s="73"/>
      <c r="AY774" s="73"/>
      <c r="AZ774" s="11" t="s">
        <v>162</v>
      </c>
      <c r="BA774" s="68" t="s">
        <v>1481</v>
      </c>
      <c r="BB774" s="68"/>
      <c r="BC774" s="68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68">
        <v>-2.06</v>
      </c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2"/>
      <c r="DK774" s="12"/>
      <c r="DL774" s="12"/>
      <c r="DM774" s="69"/>
      <c r="DN774" s="69"/>
      <c r="DO774" s="69"/>
      <c r="DP774" s="69"/>
      <c r="DQ774" s="11"/>
      <c r="DR774" s="69"/>
      <c r="DS774" s="69"/>
      <c r="DT774" s="69"/>
      <c r="DU774" s="69"/>
      <c r="DV774" s="70">
        <v>-0.71</v>
      </c>
      <c r="DW774" s="98"/>
      <c r="DX774" s="71">
        <v>1.66E-8</v>
      </c>
      <c r="DY774" s="114"/>
      <c r="DZ774" s="64" t="s">
        <v>1479</v>
      </c>
      <c r="EA774" s="64"/>
      <c r="EB774" s="82"/>
    </row>
    <row r="775">
      <c r="A775" s="167" t="s">
        <v>1592</v>
      </c>
      <c r="B775" s="189" t="s">
        <v>1593</v>
      </c>
      <c r="C775" s="3"/>
      <c r="D775" s="4"/>
      <c r="E775" s="4"/>
      <c r="F775" s="57" t="s">
        <v>168</v>
      </c>
      <c r="G775" s="61">
        <v>56.4511683333333</v>
      </c>
      <c r="H775" s="61">
        <v>32.4032919444444</v>
      </c>
      <c r="I775" s="60" t="s">
        <v>1512</v>
      </c>
      <c r="J775" s="60" t="s">
        <v>1497</v>
      </c>
      <c r="K775" s="61"/>
      <c r="L775" s="60"/>
      <c r="M775" s="60">
        <v>2.0</v>
      </c>
      <c r="N775" s="61">
        <v>310.94527363184</v>
      </c>
      <c r="O775" s="61">
        <v>4.579</v>
      </c>
      <c r="P775" s="61">
        <v>0.123</v>
      </c>
      <c r="Q775" s="61">
        <v>-5.664</v>
      </c>
      <c r="R775" s="61">
        <v>0.092</v>
      </c>
      <c r="S775" s="60">
        <v>16.34</v>
      </c>
      <c r="T775" s="60">
        <v>0.246</v>
      </c>
      <c r="U775" s="61">
        <v>1.8</v>
      </c>
      <c r="V775" s="5"/>
      <c r="W775" s="5"/>
      <c r="X775" s="5"/>
      <c r="Y775" s="188" t="s">
        <v>1479</v>
      </c>
      <c r="Z775" s="60"/>
      <c r="AA775" s="60"/>
      <c r="AB775" s="60">
        <v>8.83</v>
      </c>
      <c r="AC775" s="60">
        <v>0.03</v>
      </c>
      <c r="AD775" s="60">
        <v>7.92</v>
      </c>
      <c r="AE775" s="60">
        <v>0.03</v>
      </c>
      <c r="AF775" s="60">
        <v>7.03</v>
      </c>
      <c r="AG775" s="60">
        <v>0.021</v>
      </c>
      <c r="AH775" s="60"/>
      <c r="AI775" s="60"/>
      <c r="AJ775" s="76" t="s">
        <v>1479</v>
      </c>
      <c r="AK775" s="64" t="s">
        <v>1480</v>
      </c>
      <c r="AL775" s="70">
        <v>2002.0</v>
      </c>
      <c r="AM775" s="7"/>
      <c r="AN775" s="77">
        <v>250.0</v>
      </c>
      <c r="AO775" s="64"/>
      <c r="AP775" s="64" t="s">
        <v>1594</v>
      </c>
      <c r="AQ775" s="13"/>
      <c r="AR775" s="66">
        <v>5800.0</v>
      </c>
      <c r="AS775" s="97"/>
      <c r="AT775" s="67">
        <v>2.5</v>
      </c>
      <c r="AU775" s="70"/>
      <c r="AV775" s="64">
        <v>16.0</v>
      </c>
      <c r="AW775" s="13"/>
      <c r="AX775" s="73"/>
      <c r="AY775" s="73"/>
      <c r="AZ775" s="11" t="s">
        <v>162</v>
      </c>
      <c r="BA775" s="68" t="s">
        <v>1481</v>
      </c>
      <c r="BB775" s="68"/>
      <c r="BC775" s="68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68">
        <v>-3.08</v>
      </c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2"/>
      <c r="DK775" s="12"/>
      <c r="DL775" s="12"/>
      <c r="DM775" s="69"/>
      <c r="DN775" s="69"/>
      <c r="DO775" s="69"/>
      <c r="DP775" s="69"/>
      <c r="DQ775" s="11"/>
      <c r="DR775" s="69"/>
      <c r="DS775" s="69"/>
      <c r="DT775" s="69"/>
      <c r="DU775" s="69"/>
      <c r="DV775" s="70">
        <v>-0.46</v>
      </c>
      <c r="DW775" s="98"/>
      <c r="DX775" s="71">
        <v>2.19E-8</v>
      </c>
      <c r="DY775" s="114"/>
      <c r="DZ775" s="64" t="s">
        <v>1479</v>
      </c>
      <c r="EA775" s="64"/>
      <c r="EB775" s="82"/>
    </row>
    <row r="776">
      <c r="A776" s="167" t="s">
        <v>1595</v>
      </c>
      <c r="B776" s="189" t="s">
        <v>1596</v>
      </c>
      <c r="C776" s="3"/>
      <c r="D776" s="4"/>
      <c r="E776" s="4"/>
      <c r="F776" s="57" t="s">
        <v>168</v>
      </c>
      <c r="G776" s="61">
        <v>291.494789166666</v>
      </c>
      <c r="H776" s="61">
        <v>21.2087036111111</v>
      </c>
      <c r="I776" s="60" t="s">
        <v>1597</v>
      </c>
      <c r="J776" s="60" t="s">
        <v>169</v>
      </c>
      <c r="K776" s="61">
        <v>3.3</v>
      </c>
      <c r="L776" s="60">
        <v>0.06</v>
      </c>
      <c r="M776" s="60">
        <v>2.0</v>
      </c>
      <c r="N776" s="61">
        <v>504.032258064516</v>
      </c>
      <c r="O776" s="61">
        <v>0.843</v>
      </c>
      <c r="P776" s="61">
        <v>0.047</v>
      </c>
      <c r="Q776" s="61">
        <v>-6.47</v>
      </c>
      <c r="R776" s="61">
        <v>0.055</v>
      </c>
      <c r="S776" s="60"/>
      <c r="T776" s="60"/>
      <c r="U776" s="61">
        <v>1.0</v>
      </c>
      <c r="V776" s="5"/>
      <c r="W776" s="5"/>
      <c r="X776" s="5"/>
      <c r="Y776" s="188" t="s">
        <v>1479</v>
      </c>
      <c r="Z776" s="60">
        <v>10.38</v>
      </c>
      <c r="AA776" s="60"/>
      <c r="AB776" s="60">
        <v>9.092</v>
      </c>
      <c r="AC776" s="60">
        <v>0.03</v>
      </c>
      <c r="AD776" s="60">
        <v>8.18</v>
      </c>
      <c r="AE776" s="60">
        <v>0.04</v>
      </c>
      <c r="AF776" s="60">
        <v>7.278</v>
      </c>
      <c r="AG776" s="60">
        <v>0.017</v>
      </c>
      <c r="AH776" s="60"/>
      <c r="AI776" s="60"/>
      <c r="AJ776" s="76" t="s">
        <v>1479</v>
      </c>
      <c r="AK776" s="64" t="s">
        <v>1484</v>
      </c>
      <c r="AL776" s="70">
        <v>2002.0</v>
      </c>
      <c r="AM776" s="7"/>
      <c r="AN776" s="77">
        <v>696.0</v>
      </c>
      <c r="AO776" s="64"/>
      <c r="AP776" s="64" t="s">
        <v>1559</v>
      </c>
      <c r="AQ776" s="13"/>
      <c r="AR776" s="66">
        <v>8970.0</v>
      </c>
      <c r="AS776" s="97"/>
      <c r="AT776" s="67">
        <v>2.5</v>
      </c>
      <c r="AU776" s="70"/>
      <c r="AV776" s="64">
        <v>50.0</v>
      </c>
      <c r="AW776" s="13"/>
      <c r="AX776" s="70">
        <v>2.9</v>
      </c>
      <c r="AY776" s="73"/>
      <c r="AZ776" s="11" t="s">
        <v>162</v>
      </c>
      <c r="BA776" s="68" t="s">
        <v>1481</v>
      </c>
      <c r="BB776" s="68"/>
      <c r="BC776" s="68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68">
        <v>-5.4</v>
      </c>
      <c r="CM776" s="11"/>
      <c r="CN776" s="11"/>
      <c r="CO776" s="11"/>
      <c r="CP776" s="68">
        <v>-3.32</v>
      </c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2"/>
      <c r="DK776" s="12"/>
      <c r="DL776" s="12"/>
      <c r="DM776" s="69"/>
      <c r="DN776" s="69"/>
      <c r="DO776" s="69"/>
      <c r="DP776" s="69"/>
      <c r="DQ776" s="11"/>
      <c r="DR776" s="69"/>
      <c r="DS776" s="69"/>
      <c r="DT776" s="69"/>
      <c r="DU776" s="69"/>
      <c r="DV776" s="70">
        <v>0.47</v>
      </c>
      <c r="DW776" s="98"/>
      <c r="DX776" s="71">
        <v>1.38E-7</v>
      </c>
      <c r="DY776" s="114"/>
      <c r="DZ776" s="64" t="s">
        <v>1479</v>
      </c>
      <c r="EA776" s="64"/>
      <c r="EB776" s="82"/>
    </row>
    <row r="777">
      <c r="A777" s="167" t="s">
        <v>1598</v>
      </c>
      <c r="B777" s="189" t="s">
        <v>1598</v>
      </c>
      <c r="C777" s="3"/>
      <c r="D777" s="4"/>
      <c r="E777" s="4"/>
      <c r="F777" s="57" t="s">
        <v>168</v>
      </c>
      <c r="G777" s="61">
        <v>82.9885466666666</v>
      </c>
      <c r="H777" s="61">
        <v>11.2948261111111</v>
      </c>
      <c r="I777" s="60" t="s">
        <v>1512</v>
      </c>
      <c r="J777" s="60" t="s">
        <v>169</v>
      </c>
      <c r="K777" s="61">
        <v>4.89</v>
      </c>
      <c r="L777" s="60">
        <v>0.52</v>
      </c>
      <c r="M777" s="60">
        <v>2.0</v>
      </c>
      <c r="N777" s="61">
        <v>421.265481506445</v>
      </c>
      <c r="O777" s="61">
        <v>0.728</v>
      </c>
      <c r="P777" s="61">
        <v>0.089</v>
      </c>
      <c r="Q777" s="61">
        <v>-1.662</v>
      </c>
      <c r="R777" s="61">
        <v>0.071</v>
      </c>
      <c r="S777" s="60">
        <v>44.2801</v>
      </c>
      <c r="T777" s="60"/>
      <c r="U777" s="61">
        <v>1.69</v>
      </c>
      <c r="V777" s="5"/>
      <c r="W777" s="5"/>
      <c r="X777" s="5"/>
      <c r="Y777" s="188" t="s">
        <v>1479</v>
      </c>
      <c r="Z777" s="60"/>
      <c r="AA777" s="60"/>
      <c r="AB777" s="60">
        <v>8.613</v>
      </c>
      <c r="AC777" s="60">
        <v>0.029</v>
      </c>
      <c r="AD777" s="60">
        <v>7.956</v>
      </c>
      <c r="AE777" s="60">
        <v>0.033</v>
      </c>
      <c r="AF777" s="60">
        <v>7.123</v>
      </c>
      <c r="AG777" s="60">
        <v>0.023</v>
      </c>
      <c r="AH777" s="60"/>
      <c r="AI777" s="60"/>
      <c r="AJ777" s="76" t="s">
        <v>1479</v>
      </c>
      <c r="AK777" s="64" t="s">
        <v>1484</v>
      </c>
      <c r="AL777" s="70">
        <v>2009.0</v>
      </c>
      <c r="AM777" s="7"/>
      <c r="AN777" s="77">
        <v>336.0</v>
      </c>
      <c r="AO777" s="64"/>
      <c r="AP777" s="64" t="s">
        <v>1473</v>
      </c>
      <c r="AQ777" s="13"/>
      <c r="AR777" s="66">
        <v>9549.0</v>
      </c>
      <c r="AS777" s="97"/>
      <c r="AT777" s="67">
        <v>3.05</v>
      </c>
      <c r="AU777" s="70"/>
      <c r="AV777" s="64">
        <v>97.7</v>
      </c>
      <c r="AW777" s="13"/>
      <c r="AX777" s="73"/>
      <c r="AY777" s="73"/>
      <c r="AZ777" s="11" t="s">
        <v>162</v>
      </c>
      <c r="BA777" s="68" t="s">
        <v>1481</v>
      </c>
      <c r="BB777" s="68"/>
      <c r="BC777" s="68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68">
        <v>-2.9</v>
      </c>
      <c r="CM777" s="11"/>
      <c r="CN777" s="11"/>
      <c r="CO777" s="11"/>
      <c r="CP777" s="68">
        <v>-5.28</v>
      </c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2"/>
      <c r="DK777" s="12"/>
      <c r="DL777" s="12"/>
      <c r="DM777" s="69"/>
      <c r="DN777" s="69"/>
      <c r="DO777" s="69"/>
      <c r="DP777" s="69"/>
      <c r="DQ777" s="11"/>
      <c r="DR777" s="69"/>
      <c r="DS777" s="69"/>
      <c r="DT777" s="69"/>
      <c r="DU777" s="69"/>
      <c r="DV777" s="70">
        <v>0.14</v>
      </c>
      <c r="DW777" s="98"/>
      <c r="DX777" s="71">
        <v>6.46E-8</v>
      </c>
      <c r="DY777" s="114"/>
      <c r="DZ777" s="64" t="s">
        <v>1479</v>
      </c>
      <c r="EA777" s="64"/>
      <c r="EB777" s="82"/>
    </row>
    <row r="778">
      <c r="A778" s="167" t="s">
        <v>1599</v>
      </c>
      <c r="B778" s="189" t="s">
        <v>1600</v>
      </c>
      <c r="C778" s="3"/>
      <c r="D778" s="4"/>
      <c r="E778" s="4"/>
      <c r="F778" s="57" t="s">
        <v>168</v>
      </c>
      <c r="G778" s="61">
        <v>277.199424583333</v>
      </c>
      <c r="H778" s="61">
        <v>0.144423333333333</v>
      </c>
      <c r="I778" s="60" t="s">
        <v>1512</v>
      </c>
      <c r="J778" s="60" t="s">
        <v>169</v>
      </c>
      <c r="K778" s="61">
        <v>0.9</v>
      </c>
      <c r="L778" s="60">
        <v>0.37</v>
      </c>
      <c r="M778" s="60">
        <v>2.0</v>
      </c>
      <c r="N778" s="61">
        <v>420.02688172043</v>
      </c>
      <c r="O778" s="61">
        <v>3.474</v>
      </c>
      <c r="P778" s="61">
        <v>0.072</v>
      </c>
      <c r="Q778" s="61">
        <v>-8.608</v>
      </c>
      <c r="R778" s="61">
        <v>0.07</v>
      </c>
      <c r="S778" s="60"/>
      <c r="T778" s="60"/>
      <c r="U778" s="61">
        <v>3.1</v>
      </c>
      <c r="V778" s="5"/>
      <c r="W778" s="5"/>
      <c r="X778" s="5"/>
      <c r="Y778" s="188" t="s">
        <v>1479</v>
      </c>
      <c r="Z778" s="60">
        <v>11.01</v>
      </c>
      <c r="AA778" s="60"/>
      <c r="AB778" s="60">
        <v>8.673</v>
      </c>
      <c r="AC778" s="60">
        <v>0.02</v>
      </c>
      <c r="AD778" s="60">
        <v>7.435</v>
      </c>
      <c r="AE778" s="60">
        <v>0.057</v>
      </c>
      <c r="AF778" s="60">
        <v>6.321</v>
      </c>
      <c r="AG778" s="60">
        <v>0.02</v>
      </c>
      <c r="AH778" s="60"/>
      <c r="AI778" s="60"/>
      <c r="AJ778" s="76" t="s">
        <v>1479</v>
      </c>
      <c r="AK778" s="64" t="s">
        <v>1484</v>
      </c>
      <c r="AL778" s="70">
        <v>2001.0</v>
      </c>
      <c r="AM778" s="7"/>
      <c r="AN778" s="77">
        <v>260.0</v>
      </c>
      <c r="AO778" s="64"/>
      <c r="AP778" s="64" t="s">
        <v>1601</v>
      </c>
      <c r="AQ778" s="13"/>
      <c r="AR778" s="66">
        <v>10600.0</v>
      </c>
      <c r="AS778" s="97"/>
      <c r="AT778" s="67">
        <v>3.1</v>
      </c>
      <c r="AU778" s="70"/>
      <c r="AV778" s="64">
        <v>85.0</v>
      </c>
      <c r="AW778" s="13"/>
      <c r="AX778" s="73"/>
      <c r="AY778" s="73"/>
      <c r="AZ778" s="11" t="s">
        <v>162</v>
      </c>
      <c r="BA778" s="68" t="s">
        <v>1481</v>
      </c>
      <c r="BB778" s="68"/>
      <c r="BC778" s="68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68">
        <v>-13.0</v>
      </c>
      <c r="CM778" s="11"/>
      <c r="CN778" s="11"/>
      <c r="CO778" s="11"/>
      <c r="CP778" s="68">
        <v>-5.89</v>
      </c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2"/>
      <c r="DK778" s="12"/>
      <c r="DL778" s="12"/>
      <c r="DM778" s="69"/>
      <c r="DN778" s="69"/>
      <c r="DO778" s="69"/>
      <c r="DP778" s="69"/>
      <c r="DQ778" s="11"/>
      <c r="DR778" s="69"/>
      <c r="DS778" s="69"/>
      <c r="DT778" s="69"/>
      <c r="DU778" s="69"/>
      <c r="DV778" s="70">
        <v>0.33</v>
      </c>
      <c r="DW778" s="98"/>
      <c r="DX778" s="71">
        <v>7.41E-8</v>
      </c>
      <c r="DY778" s="114"/>
      <c r="DZ778" s="64" t="s">
        <v>1479</v>
      </c>
      <c r="EA778" s="64"/>
      <c r="EB778" s="82"/>
    </row>
    <row r="779">
      <c r="A779" s="167" t="s">
        <v>1602</v>
      </c>
      <c r="B779" s="189" t="s">
        <v>1603</v>
      </c>
      <c r="C779" s="3"/>
      <c r="D779" s="4"/>
      <c r="E779" s="4"/>
      <c r="F779" s="57" t="s">
        <v>168</v>
      </c>
      <c r="G779" s="61">
        <v>85.7995545833333</v>
      </c>
      <c r="H779" s="61">
        <v>-4.99718916666666</v>
      </c>
      <c r="I779" s="60" t="s">
        <v>1604</v>
      </c>
      <c r="J779" s="60" t="s">
        <v>169</v>
      </c>
      <c r="K779" s="61">
        <v>2.62</v>
      </c>
      <c r="L779" s="60">
        <v>0.1</v>
      </c>
      <c r="M779" s="60">
        <v>2.0</v>
      </c>
      <c r="N779" s="61">
        <v>405.926527298559</v>
      </c>
      <c r="O779" s="61">
        <v>0.391</v>
      </c>
      <c r="P779" s="61">
        <v>0.102</v>
      </c>
      <c r="Q779" s="61">
        <v>-2.048</v>
      </c>
      <c r="R779" s="61">
        <v>0.104</v>
      </c>
      <c r="S779" s="60"/>
      <c r="T779" s="60"/>
      <c r="U779" s="61">
        <v>0.67</v>
      </c>
      <c r="V779" s="5"/>
      <c r="W779" s="5"/>
      <c r="X779" s="5"/>
      <c r="Y779" s="188" t="s">
        <v>1479</v>
      </c>
      <c r="Z779" s="60"/>
      <c r="AA779" s="60"/>
      <c r="AB779" s="60">
        <v>8.432</v>
      </c>
      <c r="AC779" s="60">
        <v>0.027</v>
      </c>
      <c r="AD779" s="60">
        <v>7.847</v>
      </c>
      <c r="AE779" s="60">
        <v>0.086</v>
      </c>
      <c r="AF779" s="60">
        <v>7.156</v>
      </c>
      <c r="AG779" s="60">
        <v>0.018</v>
      </c>
      <c r="AH779" s="60"/>
      <c r="AI779" s="60"/>
      <c r="AJ779" s="76" t="s">
        <v>1479</v>
      </c>
      <c r="AK779" s="64" t="s">
        <v>1484</v>
      </c>
      <c r="AL779" s="70">
        <v>2009.0</v>
      </c>
      <c r="AM779" s="7"/>
      <c r="AN779" s="77">
        <v>460.0</v>
      </c>
      <c r="AO779" s="64"/>
      <c r="AP779" s="64" t="s">
        <v>1601</v>
      </c>
      <c r="AQ779" s="13"/>
      <c r="AR779" s="66">
        <v>10471.0</v>
      </c>
      <c r="AS779" s="97"/>
      <c r="AT779" s="67">
        <v>3.12</v>
      </c>
      <c r="AU779" s="70"/>
      <c r="AV779" s="64">
        <v>123.0</v>
      </c>
      <c r="AW779" s="13"/>
      <c r="AX779" s="73"/>
      <c r="AY779" s="73"/>
      <c r="AZ779" s="11" t="s">
        <v>162</v>
      </c>
      <c r="BA779" s="68" t="s">
        <v>1481</v>
      </c>
      <c r="BB779" s="68"/>
      <c r="BC779" s="68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68">
        <v>-9.6</v>
      </c>
      <c r="CM779" s="11"/>
      <c r="CN779" s="11"/>
      <c r="CO779" s="11"/>
      <c r="CP779" s="68">
        <v>-9.18</v>
      </c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2"/>
      <c r="DK779" s="12"/>
      <c r="DL779" s="12"/>
      <c r="DM779" s="69"/>
      <c r="DN779" s="69"/>
      <c r="DO779" s="69"/>
      <c r="DP779" s="69"/>
      <c r="DQ779" s="11"/>
      <c r="DR779" s="69"/>
      <c r="DS779" s="69"/>
      <c r="DT779" s="69"/>
      <c r="DU779" s="69"/>
      <c r="DV779" s="70">
        <v>0.33</v>
      </c>
      <c r="DW779" s="98"/>
      <c r="DX779" s="71">
        <v>9.12E-8</v>
      </c>
      <c r="DY779" s="114"/>
      <c r="DZ779" s="64" t="s">
        <v>1479</v>
      </c>
      <c r="EA779" s="64"/>
      <c r="EB779" s="82"/>
    </row>
    <row r="780">
      <c r="A780" s="167" t="s">
        <v>1605</v>
      </c>
      <c r="B780" s="189" t="s">
        <v>1605</v>
      </c>
      <c r="C780" s="3"/>
      <c r="D780" s="4"/>
      <c r="E780" s="4"/>
      <c r="F780" s="57" t="s">
        <v>168</v>
      </c>
      <c r="G780" s="61">
        <v>239.174536666666</v>
      </c>
      <c r="H780" s="61">
        <v>-42.3231236111111</v>
      </c>
      <c r="I780" s="60" t="s">
        <v>1553</v>
      </c>
      <c r="J780" s="60" t="s">
        <v>169</v>
      </c>
      <c r="K780" s="61">
        <v>6.0</v>
      </c>
      <c r="L780" s="60">
        <v>3.0</v>
      </c>
      <c r="M780" s="60">
        <v>2.0</v>
      </c>
      <c r="N780" s="61">
        <v>157.329179842985</v>
      </c>
      <c r="O780" s="61">
        <v>-11.305</v>
      </c>
      <c r="P780" s="61">
        <v>0.093</v>
      </c>
      <c r="Q780" s="61">
        <v>-26.336</v>
      </c>
      <c r="R780" s="61">
        <v>0.065</v>
      </c>
      <c r="S780" s="60">
        <v>-0.23</v>
      </c>
      <c r="T780" s="60">
        <v>1.18</v>
      </c>
      <c r="U780" s="61">
        <v>0.7</v>
      </c>
      <c r="V780" s="5"/>
      <c r="W780" s="5"/>
      <c r="X780" s="5"/>
      <c r="Y780" s="188" t="s">
        <v>1479</v>
      </c>
      <c r="Z780" s="60"/>
      <c r="AA780" s="60"/>
      <c r="AB780" s="60">
        <v>6.503</v>
      </c>
      <c r="AC780" s="60">
        <v>0.029</v>
      </c>
      <c r="AD780" s="60">
        <v>5.715</v>
      </c>
      <c r="AE780" s="60">
        <v>0.031</v>
      </c>
      <c r="AF780" s="60">
        <v>4.98</v>
      </c>
      <c r="AG780" s="60">
        <v>0.02</v>
      </c>
      <c r="AH780" s="60"/>
      <c r="AI780" s="60"/>
      <c r="AJ780" s="76" t="s">
        <v>1479</v>
      </c>
      <c r="AK780" s="64" t="s">
        <v>1489</v>
      </c>
      <c r="AL780" s="70">
        <v>2008.0</v>
      </c>
      <c r="AM780" s="7"/>
      <c r="AN780" s="77">
        <v>200.0</v>
      </c>
      <c r="AO780" s="64"/>
      <c r="AP780" s="64" t="s">
        <v>1606</v>
      </c>
      <c r="AQ780" s="13"/>
      <c r="AR780" s="66">
        <v>6270.0</v>
      </c>
      <c r="AS780" s="97"/>
      <c r="AT780" s="67">
        <v>3.5</v>
      </c>
      <c r="AU780" s="70"/>
      <c r="AV780" s="64">
        <v>69.0</v>
      </c>
      <c r="AW780" s="13"/>
      <c r="AX780" s="73"/>
      <c r="AY780" s="73"/>
      <c r="AZ780" s="11" t="s">
        <v>162</v>
      </c>
      <c r="BA780" s="68" t="s">
        <v>1481</v>
      </c>
      <c r="BB780" s="68"/>
      <c r="BC780" s="68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68">
        <v>-1.2</v>
      </c>
      <c r="CM780" s="11"/>
      <c r="CN780" s="11"/>
      <c r="CO780" s="11"/>
      <c r="CP780" s="68">
        <v>-2.36</v>
      </c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2"/>
      <c r="DK780" s="12"/>
      <c r="DL780" s="12"/>
      <c r="DM780" s="69"/>
      <c r="DN780" s="69"/>
      <c r="DO780" s="69"/>
      <c r="DP780" s="69"/>
      <c r="DQ780" s="11"/>
      <c r="DR780" s="69"/>
      <c r="DS780" s="69"/>
      <c r="DT780" s="69"/>
      <c r="DU780" s="69"/>
      <c r="DV780" s="70">
        <v>0.07</v>
      </c>
      <c r="DW780" s="98"/>
      <c r="DX780" s="71">
        <v>9.55E-8</v>
      </c>
      <c r="DY780" s="114"/>
      <c r="DZ780" s="64" t="s">
        <v>1479</v>
      </c>
      <c r="EA780" s="64"/>
      <c r="EB780" s="82"/>
    </row>
    <row r="781">
      <c r="A781" s="167" t="s">
        <v>1607</v>
      </c>
      <c r="B781" s="189" t="s">
        <v>1608</v>
      </c>
      <c r="C781" s="3"/>
      <c r="D781" s="4"/>
      <c r="E781" s="4"/>
      <c r="F781" s="57" t="s">
        <v>168</v>
      </c>
      <c r="G781" s="61">
        <v>311.9061075</v>
      </c>
      <c r="H781" s="61">
        <v>43.7902702777777</v>
      </c>
      <c r="I781" s="60" t="s">
        <v>1512</v>
      </c>
      <c r="J781" s="60" t="s">
        <v>169</v>
      </c>
      <c r="K781" s="61"/>
      <c r="L781" s="60"/>
      <c r="M781" s="60">
        <v>2.0</v>
      </c>
      <c r="N781" s="61">
        <v>863.483291598307</v>
      </c>
      <c r="O781" s="61">
        <v>-1.673</v>
      </c>
      <c r="P781" s="61">
        <v>0.043</v>
      </c>
      <c r="Q781" s="61">
        <v>-1.728</v>
      </c>
      <c r="R781" s="61">
        <v>0.05</v>
      </c>
      <c r="S781" s="60"/>
      <c r="T781" s="60"/>
      <c r="U781" s="61">
        <v>1.74</v>
      </c>
      <c r="V781" s="5"/>
      <c r="W781" s="5"/>
      <c r="X781" s="5"/>
      <c r="Y781" s="83" t="s">
        <v>1479</v>
      </c>
      <c r="Z781" s="60">
        <v>10.18</v>
      </c>
      <c r="AA781" s="60"/>
      <c r="AB781" s="60">
        <v>8.653</v>
      </c>
      <c r="AC781" s="60">
        <v>0.029</v>
      </c>
      <c r="AD781" s="60">
        <v>7.701</v>
      </c>
      <c r="AE781" s="60">
        <v>0.038</v>
      </c>
      <c r="AF781" s="60">
        <v>6.623</v>
      </c>
      <c r="AG781" s="60">
        <v>0.017</v>
      </c>
      <c r="AH781" s="60"/>
      <c r="AI781" s="60"/>
      <c r="AJ781" s="76" t="s">
        <v>1479</v>
      </c>
      <c r="AK781" s="64" t="s">
        <v>1484</v>
      </c>
      <c r="AL781" s="70">
        <v>2005.0</v>
      </c>
      <c r="AM781" s="7"/>
      <c r="AN781" s="77">
        <v>826.0</v>
      </c>
      <c r="AO781" s="64"/>
      <c r="AP781" s="64" t="s">
        <v>1609</v>
      </c>
      <c r="AQ781" s="13"/>
      <c r="AR781" s="66">
        <v>11000.0</v>
      </c>
      <c r="AS781" s="97"/>
      <c r="AT781" s="67">
        <v>3.5</v>
      </c>
      <c r="AU781" s="70"/>
      <c r="AV781" s="64">
        <v>207.0</v>
      </c>
      <c r="AW781" s="13"/>
      <c r="AX781" s="70">
        <v>4.0</v>
      </c>
      <c r="AY781" s="73"/>
      <c r="AZ781" s="11" t="s">
        <v>162</v>
      </c>
      <c r="BA781" s="68" t="s">
        <v>1481</v>
      </c>
      <c r="BB781" s="68"/>
      <c r="BC781" s="68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68">
        <v>-3.0</v>
      </c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2"/>
      <c r="DK781" s="12"/>
      <c r="DL781" s="12"/>
      <c r="DM781" s="69"/>
      <c r="DN781" s="69"/>
      <c r="DO781" s="69"/>
      <c r="DP781" s="69"/>
      <c r="DQ781" s="11"/>
      <c r="DR781" s="69"/>
      <c r="DS781" s="69"/>
      <c r="DT781" s="69"/>
      <c r="DU781" s="69"/>
      <c r="DV781" s="70">
        <v>0.48</v>
      </c>
      <c r="DW781" s="98"/>
      <c r="DX781" s="71">
        <v>1.38E-7</v>
      </c>
      <c r="DY781" s="114"/>
      <c r="DZ781" s="64" t="s">
        <v>1479</v>
      </c>
      <c r="EA781" s="64"/>
      <c r="EB781" s="82"/>
    </row>
    <row r="782">
      <c r="A782" s="167" t="s">
        <v>1610</v>
      </c>
      <c r="B782" s="189" t="s">
        <v>1611</v>
      </c>
      <c r="C782" s="3"/>
      <c r="D782" s="4"/>
      <c r="E782" s="4"/>
      <c r="F782" s="57" t="s">
        <v>168</v>
      </c>
      <c r="G782" s="61">
        <v>85.2595541666666</v>
      </c>
      <c r="H782" s="61">
        <v>-2.71686916666666</v>
      </c>
      <c r="I782" s="83" t="s">
        <v>1512</v>
      </c>
      <c r="J782" s="60" t="s">
        <v>169</v>
      </c>
      <c r="K782" s="61">
        <v>1.65</v>
      </c>
      <c r="L782" s="60">
        <v>0.02</v>
      </c>
      <c r="M782" s="60">
        <v>2.0</v>
      </c>
      <c r="N782" s="61">
        <v>428.210508285873</v>
      </c>
      <c r="O782" s="61">
        <v>4.372</v>
      </c>
      <c r="P782" s="61">
        <v>0.09</v>
      </c>
      <c r="Q782" s="61">
        <v>-1.322</v>
      </c>
      <c r="R782" s="61">
        <v>0.092</v>
      </c>
      <c r="S782" s="60"/>
      <c r="T782" s="60"/>
      <c r="U782" s="61">
        <v>0.0</v>
      </c>
      <c r="V782" s="5"/>
      <c r="W782" s="5"/>
      <c r="X782" s="5"/>
      <c r="Y782" s="188" t="s">
        <v>1479</v>
      </c>
      <c r="Z782" s="60"/>
      <c r="AA782" s="60"/>
      <c r="AB782" s="60">
        <v>7.115</v>
      </c>
      <c r="AC782" s="60">
        <v>0.02</v>
      </c>
      <c r="AD782" s="60">
        <v>6.25</v>
      </c>
      <c r="AE782" s="60">
        <v>0.03</v>
      </c>
      <c r="AF782" s="60">
        <v>5.4</v>
      </c>
      <c r="AG782" s="60">
        <v>0.029</v>
      </c>
      <c r="AH782" s="60"/>
      <c r="AI782" s="60"/>
      <c r="AJ782" s="76" t="s">
        <v>1479</v>
      </c>
      <c r="AK782" s="64" t="s">
        <v>1484</v>
      </c>
      <c r="AL782" s="70">
        <v>2009.0</v>
      </c>
      <c r="AM782" s="7"/>
      <c r="AN782" s="77">
        <v>470.0</v>
      </c>
      <c r="AO782" s="64"/>
      <c r="AP782" s="64" t="s">
        <v>1601</v>
      </c>
      <c r="AQ782" s="13"/>
      <c r="AR782" s="66">
        <v>8912.0</v>
      </c>
      <c r="AS782" s="97"/>
      <c r="AT782" s="67">
        <v>3.58</v>
      </c>
      <c r="AU782" s="70"/>
      <c r="AV782" s="64">
        <v>138.0</v>
      </c>
      <c r="AW782" s="13"/>
      <c r="AX782" s="73"/>
      <c r="AY782" s="73"/>
      <c r="AZ782" s="11" t="s">
        <v>162</v>
      </c>
      <c r="BA782" s="68" t="s">
        <v>1481</v>
      </c>
      <c r="BB782" s="68"/>
      <c r="BC782" s="68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68">
        <v>-3.9</v>
      </c>
      <c r="CM782" s="11"/>
      <c r="CN782" s="11"/>
      <c r="CO782" s="11"/>
      <c r="CP782" s="68">
        <v>-5.19</v>
      </c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2"/>
      <c r="DK782" s="12"/>
      <c r="DL782" s="12"/>
      <c r="DM782" s="69"/>
      <c r="DN782" s="69"/>
      <c r="DO782" s="69"/>
      <c r="DP782" s="69"/>
      <c r="DQ782" s="11"/>
      <c r="DR782" s="69"/>
      <c r="DS782" s="69"/>
      <c r="DT782" s="69"/>
      <c r="DU782" s="69"/>
      <c r="DV782" s="70">
        <v>0.95</v>
      </c>
      <c r="DW782" s="98"/>
      <c r="DX782" s="71">
        <v>4.9E-7</v>
      </c>
      <c r="DY782" s="114"/>
      <c r="DZ782" s="64" t="s">
        <v>1479</v>
      </c>
      <c r="EA782" s="64"/>
      <c r="EB782" s="82"/>
    </row>
    <row r="783">
      <c r="A783" s="167" t="s">
        <v>1612</v>
      </c>
      <c r="B783" s="189" t="s">
        <v>1612</v>
      </c>
      <c r="C783" s="3"/>
      <c r="D783" s="4"/>
      <c r="E783" s="4"/>
      <c r="F783" s="57" t="s">
        <v>168</v>
      </c>
      <c r="G783" s="61">
        <v>287.796891666666</v>
      </c>
      <c r="H783" s="61">
        <v>15.7876755555555</v>
      </c>
      <c r="I783" s="60" t="s">
        <v>1512</v>
      </c>
      <c r="J783" s="60" t="s">
        <v>257</v>
      </c>
      <c r="K783" s="61">
        <v>2.04</v>
      </c>
      <c r="L783" s="60">
        <v>0.47</v>
      </c>
      <c r="M783" s="60">
        <v>2.0</v>
      </c>
      <c r="N783" s="61">
        <v>265.992818193908</v>
      </c>
      <c r="O783" s="61">
        <v>5.184</v>
      </c>
      <c r="P783" s="61">
        <v>0.068</v>
      </c>
      <c r="Q783" s="61">
        <v>-20.823</v>
      </c>
      <c r="R783" s="61">
        <v>0.065</v>
      </c>
      <c r="S783" s="60">
        <v>-3.0</v>
      </c>
      <c r="T783" s="60">
        <v>4.4</v>
      </c>
      <c r="U783" s="61">
        <v>1.8</v>
      </c>
      <c r="V783" s="5"/>
      <c r="W783" s="5"/>
      <c r="X783" s="5"/>
      <c r="Y783" s="188" t="s">
        <v>1479</v>
      </c>
      <c r="Z783" s="60">
        <v>7.25</v>
      </c>
      <c r="AA783" s="60"/>
      <c r="AB783" s="60">
        <v>6.994</v>
      </c>
      <c r="AC783" s="60">
        <v>0.02</v>
      </c>
      <c r="AD783" s="60">
        <v>6.645</v>
      </c>
      <c r="AE783" s="60">
        <v>0.026</v>
      </c>
      <c r="AF783" s="60">
        <v>5.995</v>
      </c>
      <c r="AG783" s="60">
        <v>0.018</v>
      </c>
      <c r="AH783" s="60"/>
      <c r="AI783" s="60"/>
      <c r="AJ783" s="76" t="s">
        <v>1479</v>
      </c>
      <c r="AK783" s="64" t="s">
        <v>1484</v>
      </c>
      <c r="AL783" s="70">
        <v>2006.0</v>
      </c>
      <c r="AM783" s="7"/>
      <c r="AN783" s="77">
        <v>240.0</v>
      </c>
      <c r="AO783" s="64"/>
      <c r="AP783" s="64" t="s">
        <v>1601</v>
      </c>
      <c r="AQ783" s="13"/>
      <c r="AR783" s="66">
        <v>10600.0</v>
      </c>
      <c r="AS783" s="97"/>
      <c r="AT783" s="67">
        <v>4.0</v>
      </c>
      <c r="AU783" s="70"/>
      <c r="AV783" s="64">
        <v>500.0</v>
      </c>
      <c r="AW783" s="13"/>
      <c r="AX783" s="73"/>
      <c r="AY783" s="73"/>
      <c r="AZ783" s="11" t="s">
        <v>162</v>
      </c>
      <c r="BA783" s="68" t="s">
        <v>1481</v>
      </c>
      <c r="BB783" s="68"/>
      <c r="BC783" s="68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68">
        <v>-10.1</v>
      </c>
      <c r="CM783" s="11"/>
      <c r="CN783" s="11"/>
      <c r="CO783" s="11"/>
      <c r="CP783" s="68">
        <v>-7.02</v>
      </c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2"/>
      <c r="DK783" s="12"/>
      <c r="DL783" s="12"/>
      <c r="DM783" s="69"/>
      <c r="DN783" s="69"/>
      <c r="DO783" s="69"/>
      <c r="DP783" s="69"/>
      <c r="DQ783" s="11"/>
      <c r="DR783" s="69"/>
      <c r="DS783" s="69"/>
      <c r="DT783" s="69"/>
      <c r="DU783" s="69"/>
      <c r="DV783" s="70">
        <v>0.42</v>
      </c>
      <c r="DW783" s="98"/>
      <c r="DX783" s="71">
        <v>1.74E-7</v>
      </c>
      <c r="DY783" s="114"/>
      <c r="DZ783" s="64" t="s">
        <v>1479</v>
      </c>
      <c r="EA783" s="64"/>
      <c r="EB783" s="82"/>
    </row>
    <row r="784">
      <c r="A784" s="167" t="s">
        <v>1613</v>
      </c>
      <c r="B784" s="189" t="s">
        <v>1614</v>
      </c>
      <c r="C784" s="3"/>
      <c r="D784" s="4"/>
      <c r="E784" s="4"/>
      <c r="F784" s="57" t="s">
        <v>168</v>
      </c>
      <c r="G784" s="61">
        <v>125.717</v>
      </c>
      <c r="H784" s="61">
        <v>-42.1315833333333</v>
      </c>
      <c r="I784" s="60"/>
      <c r="J784" s="60" t="s">
        <v>257</v>
      </c>
      <c r="K784" s="61"/>
      <c r="L784" s="60"/>
      <c r="M784" s="60"/>
      <c r="N784" s="61"/>
      <c r="O784" s="61"/>
      <c r="P784" s="61"/>
      <c r="Q784" s="61"/>
      <c r="R784" s="61"/>
      <c r="S784" s="60"/>
      <c r="T784" s="60"/>
      <c r="U784" s="61">
        <v>20.0</v>
      </c>
      <c r="V784" s="5"/>
      <c r="W784" s="5"/>
      <c r="X784" s="5"/>
      <c r="Y784" s="188" t="s">
        <v>1479</v>
      </c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76" t="s">
        <v>1479</v>
      </c>
      <c r="AK784" s="64" t="s">
        <v>1489</v>
      </c>
      <c r="AL784" s="70">
        <v>2007.0</v>
      </c>
      <c r="AM784" s="7"/>
      <c r="AN784" s="77">
        <v>400.0</v>
      </c>
      <c r="AO784" s="64"/>
      <c r="AP784" s="13"/>
      <c r="AQ784" s="13"/>
      <c r="AR784" s="78"/>
      <c r="AS784" s="97"/>
      <c r="AT784" s="67">
        <v>5.0</v>
      </c>
      <c r="AU784" s="70"/>
      <c r="AV784" s="64">
        <v>642.0</v>
      </c>
      <c r="AW784" s="13"/>
      <c r="AX784" s="73"/>
      <c r="AY784" s="73"/>
      <c r="AZ784" s="11" t="s">
        <v>162</v>
      </c>
      <c r="BA784" s="68" t="s">
        <v>1481</v>
      </c>
      <c r="BB784" s="68"/>
      <c r="BC784" s="68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68">
        <v>-2.54</v>
      </c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2"/>
      <c r="DK784" s="12"/>
      <c r="DL784" s="12"/>
      <c r="DM784" s="69"/>
      <c r="DN784" s="69"/>
      <c r="DO784" s="69"/>
      <c r="DP784" s="69"/>
      <c r="DQ784" s="11"/>
      <c r="DR784" s="69"/>
      <c r="DS784" s="69"/>
      <c r="DT784" s="69"/>
      <c r="DU784" s="69"/>
      <c r="DV784" s="70">
        <v>0.71</v>
      </c>
      <c r="DW784" s="98"/>
      <c r="DX784" s="71">
        <v>7.24E-8</v>
      </c>
      <c r="DY784" s="114"/>
      <c r="DZ784" s="64" t="s">
        <v>1479</v>
      </c>
      <c r="EA784" s="64"/>
      <c r="EB784" s="82"/>
    </row>
    <row r="785">
      <c r="A785" s="167" t="s">
        <v>1615</v>
      </c>
      <c r="B785" s="189" t="s">
        <v>1615</v>
      </c>
      <c r="C785" s="3"/>
      <c r="D785" s="4"/>
      <c r="E785" s="4"/>
      <c r="F785" s="57" t="s">
        <v>168</v>
      </c>
      <c r="G785" s="61">
        <v>300.7604575</v>
      </c>
      <c r="H785" s="61">
        <v>5.73796055555555</v>
      </c>
      <c r="I785" s="83" t="s">
        <v>1512</v>
      </c>
      <c r="J785" s="60" t="s">
        <v>169</v>
      </c>
      <c r="K785" s="61">
        <v>0.28</v>
      </c>
      <c r="L785" s="60">
        <v>0.14</v>
      </c>
      <c r="M785" s="60">
        <v>2.0</v>
      </c>
      <c r="N785" s="61">
        <v>891.106754589199</v>
      </c>
      <c r="O785" s="61">
        <v>0.452</v>
      </c>
      <c r="P785" s="61">
        <v>0.103</v>
      </c>
      <c r="Q785" s="61">
        <v>-9.248</v>
      </c>
      <c r="R785" s="61">
        <v>0.056</v>
      </c>
      <c r="S785" s="60">
        <v>-0.6</v>
      </c>
      <c r="T785" s="60">
        <v>0.7</v>
      </c>
      <c r="U785" s="61">
        <v>0.5</v>
      </c>
      <c r="V785" s="5"/>
      <c r="W785" s="5"/>
      <c r="X785" s="5"/>
      <c r="Y785" s="83" t="s">
        <v>1479</v>
      </c>
      <c r="Z785" s="60"/>
      <c r="AA785" s="60"/>
      <c r="AB785" s="60">
        <v>7.194</v>
      </c>
      <c r="AC785" s="60">
        <v>0.019</v>
      </c>
      <c r="AD785" s="60">
        <v>6.647</v>
      </c>
      <c r="AE785" s="60">
        <v>0.017</v>
      </c>
      <c r="AF785" s="60">
        <v>5.855</v>
      </c>
      <c r="AG785" s="60">
        <v>0.027</v>
      </c>
      <c r="AH785" s="60"/>
      <c r="AI785" s="60"/>
      <c r="AJ785" s="76" t="s">
        <v>1479</v>
      </c>
      <c r="AK785" s="64" t="s">
        <v>1484</v>
      </c>
      <c r="AL785" s="70">
        <v>2002.0</v>
      </c>
      <c r="AM785" s="7"/>
      <c r="AN785" s="77">
        <v>767.0</v>
      </c>
      <c r="AO785" s="64"/>
      <c r="AP785" s="64" t="s">
        <v>1582</v>
      </c>
      <c r="AQ785" s="13"/>
      <c r="AR785" s="66">
        <v>9500.0</v>
      </c>
      <c r="AS785" s="97"/>
      <c r="AT785" s="67">
        <v>5.1</v>
      </c>
      <c r="AU785" s="70"/>
      <c r="AV785" s="64">
        <v>471.0</v>
      </c>
      <c r="AW785" s="13"/>
      <c r="AX785" s="70">
        <v>8.0</v>
      </c>
      <c r="AY785" s="73"/>
      <c r="AZ785" s="11" t="s">
        <v>162</v>
      </c>
      <c r="BA785" s="68" t="s">
        <v>1481</v>
      </c>
      <c r="BB785" s="68"/>
      <c r="BC785" s="68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68">
        <v>-5.52</v>
      </c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2"/>
      <c r="DK785" s="12"/>
      <c r="DL785" s="12"/>
      <c r="DM785" s="69"/>
      <c r="DN785" s="69"/>
      <c r="DO785" s="69"/>
      <c r="DP785" s="69"/>
      <c r="DQ785" s="11"/>
      <c r="DR785" s="69"/>
      <c r="DS785" s="69"/>
      <c r="DT785" s="69"/>
      <c r="DU785" s="69"/>
      <c r="DV785" s="70">
        <v>1.38</v>
      </c>
      <c r="DW785" s="98"/>
      <c r="DX785" s="71">
        <v>1.51E-6</v>
      </c>
      <c r="DY785" s="114"/>
      <c r="DZ785" s="64" t="s">
        <v>1479</v>
      </c>
      <c r="EA785" s="64"/>
      <c r="EB785" s="82"/>
    </row>
    <row r="786">
      <c r="A786" s="167" t="s">
        <v>1616</v>
      </c>
      <c r="B786" s="189" t="s">
        <v>1617</v>
      </c>
      <c r="C786" s="3"/>
      <c r="D786" s="4"/>
      <c r="E786" s="4"/>
      <c r="F786" s="57" t="s">
        <v>168</v>
      </c>
      <c r="G786" s="61">
        <v>84.8771308333333</v>
      </c>
      <c r="H786" s="61">
        <v>26.3741558333333</v>
      </c>
      <c r="I786" s="60" t="s">
        <v>199</v>
      </c>
      <c r="J786" s="60" t="s">
        <v>169</v>
      </c>
      <c r="K786" s="61">
        <v>1.7</v>
      </c>
      <c r="L786" s="60">
        <v>0.64</v>
      </c>
      <c r="M786" s="60">
        <v>2.0</v>
      </c>
      <c r="N786" s="61">
        <v>778.99820830412</v>
      </c>
      <c r="O786" s="61">
        <v>-0.179</v>
      </c>
      <c r="P786" s="61">
        <v>4.944</v>
      </c>
      <c r="Q786" s="61">
        <v>-5.582</v>
      </c>
      <c r="R786" s="61">
        <v>4.533</v>
      </c>
      <c r="S786" s="60"/>
      <c r="T786" s="60"/>
      <c r="U786" s="61">
        <v>1.1</v>
      </c>
      <c r="V786" s="5"/>
      <c r="W786" s="5"/>
      <c r="X786" s="5"/>
      <c r="Y786" s="83" t="s">
        <v>1479</v>
      </c>
      <c r="Z786" s="60">
        <v>10.58</v>
      </c>
      <c r="AA786" s="60"/>
      <c r="AB786" s="60">
        <v>9.685</v>
      </c>
      <c r="AC786" s="60">
        <v>0.02</v>
      </c>
      <c r="AD786" s="60">
        <v>8.416</v>
      </c>
      <c r="AE786" s="60">
        <v>0.016</v>
      </c>
      <c r="AF786" s="60">
        <v>7.389</v>
      </c>
      <c r="AG786" s="60">
        <v>0.023</v>
      </c>
      <c r="AH786" s="60"/>
      <c r="AI786" s="60"/>
      <c r="AJ786" s="76" t="s">
        <v>1479</v>
      </c>
      <c r="AK786" s="64" t="s">
        <v>1484</v>
      </c>
      <c r="AL786" s="70">
        <v>2005.0</v>
      </c>
      <c r="AM786" s="7"/>
      <c r="AN786" s="77">
        <v>2103.0</v>
      </c>
      <c r="AO786" s="64"/>
      <c r="AP786" s="64" t="s">
        <v>1473</v>
      </c>
      <c r="AQ786" s="13"/>
      <c r="AR786" s="66">
        <v>10000.0</v>
      </c>
      <c r="AS786" s="97"/>
      <c r="AT786" s="67">
        <v>5.8</v>
      </c>
      <c r="AU786" s="70"/>
      <c r="AV786" s="64">
        <v>781.0</v>
      </c>
      <c r="AW786" s="13"/>
      <c r="AX786" s="70">
        <v>9.3</v>
      </c>
      <c r="AY786" s="73"/>
      <c r="AZ786" s="11" t="s">
        <v>162</v>
      </c>
      <c r="BA786" s="68" t="s">
        <v>1481</v>
      </c>
      <c r="BB786" s="68"/>
      <c r="BC786" s="68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68">
        <v>-3.5</v>
      </c>
      <c r="CM786" s="11"/>
      <c r="CN786" s="11"/>
      <c r="CO786" s="11"/>
      <c r="CP786" s="68">
        <v>-5.18</v>
      </c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2"/>
      <c r="DK786" s="12"/>
      <c r="DL786" s="12"/>
      <c r="DM786" s="69"/>
      <c r="DN786" s="69"/>
      <c r="DO786" s="69"/>
      <c r="DP786" s="69"/>
      <c r="DQ786" s="11"/>
      <c r="DR786" s="69"/>
      <c r="DS786" s="69"/>
      <c r="DT786" s="69"/>
      <c r="DU786" s="69"/>
      <c r="DV786" s="70">
        <v>1.52</v>
      </c>
      <c r="DW786" s="98"/>
      <c r="DX786" s="71">
        <v>2.09E-6</v>
      </c>
      <c r="DY786" s="114"/>
      <c r="DZ786" s="64" t="s">
        <v>1479</v>
      </c>
      <c r="EA786" s="64"/>
      <c r="EB786" s="82"/>
    </row>
    <row r="787">
      <c r="A787" s="167" t="s">
        <v>1618</v>
      </c>
      <c r="B787" s="189" t="s">
        <v>1619</v>
      </c>
      <c r="C787" s="3"/>
      <c r="D787" s="4"/>
      <c r="E787" s="4"/>
      <c r="F787" s="57" t="s">
        <v>168</v>
      </c>
      <c r="G787" s="61">
        <v>111.483745</v>
      </c>
      <c r="H787" s="61">
        <v>-14.1787633333333</v>
      </c>
      <c r="I787" s="60" t="s">
        <v>1512</v>
      </c>
      <c r="J787" s="60" t="s">
        <v>169</v>
      </c>
      <c r="K787" s="61"/>
      <c r="L787" s="60"/>
      <c r="M787" s="60">
        <v>2.0</v>
      </c>
      <c r="N787" s="61">
        <v>318.522057652492</v>
      </c>
      <c r="O787" s="61">
        <v>-4.963</v>
      </c>
      <c r="P787" s="61">
        <v>0.062</v>
      </c>
      <c r="Q787" s="61">
        <v>-3.274</v>
      </c>
      <c r="R787" s="61">
        <v>0.054</v>
      </c>
      <c r="S787" s="60"/>
      <c r="T787" s="60"/>
      <c r="U787" s="61">
        <v>1.0</v>
      </c>
      <c r="V787" s="5"/>
      <c r="W787" s="5"/>
      <c r="X787" s="5"/>
      <c r="Y787" s="83" t="s">
        <v>1479</v>
      </c>
      <c r="Z787" s="60">
        <v>6.73</v>
      </c>
      <c r="AA787" s="60"/>
      <c r="AB787" s="60">
        <v>6.438</v>
      </c>
      <c r="AC787" s="60">
        <v>0.021</v>
      </c>
      <c r="AD787" s="60">
        <v>6.11</v>
      </c>
      <c r="AE787" s="60">
        <v>0.06</v>
      </c>
      <c r="AF787" s="60">
        <v>5.436</v>
      </c>
      <c r="AG787" s="60">
        <v>0.023</v>
      </c>
      <c r="AH787" s="60"/>
      <c r="AI787" s="60"/>
      <c r="AJ787" s="76" t="s">
        <v>1479</v>
      </c>
      <c r="AK787" s="64" t="s">
        <v>1484</v>
      </c>
      <c r="AL787" s="70">
        <v>2008.0</v>
      </c>
      <c r="AM787" s="7"/>
      <c r="AN787" s="77">
        <v>543.0</v>
      </c>
      <c r="AO787" s="64"/>
      <c r="AP787" s="64" t="s">
        <v>1601</v>
      </c>
      <c r="AQ787" s="13"/>
      <c r="AR787" s="66">
        <v>10500.0</v>
      </c>
      <c r="AS787" s="97"/>
      <c r="AT787" s="67">
        <v>6.0</v>
      </c>
      <c r="AU787" s="70"/>
      <c r="AV787" s="64">
        <v>911.0</v>
      </c>
      <c r="AW787" s="13"/>
      <c r="AX787" s="70">
        <v>9.1</v>
      </c>
      <c r="AY787" s="73"/>
      <c r="AZ787" s="11" t="s">
        <v>162</v>
      </c>
      <c r="BA787" s="68" t="s">
        <v>1481</v>
      </c>
      <c r="BB787" s="68"/>
      <c r="BC787" s="68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68">
        <v>-2.34</v>
      </c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2"/>
      <c r="DK787" s="12"/>
      <c r="DL787" s="12"/>
      <c r="DM787" s="69"/>
      <c r="DN787" s="69"/>
      <c r="DO787" s="69"/>
      <c r="DP787" s="69"/>
      <c r="DQ787" s="11"/>
      <c r="DR787" s="69"/>
      <c r="DS787" s="69"/>
      <c r="DT787" s="69"/>
      <c r="DU787" s="69"/>
      <c r="DV787" s="70">
        <v>0.86</v>
      </c>
      <c r="DW787" s="98"/>
      <c r="DX787" s="71">
        <v>4.37E-7</v>
      </c>
      <c r="DY787" s="114"/>
      <c r="DZ787" s="64" t="s">
        <v>1479</v>
      </c>
      <c r="EA787" s="64"/>
      <c r="EB787" s="82"/>
    </row>
    <row r="788">
      <c r="A788" s="74" t="s">
        <v>1620</v>
      </c>
      <c r="B788" s="55" t="s">
        <v>1621</v>
      </c>
      <c r="C788" s="3" t="s">
        <v>156</v>
      </c>
      <c r="D788" s="57">
        <v>2.67</v>
      </c>
      <c r="E788" s="4"/>
      <c r="F788" s="57" t="s">
        <v>187</v>
      </c>
      <c r="G788" s="60">
        <v>166.035166666666</v>
      </c>
      <c r="H788" s="60">
        <v>-76.455</v>
      </c>
      <c r="I788" s="6" t="s">
        <v>268</v>
      </c>
      <c r="J788" s="5"/>
      <c r="K788" s="60">
        <v>2.0</v>
      </c>
      <c r="L788" s="60">
        <v>2.0</v>
      </c>
      <c r="M788" s="5"/>
      <c r="N788" s="6"/>
      <c r="O788" s="5"/>
      <c r="P788" s="5"/>
      <c r="Q788" s="5"/>
      <c r="R788" s="5"/>
      <c r="S788" s="5"/>
      <c r="T788" s="5"/>
      <c r="U788" s="60">
        <v>3.4</v>
      </c>
      <c r="V788" s="60">
        <v>1.1</v>
      </c>
      <c r="W788" s="5"/>
      <c r="X788" s="5"/>
      <c r="Y788" s="83" t="s">
        <v>1622</v>
      </c>
      <c r="Z788" s="5"/>
      <c r="AA788" s="5"/>
      <c r="AB788" s="5"/>
      <c r="AC788" s="5"/>
      <c r="AD788" s="5"/>
      <c r="AE788" s="5"/>
      <c r="AF788" s="5"/>
      <c r="AG788" s="5"/>
      <c r="AH788" s="6"/>
      <c r="AI788" s="5"/>
      <c r="AJ788" s="76" t="s">
        <v>1622</v>
      </c>
      <c r="AK788" s="64" t="s">
        <v>811</v>
      </c>
      <c r="AL788" s="64">
        <v>2013.0</v>
      </c>
      <c r="AM788" s="7"/>
      <c r="AN788" s="77">
        <v>160.0</v>
      </c>
      <c r="AO788" s="13"/>
      <c r="AP788" s="64" t="s">
        <v>621</v>
      </c>
      <c r="AQ788" s="64">
        <v>1.0</v>
      </c>
      <c r="AR788" s="116">
        <v>2500.0</v>
      </c>
      <c r="AS788" s="64">
        <v>100.0</v>
      </c>
      <c r="AT788" s="79">
        <v>0.018</v>
      </c>
      <c r="AU788" s="64">
        <v>0.00477297</v>
      </c>
      <c r="AV788" s="7">
        <f>10^-2.71</f>
        <v>0.0019498446</v>
      </c>
      <c r="AW788" s="7">
        <f>(0.2*AV788)/0.434</f>
        <v>0.0008985458985</v>
      </c>
      <c r="AX788" s="64">
        <v>0.24663044</v>
      </c>
      <c r="AY788" s="7"/>
      <c r="AZ788" s="68" t="s">
        <v>1623</v>
      </c>
      <c r="BA788" s="68" t="s">
        <v>1624</v>
      </c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69"/>
      <c r="DN788" s="69"/>
      <c r="DO788" s="69"/>
      <c r="DP788" s="69"/>
      <c r="DQ788" s="11"/>
      <c r="DR788" s="69"/>
      <c r="DS788" s="69"/>
      <c r="DT788" s="69"/>
      <c r="DU788" s="69"/>
      <c r="DV788" s="7"/>
      <c r="DW788" s="10"/>
      <c r="DX788" s="81">
        <v>6.0E-10</v>
      </c>
      <c r="DY788" s="7"/>
      <c r="DZ788" s="64" t="s">
        <v>1625</v>
      </c>
      <c r="EA788" s="7"/>
      <c r="EB788" s="7"/>
    </row>
    <row r="789">
      <c r="A789" s="101" t="s">
        <v>313</v>
      </c>
      <c r="B789" s="55" t="s">
        <v>313</v>
      </c>
      <c r="C789" s="3" t="s">
        <v>156</v>
      </c>
      <c r="D789" s="57">
        <v>0.721</v>
      </c>
      <c r="E789" s="4"/>
      <c r="F789" s="57" t="s">
        <v>187</v>
      </c>
      <c r="G789" s="58">
        <v>237.300375</v>
      </c>
      <c r="H789" s="58">
        <v>-35.651083</v>
      </c>
      <c r="I789" s="6" t="s">
        <v>314</v>
      </c>
      <c r="J789" s="6" t="s">
        <v>189</v>
      </c>
      <c r="K789" s="58">
        <v>3.0</v>
      </c>
      <c r="L789" s="60">
        <v>2.0</v>
      </c>
      <c r="M789" s="5"/>
      <c r="N789" s="58">
        <v>155.0</v>
      </c>
      <c r="O789" s="5"/>
      <c r="P789" s="5"/>
      <c r="Q789" s="5"/>
      <c r="R789" s="5"/>
      <c r="S789" s="5"/>
      <c r="T789" s="5"/>
      <c r="U789" s="58">
        <v>1.6</v>
      </c>
      <c r="V789" s="5"/>
      <c r="W789" s="5"/>
      <c r="X789" s="5"/>
      <c r="Y789" s="83" t="s">
        <v>315</v>
      </c>
      <c r="Z789" s="5"/>
      <c r="AA789" s="5"/>
      <c r="AB789" s="5"/>
      <c r="AC789" s="5"/>
      <c r="AD789" s="5"/>
      <c r="AE789" s="5"/>
      <c r="AF789" s="5"/>
      <c r="AG789" s="5"/>
      <c r="AH789" s="6"/>
      <c r="AI789" s="5"/>
      <c r="AJ789" s="76" t="s">
        <v>1626</v>
      </c>
      <c r="AK789" s="64" t="s">
        <v>811</v>
      </c>
      <c r="AL789" s="64">
        <v>2015.0</v>
      </c>
      <c r="AM789" s="64">
        <v>4.0</v>
      </c>
      <c r="AN789" s="77">
        <v>150.0</v>
      </c>
      <c r="AO789" s="13"/>
      <c r="AP789" s="64" t="s">
        <v>316</v>
      </c>
      <c r="AQ789" s="64">
        <v>1.0</v>
      </c>
      <c r="AR789" s="78">
        <v>2400.0</v>
      </c>
      <c r="AS789" s="97">
        <v>100.0</v>
      </c>
      <c r="AT789" s="79">
        <v>0.02385</v>
      </c>
      <c r="AU789" s="73">
        <v>0.01431</v>
      </c>
      <c r="AV789" s="13">
        <f>10^-2.47</f>
        <v>0.003388441561</v>
      </c>
      <c r="AW789" s="13">
        <f>(0.28*AV789)/0.434</f>
        <v>0.00218609133</v>
      </c>
      <c r="AX789" s="73">
        <v>0.341666</v>
      </c>
      <c r="AY789" s="73">
        <v>0.110539</v>
      </c>
      <c r="AZ789" s="68" t="s">
        <v>1623</v>
      </c>
      <c r="BA789" s="68" t="s">
        <v>1624</v>
      </c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69"/>
      <c r="DN789" s="69"/>
      <c r="DO789" s="69"/>
      <c r="DP789" s="69"/>
      <c r="DQ789" s="11"/>
      <c r="DR789" s="69"/>
      <c r="DS789" s="69"/>
      <c r="DT789" s="69"/>
      <c r="DU789" s="69"/>
      <c r="DV789" s="64">
        <v>-5.2557</v>
      </c>
      <c r="DW789" s="98">
        <v>-5.3819</v>
      </c>
      <c r="DX789" s="71">
        <v>5.5E-12</v>
      </c>
      <c r="DY789" s="114">
        <v>4.5E-12</v>
      </c>
      <c r="DZ789" s="64" t="s">
        <v>1627</v>
      </c>
      <c r="EA789" s="7"/>
      <c r="EB789" s="64" t="s">
        <v>1628</v>
      </c>
    </row>
    <row r="790">
      <c r="A790" s="55" t="s">
        <v>1629</v>
      </c>
      <c r="B790" s="55" t="s">
        <v>1630</v>
      </c>
      <c r="C790" s="4"/>
      <c r="D790" s="4"/>
      <c r="E790" s="4" t="s">
        <v>137</v>
      </c>
      <c r="F790" s="57" t="s">
        <v>187</v>
      </c>
      <c r="G790" s="58">
        <v>84.66563</v>
      </c>
      <c r="H790" s="58">
        <v>-2.53893</v>
      </c>
      <c r="I790" s="6" t="s">
        <v>350</v>
      </c>
      <c r="J790" s="6" t="s">
        <v>169</v>
      </c>
      <c r="K790" s="58">
        <v>3.0</v>
      </c>
      <c r="L790" s="5"/>
      <c r="M790" s="5"/>
      <c r="N790" s="60"/>
      <c r="O790" s="60"/>
      <c r="P790" s="60"/>
      <c r="Q790" s="60"/>
      <c r="R790" s="60"/>
      <c r="S790" s="60">
        <v>31.16</v>
      </c>
      <c r="T790" s="60">
        <v>0.37</v>
      </c>
      <c r="U790" s="59"/>
      <c r="V790" s="5"/>
      <c r="W790" s="61">
        <v>0.187</v>
      </c>
      <c r="X790" s="5"/>
      <c r="Y790" s="109" t="s">
        <v>351</v>
      </c>
      <c r="Z790" s="60">
        <v>19.72</v>
      </c>
      <c r="AA790" s="60">
        <v>0.05</v>
      </c>
      <c r="AB790" s="60">
        <v>14.89</v>
      </c>
      <c r="AC790" s="60">
        <v>0.04</v>
      </c>
      <c r="AD790" s="60">
        <v>14.28</v>
      </c>
      <c r="AE790" s="60">
        <v>0.03</v>
      </c>
      <c r="AF790" s="60">
        <v>13.94</v>
      </c>
      <c r="AG790" s="60">
        <v>0.06</v>
      </c>
      <c r="AH790" s="6"/>
      <c r="AI790" s="6"/>
      <c r="AJ790" s="63" t="s">
        <v>702</v>
      </c>
      <c r="AK790" s="64" t="s">
        <v>216</v>
      </c>
      <c r="AL790" s="64" t="s">
        <v>1631</v>
      </c>
      <c r="AM790" s="73">
        <v>4.0</v>
      </c>
      <c r="AN790" s="102">
        <v>360.0</v>
      </c>
      <c r="AO790" s="13"/>
      <c r="AP790" s="13"/>
      <c r="AQ790" s="7"/>
      <c r="AR790" s="78">
        <v>2900.0</v>
      </c>
      <c r="AS790" s="64">
        <v>150.0</v>
      </c>
      <c r="AT790" s="79">
        <v>0.06</v>
      </c>
      <c r="AU790" s="7"/>
      <c r="AV790" s="64">
        <v>0.02</v>
      </c>
      <c r="AW790" s="7"/>
      <c r="AX790" s="73">
        <v>0.56</v>
      </c>
      <c r="AY790" s="7"/>
      <c r="AZ790" s="11" t="s">
        <v>1632</v>
      </c>
      <c r="BA790" s="11" t="s">
        <v>1633</v>
      </c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2"/>
      <c r="DK790" s="12"/>
      <c r="DL790" s="12"/>
      <c r="DM790" s="69"/>
      <c r="DN790" s="69"/>
      <c r="DO790" s="69"/>
      <c r="DP790" s="69"/>
      <c r="DQ790" s="11"/>
      <c r="DR790" s="69"/>
      <c r="DS790" s="69"/>
      <c r="DT790" s="69"/>
      <c r="DU790" s="69"/>
      <c r="DV790" s="97">
        <v>-4.49</v>
      </c>
      <c r="DW790" s="10"/>
      <c r="DX790" s="81">
        <v>1.23E-11</v>
      </c>
      <c r="DY790" s="7"/>
      <c r="DZ790" s="64" t="s">
        <v>1634</v>
      </c>
      <c r="EA790" s="72" t="s">
        <v>354</v>
      </c>
      <c r="EB790" s="7"/>
    </row>
    <row r="791">
      <c r="A791" s="193" t="s">
        <v>1635</v>
      </c>
      <c r="B791" s="87" t="s">
        <v>1636</v>
      </c>
      <c r="C791" s="3"/>
      <c r="D791" s="3"/>
      <c r="E791" s="3" t="s">
        <v>137</v>
      </c>
      <c r="F791" s="57" t="s">
        <v>187</v>
      </c>
      <c r="G791" s="58">
        <v>84.86194</v>
      </c>
      <c r="H791" s="58">
        <v>-2.61567</v>
      </c>
      <c r="I791" s="6" t="s">
        <v>350</v>
      </c>
      <c r="J791" s="6" t="s">
        <v>169</v>
      </c>
      <c r="K791" s="58">
        <v>3.0</v>
      </c>
      <c r="L791" s="6"/>
      <c r="M791" s="6"/>
      <c r="N791" s="60"/>
      <c r="O791" s="60"/>
      <c r="P791" s="60"/>
      <c r="Q791" s="60"/>
      <c r="R791" s="60"/>
      <c r="S791" s="60">
        <v>29.26</v>
      </c>
      <c r="T791" s="60">
        <v>0.48</v>
      </c>
      <c r="U791" s="59"/>
      <c r="V791" s="5"/>
      <c r="W791" s="61">
        <v>0.2108</v>
      </c>
      <c r="X791" s="5"/>
      <c r="Y791" s="106" t="s">
        <v>351</v>
      </c>
      <c r="Z791" s="60"/>
      <c r="AA791" s="60"/>
      <c r="AB791" s="60">
        <v>15.46</v>
      </c>
      <c r="AC791" s="60">
        <v>0.04</v>
      </c>
      <c r="AD791" s="60">
        <v>14.84</v>
      </c>
      <c r="AE791" s="60">
        <v>0.05</v>
      </c>
      <c r="AF791" s="60">
        <v>14.49</v>
      </c>
      <c r="AG791" s="60">
        <v>0.07</v>
      </c>
      <c r="AH791" s="6"/>
      <c r="AI791" s="6"/>
      <c r="AJ791" s="63" t="s">
        <v>702</v>
      </c>
      <c r="AK791" s="64" t="s">
        <v>216</v>
      </c>
      <c r="AL791" s="64" t="s">
        <v>1631</v>
      </c>
      <c r="AM791" s="64">
        <v>4.0</v>
      </c>
      <c r="AN791" s="102">
        <v>360.0</v>
      </c>
      <c r="AO791" s="13"/>
      <c r="AP791" s="13"/>
      <c r="AQ791" s="7"/>
      <c r="AR791" s="78">
        <v>2900.0</v>
      </c>
      <c r="AS791" s="64">
        <v>150.0</v>
      </c>
      <c r="AT791" s="79">
        <v>0.06</v>
      </c>
      <c r="AU791" s="13"/>
      <c r="AV791" s="70">
        <v>0.01</v>
      </c>
      <c r="AW791" s="7"/>
      <c r="AX791" s="97">
        <v>0.4</v>
      </c>
      <c r="AY791" s="13"/>
      <c r="AZ791" s="11" t="s">
        <v>1632</v>
      </c>
      <c r="BA791" s="11" t="s">
        <v>1633</v>
      </c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2"/>
      <c r="DG791" s="12"/>
      <c r="DH791" s="12"/>
      <c r="DI791" s="12"/>
      <c r="DJ791" s="12"/>
      <c r="DK791" s="12"/>
      <c r="DL791" s="12"/>
      <c r="DM791" s="69"/>
      <c r="DN791" s="69"/>
      <c r="DO791" s="69"/>
      <c r="DP791" s="69"/>
      <c r="DQ791" s="11"/>
      <c r="DR791" s="69"/>
      <c r="DS791" s="69"/>
      <c r="DT791" s="69"/>
      <c r="DU791" s="69"/>
      <c r="DV791" s="97">
        <v>-4.33</v>
      </c>
      <c r="DW791" s="10"/>
      <c r="DX791" s="81">
        <v>1.38E-11</v>
      </c>
      <c r="DY791" s="7"/>
      <c r="DZ791" s="64" t="s">
        <v>1634</v>
      </c>
      <c r="EA791" s="72" t="s">
        <v>354</v>
      </c>
      <c r="EB791" s="7"/>
    </row>
    <row r="792">
      <c r="A792" s="55" t="s">
        <v>1637</v>
      </c>
      <c r="B792" s="55" t="s">
        <v>1638</v>
      </c>
      <c r="C792" s="4"/>
      <c r="D792" s="4"/>
      <c r="E792" s="4" t="s">
        <v>137</v>
      </c>
      <c r="F792" s="57" t="s">
        <v>187</v>
      </c>
      <c r="G792" s="58">
        <v>84.62065</v>
      </c>
      <c r="H792" s="58">
        <v>-2.81309</v>
      </c>
      <c r="I792" s="6" t="s">
        <v>350</v>
      </c>
      <c r="J792" s="6" t="s">
        <v>169</v>
      </c>
      <c r="K792" s="58">
        <v>3.0</v>
      </c>
      <c r="L792" s="5"/>
      <c r="M792" s="5"/>
      <c r="N792" s="60"/>
      <c r="O792" s="60"/>
      <c r="P792" s="60"/>
      <c r="Q792" s="60"/>
      <c r="R792" s="60"/>
      <c r="S792" s="60">
        <v>30.2</v>
      </c>
      <c r="T792" s="60">
        <v>0.35</v>
      </c>
      <c r="U792" s="5"/>
      <c r="V792" s="5"/>
      <c r="W792" s="60">
        <v>0.1967</v>
      </c>
      <c r="X792" s="5"/>
      <c r="Y792" s="106" t="s">
        <v>351</v>
      </c>
      <c r="Z792" s="60"/>
      <c r="AA792" s="60"/>
      <c r="AB792" s="60">
        <v>14.82</v>
      </c>
      <c r="AC792" s="60">
        <v>0.04</v>
      </c>
      <c r="AD792" s="60">
        <v>14.28</v>
      </c>
      <c r="AE792" s="60">
        <v>0.04</v>
      </c>
      <c r="AF792" s="60">
        <v>13.88</v>
      </c>
      <c r="AG792" s="60">
        <v>0.06</v>
      </c>
      <c r="AH792" s="6"/>
      <c r="AI792" s="6"/>
      <c r="AJ792" s="63" t="s">
        <v>702</v>
      </c>
      <c r="AK792" s="64" t="s">
        <v>216</v>
      </c>
      <c r="AL792" s="64" t="s">
        <v>1631</v>
      </c>
      <c r="AM792" s="64">
        <v>4.0</v>
      </c>
      <c r="AN792" s="102">
        <v>360.0</v>
      </c>
      <c r="AO792" s="13"/>
      <c r="AP792" s="64" t="s">
        <v>353</v>
      </c>
      <c r="AQ792" s="7"/>
      <c r="AR792" s="78">
        <v>3000.0</v>
      </c>
      <c r="AS792" s="64">
        <v>150.0</v>
      </c>
      <c r="AT792" s="79">
        <v>0.07</v>
      </c>
      <c r="AU792" s="7"/>
      <c r="AV792" s="64">
        <v>0.02</v>
      </c>
      <c r="AW792" s="7"/>
      <c r="AX792" s="73">
        <v>0.52</v>
      </c>
      <c r="AY792" s="7"/>
      <c r="AZ792" s="11" t="s">
        <v>1632</v>
      </c>
      <c r="BA792" s="11" t="s">
        <v>1633</v>
      </c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2"/>
      <c r="DK792" s="12"/>
      <c r="DL792" s="12"/>
      <c r="DM792" s="69"/>
      <c r="DN792" s="69"/>
      <c r="DO792" s="69"/>
      <c r="DP792" s="69"/>
      <c r="DQ792" s="11"/>
      <c r="DR792" s="69"/>
      <c r="DS792" s="69"/>
      <c r="DT792" s="69"/>
      <c r="DU792" s="69"/>
      <c r="DV792" s="97">
        <v>-4.32</v>
      </c>
      <c r="DW792" s="10"/>
      <c r="DX792" s="81">
        <v>1.48E-11</v>
      </c>
      <c r="DY792" s="7"/>
      <c r="DZ792" s="64" t="s">
        <v>1634</v>
      </c>
      <c r="EA792" s="72" t="s">
        <v>354</v>
      </c>
      <c r="EB792" s="82" t="s">
        <v>1639</v>
      </c>
    </row>
    <row r="793">
      <c r="A793" s="55" t="s">
        <v>1640</v>
      </c>
      <c r="B793" s="55" t="s">
        <v>1641</v>
      </c>
      <c r="C793" s="4"/>
      <c r="D793" s="3"/>
      <c r="E793" s="3" t="s">
        <v>137</v>
      </c>
      <c r="F793" s="57" t="s">
        <v>168</v>
      </c>
      <c r="G793" s="58">
        <v>84.6853</v>
      </c>
      <c r="H793" s="58">
        <v>-2.67708</v>
      </c>
      <c r="I793" s="6" t="s">
        <v>350</v>
      </c>
      <c r="J793" s="6" t="s">
        <v>515</v>
      </c>
      <c r="K793" s="58">
        <v>3.0</v>
      </c>
      <c r="L793" s="5"/>
      <c r="M793" s="59">
        <v>2.0</v>
      </c>
      <c r="N793" s="61">
        <v>314.851547495355</v>
      </c>
      <c r="O793" s="61">
        <v>1.179</v>
      </c>
      <c r="P793" s="61">
        <v>0.68</v>
      </c>
      <c r="Q793" s="61">
        <v>-0.39</v>
      </c>
      <c r="R793" s="61">
        <v>0.679</v>
      </c>
      <c r="S793" s="60">
        <v>34.27</v>
      </c>
      <c r="T793" s="60">
        <v>0.52</v>
      </c>
      <c r="U793" s="5"/>
      <c r="V793" s="5"/>
      <c r="W793" s="60">
        <v>0.2113</v>
      </c>
      <c r="X793" s="5"/>
      <c r="Y793" s="83" t="s">
        <v>351</v>
      </c>
      <c r="Z793" s="60">
        <v>19.41</v>
      </c>
      <c r="AA793" s="60">
        <v>0.04</v>
      </c>
      <c r="AB793" s="60">
        <v>14.8</v>
      </c>
      <c r="AC793" s="60">
        <v>0.03</v>
      </c>
      <c r="AD793" s="60">
        <v>14.21</v>
      </c>
      <c r="AE793" s="60">
        <v>0.04</v>
      </c>
      <c r="AF793" s="60">
        <v>13.94</v>
      </c>
      <c r="AG793" s="60">
        <v>0.05</v>
      </c>
      <c r="AH793" s="6"/>
      <c r="AI793" s="6"/>
      <c r="AJ793" s="63" t="s">
        <v>702</v>
      </c>
      <c r="AK793" s="64" t="s">
        <v>216</v>
      </c>
      <c r="AL793" s="64" t="s">
        <v>1631</v>
      </c>
      <c r="AM793" s="64">
        <v>4.0</v>
      </c>
      <c r="AN793" s="102">
        <v>360.0</v>
      </c>
      <c r="AO793" s="13"/>
      <c r="AP793" s="13"/>
      <c r="AQ793" s="7"/>
      <c r="AR793" s="78">
        <v>3000.0</v>
      </c>
      <c r="AS793" s="64">
        <v>150.0</v>
      </c>
      <c r="AT793" s="79">
        <v>0.08</v>
      </c>
      <c r="AU793" s="7"/>
      <c r="AV793" s="64">
        <v>0.01</v>
      </c>
      <c r="AW793" s="7"/>
      <c r="AX793" s="73">
        <v>0.37</v>
      </c>
      <c r="AY793" s="7"/>
      <c r="AZ793" s="11" t="s">
        <v>1632</v>
      </c>
      <c r="BA793" s="11" t="s">
        <v>1633</v>
      </c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2"/>
      <c r="DK793" s="12"/>
      <c r="DL793" s="12"/>
      <c r="DM793" s="69"/>
      <c r="DN793" s="69"/>
      <c r="DO793" s="69"/>
      <c r="DP793" s="69"/>
      <c r="DQ793" s="11"/>
      <c r="DR793" s="69"/>
      <c r="DS793" s="69"/>
      <c r="DT793" s="69"/>
      <c r="DU793" s="69"/>
      <c r="DV793" s="97">
        <v>-4.46</v>
      </c>
      <c r="DW793" s="10"/>
      <c r="DX793" s="81">
        <v>7.76E-12</v>
      </c>
      <c r="DY793" s="7"/>
      <c r="DZ793" s="64" t="s">
        <v>1634</v>
      </c>
      <c r="EA793" s="72" t="s">
        <v>354</v>
      </c>
      <c r="EB793" s="7"/>
    </row>
    <row r="794">
      <c r="A794" s="55" t="s">
        <v>1642</v>
      </c>
      <c r="B794" s="55" t="s">
        <v>1643</v>
      </c>
      <c r="C794" s="4"/>
      <c r="D794" s="4"/>
      <c r="E794" s="4" t="s">
        <v>137</v>
      </c>
      <c r="F794" s="57" t="s">
        <v>168</v>
      </c>
      <c r="G794" s="58">
        <v>84.80457</v>
      </c>
      <c r="H794" s="58">
        <v>-2.63085</v>
      </c>
      <c r="I794" s="6" t="s">
        <v>350</v>
      </c>
      <c r="J794" s="6" t="s">
        <v>169</v>
      </c>
      <c r="K794" s="58">
        <v>3.0</v>
      </c>
      <c r="L794" s="59"/>
      <c r="M794" s="59">
        <v>2.0</v>
      </c>
      <c r="N794" s="61">
        <v>338.718964874843</v>
      </c>
      <c r="O794" s="61">
        <v>2.292</v>
      </c>
      <c r="P794" s="61">
        <v>0.855</v>
      </c>
      <c r="Q794" s="61">
        <v>-0.537</v>
      </c>
      <c r="R794" s="61">
        <v>0.735</v>
      </c>
      <c r="S794" s="60"/>
      <c r="T794" s="60"/>
      <c r="U794" s="5"/>
      <c r="V794" s="5"/>
      <c r="W794" s="60">
        <v>0.2212</v>
      </c>
      <c r="X794" s="5"/>
      <c r="Y794" s="106" t="s">
        <v>351</v>
      </c>
      <c r="Z794" s="60">
        <v>19.34</v>
      </c>
      <c r="AA794" s="60">
        <v>0.14</v>
      </c>
      <c r="AB794" s="60">
        <v>15.24</v>
      </c>
      <c r="AC794" s="60">
        <v>0.04</v>
      </c>
      <c r="AD794" s="60">
        <v>14.75</v>
      </c>
      <c r="AE794" s="60">
        <v>0.04</v>
      </c>
      <c r="AF794" s="60">
        <v>14.31</v>
      </c>
      <c r="AG794" s="60">
        <v>0.07</v>
      </c>
      <c r="AH794" s="6"/>
      <c r="AI794" s="6"/>
      <c r="AJ794" s="63" t="s">
        <v>702</v>
      </c>
      <c r="AK794" s="64" t="s">
        <v>216</v>
      </c>
      <c r="AL794" s="64" t="s">
        <v>1631</v>
      </c>
      <c r="AM794" s="64">
        <v>4.0</v>
      </c>
      <c r="AN794" s="102">
        <v>360.0</v>
      </c>
      <c r="AO794" s="13"/>
      <c r="AP794" s="64" t="s">
        <v>353</v>
      </c>
      <c r="AQ794" s="7"/>
      <c r="AR794" s="78">
        <v>2900.0</v>
      </c>
      <c r="AS794" s="64">
        <v>150.0</v>
      </c>
      <c r="AT794" s="79">
        <v>0.08</v>
      </c>
      <c r="AU794" s="7"/>
      <c r="AV794" s="70">
        <v>0.01</v>
      </c>
      <c r="AW794" s="7"/>
      <c r="AX794" s="73">
        <v>0.4</v>
      </c>
      <c r="AY794" s="7"/>
      <c r="AZ794" s="11" t="s">
        <v>1632</v>
      </c>
      <c r="BA794" s="11" t="s">
        <v>1633</v>
      </c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2"/>
      <c r="DK794" s="12"/>
      <c r="DL794" s="12"/>
      <c r="DM794" s="69"/>
      <c r="DN794" s="69"/>
      <c r="DO794" s="69"/>
      <c r="DP794" s="69"/>
      <c r="DQ794" s="11"/>
      <c r="DR794" s="69"/>
      <c r="DS794" s="69"/>
      <c r="DT794" s="69"/>
      <c r="DU794" s="69"/>
      <c r="DV794" s="97">
        <v>-4.58</v>
      </c>
      <c r="DW794" s="10"/>
      <c r="DX794" s="81">
        <v>6.46E-12</v>
      </c>
      <c r="DY794" s="7"/>
      <c r="DZ794" s="64" t="s">
        <v>1634</v>
      </c>
      <c r="EA794" s="72" t="s">
        <v>354</v>
      </c>
      <c r="EB794" s="82" t="s">
        <v>1639</v>
      </c>
    </row>
    <row r="795">
      <c r="A795" s="55" t="s">
        <v>1644</v>
      </c>
      <c r="B795" s="55" t="s">
        <v>1645</v>
      </c>
      <c r="C795" s="4"/>
      <c r="D795" s="4"/>
      <c r="E795" s="4"/>
      <c r="F795" s="57" t="s">
        <v>168</v>
      </c>
      <c r="G795" s="58">
        <v>84.70535</v>
      </c>
      <c r="H795" s="58">
        <v>-2.39936</v>
      </c>
      <c r="I795" s="6" t="s">
        <v>350</v>
      </c>
      <c r="J795" s="6" t="s">
        <v>169</v>
      </c>
      <c r="K795" s="58">
        <v>3.0</v>
      </c>
      <c r="L795" s="5"/>
      <c r="M795" s="59">
        <v>2.0</v>
      </c>
      <c r="N795" s="61">
        <v>411.742907728414</v>
      </c>
      <c r="O795" s="61">
        <v>1.206</v>
      </c>
      <c r="P795" s="61">
        <v>0.322</v>
      </c>
      <c r="Q795" s="61">
        <v>-0.238</v>
      </c>
      <c r="R795" s="61">
        <v>0.282</v>
      </c>
      <c r="S795" s="60">
        <v>32.59</v>
      </c>
      <c r="T795" s="60">
        <v>0.82</v>
      </c>
      <c r="U795" s="5"/>
      <c r="V795" s="5"/>
      <c r="W795" s="60">
        <v>0.166</v>
      </c>
      <c r="X795" s="5"/>
      <c r="Y795" s="106" t="s">
        <v>351</v>
      </c>
      <c r="Z795" s="60">
        <v>17.67</v>
      </c>
      <c r="AA795" s="60"/>
      <c r="AB795" s="60">
        <v>14.362</v>
      </c>
      <c r="AC795" s="60">
        <v>0.027</v>
      </c>
      <c r="AD795" s="60">
        <v>13.699</v>
      </c>
      <c r="AE795" s="60">
        <v>0.026</v>
      </c>
      <c r="AF795" s="60">
        <v>13.2</v>
      </c>
      <c r="AG795" s="60">
        <v>0.03</v>
      </c>
      <c r="AH795" s="6"/>
      <c r="AI795" s="6"/>
      <c r="AJ795" s="63" t="s">
        <v>702</v>
      </c>
      <c r="AK795" s="64" t="s">
        <v>216</v>
      </c>
      <c r="AL795" s="64" t="s">
        <v>1631</v>
      </c>
      <c r="AM795" s="64">
        <v>4.0</v>
      </c>
      <c r="AN795" s="102">
        <v>360.0</v>
      </c>
      <c r="AO795" s="13"/>
      <c r="AP795" s="64" t="s">
        <v>1646</v>
      </c>
      <c r="AQ795" s="7"/>
      <c r="AR795" s="78">
        <v>3000.0</v>
      </c>
      <c r="AS795" s="64">
        <v>150.0</v>
      </c>
      <c r="AT795" s="79">
        <v>0.09</v>
      </c>
      <c r="AU795" s="7"/>
      <c r="AV795" s="64">
        <v>0.03</v>
      </c>
      <c r="AW795" s="7"/>
      <c r="AX795" s="73">
        <v>0.64</v>
      </c>
      <c r="AY795" s="7"/>
      <c r="AZ795" s="11" t="s">
        <v>1632</v>
      </c>
      <c r="BA795" s="11" t="s">
        <v>1633</v>
      </c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2"/>
      <c r="DK795" s="12"/>
      <c r="DL795" s="12"/>
      <c r="DM795" s="69"/>
      <c r="DN795" s="69"/>
      <c r="DO795" s="69"/>
      <c r="DP795" s="69"/>
      <c r="DQ795" s="11"/>
      <c r="DR795" s="69"/>
      <c r="DS795" s="69"/>
      <c r="DT795" s="69"/>
      <c r="DU795" s="69"/>
      <c r="DV795" s="73">
        <v>-3.51</v>
      </c>
      <c r="DW795" s="10"/>
      <c r="DX795" s="81">
        <v>9.33E-11</v>
      </c>
      <c r="DY795" s="7"/>
      <c r="DZ795" s="64" t="s">
        <v>1634</v>
      </c>
      <c r="EA795" s="72" t="s">
        <v>354</v>
      </c>
      <c r="EB795" s="82" t="s">
        <v>1647</v>
      </c>
    </row>
    <row r="796">
      <c r="A796" s="55" t="s">
        <v>1648</v>
      </c>
      <c r="B796" s="55" t="s">
        <v>1649</v>
      </c>
      <c r="C796" s="4"/>
      <c r="D796" s="3"/>
      <c r="E796" s="3" t="s">
        <v>137</v>
      </c>
      <c r="F796" s="57" t="s">
        <v>168</v>
      </c>
      <c r="G796" s="58">
        <v>84.97643</v>
      </c>
      <c r="H796" s="58">
        <v>-2.6219</v>
      </c>
      <c r="I796" s="6" t="s">
        <v>350</v>
      </c>
      <c r="J796" s="6" t="s">
        <v>712</v>
      </c>
      <c r="K796" s="58">
        <v>3.0</v>
      </c>
      <c r="L796" s="5"/>
      <c r="M796" s="60">
        <v>2.0</v>
      </c>
      <c r="N796" s="61">
        <v>434.763705925829</v>
      </c>
      <c r="O796" s="61">
        <v>2.542</v>
      </c>
      <c r="P796" s="61">
        <v>0.738</v>
      </c>
      <c r="Q796" s="61">
        <v>-1.48</v>
      </c>
      <c r="R796" s="61">
        <v>0.677</v>
      </c>
      <c r="S796" s="60">
        <v>31.13</v>
      </c>
      <c r="T796" s="60">
        <v>0.48</v>
      </c>
      <c r="U796" s="5"/>
      <c r="V796" s="5"/>
      <c r="W796" s="60">
        <v>0.1969</v>
      </c>
      <c r="X796" s="5"/>
      <c r="Y796" s="106" t="s">
        <v>351</v>
      </c>
      <c r="Z796" s="60">
        <v>19.05</v>
      </c>
      <c r="AA796" s="60">
        <v>0.01</v>
      </c>
      <c r="AB796" s="60">
        <v>14.75</v>
      </c>
      <c r="AC796" s="60">
        <v>0.03</v>
      </c>
      <c r="AD796" s="60">
        <v>14.21</v>
      </c>
      <c r="AE796" s="60">
        <v>0.04</v>
      </c>
      <c r="AF796" s="60">
        <v>13.8</v>
      </c>
      <c r="AG796" s="60">
        <v>0.05</v>
      </c>
      <c r="AH796" s="6"/>
      <c r="AI796" s="5"/>
      <c r="AJ796" s="63" t="s">
        <v>702</v>
      </c>
      <c r="AK796" s="64" t="s">
        <v>216</v>
      </c>
      <c r="AL796" s="64" t="s">
        <v>1631</v>
      </c>
      <c r="AM796" s="64">
        <v>4.0</v>
      </c>
      <c r="AN796" s="102">
        <v>360.0</v>
      </c>
      <c r="AO796" s="13"/>
      <c r="AP796" s="64" t="s">
        <v>402</v>
      </c>
      <c r="AQ796" s="7"/>
      <c r="AR796" s="78">
        <v>2900.0</v>
      </c>
      <c r="AS796" s="64">
        <v>150.0</v>
      </c>
      <c r="AT796" s="79">
        <v>0.09</v>
      </c>
      <c r="AU796" s="7"/>
      <c r="AV796" s="64">
        <v>0.02</v>
      </c>
      <c r="AW796" s="7"/>
      <c r="AX796" s="97">
        <v>0.56</v>
      </c>
      <c r="AY796" s="7"/>
      <c r="AZ796" s="11" t="s">
        <v>1632</v>
      </c>
      <c r="BA796" s="11" t="s">
        <v>1633</v>
      </c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2"/>
      <c r="DK796" s="12"/>
      <c r="DL796" s="12"/>
      <c r="DM796" s="12"/>
      <c r="DN796" s="12"/>
      <c r="DO796" s="12"/>
      <c r="DP796" s="12"/>
      <c r="DQ796" s="11"/>
      <c r="DR796" s="12"/>
      <c r="DS796" s="12"/>
      <c r="DT796" s="12"/>
      <c r="DU796" s="12"/>
      <c r="DV796" s="97">
        <v>-4.49</v>
      </c>
      <c r="DW796" s="10"/>
      <c r="DX796" s="81">
        <v>8.71E-12</v>
      </c>
      <c r="DY796" s="7"/>
      <c r="DZ796" s="64" t="s">
        <v>1634</v>
      </c>
      <c r="EA796" s="72" t="s">
        <v>354</v>
      </c>
      <c r="EB796" s="82" t="s">
        <v>705</v>
      </c>
    </row>
    <row r="797">
      <c r="A797" s="55" t="s">
        <v>1650</v>
      </c>
      <c r="B797" s="55" t="s">
        <v>1651</v>
      </c>
      <c r="C797" s="4"/>
      <c r="D797" s="3"/>
      <c r="E797" s="3" t="s">
        <v>137</v>
      </c>
      <c r="F797" s="57" t="s">
        <v>168</v>
      </c>
      <c r="G797" s="58">
        <v>84.70071</v>
      </c>
      <c r="H797" s="58">
        <v>-2.73354</v>
      </c>
      <c r="I797" s="6" t="s">
        <v>350</v>
      </c>
      <c r="J797" s="6" t="s">
        <v>169</v>
      </c>
      <c r="K797" s="58">
        <v>3.0</v>
      </c>
      <c r="L797" s="5"/>
      <c r="M797" s="59">
        <v>2.0</v>
      </c>
      <c r="N797" s="61">
        <v>427.478305475997</v>
      </c>
      <c r="O797" s="61">
        <v>1.067</v>
      </c>
      <c r="P797" s="61">
        <v>0.348</v>
      </c>
      <c r="Q797" s="61">
        <v>-1.199</v>
      </c>
      <c r="R797" s="61">
        <v>0.287</v>
      </c>
      <c r="S797" s="60">
        <v>31.34</v>
      </c>
      <c r="T797" s="60">
        <v>0.41</v>
      </c>
      <c r="U797" s="5"/>
      <c r="V797" s="5"/>
      <c r="W797" s="60">
        <v>0.2123</v>
      </c>
      <c r="X797" s="5"/>
      <c r="Y797" s="106" t="s">
        <v>351</v>
      </c>
      <c r="Z797" s="60">
        <v>18.11</v>
      </c>
      <c r="AA797" s="60">
        <v>0.01</v>
      </c>
      <c r="AB797" s="60">
        <v>14.07</v>
      </c>
      <c r="AC797" s="60">
        <v>0.03</v>
      </c>
      <c r="AD797" s="60">
        <v>13.468</v>
      </c>
      <c r="AE797" s="60">
        <v>0.024</v>
      </c>
      <c r="AF797" s="60">
        <v>13.15</v>
      </c>
      <c r="AG797" s="60">
        <v>0.04</v>
      </c>
      <c r="AH797" s="6"/>
      <c r="AI797" s="6"/>
      <c r="AJ797" s="63" t="s">
        <v>702</v>
      </c>
      <c r="AK797" s="64" t="s">
        <v>216</v>
      </c>
      <c r="AL797" s="64" t="s">
        <v>1631</v>
      </c>
      <c r="AM797" s="64">
        <v>4.0</v>
      </c>
      <c r="AN797" s="102">
        <v>360.0</v>
      </c>
      <c r="AO797" s="13"/>
      <c r="AP797" s="13"/>
      <c r="AQ797" s="7"/>
      <c r="AR797" s="78">
        <v>3000.0</v>
      </c>
      <c r="AS797" s="64">
        <v>150.0</v>
      </c>
      <c r="AT797" s="79">
        <v>0.1</v>
      </c>
      <c r="AU797" s="7"/>
      <c r="AV797" s="64">
        <v>0.04</v>
      </c>
      <c r="AW797" s="7"/>
      <c r="AX797" s="73">
        <v>0.74</v>
      </c>
      <c r="AY797" s="7"/>
      <c r="AZ797" s="11" t="s">
        <v>1632</v>
      </c>
      <c r="BA797" s="11" t="s">
        <v>1633</v>
      </c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2"/>
      <c r="DK797" s="12"/>
      <c r="DL797" s="12"/>
      <c r="DM797" s="69"/>
      <c r="DN797" s="69"/>
      <c r="DO797" s="69"/>
      <c r="DP797" s="69"/>
      <c r="DQ797" s="11"/>
      <c r="DR797" s="69"/>
      <c r="DS797" s="69"/>
      <c r="DT797" s="69"/>
      <c r="DU797" s="69"/>
      <c r="DV797" s="97">
        <v>-4.03</v>
      </c>
      <c r="DW797" s="10"/>
      <c r="DX797" s="81">
        <v>2.88E-11</v>
      </c>
      <c r="DY797" s="7"/>
      <c r="DZ797" s="64" t="s">
        <v>1634</v>
      </c>
      <c r="EA797" s="72" t="s">
        <v>354</v>
      </c>
      <c r="EB797" s="7"/>
    </row>
    <row r="798">
      <c r="A798" s="55" t="s">
        <v>348</v>
      </c>
      <c r="B798" s="55" t="s">
        <v>349</v>
      </c>
      <c r="C798" s="4"/>
      <c r="D798" s="3"/>
      <c r="E798" s="3"/>
      <c r="F798" s="57" t="s">
        <v>168</v>
      </c>
      <c r="G798" s="58">
        <v>84.60588</v>
      </c>
      <c r="H798" s="58">
        <v>-2.71143</v>
      </c>
      <c r="I798" s="6" t="s">
        <v>350</v>
      </c>
      <c r="J798" s="6" t="s">
        <v>169</v>
      </c>
      <c r="K798" s="58">
        <v>3.0</v>
      </c>
      <c r="L798" s="5"/>
      <c r="M798" s="59">
        <v>2.0</v>
      </c>
      <c r="N798" s="61">
        <v>338.90263327346</v>
      </c>
      <c r="O798" s="61">
        <v>1.967</v>
      </c>
      <c r="P798" s="61">
        <v>0.829</v>
      </c>
      <c r="Q798" s="61">
        <v>-1.2</v>
      </c>
      <c r="R798" s="61">
        <v>0.85</v>
      </c>
      <c r="S798" s="60"/>
      <c r="T798" s="60"/>
      <c r="U798" s="5"/>
      <c r="V798" s="5"/>
      <c r="W798" s="60">
        <v>0.1934</v>
      </c>
      <c r="X798" s="5"/>
      <c r="Y798" s="106" t="s">
        <v>351</v>
      </c>
      <c r="Z798" s="60">
        <v>19.08</v>
      </c>
      <c r="AA798" s="60">
        <v>0.1</v>
      </c>
      <c r="AB798" s="60">
        <v>14.88</v>
      </c>
      <c r="AC798" s="60">
        <v>0.03</v>
      </c>
      <c r="AD798" s="60">
        <v>14.16</v>
      </c>
      <c r="AE798" s="60">
        <v>0.04</v>
      </c>
      <c r="AF798" s="60">
        <v>13.57</v>
      </c>
      <c r="AG798" s="60">
        <v>0.03</v>
      </c>
      <c r="AH798" s="6"/>
      <c r="AI798" s="6"/>
      <c r="AJ798" s="63" t="s">
        <v>702</v>
      </c>
      <c r="AK798" s="64" t="s">
        <v>216</v>
      </c>
      <c r="AL798" s="64" t="s">
        <v>1631</v>
      </c>
      <c r="AM798" s="64">
        <v>4.0</v>
      </c>
      <c r="AN798" s="102">
        <v>360.0</v>
      </c>
      <c r="AO798" s="13"/>
      <c r="AP798" s="64" t="s">
        <v>345</v>
      </c>
      <c r="AQ798" s="7"/>
      <c r="AR798" s="78">
        <v>3000.0</v>
      </c>
      <c r="AS798" s="64">
        <v>150.0</v>
      </c>
      <c r="AT798" s="79">
        <v>0.1</v>
      </c>
      <c r="AU798" s="7"/>
      <c r="AV798" s="64">
        <v>0.02</v>
      </c>
      <c r="AW798" s="7"/>
      <c r="AX798" s="73">
        <v>0.52</v>
      </c>
      <c r="AY798" s="7"/>
      <c r="AZ798" s="11" t="s">
        <v>1632</v>
      </c>
      <c r="BA798" s="11" t="s">
        <v>1633</v>
      </c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2"/>
      <c r="DK798" s="12"/>
      <c r="DL798" s="12"/>
      <c r="DM798" s="69"/>
      <c r="DN798" s="69"/>
      <c r="DO798" s="69"/>
      <c r="DP798" s="69"/>
      <c r="DQ798" s="11"/>
      <c r="DR798" s="69"/>
      <c r="DS798" s="69"/>
      <c r="DT798" s="69"/>
      <c r="DU798" s="69"/>
      <c r="DV798" s="73">
        <v>-3.27</v>
      </c>
      <c r="DW798" s="10"/>
      <c r="DX798" s="81">
        <v>1.2E-10</v>
      </c>
      <c r="DY798" s="7"/>
      <c r="DZ798" s="64" t="s">
        <v>1634</v>
      </c>
      <c r="EA798" s="72" t="s">
        <v>354</v>
      </c>
      <c r="EB798" s="7"/>
    </row>
    <row r="799">
      <c r="A799" s="55" t="s">
        <v>1652</v>
      </c>
      <c r="B799" s="55" t="s">
        <v>1653</v>
      </c>
      <c r="C799" s="4"/>
      <c r="D799" s="3"/>
      <c r="E799" s="3"/>
      <c r="F799" s="57" t="s">
        <v>168</v>
      </c>
      <c r="G799" s="58">
        <v>84.93547</v>
      </c>
      <c r="H799" s="58">
        <v>-2.41204</v>
      </c>
      <c r="I799" s="6" t="s">
        <v>350</v>
      </c>
      <c r="J799" s="6" t="s">
        <v>169</v>
      </c>
      <c r="K799" s="58">
        <v>3.0</v>
      </c>
      <c r="L799" s="59"/>
      <c r="M799" s="60">
        <v>2.0</v>
      </c>
      <c r="N799" s="61">
        <v>413.308534821244</v>
      </c>
      <c r="O799" s="61">
        <v>1.983</v>
      </c>
      <c r="P799" s="61">
        <v>0.273</v>
      </c>
      <c r="Q799" s="61">
        <v>-0.385</v>
      </c>
      <c r="R799" s="61">
        <v>0.261</v>
      </c>
      <c r="S799" s="60"/>
      <c r="T799" s="60"/>
      <c r="U799" s="6"/>
      <c r="V799" s="5"/>
      <c r="W799" s="60">
        <v>0.179</v>
      </c>
      <c r="X799" s="5"/>
      <c r="Y799" s="106" t="s">
        <v>351</v>
      </c>
      <c r="Z799" s="60"/>
      <c r="AA799" s="60"/>
      <c r="AB799" s="60">
        <v>14.167</v>
      </c>
      <c r="AC799" s="60">
        <v>0.029</v>
      </c>
      <c r="AD799" s="60">
        <v>13.539</v>
      </c>
      <c r="AE799" s="60">
        <v>0.024</v>
      </c>
      <c r="AF799" s="60">
        <v>13.15</v>
      </c>
      <c r="AG799" s="60">
        <v>0.03</v>
      </c>
      <c r="AH799" s="6"/>
      <c r="AI799" s="6"/>
      <c r="AJ799" s="63" t="s">
        <v>702</v>
      </c>
      <c r="AK799" s="64" t="s">
        <v>216</v>
      </c>
      <c r="AL799" s="64" t="s">
        <v>1631</v>
      </c>
      <c r="AM799" s="64">
        <v>4.0</v>
      </c>
      <c r="AN799" s="102">
        <v>360.0</v>
      </c>
      <c r="AO799" s="7"/>
      <c r="AP799" s="13"/>
      <c r="AQ799" s="7"/>
      <c r="AR799" s="78">
        <v>3100.0</v>
      </c>
      <c r="AS799" s="64">
        <v>150.0</v>
      </c>
      <c r="AT799" s="79">
        <v>0.11</v>
      </c>
      <c r="AU799" s="7"/>
      <c r="AV799" s="70">
        <v>0.03</v>
      </c>
      <c r="AW799" s="92"/>
      <c r="AX799" s="81">
        <v>0.602</v>
      </c>
      <c r="AY799" s="7"/>
      <c r="AZ799" s="11" t="s">
        <v>1632</v>
      </c>
      <c r="BA799" s="11" t="s">
        <v>1633</v>
      </c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2"/>
      <c r="DG799" s="12"/>
      <c r="DH799" s="12"/>
      <c r="DI799" s="12"/>
      <c r="DJ799" s="12"/>
      <c r="DK799" s="12"/>
      <c r="DL799" s="12"/>
      <c r="DM799" s="69"/>
      <c r="DN799" s="69"/>
      <c r="DO799" s="69"/>
      <c r="DP799" s="69"/>
      <c r="DQ799" s="11"/>
      <c r="DR799" s="69"/>
      <c r="DS799" s="69"/>
      <c r="DT799" s="69"/>
      <c r="DU799" s="69"/>
      <c r="DV799" s="73">
        <v>-3.32</v>
      </c>
      <c r="DW799" s="10"/>
      <c r="DX799" s="81">
        <v>9.77E-11</v>
      </c>
      <c r="DY799" s="7"/>
      <c r="DZ799" s="64" t="s">
        <v>1634</v>
      </c>
      <c r="EA799" s="72" t="s">
        <v>354</v>
      </c>
      <c r="EB799" s="7"/>
    </row>
    <row r="800">
      <c r="A800" s="55" t="s">
        <v>1654</v>
      </c>
      <c r="B800" s="55" t="s">
        <v>1655</v>
      </c>
      <c r="C800" s="4"/>
      <c r="D800" s="3"/>
      <c r="E800" s="3" t="s">
        <v>137</v>
      </c>
      <c r="F800" s="57" t="s">
        <v>168</v>
      </c>
      <c r="G800" s="58">
        <v>84.70032</v>
      </c>
      <c r="H800" s="58">
        <v>-2.4815</v>
      </c>
      <c r="I800" s="6" t="s">
        <v>350</v>
      </c>
      <c r="J800" s="6" t="s">
        <v>169</v>
      </c>
      <c r="K800" s="58">
        <v>3.0</v>
      </c>
      <c r="L800" s="59"/>
      <c r="M800" s="59">
        <v>2.0</v>
      </c>
      <c r="N800" s="61">
        <v>363.940750445827</v>
      </c>
      <c r="O800" s="61">
        <v>1.281</v>
      </c>
      <c r="P800" s="61">
        <v>0.309</v>
      </c>
      <c r="Q800" s="61">
        <v>-0.715</v>
      </c>
      <c r="R800" s="61">
        <v>0.275</v>
      </c>
      <c r="S800" s="60"/>
      <c r="T800" s="60"/>
      <c r="U800" s="5"/>
      <c r="V800" s="5"/>
      <c r="W800" s="60">
        <v>0.1791</v>
      </c>
      <c r="X800" s="165"/>
      <c r="Y800" s="83" t="s">
        <v>351</v>
      </c>
      <c r="Z800" s="60">
        <v>18.32</v>
      </c>
      <c r="AA800" s="60">
        <v>0.01</v>
      </c>
      <c r="AB800" s="60">
        <v>14.47</v>
      </c>
      <c r="AC800" s="60">
        <v>0.03</v>
      </c>
      <c r="AD800" s="60">
        <v>13.84</v>
      </c>
      <c r="AE800" s="60">
        <v>0.026</v>
      </c>
      <c r="AF800" s="60">
        <v>13.44</v>
      </c>
      <c r="AG800" s="60">
        <v>0.04</v>
      </c>
      <c r="AH800" s="6"/>
      <c r="AI800" s="6"/>
      <c r="AJ800" s="63" t="s">
        <v>702</v>
      </c>
      <c r="AK800" s="64" t="s">
        <v>216</v>
      </c>
      <c r="AL800" s="64" t="s">
        <v>1631</v>
      </c>
      <c r="AM800" s="64">
        <v>4.0</v>
      </c>
      <c r="AN800" s="102">
        <v>360.0</v>
      </c>
      <c r="AO800" s="13"/>
      <c r="AP800" s="64" t="s">
        <v>264</v>
      </c>
      <c r="AQ800" s="7"/>
      <c r="AR800" s="78">
        <v>3100.0</v>
      </c>
      <c r="AS800" s="64">
        <v>150.0</v>
      </c>
      <c r="AT800" s="79">
        <v>0.11</v>
      </c>
      <c r="AU800" s="7"/>
      <c r="AV800" s="70">
        <v>0.03</v>
      </c>
      <c r="AW800" s="7"/>
      <c r="AX800" s="73">
        <v>0.6</v>
      </c>
      <c r="AY800" s="7"/>
      <c r="AZ800" s="11" t="s">
        <v>1632</v>
      </c>
      <c r="BA800" s="11" t="s">
        <v>1633</v>
      </c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2"/>
      <c r="DK800" s="12"/>
      <c r="DL800" s="12"/>
      <c r="DM800" s="69"/>
      <c r="DN800" s="69"/>
      <c r="DO800" s="69"/>
      <c r="DP800" s="69"/>
      <c r="DQ800" s="11"/>
      <c r="DR800" s="69"/>
      <c r="DS800" s="69"/>
      <c r="DT800" s="69"/>
      <c r="DU800" s="69"/>
      <c r="DV800" s="97">
        <v>-4.04</v>
      </c>
      <c r="DW800" s="10"/>
      <c r="DX800" s="81">
        <v>2.0E-11</v>
      </c>
      <c r="DY800" s="7"/>
      <c r="DZ800" s="64" t="s">
        <v>1634</v>
      </c>
      <c r="EA800" s="72" t="s">
        <v>354</v>
      </c>
      <c r="EB800" s="82" t="s">
        <v>1656</v>
      </c>
    </row>
    <row r="801">
      <c r="A801" s="55" t="s">
        <v>1657</v>
      </c>
      <c r="B801" s="55" t="s">
        <v>1658</v>
      </c>
      <c r="C801" s="4"/>
      <c r="D801" s="4"/>
      <c r="E801" s="4" t="s">
        <v>137</v>
      </c>
      <c r="F801" s="57" t="s">
        <v>168</v>
      </c>
      <c r="G801" s="58">
        <v>84.71085</v>
      </c>
      <c r="H801" s="58">
        <v>-2.71188</v>
      </c>
      <c r="I801" s="6" t="s">
        <v>350</v>
      </c>
      <c r="J801" s="6" t="s">
        <v>169</v>
      </c>
      <c r="K801" s="58">
        <v>3.0</v>
      </c>
      <c r="L801" s="5"/>
      <c r="M801" s="59">
        <v>2.0</v>
      </c>
      <c r="N801" s="61">
        <v>398.851308232291</v>
      </c>
      <c r="O801" s="61">
        <v>1.131</v>
      </c>
      <c r="P801" s="61">
        <v>0.247</v>
      </c>
      <c r="Q801" s="61">
        <v>-0.699</v>
      </c>
      <c r="R801" s="61">
        <v>0.207</v>
      </c>
      <c r="S801" s="60">
        <v>31.2</v>
      </c>
      <c r="T801" s="60">
        <v>0.32</v>
      </c>
      <c r="U801" s="5"/>
      <c r="V801" s="5"/>
      <c r="W801" s="60">
        <v>0.2135</v>
      </c>
      <c r="X801" s="60"/>
      <c r="Y801" s="83" t="s">
        <v>351</v>
      </c>
      <c r="Z801" s="60">
        <v>17.8</v>
      </c>
      <c r="AA801" s="60">
        <v>0.01</v>
      </c>
      <c r="AB801" s="60">
        <v>13.84</v>
      </c>
      <c r="AC801" s="60">
        <v>0.03</v>
      </c>
      <c r="AD801" s="60">
        <v>13.246</v>
      </c>
      <c r="AE801" s="60">
        <v>0.026</v>
      </c>
      <c r="AF801" s="60">
        <v>12.96</v>
      </c>
      <c r="AG801" s="60">
        <v>0.04</v>
      </c>
      <c r="AH801" s="6"/>
      <c r="AI801" s="6"/>
      <c r="AJ801" s="63" t="s">
        <v>702</v>
      </c>
      <c r="AK801" s="64" t="s">
        <v>216</v>
      </c>
      <c r="AL801" s="64" t="s">
        <v>1631</v>
      </c>
      <c r="AM801" s="64">
        <v>4.0</v>
      </c>
      <c r="AN801" s="102">
        <v>360.0</v>
      </c>
      <c r="AO801" s="13"/>
      <c r="AP801" s="13"/>
      <c r="AQ801" s="7"/>
      <c r="AR801" s="78">
        <v>3100.0</v>
      </c>
      <c r="AS801" s="64">
        <v>150.0</v>
      </c>
      <c r="AT801" s="79">
        <v>0.13</v>
      </c>
      <c r="AU801" s="7"/>
      <c r="AV801" s="64">
        <v>0.05</v>
      </c>
      <c r="AW801" s="7"/>
      <c r="AX801" s="73">
        <v>0.78</v>
      </c>
      <c r="AY801" s="7"/>
      <c r="AZ801" s="11" t="s">
        <v>1632</v>
      </c>
      <c r="BA801" s="11" t="s">
        <v>1633</v>
      </c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2"/>
      <c r="DK801" s="12"/>
      <c r="DL801" s="12"/>
      <c r="DM801" s="69"/>
      <c r="DN801" s="69"/>
      <c r="DO801" s="69"/>
      <c r="DP801" s="69"/>
      <c r="DQ801" s="11"/>
      <c r="DR801" s="69"/>
      <c r="DS801" s="69"/>
      <c r="DT801" s="69"/>
      <c r="DU801" s="69"/>
      <c r="DV801" s="97">
        <v>-3.82</v>
      </c>
      <c r="DW801" s="10"/>
      <c r="DX801" s="81">
        <v>3.63E-11</v>
      </c>
      <c r="DY801" s="7"/>
      <c r="DZ801" s="64" t="s">
        <v>1634</v>
      </c>
      <c r="EA801" s="72" t="s">
        <v>354</v>
      </c>
      <c r="EB801" s="7"/>
    </row>
    <row r="802">
      <c r="A802" s="55" t="s">
        <v>1659</v>
      </c>
      <c r="B802" s="194" t="s">
        <v>1660</v>
      </c>
      <c r="C802" s="4"/>
      <c r="D802" s="3"/>
      <c r="E802" s="3" t="s">
        <v>137</v>
      </c>
      <c r="F802" s="57" t="s">
        <v>168</v>
      </c>
      <c r="G802" s="58">
        <v>84.61174</v>
      </c>
      <c r="H802" s="195">
        <v>-2.64612</v>
      </c>
      <c r="I802" s="6" t="s">
        <v>350</v>
      </c>
      <c r="J802" s="6" t="s">
        <v>169</v>
      </c>
      <c r="K802" s="58">
        <v>3.0</v>
      </c>
      <c r="L802" s="59"/>
      <c r="M802" s="59">
        <v>2.0</v>
      </c>
      <c r="N802" s="61">
        <v>352.733686067019</v>
      </c>
      <c r="O802" s="61">
        <v>1.107</v>
      </c>
      <c r="P802" s="61">
        <v>0.251</v>
      </c>
      <c r="Q802" s="61">
        <v>-1.299</v>
      </c>
      <c r="R802" s="61">
        <v>0.219</v>
      </c>
      <c r="S802" s="60">
        <v>30.82</v>
      </c>
      <c r="T802" s="60">
        <v>0.32</v>
      </c>
      <c r="U802" s="5"/>
      <c r="V802" s="5"/>
      <c r="W802" s="60">
        <v>0.1865</v>
      </c>
      <c r="X802" s="5"/>
      <c r="Y802" s="106" t="s">
        <v>351</v>
      </c>
      <c r="Z802" s="60">
        <v>18.09</v>
      </c>
      <c r="AA802" s="60">
        <v>0.01</v>
      </c>
      <c r="AB802" s="60">
        <v>14.11</v>
      </c>
      <c r="AC802" s="60">
        <v>0.04</v>
      </c>
      <c r="AD802" s="60">
        <v>13.483</v>
      </c>
      <c r="AE802" s="60">
        <v>0.029</v>
      </c>
      <c r="AF802" s="60">
        <v>13.21</v>
      </c>
      <c r="AG802" s="60">
        <v>0.04</v>
      </c>
      <c r="AH802" s="6"/>
      <c r="AI802" s="6"/>
      <c r="AJ802" s="63" t="s">
        <v>702</v>
      </c>
      <c r="AK802" s="64" t="s">
        <v>216</v>
      </c>
      <c r="AL802" s="64" t="s">
        <v>1631</v>
      </c>
      <c r="AM802" s="64">
        <v>4.0</v>
      </c>
      <c r="AN802" s="102">
        <v>360.0</v>
      </c>
      <c r="AO802" s="13"/>
      <c r="AP802" s="64" t="s">
        <v>422</v>
      </c>
      <c r="AQ802" s="7"/>
      <c r="AR802" s="78">
        <v>3100.0</v>
      </c>
      <c r="AS802" s="64">
        <v>150.0</v>
      </c>
      <c r="AT802" s="79">
        <v>0.13</v>
      </c>
      <c r="AU802" s="92"/>
      <c r="AV802" s="70">
        <v>0.04</v>
      </c>
      <c r="AW802" s="92"/>
      <c r="AX802" s="97">
        <v>0.695</v>
      </c>
      <c r="AY802" s="7"/>
      <c r="AZ802" s="11" t="s">
        <v>1632</v>
      </c>
      <c r="BA802" s="11" t="s">
        <v>1633</v>
      </c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2"/>
      <c r="DK802" s="12"/>
      <c r="DL802" s="12"/>
      <c r="DM802" s="69"/>
      <c r="DN802" s="69"/>
      <c r="DO802" s="69"/>
      <c r="DP802" s="69"/>
      <c r="DQ802" s="11"/>
      <c r="DR802" s="69"/>
      <c r="DS802" s="69"/>
      <c r="DT802" s="69"/>
      <c r="DU802" s="69"/>
      <c r="DV802" s="73">
        <v>-3.88</v>
      </c>
      <c r="DW802" s="10"/>
      <c r="DX802" s="81">
        <v>2.75E-11</v>
      </c>
      <c r="DY802" s="7"/>
      <c r="DZ802" s="64" t="s">
        <v>1634</v>
      </c>
      <c r="EA802" s="72" t="s">
        <v>354</v>
      </c>
      <c r="EB802" s="7"/>
    </row>
    <row r="803">
      <c r="A803" s="193" t="s">
        <v>1661</v>
      </c>
      <c r="B803" s="87" t="s">
        <v>1662</v>
      </c>
      <c r="C803" s="3"/>
      <c r="D803" s="3"/>
      <c r="E803" s="3"/>
      <c r="F803" s="57" t="s">
        <v>168</v>
      </c>
      <c r="G803" s="58">
        <v>84.84067</v>
      </c>
      <c r="H803" s="58">
        <v>-2.73437</v>
      </c>
      <c r="I803" s="6" t="s">
        <v>350</v>
      </c>
      <c r="J803" s="6" t="s">
        <v>515</v>
      </c>
      <c r="K803" s="58">
        <v>3.0</v>
      </c>
      <c r="L803" s="6"/>
      <c r="M803" s="60">
        <v>2.0</v>
      </c>
      <c r="N803" s="61">
        <v>1990.84212621939</v>
      </c>
      <c r="O803" s="61">
        <v>0.859</v>
      </c>
      <c r="P803" s="61">
        <v>0.052</v>
      </c>
      <c r="Q803" s="61">
        <v>-2.706</v>
      </c>
      <c r="R803" s="61">
        <v>0.045</v>
      </c>
      <c r="S803" s="61">
        <v>63.95</v>
      </c>
      <c r="T803" s="61">
        <v>0.165</v>
      </c>
      <c r="U803" s="5"/>
      <c r="V803" s="5"/>
      <c r="W803" s="60">
        <v>0.2431</v>
      </c>
      <c r="X803" s="5"/>
      <c r="Y803" s="106" t="s">
        <v>351</v>
      </c>
      <c r="Z803" s="61">
        <v>13.22</v>
      </c>
      <c r="AA803" s="61">
        <v>0.02</v>
      </c>
      <c r="AB803" s="61">
        <v>11.097</v>
      </c>
      <c r="AC803" s="61">
        <v>0.028</v>
      </c>
      <c r="AD803" s="61">
        <v>10.405</v>
      </c>
      <c r="AE803" s="61">
        <v>0.024</v>
      </c>
      <c r="AF803" s="61">
        <v>10.218</v>
      </c>
      <c r="AG803" s="61">
        <v>0.024</v>
      </c>
      <c r="AH803" s="6"/>
      <c r="AI803" s="6"/>
      <c r="AJ803" s="63" t="s">
        <v>702</v>
      </c>
      <c r="AK803" s="64" t="s">
        <v>216</v>
      </c>
      <c r="AL803" s="64" t="s">
        <v>1631</v>
      </c>
      <c r="AM803" s="64">
        <v>4.0</v>
      </c>
      <c r="AN803" s="102">
        <v>360.0</v>
      </c>
      <c r="AO803" s="13"/>
      <c r="AP803" s="64" t="s">
        <v>1663</v>
      </c>
      <c r="AQ803" s="7"/>
      <c r="AR803" s="78">
        <v>3200.0</v>
      </c>
      <c r="AS803" s="64">
        <v>150.0</v>
      </c>
      <c r="AT803" s="79">
        <v>0.15</v>
      </c>
      <c r="AU803" s="92"/>
      <c r="AV803" s="64">
        <v>0.02</v>
      </c>
      <c r="AW803" s="7"/>
      <c r="AX803" s="97">
        <v>0.46</v>
      </c>
      <c r="AY803" s="13"/>
      <c r="AZ803" s="11" t="s">
        <v>1632</v>
      </c>
      <c r="BA803" s="11" t="s">
        <v>1633</v>
      </c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2"/>
      <c r="DG803" s="12"/>
      <c r="DH803" s="12"/>
      <c r="DI803" s="12"/>
      <c r="DJ803" s="12"/>
      <c r="DK803" s="12"/>
      <c r="DL803" s="12"/>
      <c r="DM803" s="69"/>
      <c r="DN803" s="69"/>
      <c r="DO803" s="69"/>
      <c r="DP803" s="69"/>
      <c r="DQ803" s="11"/>
      <c r="DR803" s="69"/>
      <c r="DS803" s="69"/>
      <c r="DT803" s="69"/>
      <c r="DU803" s="69"/>
      <c r="DV803" s="97">
        <v>-1.97</v>
      </c>
      <c r="DW803" s="10"/>
      <c r="DX803" s="81">
        <v>1.29E-9</v>
      </c>
      <c r="DY803" s="7"/>
      <c r="DZ803" s="64" t="s">
        <v>1634</v>
      </c>
      <c r="EA803" s="72" t="s">
        <v>354</v>
      </c>
      <c r="EB803" s="82" t="s">
        <v>705</v>
      </c>
    </row>
    <row r="804">
      <c r="A804" s="55" t="s">
        <v>1664</v>
      </c>
      <c r="B804" s="55" t="s">
        <v>1665</v>
      </c>
      <c r="C804" s="4"/>
      <c r="D804" s="4"/>
      <c r="E804" s="4"/>
      <c r="F804" s="57" t="s">
        <v>168</v>
      </c>
      <c r="G804" s="58">
        <v>84.50405</v>
      </c>
      <c r="H804" s="58">
        <v>-2.43553</v>
      </c>
      <c r="I804" s="6" t="s">
        <v>350</v>
      </c>
      <c r="J804" s="6" t="s">
        <v>169</v>
      </c>
      <c r="K804" s="58">
        <v>3.0</v>
      </c>
      <c r="L804" s="5"/>
      <c r="M804" s="60">
        <v>2.0</v>
      </c>
      <c r="N804" s="61">
        <v>349.198589237699</v>
      </c>
      <c r="O804" s="61">
        <v>1.749</v>
      </c>
      <c r="P804" s="61">
        <v>0.105</v>
      </c>
      <c r="Q804" s="61">
        <v>-1.328</v>
      </c>
      <c r="R804" s="61">
        <v>0.088</v>
      </c>
      <c r="S804" s="60">
        <v>22.13</v>
      </c>
      <c r="T804" s="60">
        <v>0.252</v>
      </c>
      <c r="U804" s="5"/>
      <c r="V804" s="5"/>
      <c r="W804" s="60">
        <v>0.1311</v>
      </c>
      <c r="X804" s="5"/>
      <c r="Y804" s="109" t="s">
        <v>351</v>
      </c>
      <c r="Z804" s="60">
        <v>15.57</v>
      </c>
      <c r="AA804" s="60">
        <v>0.01</v>
      </c>
      <c r="AB804" s="60">
        <v>12.824</v>
      </c>
      <c r="AC804" s="60">
        <v>0.028</v>
      </c>
      <c r="AD804" s="60">
        <v>12.147</v>
      </c>
      <c r="AE804" s="60">
        <v>0.026</v>
      </c>
      <c r="AF804" s="60">
        <v>11.931</v>
      </c>
      <c r="AG804" s="60">
        <v>0.027</v>
      </c>
      <c r="AH804" s="6"/>
      <c r="AI804" s="6"/>
      <c r="AJ804" s="63" t="s">
        <v>702</v>
      </c>
      <c r="AK804" s="64" t="s">
        <v>216</v>
      </c>
      <c r="AL804" s="64" t="s">
        <v>1631</v>
      </c>
      <c r="AM804" s="64">
        <v>4.0</v>
      </c>
      <c r="AN804" s="102">
        <v>360.0</v>
      </c>
      <c r="AO804" s="13"/>
      <c r="AP804" s="64" t="s">
        <v>1285</v>
      </c>
      <c r="AQ804" s="7"/>
      <c r="AR804" s="78">
        <v>3100.0</v>
      </c>
      <c r="AS804" s="64">
        <v>150.0</v>
      </c>
      <c r="AT804" s="79">
        <v>0.15</v>
      </c>
      <c r="AU804" s="7"/>
      <c r="AV804" s="64">
        <v>0.09</v>
      </c>
      <c r="AW804" s="7"/>
      <c r="AX804" s="73">
        <v>1.04</v>
      </c>
      <c r="AY804" s="7"/>
      <c r="AZ804" s="11" t="s">
        <v>1632</v>
      </c>
      <c r="BA804" s="11" t="s">
        <v>1633</v>
      </c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2"/>
      <c r="DK804" s="12"/>
      <c r="DL804" s="12"/>
      <c r="DM804" s="69"/>
      <c r="DN804" s="69"/>
      <c r="DO804" s="69"/>
      <c r="DP804" s="69"/>
      <c r="DQ804" s="11"/>
      <c r="DR804" s="69"/>
      <c r="DS804" s="69"/>
      <c r="DT804" s="69"/>
      <c r="DU804" s="69"/>
      <c r="DV804" s="97">
        <v>-3.07</v>
      </c>
      <c r="DW804" s="10"/>
      <c r="DX804" s="81">
        <v>2.45E-10</v>
      </c>
      <c r="DY804" s="7"/>
      <c r="DZ804" s="64" t="s">
        <v>1634</v>
      </c>
      <c r="EA804" s="72" t="s">
        <v>354</v>
      </c>
      <c r="EB804" s="82" t="s">
        <v>705</v>
      </c>
    </row>
    <row r="805">
      <c r="A805" s="55" t="s">
        <v>1666</v>
      </c>
      <c r="B805" s="55" t="s">
        <v>1667</v>
      </c>
      <c r="C805" s="3"/>
      <c r="D805" s="3"/>
      <c r="E805" s="3" t="s">
        <v>137</v>
      </c>
      <c r="F805" s="57" t="s">
        <v>168</v>
      </c>
      <c r="G805" s="58">
        <v>84.86163</v>
      </c>
      <c r="H805" s="58">
        <v>-2.71621</v>
      </c>
      <c r="I805" s="6" t="s">
        <v>350</v>
      </c>
      <c r="J805" s="6" t="s">
        <v>515</v>
      </c>
      <c r="K805" s="58">
        <v>3.0</v>
      </c>
      <c r="L805" s="6"/>
      <c r="M805" s="59">
        <v>2.0</v>
      </c>
      <c r="N805" s="61">
        <v>419.023674837628</v>
      </c>
      <c r="O805" s="61">
        <v>1.869</v>
      </c>
      <c r="P805" s="61">
        <v>0.16</v>
      </c>
      <c r="Q805" s="61">
        <v>-0.781</v>
      </c>
      <c r="R805" s="61">
        <v>0.132</v>
      </c>
      <c r="S805" s="60">
        <v>30.8609</v>
      </c>
      <c r="T805" s="60">
        <v>0.280558</v>
      </c>
      <c r="U805" s="5"/>
      <c r="V805" s="5"/>
      <c r="W805" s="60">
        <v>0.2351</v>
      </c>
      <c r="X805" s="5"/>
      <c r="Y805" s="106" t="s">
        <v>351</v>
      </c>
      <c r="Z805" s="60">
        <v>17.25</v>
      </c>
      <c r="AA805" s="60">
        <v>0.06</v>
      </c>
      <c r="AB805" s="60">
        <v>13.178</v>
      </c>
      <c r="AC805" s="60">
        <v>0.027</v>
      </c>
      <c r="AD805" s="60">
        <v>12.399</v>
      </c>
      <c r="AE805" s="60">
        <v>0.026</v>
      </c>
      <c r="AF805" s="60">
        <v>12.118</v>
      </c>
      <c r="AG805" s="60">
        <v>0.024</v>
      </c>
      <c r="AH805" s="6"/>
      <c r="AI805" s="6"/>
      <c r="AJ805" s="63" t="s">
        <v>702</v>
      </c>
      <c r="AK805" s="64" t="s">
        <v>216</v>
      </c>
      <c r="AL805" s="64" t="s">
        <v>1631</v>
      </c>
      <c r="AM805" s="64">
        <v>4.0</v>
      </c>
      <c r="AN805" s="102">
        <v>360.0</v>
      </c>
      <c r="AO805" s="13"/>
      <c r="AP805" s="13"/>
      <c r="AQ805" s="7"/>
      <c r="AR805" s="78">
        <v>3100.0</v>
      </c>
      <c r="AS805" s="64">
        <v>150.0</v>
      </c>
      <c r="AT805" s="79">
        <v>0.15</v>
      </c>
      <c r="AU805" s="92"/>
      <c r="AV805" s="64">
        <v>0.08</v>
      </c>
      <c r="AW805" s="7"/>
      <c r="AX805" s="97">
        <v>0.98</v>
      </c>
      <c r="AY805" s="13"/>
      <c r="AZ805" s="11" t="s">
        <v>1632</v>
      </c>
      <c r="BA805" s="11" t="s">
        <v>1633</v>
      </c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2"/>
      <c r="DG805" s="12"/>
      <c r="DH805" s="12"/>
      <c r="DI805" s="12"/>
      <c r="DJ805" s="12"/>
      <c r="DK805" s="12"/>
      <c r="DL805" s="12"/>
      <c r="DM805" s="69"/>
      <c r="DN805" s="69"/>
      <c r="DO805" s="69"/>
      <c r="DP805" s="69"/>
      <c r="DQ805" s="11"/>
      <c r="DR805" s="69"/>
      <c r="DS805" s="69"/>
      <c r="DT805" s="69"/>
      <c r="DU805" s="69"/>
      <c r="DV805" s="73">
        <v>-3.67</v>
      </c>
      <c r="DW805" s="10"/>
      <c r="DX805" s="81">
        <v>5.62E-11</v>
      </c>
      <c r="DY805" s="7"/>
      <c r="DZ805" s="64" t="s">
        <v>1634</v>
      </c>
      <c r="EA805" s="72" t="s">
        <v>354</v>
      </c>
      <c r="EB805" s="7"/>
    </row>
    <row r="806">
      <c r="A806" s="55" t="s">
        <v>377</v>
      </c>
      <c r="B806" s="55" t="s">
        <v>378</v>
      </c>
      <c r="C806" s="4"/>
      <c r="D806" s="3"/>
      <c r="E806" s="3"/>
      <c r="F806" s="57" t="s">
        <v>168</v>
      </c>
      <c r="G806" s="58">
        <v>84.59823</v>
      </c>
      <c r="H806" s="58">
        <v>-2.34652</v>
      </c>
      <c r="I806" s="6" t="s">
        <v>350</v>
      </c>
      <c r="J806" s="6" t="s">
        <v>169</v>
      </c>
      <c r="K806" s="58">
        <v>3.0</v>
      </c>
      <c r="L806" s="5"/>
      <c r="M806" s="5"/>
      <c r="N806" s="60"/>
      <c r="O806" s="60"/>
      <c r="P806" s="60"/>
      <c r="Q806" s="60"/>
      <c r="R806" s="60"/>
      <c r="S806" s="60">
        <v>29.48</v>
      </c>
      <c r="T806" s="60">
        <v>0.31</v>
      </c>
      <c r="U806" s="5"/>
      <c r="V806" s="5"/>
      <c r="W806" s="60">
        <v>0.1377</v>
      </c>
      <c r="X806" s="5"/>
      <c r="Y806" s="83" t="s">
        <v>351</v>
      </c>
      <c r="Z806" s="60">
        <v>17.14</v>
      </c>
      <c r="AA806" s="60">
        <v>0.03</v>
      </c>
      <c r="AB806" s="60">
        <v>13.412</v>
      </c>
      <c r="AC806" s="60">
        <v>0.026</v>
      </c>
      <c r="AD806" s="60">
        <v>12.799</v>
      </c>
      <c r="AE806" s="60">
        <v>0.029</v>
      </c>
      <c r="AF806" s="60">
        <v>12.49</v>
      </c>
      <c r="AG806" s="60">
        <v>0.03</v>
      </c>
      <c r="AH806" s="6"/>
      <c r="AI806" s="6"/>
      <c r="AJ806" s="63" t="s">
        <v>702</v>
      </c>
      <c r="AK806" s="64" t="s">
        <v>216</v>
      </c>
      <c r="AL806" s="64" t="s">
        <v>1631</v>
      </c>
      <c r="AM806" s="64">
        <v>4.0</v>
      </c>
      <c r="AN806" s="102">
        <v>360.0</v>
      </c>
      <c r="AO806" s="13"/>
      <c r="AP806" s="64" t="s">
        <v>264</v>
      </c>
      <c r="AQ806" s="7"/>
      <c r="AR806" s="78">
        <v>3100.0</v>
      </c>
      <c r="AS806" s="64">
        <v>150.0</v>
      </c>
      <c r="AT806" s="79">
        <v>0.15</v>
      </c>
      <c r="AU806" s="7"/>
      <c r="AV806" s="64">
        <v>0.07</v>
      </c>
      <c r="AW806" s="7"/>
      <c r="AX806" s="73">
        <v>0.92</v>
      </c>
      <c r="AY806" s="7"/>
      <c r="AZ806" s="11" t="s">
        <v>1632</v>
      </c>
      <c r="BA806" s="11" t="s">
        <v>1633</v>
      </c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2"/>
      <c r="DK806" s="12"/>
      <c r="DL806" s="12"/>
      <c r="DM806" s="69"/>
      <c r="DN806" s="69"/>
      <c r="DO806" s="69"/>
      <c r="DP806" s="69"/>
      <c r="DQ806" s="11"/>
      <c r="DR806" s="69"/>
      <c r="DS806" s="69"/>
      <c r="DT806" s="69"/>
      <c r="DU806" s="69"/>
      <c r="DV806" s="73">
        <v>-2.73</v>
      </c>
      <c r="DW806" s="10"/>
      <c r="DX806" s="81">
        <v>4.79E-10</v>
      </c>
      <c r="DY806" s="7"/>
      <c r="DZ806" s="64" t="s">
        <v>1634</v>
      </c>
      <c r="EA806" s="72" t="s">
        <v>354</v>
      </c>
      <c r="EB806" s="7"/>
    </row>
    <row r="807">
      <c r="A807" s="55" t="s">
        <v>407</v>
      </c>
      <c r="B807" s="55" t="s">
        <v>408</v>
      </c>
      <c r="C807" s="4"/>
      <c r="D807" s="3"/>
      <c r="E807" s="3"/>
      <c r="F807" s="57" t="s">
        <v>168</v>
      </c>
      <c r="G807" s="58">
        <v>84.97591</v>
      </c>
      <c r="H807" s="58">
        <v>-2.45913</v>
      </c>
      <c r="I807" s="6" t="s">
        <v>350</v>
      </c>
      <c r="J807" s="6" t="s">
        <v>169</v>
      </c>
      <c r="K807" s="58">
        <v>3.0</v>
      </c>
      <c r="L807" s="5"/>
      <c r="M807" s="60">
        <v>2.0</v>
      </c>
      <c r="N807" s="61">
        <v>381.766816828281</v>
      </c>
      <c r="O807" s="61">
        <v>1.87</v>
      </c>
      <c r="P807" s="61">
        <v>0.196</v>
      </c>
      <c r="Q807" s="61">
        <v>-0.49</v>
      </c>
      <c r="R807" s="61">
        <v>0.182</v>
      </c>
      <c r="S807" s="60"/>
      <c r="T807" s="60"/>
      <c r="U807" s="5"/>
      <c r="V807" s="5"/>
      <c r="W807" s="60">
        <v>0.1823</v>
      </c>
      <c r="X807" s="5"/>
      <c r="Y807" s="106" t="s">
        <v>351</v>
      </c>
      <c r="Z807" s="60">
        <v>16.86</v>
      </c>
      <c r="AA807" s="60">
        <v>0.01</v>
      </c>
      <c r="AB807" s="60">
        <v>13.46</v>
      </c>
      <c r="AC807" s="60">
        <v>0.03</v>
      </c>
      <c r="AD807" s="60">
        <v>12.874</v>
      </c>
      <c r="AE807" s="60">
        <v>0.029</v>
      </c>
      <c r="AF807" s="60">
        <v>12.67</v>
      </c>
      <c r="AG807" s="60">
        <v>0.04</v>
      </c>
      <c r="AH807" s="6"/>
      <c r="AI807" s="5"/>
      <c r="AJ807" s="63" t="s">
        <v>702</v>
      </c>
      <c r="AK807" s="64" t="s">
        <v>216</v>
      </c>
      <c r="AL807" s="64" t="s">
        <v>1631</v>
      </c>
      <c r="AM807" s="64">
        <v>4.0</v>
      </c>
      <c r="AN807" s="102">
        <v>360.0</v>
      </c>
      <c r="AO807" s="13"/>
      <c r="AP807" s="64" t="s">
        <v>402</v>
      </c>
      <c r="AQ807" s="7"/>
      <c r="AR807" s="78">
        <v>3100.0</v>
      </c>
      <c r="AS807" s="64">
        <v>150.0</v>
      </c>
      <c r="AT807" s="79">
        <v>0.16</v>
      </c>
      <c r="AU807" s="7"/>
      <c r="AV807" s="64">
        <v>0.07</v>
      </c>
      <c r="AW807" s="7"/>
      <c r="AX807" s="97">
        <v>0.92</v>
      </c>
      <c r="AY807" s="7"/>
      <c r="AZ807" s="11" t="s">
        <v>1632</v>
      </c>
      <c r="BA807" s="11" t="s">
        <v>1633</v>
      </c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2"/>
      <c r="DK807" s="12"/>
      <c r="DL807" s="12"/>
      <c r="DM807" s="12"/>
      <c r="DN807" s="12"/>
      <c r="DO807" s="12"/>
      <c r="DP807" s="12"/>
      <c r="DQ807" s="11"/>
      <c r="DR807" s="12"/>
      <c r="DS807" s="12"/>
      <c r="DT807" s="12"/>
      <c r="DU807" s="12"/>
      <c r="DV807" s="97">
        <v>-3.47</v>
      </c>
      <c r="DW807" s="10"/>
      <c r="DX807" s="81">
        <v>8.13E-11</v>
      </c>
      <c r="DY807" s="7"/>
      <c r="DZ807" s="64" t="s">
        <v>1634</v>
      </c>
      <c r="EA807" s="72" t="s">
        <v>354</v>
      </c>
      <c r="EB807" s="7"/>
    </row>
    <row r="808">
      <c r="A808" s="55" t="s">
        <v>1668</v>
      </c>
      <c r="B808" s="55" t="s">
        <v>1669</v>
      </c>
      <c r="C808" s="3"/>
      <c r="D808" s="3"/>
      <c r="E808" s="3" t="s">
        <v>1670</v>
      </c>
      <c r="F808" s="57" t="s">
        <v>168</v>
      </c>
      <c r="G808" s="58">
        <v>84.87243</v>
      </c>
      <c r="H808" s="58">
        <v>-2.45586</v>
      </c>
      <c r="I808" s="6" t="s">
        <v>350</v>
      </c>
      <c r="J808" s="6" t="s">
        <v>169</v>
      </c>
      <c r="K808" s="58">
        <v>3.0</v>
      </c>
      <c r="L808" s="6"/>
      <c r="M808" s="60">
        <v>2.0</v>
      </c>
      <c r="N808" s="61">
        <v>387.23667905824</v>
      </c>
      <c r="O808" s="61">
        <v>1.651</v>
      </c>
      <c r="P808" s="61">
        <v>0.103</v>
      </c>
      <c r="Q808" s="61">
        <v>-0.251</v>
      </c>
      <c r="R808" s="61">
        <v>0.099</v>
      </c>
      <c r="S808" s="60">
        <v>32.23</v>
      </c>
      <c r="T808" s="60">
        <v>1.053</v>
      </c>
      <c r="U808" s="5"/>
      <c r="V808" s="5"/>
      <c r="W808" s="60">
        <v>0.1806</v>
      </c>
      <c r="X808" s="5"/>
      <c r="Y808" s="109" t="s">
        <v>351</v>
      </c>
      <c r="Z808" s="60"/>
      <c r="AA808" s="60"/>
      <c r="AB808" s="60">
        <v>12.843</v>
      </c>
      <c r="AC808" s="60">
        <v>0.03</v>
      </c>
      <c r="AD808" s="60">
        <v>12.022</v>
      </c>
      <c r="AE808" s="60">
        <v>0.026</v>
      </c>
      <c r="AF808" s="60">
        <v>11.462</v>
      </c>
      <c r="AG808" s="60">
        <v>0.026</v>
      </c>
      <c r="AH808" s="6"/>
      <c r="AI808" s="6"/>
      <c r="AJ808" s="63" t="s">
        <v>702</v>
      </c>
      <c r="AK808" s="64" t="s">
        <v>216</v>
      </c>
      <c r="AL808" s="64" t="s">
        <v>1631</v>
      </c>
      <c r="AM808" s="64">
        <v>4.0</v>
      </c>
      <c r="AN808" s="102">
        <v>360.0</v>
      </c>
      <c r="AO808" s="13"/>
      <c r="AP808" s="64" t="s">
        <v>713</v>
      </c>
      <c r="AQ808" s="7"/>
      <c r="AR808" s="78">
        <v>3100.0</v>
      </c>
      <c r="AS808" s="64">
        <v>150.0</v>
      </c>
      <c r="AT808" s="79">
        <v>0.17</v>
      </c>
      <c r="AU808" s="92"/>
      <c r="AV808" s="64">
        <v>0.13</v>
      </c>
      <c r="AW808" s="7"/>
      <c r="AX808" s="97">
        <v>1.25</v>
      </c>
      <c r="AY808" s="13"/>
      <c r="AZ808" s="11" t="s">
        <v>1632</v>
      </c>
      <c r="BA808" s="11" t="s">
        <v>1633</v>
      </c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2"/>
      <c r="DG808" s="12"/>
      <c r="DH808" s="12"/>
      <c r="DI808" s="12"/>
      <c r="DJ808" s="12"/>
      <c r="DK808" s="12"/>
      <c r="DL808" s="12"/>
      <c r="DM808" s="69"/>
      <c r="DN808" s="69"/>
      <c r="DO808" s="69"/>
      <c r="DP808" s="69"/>
      <c r="DQ808" s="11"/>
      <c r="DR808" s="69"/>
      <c r="DS808" s="69"/>
      <c r="DT808" s="69"/>
      <c r="DU808" s="69"/>
      <c r="DV808" s="73">
        <v>-1.66</v>
      </c>
      <c r="DW808" s="10"/>
      <c r="DX808" s="81">
        <v>6.61E-9</v>
      </c>
      <c r="DY808" s="7"/>
      <c r="DZ808" s="64" t="s">
        <v>1634</v>
      </c>
      <c r="EA808" s="72" t="s">
        <v>354</v>
      </c>
      <c r="EB808" s="82" t="s">
        <v>705</v>
      </c>
    </row>
    <row r="809">
      <c r="A809" s="55" t="s">
        <v>1671</v>
      </c>
      <c r="B809" s="55" t="s">
        <v>1672</v>
      </c>
      <c r="C809" s="4"/>
      <c r="D809" s="4"/>
      <c r="E809" s="4" t="s">
        <v>137</v>
      </c>
      <c r="F809" s="57" t="s">
        <v>168</v>
      </c>
      <c r="G809" s="58">
        <v>84.69813</v>
      </c>
      <c r="H809" s="58">
        <v>-2.45337</v>
      </c>
      <c r="I809" s="6" t="s">
        <v>350</v>
      </c>
      <c r="J809" s="6" t="s">
        <v>515</v>
      </c>
      <c r="K809" s="58">
        <v>3.0</v>
      </c>
      <c r="L809" s="5"/>
      <c r="M809" s="59">
        <v>2.0</v>
      </c>
      <c r="N809" s="61">
        <v>380.676843427614</v>
      </c>
      <c r="O809" s="61">
        <v>1.339</v>
      </c>
      <c r="P809" s="61">
        <v>0.16</v>
      </c>
      <c r="Q809" s="61">
        <v>-0.585</v>
      </c>
      <c r="R809" s="61">
        <v>0.143</v>
      </c>
      <c r="S809" s="60">
        <v>30.98</v>
      </c>
      <c r="T809" s="60">
        <v>0.812</v>
      </c>
      <c r="U809" s="5"/>
      <c r="V809" s="5"/>
      <c r="W809" s="60">
        <v>0.1735</v>
      </c>
      <c r="X809" s="5"/>
      <c r="Y809" s="106" t="s">
        <v>351</v>
      </c>
      <c r="Z809" s="60">
        <v>16.0</v>
      </c>
      <c r="AA809" s="60">
        <v>0.01</v>
      </c>
      <c r="AB809" s="60">
        <v>12.14</v>
      </c>
      <c r="AC809" s="60">
        <v>0.03</v>
      </c>
      <c r="AD809" s="60">
        <v>11.502</v>
      </c>
      <c r="AE809" s="60">
        <v>0.037</v>
      </c>
      <c r="AF809" s="60">
        <v>11.27</v>
      </c>
      <c r="AG809" s="60">
        <v>0.03</v>
      </c>
      <c r="AH809" s="6"/>
      <c r="AI809" s="6"/>
      <c r="AJ809" s="63" t="s">
        <v>702</v>
      </c>
      <c r="AK809" s="64" t="s">
        <v>216</v>
      </c>
      <c r="AL809" s="64" t="s">
        <v>1631</v>
      </c>
      <c r="AM809" s="64">
        <v>4.0</v>
      </c>
      <c r="AN809" s="102">
        <v>360.0</v>
      </c>
      <c r="AO809" s="13"/>
      <c r="AP809" s="64" t="s">
        <v>371</v>
      </c>
      <c r="AQ809" s="7"/>
      <c r="AR809" s="78">
        <v>3100.0</v>
      </c>
      <c r="AS809" s="64">
        <v>150.0</v>
      </c>
      <c r="AT809" s="79">
        <v>0.2</v>
      </c>
      <c r="AU809" s="7"/>
      <c r="AV809" s="64">
        <v>0.25</v>
      </c>
      <c r="AW809" s="7"/>
      <c r="AX809" s="73">
        <v>1.74</v>
      </c>
      <c r="AY809" s="7"/>
      <c r="AZ809" s="11" t="s">
        <v>1632</v>
      </c>
      <c r="BA809" s="11" t="s">
        <v>1633</v>
      </c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2"/>
      <c r="DK809" s="12"/>
      <c r="DL809" s="12"/>
      <c r="DM809" s="69"/>
      <c r="DN809" s="69"/>
      <c r="DO809" s="69"/>
      <c r="DP809" s="69"/>
      <c r="DQ809" s="11"/>
      <c r="DR809" s="69"/>
      <c r="DS809" s="69"/>
      <c r="DT809" s="69"/>
      <c r="DU809" s="69"/>
      <c r="DV809" s="97">
        <v>-3.08</v>
      </c>
      <c r="DW809" s="10"/>
      <c r="DX809" s="81">
        <v>2.95E-10</v>
      </c>
      <c r="DY809" s="7"/>
      <c r="DZ809" s="64" t="s">
        <v>1634</v>
      </c>
      <c r="EA809" s="72" t="s">
        <v>354</v>
      </c>
      <c r="EB809" s="7"/>
    </row>
    <row r="810">
      <c r="A810" s="55" t="s">
        <v>1673</v>
      </c>
      <c r="B810" s="55" t="s">
        <v>1674</v>
      </c>
      <c r="C810" s="4"/>
      <c r="D810" s="3"/>
      <c r="E810" s="3"/>
      <c r="F810" s="57" t="s">
        <v>168</v>
      </c>
      <c r="G810" s="58">
        <v>84.58536</v>
      </c>
      <c r="H810" s="58">
        <v>-2.5691</v>
      </c>
      <c r="I810" s="6" t="s">
        <v>350</v>
      </c>
      <c r="J810" s="6" t="s">
        <v>169</v>
      </c>
      <c r="K810" s="58">
        <v>3.0</v>
      </c>
      <c r="L810" s="5"/>
      <c r="M810" s="59">
        <v>2.0</v>
      </c>
      <c r="N810" s="61">
        <v>342.688735821253</v>
      </c>
      <c r="O810" s="61">
        <v>1.204</v>
      </c>
      <c r="P810" s="61">
        <v>0.276</v>
      </c>
      <c r="Q810" s="61">
        <v>-0.488</v>
      </c>
      <c r="R810" s="61">
        <v>0.226</v>
      </c>
      <c r="S810" s="60">
        <v>30.19</v>
      </c>
      <c r="T810" s="60">
        <v>0.333</v>
      </c>
      <c r="U810" s="6"/>
      <c r="V810" s="5"/>
      <c r="W810" s="60">
        <v>0.1623</v>
      </c>
      <c r="X810" s="5"/>
      <c r="Y810" s="106" t="s">
        <v>351</v>
      </c>
      <c r="Z810" s="60">
        <v>17.68</v>
      </c>
      <c r="AA810" s="60">
        <v>0.01</v>
      </c>
      <c r="AB810" s="60">
        <v>12.652</v>
      </c>
      <c r="AC810" s="60">
        <v>0.026</v>
      </c>
      <c r="AD810" s="60">
        <v>11.918</v>
      </c>
      <c r="AE810" s="60">
        <v>0.023</v>
      </c>
      <c r="AF810" s="60">
        <v>11.648</v>
      </c>
      <c r="AG810" s="60">
        <v>0.019</v>
      </c>
      <c r="AH810" s="6"/>
      <c r="AI810" s="6"/>
      <c r="AJ810" s="63" t="s">
        <v>702</v>
      </c>
      <c r="AK810" s="64" t="s">
        <v>216</v>
      </c>
      <c r="AL810" s="64" t="s">
        <v>1631</v>
      </c>
      <c r="AM810" s="73">
        <v>4.0</v>
      </c>
      <c r="AN810" s="102">
        <v>360.0</v>
      </c>
      <c r="AO810" s="13"/>
      <c r="AP810" s="64" t="s">
        <v>1675</v>
      </c>
      <c r="AQ810" s="7"/>
      <c r="AR810" s="78">
        <v>3200.0</v>
      </c>
      <c r="AS810" s="64">
        <v>150.0</v>
      </c>
      <c r="AT810" s="79">
        <v>0.2</v>
      </c>
      <c r="AU810" s="7"/>
      <c r="AV810" s="70">
        <v>0.15</v>
      </c>
      <c r="AW810" s="7"/>
      <c r="AX810" s="73">
        <v>1.26</v>
      </c>
      <c r="AY810" s="7"/>
      <c r="AZ810" s="11" t="s">
        <v>1632</v>
      </c>
      <c r="BA810" s="11" t="s">
        <v>1633</v>
      </c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2"/>
      <c r="DK810" s="12"/>
      <c r="DL810" s="12"/>
      <c r="DM810" s="69"/>
      <c r="DN810" s="69"/>
      <c r="DO810" s="69"/>
      <c r="DP810" s="69"/>
      <c r="DQ810" s="11"/>
      <c r="DR810" s="69"/>
      <c r="DS810" s="69"/>
      <c r="DT810" s="69"/>
      <c r="DU810" s="69"/>
      <c r="DV810" s="73">
        <v>-3.08</v>
      </c>
      <c r="DW810" s="10"/>
      <c r="DX810" s="81">
        <v>2.14E-10</v>
      </c>
      <c r="DY810" s="7"/>
      <c r="DZ810" s="64" t="s">
        <v>1634</v>
      </c>
      <c r="EA810" s="72" t="s">
        <v>354</v>
      </c>
      <c r="EB810" s="82" t="s">
        <v>1676</v>
      </c>
    </row>
    <row r="811">
      <c r="A811" s="55" t="s">
        <v>1677</v>
      </c>
      <c r="B811" s="55" t="s">
        <v>1678</v>
      </c>
      <c r="C811" s="4"/>
      <c r="D811" s="3"/>
      <c r="E811" s="3" t="s">
        <v>137</v>
      </c>
      <c r="F811" s="57" t="s">
        <v>168</v>
      </c>
      <c r="G811" s="58">
        <v>84.66877</v>
      </c>
      <c r="H811" s="58">
        <v>-2.55761</v>
      </c>
      <c r="I811" s="6" t="s">
        <v>350</v>
      </c>
      <c r="J811" s="6" t="s">
        <v>169</v>
      </c>
      <c r="K811" s="58">
        <v>3.0</v>
      </c>
      <c r="L811" s="5"/>
      <c r="M811" s="59">
        <v>2.0</v>
      </c>
      <c r="N811" s="61">
        <v>372.106869092803</v>
      </c>
      <c r="O811" s="61">
        <v>0.744</v>
      </c>
      <c r="P811" s="61">
        <v>0.165</v>
      </c>
      <c r="Q811" s="61">
        <v>0.0</v>
      </c>
      <c r="R811" s="61">
        <v>0.148</v>
      </c>
      <c r="S811" s="60">
        <v>31.9293</v>
      </c>
      <c r="T811" s="60">
        <v>0.272634</v>
      </c>
      <c r="U811" s="5"/>
      <c r="V811" s="5"/>
      <c r="W811" s="60">
        <v>0.1889</v>
      </c>
      <c r="X811" s="5"/>
      <c r="Y811" s="106" t="s">
        <v>351</v>
      </c>
      <c r="Z811" s="60">
        <v>16.28</v>
      </c>
      <c r="AA811" s="60">
        <v>0.01</v>
      </c>
      <c r="AB811" s="60">
        <v>12.795</v>
      </c>
      <c r="AC811" s="60">
        <v>0.027</v>
      </c>
      <c r="AD811" s="60">
        <v>12.125</v>
      </c>
      <c r="AE811" s="60">
        <v>0.024</v>
      </c>
      <c r="AF811" s="60">
        <v>11.858</v>
      </c>
      <c r="AG811" s="60">
        <v>0.025</v>
      </c>
      <c r="AH811" s="6"/>
      <c r="AI811" s="6"/>
      <c r="AJ811" s="63" t="s">
        <v>702</v>
      </c>
      <c r="AK811" s="64" t="s">
        <v>216</v>
      </c>
      <c r="AL811" s="64" t="s">
        <v>1631</v>
      </c>
      <c r="AM811" s="64">
        <v>4.0</v>
      </c>
      <c r="AN811" s="102">
        <v>360.0</v>
      </c>
      <c r="AO811" s="13"/>
      <c r="AP811" s="13"/>
      <c r="AQ811" s="7"/>
      <c r="AR811" s="78">
        <v>3200.0</v>
      </c>
      <c r="AS811" s="64">
        <v>150.0</v>
      </c>
      <c r="AT811" s="79">
        <v>0.2</v>
      </c>
      <c r="AU811" s="7"/>
      <c r="AV811" s="64">
        <v>0.14</v>
      </c>
      <c r="AW811" s="7"/>
      <c r="AX811" s="73">
        <v>1.22</v>
      </c>
      <c r="AY811" s="7"/>
      <c r="AZ811" s="11" t="s">
        <v>1632</v>
      </c>
      <c r="BA811" s="11" t="s">
        <v>1633</v>
      </c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2"/>
      <c r="DK811" s="12"/>
      <c r="DL811" s="12"/>
      <c r="DM811" s="69"/>
      <c r="DN811" s="69"/>
      <c r="DO811" s="69"/>
      <c r="DP811" s="69"/>
      <c r="DQ811" s="11"/>
      <c r="DR811" s="69"/>
      <c r="DS811" s="69"/>
      <c r="DT811" s="69"/>
      <c r="DU811" s="69"/>
      <c r="DV811" s="73">
        <v>-3.2</v>
      </c>
      <c r="DW811" s="10"/>
      <c r="DX811" s="81">
        <v>1.51E-10</v>
      </c>
      <c r="DY811" s="7"/>
      <c r="DZ811" s="64" t="s">
        <v>1634</v>
      </c>
      <c r="EA811" s="72" t="s">
        <v>354</v>
      </c>
      <c r="EB811" s="7"/>
    </row>
    <row r="812">
      <c r="A812" s="55" t="s">
        <v>1679</v>
      </c>
      <c r="B812" s="55" t="s">
        <v>1680</v>
      </c>
      <c r="C812" s="4"/>
      <c r="D812" s="3"/>
      <c r="E812" s="3"/>
      <c r="F812" s="57" t="s">
        <v>168</v>
      </c>
      <c r="G812" s="58">
        <v>84.92999</v>
      </c>
      <c r="H812" s="58">
        <v>-2.54543</v>
      </c>
      <c r="I812" s="6" t="s">
        <v>350</v>
      </c>
      <c r="J812" s="6" t="s">
        <v>169</v>
      </c>
      <c r="K812" s="58">
        <v>3.0</v>
      </c>
      <c r="L812" s="6"/>
      <c r="M812" s="60">
        <v>2.0</v>
      </c>
      <c r="N812" s="61">
        <v>362.818373122414</v>
      </c>
      <c r="O812" s="61">
        <v>1.823</v>
      </c>
      <c r="P812" s="61">
        <v>0.14</v>
      </c>
      <c r="Q812" s="61">
        <v>-0.344</v>
      </c>
      <c r="R812" s="61">
        <v>0.13</v>
      </c>
      <c r="S812" s="60">
        <v>32.464</v>
      </c>
      <c r="T812" s="60">
        <v>0.215912</v>
      </c>
      <c r="U812" s="6"/>
      <c r="V812" s="5"/>
      <c r="W812" s="60">
        <v>0.1829</v>
      </c>
      <c r="X812" s="5"/>
      <c r="Y812" s="106" t="s">
        <v>351</v>
      </c>
      <c r="Z812" s="60">
        <v>16.45</v>
      </c>
      <c r="AA812" s="60">
        <v>0.03</v>
      </c>
      <c r="AB812" s="60">
        <v>13.032</v>
      </c>
      <c r="AC812" s="60">
        <v>0.026</v>
      </c>
      <c r="AD812" s="60">
        <v>12.299</v>
      </c>
      <c r="AE812" s="60">
        <v>0.024</v>
      </c>
      <c r="AF812" s="60">
        <v>11.913</v>
      </c>
      <c r="AG812" s="60">
        <v>0.021</v>
      </c>
      <c r="AH812" s="6"/>
      <c r="AI812" s="6"/>
      <c r="AJ812" s="63" t="s">
        <v>702</v>
      </c>
      <c r="AK812" s="64" t="s">
        <v>216</v>
      </c>
      <c r="AL812" s="64" t="s">
        <v>1631</v>
      </c>
      <c r="AM812" s="73">
        <v>4.0</v>
      </c>
      <c r="AN812" s="102">
        <v>360.0</v>
      </c>
      <c r="AO812" s="7"/>
      <c r="AP812" s="64" t="s">
        <v>402</v>
      </c>
      <c r="AQ812" s="7"/>
      <c r="AR812" s="78">
        <v>3200.0</v>
      </c>
      <c r="AS812" s="64">
        <v>150.0</v>
      </c>
      <c r="AT812" s="79">
        <v>0.2</v>
      </c>
      <c r="AU812" s="7"/>
      <c r="AV812" s="64">
        <v>0.1</v>
      </c>
      <c r="AW812" s="7"/>
      <c r="AX812" s="97">
        <v>1.03</v>
      </c>
      <c r="AY812" s="7"/>
      <c r="AZ812" s="11" t="s">
        <v>1632</v>
      </c>
      <c r="BA812" s="11" t="s">
        <v>1633</v>
      </c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2"/>
      <c r="DG812" s="12"/>
      <c r="DH812" s="12"/>
      <c r="DI812" s="12"/>
      <c r="DJ812" s="12"/>
      <c r="DK812" s="12"/>
      <c r="DL812" s="12"/>
      <c r="DM812" s="69"/>
      <c r="DN812" s="69"/>
      <c r="DO812" s="69"/>
      <c r="DP812" s="69"/>
      <c r="DQ812" s="11"/>
      <c r="DR812" s="69"/>
      <c r="DS812" s="69"/>
      <c r="DT812" s="69"/>
      <c r="DU812" s="69"/>
      <c r="DV812" s="97">
        <v>-3.12</v>
      </c>
      <c r="DW812" s="10"/>
      <c r="DX812" s="81">
        <v>1.62E-10</v>
      </c>
      <c r="DY812" s="7"/>
      <c r="DZ812" s="64" t="s">
        <v>1634</v>
      </c>
      <c r="EA812" s="72" t="s">
        <v>354</v>
      </c>
      <c r="EB812" s="7"/>
    </row>
    <row r="813">
      <c r="A813" s="55" t="s">
        <v>700</v>
      </c>
      <c r="B813" s="55" t="s">
        <v>701</v>
      </c>
      <c r="C813" s="4"/>
      <c r="D813" s="4"/>
      <c r="E813" s="4"/>
      <c r="F813" s="57" t="s">
        <v>168</v>
      </c>
      <c r="G813" s="58">
        <v>84.78665</v>
      </c>
      <c r="H813" s="58">
        <v>-2.51992</v>
      </c>
      <c r="I813" s="6" t="s">
        <v>350</v>
      </c>
      <c r="J813" s="6" t="s">
        <v>515</v>
      </c>
      <c r="K813" s="58">
        <v>3.0</v>
      </c>
      <c r="L813" s="5"/>
      <c r="M813" s="59">
        <v>2.0</v>
      </c>
      <c r="N813" s="61">
        <v>335.334160490929</v>
      </c>
      <c r="O813" s="61">
        <v>1.095</v>
      </c>
      <c r="P813" s="61">
        <v>0.169</v>
      </c>
      <c r="Q813" s="61">
        <v>-0.093</v>
      </c>
      <c r="R813" s="61">
        <v>0.148</v>
      </c>
      <c r="S813" s="60">
        <v>31.19</v>
      </c>
      <c r="T813" s="60">
        <v>0.235</v>
      </c>
      <c r="U813" s="5"/>
      <c r="V813" s="5"/>
      <c r="W813" s="60">
        <v>0.192</v>
      </c>
      <c r="X813" s="5"/>
      <c r="Y813" s="106" t="s">
        <v>351</v>
      </c>
      <c r="Z813" s="60">
        <v>16.82</v>
      </c>
      <c r="AA813" s="60">
        <v>0.01</v>
      </c>
      <c r="AB813" s="60">
        <v>13.036</v>
      </c>
      <c r="AC813" s="60">
        <v>0.027</v>
      </c>
      <c r="AD813" s="60">
        <v>12.156</v>
      </c>
      <c r="AE813" s="60">
        <v>0.024</v>
      </c>
      <c r="AF813" s="60">
        <v>11.702</v>
      </c>
      <c r="AG813" s="60">
        <v>0.023</v>
      </c>
      <c r="AH813" s="6"/>
      <c r="AI813" s="6"/>
      <c r="AJ813" s="63" t="s">
        <v>702</v>
      </c>
      <c r="AK813" s="64" t="s">
        <v>216</v>
      </c>
      <c r="AL813" s="64" t="s">
        <v>1631</v>
      </c>
      <c r="AM813" s="64">
        <v>4.0</v>
      </c>
      <c r="AN813" s="102">
        <v>360.0</v>
      </c>
      <c r="AO813" s="13"/>
      <c r="AP813" s="64" t="s">
        <v>704</v>
      </c>
      <c r="AQ813" s="7"/>
      <c r="AR813" s="78">
        <v>3200.0</v>
      </c>
      <c r="AS813" s="64">
        <v>150.0</v>
      </c>
      <c r="AT813" s="79">
        <v>0.2</v>
      </c>
      <c r="AU813" s="7"/>
      <c r="AV813" s="64">
        <v>0.1</v>
      </c>
      <c r="AW813" s="7"/>
      <c r="AX813" s="73">
        <v>1.03</v>
      </c>
      <c r="AY813" s="7"/>
      <c r="AZ813" s="11" t="s">
        <v>1632</v>
      </c>
      <c r="BA813" s="11" t="s">
        <v>1633</v>
      </c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2"/>
      <c r="DK813" s="12"/>
      <c r="DL813" s="12"/>
      <c r="DM813" s="69"/>
      <c r="DN813" s="69"/>
      <c r="DO813" s="69"/>
      <c r="DP813" s="69"/>
      <c r="DQ813" s="11"/>
      <c r="DR813" s="69"/>
      <c r="DS813" s="69"/>
      <c r="DT813" s="69"/>
      <c r="DU813" s="69"/>
      <c r="DV813" s="97">
        <v>-2.68</v>
      </c>
      <c r="DW813" s="10"/>
      <c r="DX813" s="81">
        <v>4.27E-10</v>
      </c>
      <c r="DY813" s="7"/>
      <c r="DZ813" s="64" t="s">
        <v>1634</v>
      </c>
      <c r="EA813" s="72" t="s">
        <v>354</v>
      </c>
      <c r="EB813" s="82" t="s">
        <v>705</v>
      </c>
    </row>
    <row r="814">
      <c r="A814" s="55" t="s">
        <v>1681</v>
      </c>
      <c r="B814" s="55" t="s">
        <v>1682</v>
      </c>
      <c r="C814" s="4"/>
      <c r="D814" s="4"/>
      <c r="E814" s="4" t="s">
        <v>137</v>
      </c>
      <c r="F814" s="57" t="s">
        <v>168</v>
      </c>
      <c r="G814" s="58">
        <v>85.00426</v>
      </c>
      <c r="H814" s="58">
        <v>-2.33333</v>
      </c>
      <c r="I814" s="6" t="s">
        <v>350</v>
      </c>
      <c r="J814" s="6" t="s">
        <v>515</v>
      </c>
      <c r="K814" s="58">
        <v>3.0</v>
      </c>
      <c r="L814" s="5"/>
      <c r="M814" s="60">
        <v>2.0</v>
      </c>
      <c r="N814" s="61">
        <v>403.372191521116</v>
      </c>
      <c r="O814" s="61">
        <v>2.201</v>
      </c>
      <c r="P814" s="61">
        <v>0.171</v>
      </c>
      <c r="Q814" s="61">
        <v>-0.4</v>
      </c>
      <c r="R814" s="61">
        <v>0.173</v>
      </c>
      <c r="S814" s="60">
        <v>30.8</v>
      </c>
      <c r="T814" s="60">
        <v>0.9</v>
      </c>
      <c r="U814" s="5"/>
      <c r="V814" s="5"/>
      <c r="W814" s="60">
        <v>0.1981</v>
      </c>
      <c r="X814" s="5"/>
      <c r="Y814" s="83" t="s">
        <v>351</v>
      </c>
      <c r="Z814" s="60">
        <v>17.08</v>
      </c>
      <c r="AA814" s="60">
        <v>0.03</v>
      </c>
      <c r="AB814" s="60">
        <v>13.096</v>
      </c>
      <c r="AC814" s="60">
        <v>0.028</v>
      </c>
      <c r="AD814" s="60">
        <v>12.501</v>
      </c>
      <c r="AE814" s="60">
        <v>0.023</v>
      </c>
      <c r="AF814" s="60">
        <v>12.249</v>
      </c>
      <c r="AG814" s="60">
        <v>0.025</v>
      </c>
      <c r="AH814" s="6"/>
      <c r="AI814" s="5"/>
      <c r="AJ814" s="63" t="s">
        <v>702</v>
      </c>
      <c r="AK814" s="64" t="s">
        <v>216</v>
      </c>
      <c r="AL814" s="64" t="s">
        <v>1631</v>
      </c>
      <c r="AM814" s="64">
        <v>4.0</v>
      </c>
      <c r="AN814" s="102">
        <v>360.0</v>
      </c>
      <c r="AO814" s="13"/>
      <c r="AP814" s="13"/>
      <c r="AQ814" s="7"/>
      <c r="AR814" s="78">
        <v>3200.0</v>
      </c>
      <c r="AS814" s="64">
        <v>150.0</v>
      </c>
      <c r="AT814" s="79">
        <v>0.2</v>
      </c>
      <c r="AU814" s="7"/>
      <c r="AV814" s="64">
        <v>0.07</v>
      </c>
      <c r="AW814" s="7"/>
      <c r="AX814" s="97">
        <v>0.86</v>
      </c>
      <c r="AY814" s="7"/>
      <c r="AZ814" s="11" t="s">
        <v>1632</v>
      </c>
      <c r="BA814" s="11" t="s">
        <v>1633</v>
      </c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2"/>
      <c r="DK814" s="12"/>
      <c r="DL814" s="12"/>
      <c r="DM814" s="69"/>
      <c r="DN814" s="69"/>
      <c r="DO814" s="69"/>
      <c r="DP814" s="69"/>
      <c r="DQ814" s="11"/>
      <c r="DR814" s="69"/>
      <c r="DS814" s="69"/>
      <c r="DT814" s="69"/>
      <c r="DU814" s="69"/>
      <c r="DV814" s="97">
        <v>-3.51</v>
      </c>
      <c r="DW814" s="10"/>
      <c r="DX814" s="81">
        <v>5.62E-11</v>
      </c>
      <c r="DY814" s="7"/>
      <c r="DZ814" s="64" t="s">
        <v>1634</v>
      </c>
      <c r="EA814" s="72" t="s">
        <v>354</v>
      </c>
      <c r="EB814" s="7"/>
    </row>
    <row r="815">
      <c r="A815" s="196" t="s">
        <v>1683</v>
      </c>
      <c r="B815" s="197" t="s">
        <v>1684</v>
      </c>
      <c r="C815" s="4"/>
      <c r="D815" s="3"/>
      <c r="E815" s="3"/>
      <c r="F815" s="57" t="s">
        <v>168</v>
      </c>
      <c r="G815" s="58">
        <v>84.6441</v>
      </c>
      <c r="H815" s="58">
        <v>-2.68572</v>
      </c>
      <c r="I815" s="6" t="s">
        <v>350</v>
      </c>
      <c r="J815" s="6" t="s">
        <v>169</v>
      </c>
      <c r="K815" s="58">
        <v>3.0</v>
      </c>
      <c r="L815" s="59"/>
      <c r="M815" s="59">
        <v>2.0</v>
      </c>
      <c r="N815" s="61">
        <v>401.65481784954</v>
      </c>
      <c r="O815" s="61">
        <v>1.135</v>
      </c>
      <c r="P815" s="61">
        <v>0.172</v>
      </c>
      <c r="Q815" s="61">
        <v>-0.699</v>
      </c>
      <c r="R815" s="61">
        <v>0.138</v>
      </c>
      <c r="S815" s="60">
        <v>30.88</v>
      </c>
      <c r="T815" s="60">
        <v>0.59</v>
      </c>
      <c r="U815" s="5"/>
      <c r="V815" s="5"/>
      <c r="W815" s="60">
        <v>0.2057</v>
      </c>
      <c r="X815" s="5"/>
      <c r="Y815" s="109" t="s">
        <v>351</v>
      </c>
      <c r="Z815" s="60">
        <v>16.62</v>
      </c>
      <c r="AA815" s="60">
        <v>0.01</v>
      </c>
      <c r="AB815" s="60">
        <v>13.103</v>
      </c>
      <c r="AC815" s="60">
        <v>0.028</v>
      </c>
      <c r="AD815" s="60">
        <v>12.454</v>
      </c>
      <c r="AE815" s="60">
        <v>0.023</v>
      </c>
      <c r="AF815" s="60">
        <v>12.123</v>
      </c>
      <c r="AG815" s="60">
        <v>0.027</v>
      </c>
      <c r="AH815" s="6"/>
      <c r="AI815" s="6"/>
      <c r="AJ815" s="63" t="s">
        <v>702</v>
      </c>
      <c r="AK815" s="64" t="s">
        <v>216</v>
      </c>
      <c r="AL815" s="64" t="s">
        <v>203</v>
      </c>
      <c r="AM815" s="64">
        <v>4.0</v>
      </c>
      <c r="AN815" s="102">
        <v>360.0</v>
      </c>
      <c r="AO815" s="13"/>
      <c r="AP815" s="64" t="s">
        <v>1685</v>
      </c>
      <c r="AQ815" s="7"/>
      <c r="AR815" s="78">
        <v>3200.0</v>
      </c>
      <c r="AS815" s="64">
        <v>150.0</v>
      </c>
      <c r="AT815" s="79">
        <v>0.2</v>
      </c>
      <c r="AU815" s="7"/>
      <c r="AV815" s="70">
        <v>0.11</v>
      </c>
      <c r="AW815" s="7"/>
      <c r="AX815" s="73">
        <v>1.08</v>
      </c>
      <c r="AY815" s="7"/>
      <c r="AZ815" s="11" t="s">
        <v>1632</v>
      </c>
      <c r="BA815" s="11" t="s">
        <v>1633</v>
      </c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2"/>
      <c r="DK815" s="12"/>
      <c r="DL815" s="12"/>
      <c r="DM815" s="69"/>
      <c r="DN815" s="69"/>
      <c r="DO815" s="69"/>
      <c r="DP815" s="69"/>
      <c r="DQ815" s="11"/>
      <c r="DR815" s="69"/>
      <c r="DS815" s="69"/>
      <c r="DT815" s="69"/>
      <c r="DU815" s="69"/>
      <c r="DV815" s="73">
        <v>-3.09</v>
      </c>
      <c r="DW815" s="10"/>
      <c r="DX815" s="81">
        <v>1.78E-10</v>
      </c>
      <c r="DY815" s="7"/>
      <c r="DZ815" s="64" t="s">
        <v>1634</v>
      </c>
      <c r="EA815" s="72" t="s">
        <v>354</v>
      </c>
      <c r="EB815" s="82" t="s">
        <v>705</v>
      </c>
    </row>
    <row r="816">
      <c r="A816" s="55" t="s">
        <v>1686</v>
      </c>
      <c r="B816" s="55" t="s">
        <v>1687</v>
      </c>
      <c r="C816" s="4"/>
      <c r="D816" s="4"/>
      <c r="E816" s="4" t="s">
        <v>137</v>
      </c>
      <c r="F816" s="57" t="s">
        <v>168</v>
      </c>
      <c r="G816" s="58">
        <v>84.57401</v>
      </c>
      <c r="H816" s="58">
        <v>-2.68056</v>
      </c>
      <c r="I816" s="6" t="s">
        <v>350</v>
      </c>
      <c r="J816" s="6" t="s">
        <v>169</v>
      </c>
      <c r="K816" s="58">
        <v>3.0</v>
      </c>
      <c r="L816" s="5"/>
      <c r="M816" s="5"/>
      <c r="N816" s="60"/>
      <c r="O816" s="60"/>
      <c r="P816" s="60"/>
      <c r="Q816" s="60"/>
      <c r="R816" s="60"/>
      <c r="S816" s="60"/>
      <c r="T816" s="60"/>
      <c r="U816" s="5"/>
      <c r="V816" s="5"/>
      <c r="W816" s="60">
        <v>0.1707</v>
      </c>
      <c r="X816" s="5"/>
      <c r="Y816" s="109" t="s">
        <v>351</v>
      </c>
      <c r="Z816" s="60">
        <v>16.76</v>
      </c>
      <c r="AA816" s="60">
        <v>0.01</v>
      </c>
      <c r="AB816" s="60">
        <v>13.204</v>
      </c>
      <c r="AC816" s="60">
        <v>0.027</v>
      </c>
      <c r="AD816" s="60">
        <v>12.583</v>
      </c>
      <c r="AE816" s="60">
        <v>0.024</v>
      </c>
      <c r="AF816" s="60">
        <v>12.241</v>
      </c>
      <c r="AG816" s="60">
        <v>0.021</v>
      </c>
      <c r="AH816" s="6"/>
      <c r="AI816" s="6"/>
      <c r="AJ816" s="63" t="s">
        <v>702</v>
      </c>
      <c r="AK816" s="64" t="s">
        <v>216</v>
      </c>
      <c r="AL816" s="64" t="s">
        <v>1631</v>
      </c>
      <c r="AM816" s="64">
        <v>4.0</v>
      </c>
      <c r="AN816" s="102">
        <v>360.0</v>
      </c>
      <c r="AO816" s="13"/>
      <c r="AP816" s="64" t="s">
        <v>288</v>
      </c>
      <c r="AQ816" s="7"/>
      <c r="AR816" s="78">
        <v>3200.0</v>
      </c>
      <c r="AS816" s="64">
        <v>150.0</v>
      </c>
      <c r="AT816" s="79">
        <v>0.2</v>
      </c>
      <c r="AU816" s="7"/>
      <c r="AV816" s="64">
        <v>0.09</v>
      </c>
      <c r="AW816" s="7"/>
      <c r="AX816" s="73">
        <v>0.98</v>
      </c>
      <c r="AY816" s="7"/>
      <c r="AZ816" s="11" t="s">
        <v>1632</v>
      </c>
      <c r="BA816" s="11" t="s">
        <v>1633</v>
      </c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2"/>
      <c r="DK816" s="12"/>
      <c r="DL816" s="12"/>
      <c r="DM816" s="69"/>
      <c r="DN816" s="69"/>
      <c r="DO816" s="69"/>
      <c r="DP816" s="69"/>
      <c r="DQ816" s="11"/>
      <c r="DR816" s="69"/>
      <c r="DS816" s="69"/>
      <c r="DT816" s="69"/>
      <c r="DU816" s="69"/>
      <c r="DV816" s="73">
        <v>-3.38</v>
      </c>
      <c r="DW816" s="10"/>
      <c r="DX816" s="81">
        <v>8.51E-11</v>
      </c>
      <c r="DY816" s="7"/>
      <c r="DZ816" s="64" t="s">
        <v>1634</v>
      </c>
      <c r="EA816" s="72" t="s">
        <v>354</v>
      </c>
      <c r="EB816" s="82" t="s">
        <v>705</v>
      </c>
    </row>
    <row r="817">
      <c r="A817" s="55" t="s">
        <v>1688</v>
      </c>
      <c r="B817" s="55" t="s">
        <v>1689</v>
      </c>
      <c r="C817" s="4"/>
      <c r="D817" s="3"/>
      <c r="E817" s="3"/>
      <c r="F817" s="57" t="s">
        <v>168</v>
      </c>
      <c r="G817" s="58">
        <v>84.95609</v>
      </c>
      <c r="H817" s="58">
        <v>-2.39614</v>
      </c>
      <c r="I817" s="6" t="s">
        <v>350</v>
      </c>
      <c r="J817" s="6" t="s">
        <v>169</v>
      </c>
      <c r="K817" s="58">
        <v>3.0</v>
      </c>
      <c r="L817" s="6"/>
      <c r="M817" s="60">
        <v>2.0</v>
      </c>
      <c r="N817" s="61">
        <v>436.395374209033</v>
      </c>
      <c r="O817" s="61">
        <v>2.387</v>
      </c>
      <c r="P817" s="61">
        <v>0.159</v>
      </c>
      <c r="Q817" s="61">
        <v>-0.021</v>
      </c>
      <c r="R817" s="61">
        <v>0.152</v>
      </c>
      <c r="S817" s="60"/>
      <c r="T817" s="60"/>
      <c r="U817" s="5"/>
      <c r="V817" s="5"/>
      <c r="W817" s="60">
        <v>0.1821</v>
      </c>
      <c r="X817" s="5"/>
      <c r="Y817" s="109" t="s">
        <v>351</v>
      </c>
      <c r="Z817" s="60">
        <v>16.86</v>
      </c>
      <c r="AA817" s="60">
        <v>0.04</v>
      </c>
      <c r="AB817" s="60">
        <v>13.4</v>
      </c>
      <c r="AC817" s="60">
        <v>0.03</v>
      </c>
      <c r="AD817" s="60">
        <v>12.76</v>
      </c>
      <c r="AE817" s="60">
        <v>0.03</v>
      </c>
      <c r="AF817" s="60">
        <v>12.44</v>
      </c>
      <c r="AG817" s="60">
        <v>0.03</v>
      </c>
      <c r="AH817" s="6"/>
      <c r="AI817" s="6"/>
      <c r="AJ817" s="63" t="s">
        <v>702</v>
      </c>
      <c r="AK817" s="64" t="s">
        <v>216</v>
      </c>
      <c r="AL817" s="64" t="s">
        <v>1631</v>
      </c>
      <c r="AM817" s="64">
        <v>4.0</v>
      </c>
      <c r="AN817" s="102">
        <v>360.0</v>
      </c>
      <c r="AO817" s="7"/>
      <c r="AP817" s="64" t="s">
        <v>395</v>
      </c>
      <c r="AQ817" s="7"/>
      <c r="AR817" s="78">
        <v>3200.0</v>
      </c>
      <c r="AS817" s="64">
        <v>150.0</v>
      </c>
      <c r="AT817" s="79">
        <v>0.2</v>
      </c>
      <c r="AU817" s="7"/>
      <c r="AV817" s="64">
        <v>0.08</v>
      </c>
      <c r="AW817" s="7"/>
      <c r="AX817" s="97">
        <v>0.92</v>
      </c>
      <c r="AY817" s="7"/>
      <c r="AZ817" s="11" t="s">
        <v>1632</v>
      </c>
      <c r="BA817" s="11" t="s">
        <v>1633</v>
      </c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2"/>
      <c r="DG817" s="12"/>
      <c r="DH817" s="12"/>
      <c r="DI817" s="12"/>
      <c r="DJ817" s="12"/>
      <c r="DK817" s="12"/>
      <c r="DL817" s="12"/>
      <c r="DM817" s="69"/>
      <c r="DN817" s="69"/>
      <c r="DO817" s="69"/>
      <c r="DP817" s="69"/>
      <c r="DQ817" s="11"/>
      <c r="DR817" s="69"/>
      <c r="DS817" s="69"/>
      <c r="DT817" s="69"/>
      <c r="DU817" s="69"/>
      <c r="DV817" s="97">
        <v>-3.32</v>
      </c>
      <c r="DW817" s="10"/>
      <c r="DX817" s="81">
        <v>8.71E-11</v>
      </c>
      <c r="DY817" s="7"/>
      <c r="DZ817" s="64" t="s">
        <v>1634</v>
      </c>
      <c r="EA817" s="72" t="s">
        <v>354</v>
      </c>
      <c r="EB817" s="82" t="s">
        <v>1676</v>
      </c>
    </row>
    <row r="818">
      <c r="A818" s="55" t="s">
        <v>1690</v>
      </c>
      <c r="B818" s="55" t="s">
        <v>1691</v>
      </c>
      <c r="C818" s="3"/>
      <c r="D818" s="3"/>
      <c r="E818" s="3" t="s">
        <v>137</v>
      </c>
      <c r="F818" s="57" t="s">
        <v>168</v>
      </c>
      <c r="G818" s="58">
        <v>84.85986</v>
      </c>
      <c r="H818" s="58">
        <v>-2.47716</v>
      </c>
      <c r="I818" s="6" t="s">
        <v>350</v>
      </c>
      <c r="J818" s="6" t="s">
        <v>169</v>
      </c>
      <c r="K818" s="58">
        <v>3.0</v>
      </c>
      <c r="L818" s="6"/>
      <c r="M818" s="59">
        <v>2.0</v>
      </c>
      <c r="N818" s="61">
        <v>370.356653457279</v>
      </c>
      <c r="O818" s="61">
        <v>1.524</v>
      </c>
      <c r="P818" s="61">
        <v>0.184</v>
      </c>
      <c r="Q818" s="61">
        <v>-0.843</v>
      </c>
      <c r="R818" s="61">
        <v>0.177</v>
      </c>
      <c r="S818" s="60"/>
      <c r="T818" s="60"/>
      <c r="U818" s="5"/>
      <c r="V818" s="5"/>
      <c r="W818" s="60">
        <v>0.1832</v>
      </c>
      <c r="X818" s="5"/>
      <c r="Y818" s="83" t="s">
        <v>351</v>
      </c>
      <c r="Z818" s="60">
        <v>16.96</v>
      </c>
      <c r="AA818" s="60">
        <v>0.04</v>
      </c>
      <c r="AB818" s="60">
        <v>13.496</v>
      </c>
      <c r="AC818" s="60">
        <v>0.026</v>
      </c>
      <c r="AD818" s="60">
        <v>12.842</v>
      </c>
      <c r="AE818" s="60">
        <v>0.023</v>
      </c>
      <c r="AF818" s="60">
        <v>12.565</v>
      </c>
      <c r="AG818" s="60">
        <v>0.024</v>
      </c>
      <c r="AH818" s="6"/>
      <c r="AI818" s="6"/>
      <c r="AJ818" s="63" t="s">
        <v>702</v>
      </c>
      <c r="AK818" s="64" t="s">
        <v>216</v>
      </c>
      <c r="AL818" s="64" t="s">
        <v>1631</v>
      </c>
      <c r="AM818" s="64">
        <v>4.0</v>
      </c>
      <c r="AN818" s="102">
        <v>360.0</v>
      </c>
      <c r="AO818" s="13"/>
      <c r="AP818" s="13"/>
      <c r="AQ818" s="7"/>
      <c r="AR818" s="78">
        <v>3200.0</v>
      </c>
      <c r="AS818" s="64">
        <v>150.0</v>
      </c>
      <c r="AT818" s="79">
        <v>0.2</v>
      </c>
      <c r="AU818" s="92"/>
      <c r="AV818" s="64">
        <v>0.08</v>
      </c>
      <c r="AW818" s="7"/>
      <c r="AX818" s="97">
        <v>0.92</v>
      </c>
      <c r="AY818" s="13"/>
      <c r="AZ818" s="11" t="s">
        <v>1632</v>
      </c>
      <c r="BA818" s="11" t="s">
        <v>1633</v>
      </c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2"/>
      <c r="DG818" s="12"/>
      <c r="DH818" s="12"/>
      <c r="DI818" s="12"/>
      <c r="DJ818" s="12"/>
      <c r="DK818" s="12"/>
      <c r="DL818" s="12"/>
      <c r="DM818" s="69"/>
      <c r="DN818" s="69"/>
      <c r="DO818" s="69"/>
      <c r="DP818" s="69"/>
      <c r="DQ818" s="11"/>
      <c r="DR818" s="69"/>
      <c r="DS818" s="69"/>
      <c r="DT818" s="69"/>
      <c r="DU818" s="69"/>
      <c r="DV818" s="73">
        <v>-3.49</v>
      </c>
      <c r="DW818" s="10"/>
      <c r="DX818" s="81">
        <v>6.03E-11</v>
      </c>
      <c r="DY818" s="7"/>
      <c r="DZ818" s="64" t="s">
        <v>1634</v>
      </c>
      <c r="EA818" s="72" t="s">
        <v>354</v>
      </c>
      <c r="EB818" s="7"/>
    </row>
    <row r="819">
      <c r="A819" s="55" t="s">
        <v>1692</v>
      </c>
      <c r="B819" s="55" t="s">
        <v>1693</v>
      </c>
      <c r="C819" s="4"/>
      <c r="D819" s="3"/>
      <c r="E819" s="3"/>
      <c r="F819" s="57" t="s">
        <v>168</v>
      </c>
      <c r="G819" s="58">
        <v>84.59605</v>
      </c>
      <c r="H819" s="58">
        <v>-2.61371</v>
      </c>
      <c r="I819" s="6" t="s">
        <v>350</v>
      </c>
      <c r="J819" s="6" t="s">
        <v>169</v>
      </c>
      <c r="K819" s="58">
        <v>3.0</v>
      </c>
      <c r="L819" s="5"/>
      <c r="M819" s="5"/>
      <c r="N819" s="60"/>
      <c r="O819" s="60"/>
      <c r="P819" s="60"/>
      <c r="Q819" s="60"/>
      <c r="R819" s="60"/>
      <c r="S819" s="60"/>
      <c r="T819" s="60"/>
      <c r="U819" s="5"/>
      <c r="V819" s="5"/>
      <c r="W819" s="60">
        <v>0.1732</v>
      </c>
      <c r="X819" s="5"/>
      <c r="Y819" s="106" t="s">
        <v>351</v>
      </c>
      <c r="Z819" s="60">
        <v>17.01</v>
      </c>
      <c r="AA819" s="60">
        <v>0.01</v>
      </c>
      <c r="AB819" s="60">
        <v>13.796</v>
      </c>
      <c r="AC819" s="60">
        <v>0.028</v>
      </c>
      <c r="AD819" s="60">
        <v>13.167</v>
      </c>
      <c r="AE819" s="60">
        <v>0.026</v>
      </c>
      <c r="AF819" s="60">
        <v>12.776</v>
      </c>
      <c r="AG819" s="60">
        <v>0.019</v>
      </c>
      <c r="AH819" s="6"/>
      <c r="AI819" s="6"/>
      <c r="AJ819" s="63" t="s">
        <v>702</v>
      </c>
      <c r="AK819" s="64" t="s">
        <v>216</v>
      </c>
      <c r="AL819" s="64" t="s">
        <v>1631</v>
      </c>
      <c r="AM819" s="64">
        <v>4.0</v>
      </c>
      <c r="AN819" s="102">
        <v>360.0</v>
      </c>
      <c r="AO819" s="13"/>
      <c r="AP819" s="64" t="s">
        <v>402</v>
      </c>
      <c r="AQ819" s="7"/>
      <c r="AR819" s="78">
        <v>3200.0</v>
      </c>
      <c r="AS819" s="64">
        <v>150.0</v>
      </c>
      <c r="AT819" s="79">
        <v>0.2</v>
      </c>
      <c r="AU819" s="7"/>
      <c r="AV819" s="64">
        <v>0.05</v>
      </c>
      <c r="AW819" s="7"/>
      <c r="AX819" s="73">
        <v>0.73</v>
      </c>
      <c r="AY819" s="7"/>
      <c r="AZ819" s="11" t="s">
        <v>1632</v>
      </c>
      <c r="BA819" s="11" t="s">
        <v>1633</v>
      </c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2"/>
      <c r="DK819" s="12"/>
      <c r="DL819" s="12"/>
      <c r="DM819" s="69"/>
      <c r="DN819" s="69"/>
      <c r="DO819" s="69"/>
      <c r="DP819" s="69"/>
      <c r="DQ819" s="11"/>
      <c r="DR819" s="69"/>
      <c r="DS819" s="69"/>
      <c r="DT819" s="69"/>
      <c r="DU819" s="69"/>
      <c r="DV819" s="73">
        <v>-3.08</v>
      </c>
      <c r="DW819" s="10"/>
      <c r="DX819" s="81">
        <v>1.23E-10</v>
      </c>
      <c r="DY819" s="7"/>
      <c r="DZ819" s="64" t="s">
        <v>1634</v>
      </c>
      <c r="EA819" s="72" t="s">
        <v>354</v>
      </c>
      <c r="EB819" s="7"/>
    </row>
    <row r="820">
      <c r="A820" s="55" t="s">
        <v>1694</v>
      </c>
      <c r="B820" s="55" t="s">
        <v>1695</v>
      </c>
      <c r="C820" s="4"/>
      <c r="D820" s="3"/>
      <c r="E820" s="3"/>
      <c r="F820" s="57" t="s">
        <v>168</v>
      </c>
      <c r="G820" s="58">
        <v>84.76612</v>
      </c>
      <c r="H820" s="58">
        <v>-2.33562</v>
      </c>
      <c r="I820" s="6" t="s">
        <v>350</v>
      </c>
      <c r="J820" s="6" t="s">
        <v>169</v>
      </c>
      <c r="K820" s="58">
        <v>3.0</v>
      </c>
      <c r="L820" s="5"/>
      <c r="M820" s="59">
        <v>2.0</v>
      </c>
      <c r="N820" s="61">
        <v>347.258394971698</v>
      </c>
      <c r="O820" s="61">
        <v>1.863</v>
      </c>
      <c r="P820" s="61">
        <v>0.194</v>
      </c>
      <c r="Q820" s="61">
        <v>0.007</v>
      </c>
      <c r="R820" s="61">
        <v>0.184</v>
      </c>
      <c r="S820" s="60"/>
      <c r="T820" s="60"/>
      <c r="U820" s="5"/>
      <c r="V820" s="5"/>
      <c r="W820" s="60">
        <v>0.1663</v>
      </c>
      <c r="X820" s="5"/>
      <c r="Y820" s="106" t="s">
        <v>351</v>
      </c>
      <c r="Z820" s="60">
        <v>17.38</v>
      </c>
      <c r="AA820" s="60">
        <v>0.02</v>
      </c>
      <c r="AB820" s="60">
        <v>13.83</v>
      </c>
      <c r="AC820" s="60">
        <v>0.03</v>
      </c>
      <c r="AD820" s="60">
        <v>13.155</v>
      </c>
      <c r="AE820" s="60">
        <v>0.026</v>
      </c>
      <c r="AF820" s="60">
        <v>12.88</v>
      </c>
      <c r="AG820" s="60">
        <v>0.03</v>
      </c>
      <c r="AH820" s="6"/>
      <c r="AI820" s="6"/>
      <c r="AJ820" s="63" t="s">
        <v>702</v>
      </c>
      <c r="AK820" s="64" t="s">
        <v>216</v>
      </c>
      <c r="AL820" s="64" t="s">
        <v>1631</v>
      </c>
      <c r="AM820" s="64">
        <v>4.0</v>
      </c>
      <c r="AN820" s="102">
        <v>360.0</v>
      </c>
      <c r="AO820" s="13"/>
      <c r="AP820" s="64" t="s">
        <v>402</v>
      </c>
      <c r="AQ820" s="7"/>
      <c r="AR820" s="78">
        <v>3200.0</v>
      </c>
      <c r="AS820" s="64">
        <v>150.0</v>
      </c>
      <c r="AT820" s="79">
        <v>0.2</v>
      </c>
      <c r="AU820" s="7"/>
      <c r="AV820" s="64">
        <v>0.05</v>
      </c>
      <c r="AW820" s="7"/>
      <c r="AX820" s="73">
        <v>0.73</v>
      </c>
      <c r="AY820" s="7"/>
      <c r="AZ820" s="11" t="s">
        <v>1632</v>
      </c>
      <c r="BA820" s="11" t="s">
        <v>1633</v>
      </c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97">
        <v>-3.28</v>
      </c>
      <c r="DW820" s="10"/>
      <c r="DX820" s="81">
        <v>7.59E-11</v>
      </c>
      <c r="DY820" s="7"/>
      <c r="DZ820" s="64" t="s">
        <v>1634</v>
      </c>
      <c r="EA820" s="72" t="s">
        <v>354</v>
      </c>
      <c r="EB820" s="82" t="s">
        <v>705</v>
      </c>
    </row>
    <row r="821">
      <c r="A821" s="55" t="s">
        <v>393</v>
      </c>
      <c r="B821" s="55" t="s">
        <v>394</v>
      </c>
      <c r="C821" s="4"/>
      <c r="D821" s="3"/>
      <c r="E821" s="3"/>
      <c r="F821" s="57" t="s">
        <v>168</v>
      </c>
      <c r="G821" s="58">
        <v>84.75808</v>
      </c>
      <c r="H821" s="58">
        <v>-2.58412</v>
      </c>
      <c r="I821" s="6" t="s">
        <v>350</v>
      </c>
      <c r="J821" s="6" t="s">
        <v>169</v>
      </c>
      <c r="K821" s="58">
        <v>3.0</v>
      </c>
      <c r="L821" s="5"/>
      <c r="M821" s="59">
        <v>2.0</v>
      </c>
      <c r="N821" s="61">
        <v>335.863505071538</v>
      </c>
      <c r="O821" s="61">
        <v>1.918</v>
      </c>
      <c r="P821" s="61">
        <v>0.33</v>
      </c>
      <c r="Q821" s="61">
        <v>-0.348</v>
      </c>
      <c r="R821" s="61">
        <v>0.289</v>
      </c>
      <c r="S821" s="60"/>
      <c r="T821" s="60"/>
      <c r="U821" s="5"/>
      <c r="V821" s="5"/>
      <c r="W821" s="60">
        <v>0.2023</v>
      </c>
      <c r="X821" s="5"/>
      <c r="Y821" s="106" t="s">
        <v>351</v>
      </c>
      <c r="Z821" s="60">
        <v>18.46</v>
      </c>
      <c r="AA821" s="60">
        <v>0.06</v>
      </c>
      <c r="AB821" s="60">
        <v>14.45</v>
      </c>
      <c r="AC821" s="60">
        <v>0.04</v>
      </c>
      <c r="AD821" s="60">
        <v>13.38</v>
      </c>
      <c r="AE821" s="60">
        <v>0.03</v>
      </c>
      <c r="AF821" s="60">
        <v>12.61</v>
      </c>
      <c r="AG821" s="60">
        <v>0.03</v>
      </c>
      <c r="AH821" s="6"/>
      <c r="AI821" s="6"/>
      <c r="AJ821" s="63" t="s">
        <v>702</v>
      </c>
      <c r="AK821" s="64" t="s">
        <v>216</v>
      </c>
      <c r="AL821" s="64" t="s">
        <v>1631</v>
      </c>
      <c r="AM821" s="64">
        <v>4.0</v>
      </c>
      <c r="AN821" s="102">
        <v>360.0</v>
      </c>
      <c r="AO821" s="13"/>
      <c r="AP821" s="64" t="s">
        <v>395</v>
      </c>
      <c r="AQ821" s="7"/>
      <c r="AR821" s="78">
        <v>3300.0</v>
      </c>
      <c r="AS821" s="64">
        <v>150.0</v>
      </c>
      <c r="AT821" s="79">
        <v>0.2</v>
      </c>
      <c r="AU821" s="7"/>
      <c r="AV821" s="64">
        <v>0.03</v>
      </c>
      <c r="AW821" s="7"/>
      <c r="AX821" s="73">
        <v>0.53</v>
      </c>
      <c r="AY821" s="7"/>
      <c r="AZ821" s="11" t="s">
        <v>1632</v>
      </c>
      <c r="BA821" s="11" t="s">
        <v>1633</v>
      </c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2"/>
      <c r="DK821" s="12"/>
      <c r="DL821" s="12"/>
      <c r="DM821" s="69"/>
      <c r="DN821" s="69"/>
      <c r="DO821" s="69"/>
      <c r="DP821" s="69"/>
      <c r="DQ821" s="11"/>
      <c r="DR821" s="69"/>
      <c r="DS821" s="69"/>
      <c r="DT821" s="69"/>
      <c r="DU821" s="69"/>
      <c r="DV821" s="97">
        <v>-2.85</v>
      </c>
      <c r="DW821" s="10"/>
      <c r="DX821" s="81">
        <v>1.38E-10</v>
      </c>
      <c r="DY821" s="7"/>
      <c r="DZ821" s="64" t="s">
        <v>1634</v>
      </c>
      <c r="EA821" s="72" t="s">
        <v>354</v>
      </c>
      <c r="EB821" s="7"/>
    </row>
    <row r="822">
      <c r="A822" s="55" t="s">
        <v>1696</v>
      </c>
      <c r="B822" s="55" t="s">
        <v>1697</v>
      </c>
      <c r="C822" s="4"/>
      <c r="D822" s="4"/>
      <c r="E822" s="4" t="s">
        <v>137</v>
      </c>
      <c r="F822" s="57" t="s">
        <v>168</v>
      </c>
      <c r="G822" s="58">
        <v>84.79183</v>
      </c>
      <c r="H822" s="58">
        <v>-2.46993</v>
      </c>
      <c r="I822" s="6" t="s">
        <v>350</v>
      </c>
      <c r="J822" s="6" t="s">
        <v>515</v>
      </c>
      <c r="K822" s="58">
        <v>3.0</v>
      </c>
      <c r="L822" s="59"/>
      <c r="M822" s="59">
        <v>2.0</v>
      </c>
      <c r="N822" s="61">
        <v>239.320330262055</v>
      </c>
      <c r="O822" s="61">
        <v>28.943</v>
      </c>
      <c r="P822" s="61">
        <v>0.282</v>
      </c>
      <c r="Q822" s="61">
        <v>10.012</v>
      </c>
      <c r="R822" s="61">
        <v>0.267</v>
      </c>
      <c r="S822" s="60"/>
      <c r="T822" s="60"/>
      <c r="U822" s="5"/>
      <c r="V822" s="5"/>
      <c r="W822" s="60">
        <v>0.1834</v>
      </c>
      <c r="X822" s="5"/>
      <c r="Y822" s="83" t="s">
        <v>351</v>
      </c>
      <c r="Z822" s="60">
        <v>17.71</v>
      </c>
      <c r="AA822" s="60">
        <v>0.01</v>
      </c>
      <c r="AB822" s="60">
        <v>14.6</v>
      </c>
      <c r="AC822" s="60">
        <v>0.03</v>
      </c>
      <c r="AD822" s="60">
        <v>14.0</v>
      </c>
      <c r="AE822" s="60">
        <v>0.04</v>
      </c>
      <c r="AF822" s="60">
        <v>13.78</v>
      </c>
      <c r="AG822" s="60">
        <v>0.05</v>
      </c>
      <c r="AH822" s="6"/>
      <c r="AI822" s="6"/>
      <c r="AJ822" s="63" t="s">
        <v>702</v>
      </c>
      <c r="AK822" s="64" t="s">
        <v>216</v>
      </c>
      <c r="AL822" s="64" t="s">
        <v>1631</v>
      </c>
      <c r="AM822" s="64">
        <v>4.0</v>
      </c>
      <c r="AN822" s="102">
        <v>360.0</v>
      </c>
      <c r="AO822" s="13"/>
      <c r="AP822" s="64" t="s">
        <v>371</v>
      </c>
      <c r="AQ822" s="7"/>
      <c r="AR822" s="78">
        <v>3300.0</v>
      </c>
      <c r="AS822" s="64">
        <v>150.0</v>
      </c>
      <c r="AT822" s="79">
        <v>0.2</v>
      </c>
      <c r="AU822" s="7"/>
      <c r="AV822" s="70">
        <v>0.03</v>
      </c>
      <c r="AW822" s="7"/>
      <c r="AX822" s="73">
        <v>0.53</v>
      </c>
      <c r="AY822" s="7"/>
      <c r="AZ822" s="11" t="s">
        <v>1632</v>
      </c>
      <c r="BA822" s="11" t="s">
        <v>1633</v>
      </c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2"/>
      <c r="DK822" s="12"/>
      <c r="DL822" s="12"/>
      <c r="DM822" s="69"/>
      <c r="DN822" s="69"/>
      <c r="DO822" s="69"/>
      <c r="DP822" s="69"/>
      <c r="DQ822" s="11"/>
      <c r="DR822" s="69"/>
      <c r="DS822" s="69"/>
      <c r="DT822" s="69"/>
      <c r="DU822" s="69"/>
      <c r="DV822" s="73">
        <v>-3.73</v>
      </c>
      <c r="DW822" s="10"/>
      <c r="DX822" s="81">
        <v>1.95E-11</v>
      </c>
      <c r="DY822" s="7"/>
      <c r="DZ822" s="64" t="s">
        <v>1634</v>
      </c>
      <c r="EA822" s="72" t="s">
        <v>354</v>
      </c>
      <c r="EB822" s="82" t="s">
        <v>1698</v>
      </c>
    </row>
    <row r="823">
      <c r="A823" s="196" t="s">
        <v>1699</v>
      </c>
      <c r="B823" s="197" t="s">
        <v>1700</v>
      </c>
      <c r="C823" s="4"/>
      <c r="D823" s="3"/>
      <c r="E823" s="3" t="s">
        <v>137</v>
      </c>
      <c r="F823" s="57" t="s">
        <v>168</v>
      </c>
      <c r="G823" s="58">
        <v>84.81602</v>
      </c>
      <c r="H823" s="195">
        <v>-2.61414</v>
      </c>
      <c r="I823" s="6" t="s">
        <v>350</v>
      </c>
      <c r="J823" s="6" t="s">
        <v>169</v>
      </c>
      <c r="K823" s="58">
        <v>3.0</v>
      </c>
      <c r="L823" s="59"/>
      <c r="M823" s="59">
        <v>2.0</v>
      </c>
      <c r="N823" s="61">
        <v>381.300999008617</v>
      </c>
      <c r="O823" s="61">
        <v>1.805</v>
      </c>
      <c r="P823" s="61">
        <v>0.159</v>
      </c>
      <c r="Q823" s="61">
        <v>-0.405</v>
      </c>
      <c r="R823" s="61">
        <v>0.139</v>
      </c>
      <c r="S823" s="60">
        <v>31.27</v>
      </c>
      <c r="T823" s="60">
        <v>0.6</v>
      </c>
      <c r="U823" s="5"/>
      <c r="V823" s="5"/>
      <c r="W823" s="60">
        <v>0.2165</v>
      </c>
      <c r="X823" s="5"/>
      <c r="Y823" s="109" t="s">
        <v>351</v>
      </c>
      <c r="Z823" s="60">
        <v>16.41</v>
      </c>
      <c r="AA823" s="60">
        <v>0.01</v>
      </c>
      <c r="AB823" s="60">
        <v>13.251</v>
      </c>
      <c r="AC823" s="60">
        <v>0.027</v>
      </c>
      <c r="AD823" s="60">
        <v>12.537</v>
      </c>
      <c r="AE823" s="60">
        <v>0.027</v>
      </c>
      <c r="AF823" s="60">
        <v>12.22</v>
      </c>
      <c r="AG823" s="60">
        <v>0.03</v>
      </c>
      <c r="AH823" s="6"/>
      <c r="AI823" s="6"/>
      <c r="AJ823" s="63" t="s">
        <v>702</v>
      </c>
      <c r="AK823" s="64" t="s">
        <v>216</v>
      </c>
      <c r="AL823" s="64" t="s">
        <v>1631</v>
      </c>
      <c r="AM823" s="64">
        <v>4.0</v>
      </c>
      <c r="AN823" s="102">
        <v>360.0</v>
      </c>
      <c r="AO823" s="13"/>
      <c r="AP823" s="64" t="s">
        <v>1701</v>
      </c>
      <c r="AQ823" s="7"/>
      <c r="AR823" s="78">
        <v>3300.0</v>
      </c>
      <c r="AS823" s="64">
        <v>150.0</v>
      </c>
      <c r="AT823" s="79">
        <v>0.25</v>
      </c>
      <c r="AU823" s="7"/>
      <c r="AV823" s="70">
        <v>0.08</v>
      </c>
      <c r="AW823" s="92"/>
      <c r="AX823" s="81">
        <v>0.868</v>
      </c>
      <c r="AY823" s="7"/>
      <c r="AZ823" s="11" t="s">
        <v>1632</v>
      </c>
      <c r="BA823" s="198" t="s">
        <v>1633</v>
      </c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97">
        <v>-3.39</v>
      </c>
      <c r="DW823" s="10"/>
      <c r="DX823" s="81">
        <v>5.62E-11</v>
      </c>
      <c r="DY823" s="7"/>
      <c r="DZ823" s="64" t="s">
        <v>1634</v>
      </c>
      <c r="EA823" s="72" t="s">
        <v>354</v>
      </c>
      <c r="EB823" s="82" t="s">
        <v>1702</v>
      </c>
    </row>
    <row r="824">
      <c r="A824" s="55" t="s">
        <v>1703</v>
      </c>
      <c r="B824" s="55" t="s">
        <v>1704</v>
      </c>
      <c r="C824" s="4"/>
      <c r="D824" s="3"/>
      <c r="E824" s="3"/>
      <c r="F824" s="57" t="s">
        <v>168</v>
      </c>
      <c r="G824" s="58">
        <v>84.59714</v>
      </c>
      <c r="H824" s="58">
        <v>-2.42627</v>
      </c>
      <c r="I824" s="6" t="s">
        <v>350</v>
      </c>
      <c r="J824" s="6" t="s">
        <v>169</v>
      </c>
      <c r="K824" s="58">
        <v>3.0</v>
      </c>
      <c r="L824" s="5"/>
      <c r="M824" s="59">
        <v>2.0</v>
      </c>
      <c r="N824" s="61">
        <v>377.700558996827</v>
      </c>
      <c r="O824" s="61">
        <v>1.693</v>
      </c>
      <c r="P824" s="61">
        <v>0.209</v>
      </c>
      <c r="Q824" s="61">
        <v>-1.48</v>
      </c>
      <c r="R824" s="61">
        <v>0.199</v>
      </c>
      <c r="S824" s="60"/>
      <c r="T824" s="60"/>
      <c r="U824" s="5"/>
      <c r="V824" s="5"/>
      <c r="W824" s="60">
        <v>0.151</v>
      </c>
      <c r="X824" s="5"/>
      <c r="Y824" s="109" t="s">
        <v>351</v>
      </c>
      <c r="Z824" s="60">
        <v>17.22</v>
      </c>
      <c r="AA824" s="60">
        <v>0.06</v>
      </c>
      <c r="AB824" s="60">
        <v>13.685</v>
      </c>
      <c r="AC824" s="60">
        <v>0.027</v>
      </c>
      <c r="AD824" s="60">
        <v>12.928</v>
      </c>
      <c r="AE824" s="60">
        <v>0.029</v>
      </c>
      <c r="AF824" s="60">
        <v>12.424</v>
      </c>
      <c r="AG824" s="60">
        <v>0.024</v>
      </c>
      <c r="AH824" s="6"/>
      <c r="AI824" s="6"/>
      <c r="AJ824" s="63" t="s">
        <v>702</v>
      </c>
      <c r="AK824" s="64" t="s">
        <v>216</v>
      </c>
      <c r="AL824" s="64" t="s">
        <v>1631</v>
      </c>
      <c r="AM824" s="64">
        <v>4.0</v>
      </c>
      <c r="AN824" s="102">
        <v>360.0</v>
      </c>
      <c r="AO824" s="13"/>
      <c r="AP824" s="64" t="s">
        <v>1685</v>
      </c>
      <c r="AQ824" s="7"/>
      <c r="AR824" s="78">
        <v>3300.0</v>
      </c>
      <c r="AS824" s="64">
        <v>150.0</v>
      </c>
      <c r="AT824" s="79">
        <v>0.25</v>
      </c>
      <c r="AU824" s="7"/>
      <c r="AV824" s="64">
        <v>0.04</v>
      </c>
      <c r="AW824" s="7"/>
      <c r="AX824" s="73">
        <v>0.61</v>
      </c>
      <c r="AY824" s="7"/>
      <c r="AZ824" s="11" t="s">
        <v>1632</v>
      </c>
      <c r="BA824" s="11" t="s">
        <v>1633</v>
      </c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2"/>
      <c r="DK824" s="12"/>
      <c r="DL824" s="12"/>
      <c r="DM824" s="69"/>
      <c r="DN824" s="69"/>
      <c r="DO824" s="69"/>
      <c r="DP824" s="69"/>
      <c r="DQ824" s="11"/>
      <c r="DR824" s="69"/>
      <c r="DS824" s="69"/>
      <c r="DT824" s="69"/>
      <c r="DU824" s="69"/>
      <c r="DV824" s="73">
        <v>-2.39</v>
      </c>
      <c r="DW824" s="10"/>
      <c r="DX824" s="81">
        <v>4.27E-10</v>
      </c>
      <c r="DY824" s="7"/>
      <c r="DZ824" s="64" t="s">
        <v>1634</v>
      </c>
      <c r="EA824" s="72" t="s">
        <v>354</v>
      </c>
      <c r="EB824" s="82" t="s">
        <v>705</v>
      </c>
    </row>
    <row r="825">
      <c r="A825" s="55" t="s">
        <v>400</v>
      </c>
      <c r="B825" s="55" t="s">
        <v>401</v>
      </c>
      <c r="C825" s="4"/>
      <c r="D825" s="4"/>
      <c r="E825" s="4" t="s">
        <v>137</v>
      </c>
      <c r="F825" s="57" t="s">
        <v>168</v>
      </c>
      <c r="G825" s="58">
        <v>84.6417</v>
      </c>
      <c r="H825" s="58">
        <v>-2.6103</v>
      </c>
      <c r="I825" s="6" t="s">
        <v>350</v>
      </c>
      <c r="J825" s="6" t="s">
        <v>169</v>
      </c>
      <c r="K825" s="58">
        <v>3.0</v>
      </c>
      <c r="L825" s="5"/>
      <c r="M825" s="59">
        <v>2.0</v>
      </c>
      <c r="N825" s="61">
        <v>384.659768434819</v>
      </c>
      <c r="O825" s="61">
        <v>-0.327</v>
      </c>
      <c r="P825" s="61">
        <v>0.37</v>
      </c>
      <c r="Q825" s="61">
        <v>1.114</v>
      </c>
      <c r="R825" s="61">
        <v>0.331</v>
      </c>
      <c r="S825" s="60">
        <v>33.89</v>
      </c>
      <c r="T825" s="60">
        <v>0.665</v>
      </c>
      <c r="U825" s="5"/>
      <c r="V825" s="5"/>
      <c r="W825" s="60">
        <v>0.1917</v>
      </c>
      <c r="X825" s="5"/>
      <c r="Y825" s="106" t="s">
        <v>351</v>
      </c>
      <c r="Z825" s="60">
        <v>15.24</v>
      </c>
      <c r="AA825" s="60">
        <v>0.02</v>
      </c>
      <c r="AB825" s="60">
        <v>11.98</v>
      </c>
      <c r="AC825" s="60">
        <v>0.027</v>
      </c>
      <c r="AD825" s="60">
        <v>11.33</v>
      </c>
      <c r="AE825" s="60">
        <v>0.024</v>
      </c>
      <c r="AF825" s="60">
        <v>11.077</v>
      </c>
      <c r="AG825" s="60">
        <v>0.027</v>
      </c>
      <c r="AH825" s="6"/>
      <c r="AI825" s="6"/>
      <c r="AJ825" s="63" t="s">
        <v>702</v>
      </c>
      <c r="AK825" s="64" t="s">
        <v>216</v>
      </c>
      <c r="AL825" s="64" t="s">
        <v>1631</v>
      </c>
      <c r="AM825" s="64">
        <v>4.0</v>
      </c>
      <c r="AN825" s="102">
        <v>360.0</v>
      </c>
      <c r="AO825" s="13"/>
      <c r="AP825" s="64" t="s">
        <v>422</v>
      </c>
      <c r="AQ825" s="7"/>
      <c r="AR825" s="78">
        <v>3300.0</v>
      </c>
      <c r="AS825" s="64">
        <v>150.0</v>
      </c>
      <c r="AT825" s="79">
        <v>0.3</v>
      </c>
      <c r="AU825" s="7"/>
      <c r="AV825" s="70">
        <v>0.27</v>
      </c>
      <c r="AW825" s="7"/>
      <c r="AX825" s="73">
        <v>1.7</v>
      </c>
      <c r="AY825" s="7"/>
      <c r="AZ825" s="11" t="s">
        <v>1632</v>
      </c>
      <c r="BA825" s="11" t="s">
        <v>1633</v>
      </c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2"/>
      <c r="DK825" s="12"/>
      <c r="DL825" s="12"/>
      <c r="DM825" s="69"/>
      <c r="DN825" s="69"/>
      <c r="DO825" s="69"/>
      <c r="DP825" s="69"/>
      <c r="DQ825" s="11"/>
      <c r="DR825" s="69"/>
      <c r="DS825" s="69"/>
      <c r="DT825" s="69"/>
      <c r="DU825" s="69"/>
      <c r="DV825" s="97">
        <v>-2.78</v>
      </c>
      <c r="DW825" s="10"/>
      <c r="DX825" s="81">
        <v>3.55E-10</v>
      </c>
      <c r="DY825" s="7"/>
      <c r="DZ825" s="64" t="s">
        <v>1634</v>
      </c>
      <c r="EA825" s="72" t="s">
        <v>354</v>
      </c>
      <c r="EB825" s="82" t="s">
        <v>1676</v>
      </c>
    </row>
    <row r="826">
      <c r="A826" s="55" t="s">
        <v>1705</v>
      </c>
      <c r="B826" s="55" t="s">
        <v>1706</v>
      </c>
      <c r="C826" s="4"/>
      <c r="D826" s="3"/>
      <c r="E826" s="3"/>
      <c r="F826" s="57" t="s">
        <v>168</v>
      </c>
      <c r="G826" s="58">
        <v>85.00816</v>
      </c>
      <c r="H826" s="58">
        <v>-2.35904</v>
      </c>
      <c r="I826" s="6" t="s">
        <v>350</v>
      </c>
      <c r="J826" s="6" t="s">
        <v>169</v>
      </c>
      <c r="K826" s="58">
        <v>3.0</v>
      </c>
      <c r="L826" s="5"/>
      <c r="M826" s="60">
        <v>2.0</v>
      </c>
      <c r="N826" s="61">
        <v>372.661548781396</v>
      </c>
      <c r="O826" s="61">
        <v>2.419</v>
      </c>
      <c r="P826" s="61">
        <v>0.126</v>
      </c>
      <c r="Q826" s="61">
        <v>0.016</v>
      </c>
      <c r="R826" s="61">
        <v>0.125</v>
      </c>
      <c r="S826" s="60">
        <v>31.08</v>
      </c>
      <c r="T826" s="60">
        <v>0.127</v>
      </c>
      <c r="U826" s="5"/>
      <c r="V826" s="5"/>
      <c r="W826" s="60">
        <v>0.1978</v>
      </c>
      <c r="X826" s="5"/>
      <c r="Y826" s="106" t="s">
        <v>351</v>
      </c>
      <c r="Z826" s="60">
        <v>15.46</v>
      </c>
      <c r="AA826" s="60">
        <v>0.02</v>
      </c>
      <c r="AB826" s="60">
        <v>12.339</v>
      </c>
      <c r="AC826" s="60">
        <v>0.027</v>
      </c>
      <c r="AD826" s="60">
        <v>11.579</v>
      </c>
      <c r="AE826" s="60">
        <v>0.023</v>
      </c>
      <c r="AF826" s="60">
        <v>11.254</v>
      </c>
      <c r="AG826" s="60">
        <v>0.024</v>
      </c>
      <c r="AH826" s="6"/>
      <c r="AI826" s="5"/>
      <c r="AJ826" s="63" t="s">
        <v>702</v>
      </c>
      <c r="AK826" s="64" t="s">
        <v>216</v>
      </c>
      <c r="AL826" s="64" t="s">
        <v>1631</v>
      </c>
      <c r="AM826" s="64">
        <v>4.0</v>
      </c>
      <c r="AN826" s="102">
        <v>360.0</v>
      </c>
      <c r="AO826" s="13"/>
      <c r="AP826" s="64" t="s">
        <v>402</v>
      </c>
      <c r="AQ826" s="7"/>
      <c r="AR826" s="78">
        <v>3300.0</v>
      </c>
      <c r="AS826" s="64">
        <v>150.0</v>
      </c>
      <c r="AT826" s="79">
        <v>0.3</v>
      </c>
      <c r="AU826" s="7"/>
      <c r="AV826" s="64">
        <v>0.2</v>
      </c>
      <c r="AW826" s="7"/>
      <c r="AX826" s="97">
        <v>1.37</v>
      </c>
      <c r="AY826" s="7"/>
      <c r="AZ826" s="11" t="s">
        <v>1632</v>
      </c>
      <c r="BA826" s="11" t="s">
        <v>1633</v>
      </c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2"/>
      <c r="DK826" s="12"/>
      <c r="DL826" s="12"/>
      <c r="DM826" s="69"/>
      <c r="DN826" s="69"/>
      <c r="DO826" s="69"/>
      <c r="DP826" s="69"/>
      <c r="DQ826" s="11"/>
      <c r="DR826" s="69"/>
      <c r="DS826" s="69"/>
      <c r="DT826" s="69"/>
      <c r="DU826" s="69"/>
      <c r="DV826" s="97">
        <v>-2.66</v>
      </c>
      <c r="DW826" s="10"/>
      <c r="DX826" s="81">
        <v>4.07E-10</v>
      </c>
      <c r="DY826" s="7"/>
      <c r="DZ826" s="64" t="s">
        <v>1634</v>
      </c>
      <c r="EA826" s="72" t="s">
        <v>354</v>
      </c>
      <c r="EB826" s="82" t="s">
        <v>705</v>
      </c>
    </row>
    <row r="827">
      <c r="A827" s="55" t="s">
        <v>405</v>
      </c>
      <c r="B827" s="55" t="s">
        <v>406</v>
      </c>
      <c r="C827" s="4"/>
      <c r="D827" s="3"/>
      <c r="E827" s="3"/>
      <c r="F827" s="57" t="s">
        <v>168</v>
      </c>
      <c r="G827" s="58">
        <v>84.5549</v>
      </c>
      <c r="H827" s="58">
        <v>-2.43573</v>
      </c>
      <c r="I827" s="6" t="s">
        <v>350</v>
      </c>
      <c r="J827" s="6" t="s">
        <v>169</v>
      </c>
      <c r="K827" s="58">
        <v>3.0</v>
      </c>
      <c r="L827" s="5"/>
      <c r="M827" s="5"/>
      <c r="N827" s="60"/>
      <c r="O827" s="60"/>
      <c r="P827" s="60"/>
      <c r="Q827" s="60"/>
      <c r="R827" s="60"/>
      <c r="S827" s="60">
        <v>31.789</v>
      </c>
      <c r="T827" s="60">
        <v>0.125601</v>
      </c>
      <c r="U827" s="5"/>
      <c r="V827" s="5"/>
      <c r="W827" s="60">
        <v>0.141</v>
      </c>
      <c r="X827" s="5"/>
      <c r="Y827" s="106" t="s">
        <v>351</v>
      </c>
      <c r="Z827" s="60">
        <v>15.67</v>
      </c>
      <c r="AA827" s="60">
        <v>0.02</v>
      </c>
      <c r="AB827" s="60">
        <v>12.479</v>
      </c>
      <c r="AC827" s="60">
        <v>0.028</v>
      </c>
      <c r="AD827" s="60">
        <v>11.816</v>
      </c>
      <c r="AE827" s="60">
        <v>0.027</v>
      </c>
      <c r="AF827" s="60">
        <v>11.551</v>
      </c>
      <c r="AG827" s="60">
        <v>0.024</v>
      </c>
      <c r="AH827" s="6"/>
      <c r="AI827" s="6"/>
      <c r="AJ827" s="63" t="s">
        <v>702</v>
      </c>
      <c r="AK827" s="64" t="s">
        <v>216</v>
      </c>
      <c r="AL827" s="64" t="s">
        <v>1631</v>
      </c>
      <c r="AM827" s="64">
        <v>4.0</v>
      </c>
      <c r="AN827" s="102">
        <v>360.0</v>
      </c>
      <c r="AO827" s="13"/>
      <c r="AP827" s="64" t="s">
        <v>402</v>
      </c>
      <c r="AQ827" s="7"/>
      <c r="AR827" s="78">
        <v>3300.0</v>
      </c>
      <c r="AS827" s="64">
        <v>150.0</v>
      </c>
      <c r="AT827" s="79">
        <v>0.3</v>
      </c>
      <c r="AU827" s="7"/>
      <c r="AV827" s="64">
        <v>0.18</v>
      </c>
      <c r="AW827" s="7"/>
      <c r="AX827" s="73">
        <v>1.3</v>
      </c>
      <c r="AY827" s="7"/>
      <c r="AZ827" s="11" t="s">
        <v>1632</v>
      </c>
      <c r="BA827" s="11" t="s">
        <v>1633</v>
      </c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2"/>
      <c r="DK827" s="12"/>
      <c r="DL827" s="12"/>
      <c r="DM827" s="69"/>
      <c r="DN827" s="69"/>
      <c r="DO827" s="69"/>
      <c r="DP827" s="69"/>
      <c r="DQ827" s="11"/>
      <c r="DR827" s="69"/>
      <c r="DS827" s="69"/>
      <c r="DT827" s="69"/>
      <c r="DU827" s="69"/>
      <c r="DV827" s="97">
        <v>-2.73</v>
      </c>
      <c r="DW827" s="10"/>
      <c r="DX827" s="81">
        <v>3.31E-10</v>
      </c>
      <c r="DY827" s="7"/>
      <c r="DZ827" s="64" t="s">
        <v>1634</v>
      </c>
      <c r="EA827" s="72" t="s">
        <v>354</v>
      </c>
      <c r="EB827" s="7"/>
    </row>
    <row r="828">
      <c r="A828" s="55" t="s">
        <v>1707</v>
      </c>
      <c r="B828" s="194" t="s">
        <v>1708</v>
      </c>
      <c r="C828" s="4"/>
      <c r="D828" s="3"/>
      <c r="E828" s="3" t="s">
        <v>137</v>
      </c>
      <c r="F828" s="57" t="s">
        <v>168</v>
      </c>
      <c r="G828" s="58">
        <v>84.70995</v>
      </c>
      <c r="H828" s="195">
        <v>-2.44663</v>
      </c>
      <c r="I828" s="6" t="s">
        <v>350</v>
      </c>
      <c r="J828" s="6" t="s">
        <v>515</v>
      </c>
      <c r="K828" s="58">
        <v>3.0</v>
      </c>
      <c r="L828" s="59"/>
      <c r="M828" s="59">
        <v>2.0</v>
      </c>
      <c r="N828" s="61">
        <v>335.289186923721</v>
      </c>
      <c r="O828" s="61">
        <v>-2.811</v>
      </c>
      <c r="P828" s="61">
        <v>0.738</v>
      </c>
      <c r="Q828" s="61">
        <v>4.958</v>
      </c>
      <c r="R828" s="61">
        <v>0.643</v>
      </c>
      <c r="S828" s="60">
        <v>30.518</v>
      </c>
      <c r="T828" s="60">
        <v>0.371556</v>
      </c>
      <c r="U828" s="5"/>
      <c r="V828" s="5"/>
      <c r="W828" s="60">
        <v>0.1736</v>
      </c>
      <c r="X828" s="5"/>
      <c r="Y828" s="109" t="s">
        <v>351</v>
      </c>
      <c r="Z828" s="60">
        <v>15.56</v>
      </c>
      <c r="AA828" s="60">
        <v>0.01</v>
      </c>
      <c r="AB828" s="60">
        <v>12.502</v>
      </c>
      <c r="AC828" s="60">
        <v>0.024</v>
      </c>
      <c r="AD828" s="60">
        <v>11.836</v>
      </c>
      <c r="AE828" s="60">
        <v>0.023</v>
      </c>
      <c r="AF828" s="60">
        <v>11.542</v>
      </c>
      <c r="AG828" s="60">
        <v>0.019</v>
      </c>
      <c r="AH828" s="6"/>
      <c r="AI828" s="6"/>
      <c r="AJ828" s="63" t="s">
        <v>702</v>
      </c>
      <c r="AK828" s="64" t="s">
        <v>216</v>
      </c>
      <c r="AL828" s="64" t="s">
        <v>1631</v>
      </c>
      <c r="AM828" s="73">
        <v>4.0</v>
      </c>
      <c r="AN828" s="102">
        <v>360.0</v>
      </c>
      <c r="AO828" s="13"/>
      <c r="AP828" s="64" t="s">
        <v>422</v>
      </c>
      <c r="AQ828" s="7"/>
      <c r="AR828" s="78">
        <v>3300.0</v>
      </c>
      <c r="AS828" s="64">
        <v>150.0</v>
      </c>
      <c r="AT828" s="79">
        <v>0.3</v>
      </c>
      <c r="AU828" s="7"/>
      <c r="AV828" s="70">
        <v>0.19</v>
      </c>
      <c r="AW828" s="92"/>
      <c r="AX828" s="81">
        <v>1.34</v>
      </c>
      <c r="AY828" s="7"/>
      <c r="AZ828" s="11" t="s">
        <v>1632</v>
      </c>
      <c r="BA828" s="11" t="s">
        <v>1633</v>
      </c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2"/>
      <c r="DK828" s="12"/>
      <c r="DL828" s="12"/>
      <c r="DM828" s="69"/>
      <c r="DN828" s="69"/>
      <c r="DO828" s="69"/>
      <c r="DP828" s="69"/>
      <c r="DQ828" s="11"/>
      <c r="DR828" s="69"/>
      <c r="DS828" s="69"/>
      <c r="DT828" s="69"/>
      <c r="DU828" s="69"/>
      <c r="DV828" s="97">
        <v>-2.97</v>
      </c>
      <c r="DW828" s="10"/>
      <c r="DX828" s="81">
        <v>2.14E-10</v>
      </c>
      <c r="DY828" s="7"/>
      <c r="DZ828" s="64" t="s">
        <v>1634</v>
      </c>
      <c r="EA828" s="72" t="s">
        <v>354</v>
      </c>
      <c r="EB828" s="82" t="s">
        <v>1702</v>
      </c>
    </row>
    <row r="829">
      <c r="A829" s="55" t="s">
        <v>1709</v>
      </c>
      <c r="B829" s="55" t="s">
        <v>1710</v>
      </c>
      <c r="C829" s="4"/>
      <c r="D829" s="4"/>
      <c r="E829" s="4" t="s">
        <v>137</v>
      </c>
      <c r="F829" s="57" t="s">
        <v>168</v>
      </c>
      <c r="G829" s="58">
        <v>84.61455</v>
      </c>
      <c r="H829" s="58">
        <v>-2.58446</v>
      </c>
      <c r="I829" s="6" t="s">
        <v>350</v>
      </c>
      <c r="J829" s="6" t="s">
        <v>169</v>
      </c>
      <c r="K829" s="58">
        <v>3.0</v>
      </c>
      <c r="L829" s="5"/>
      <c r="M829" s="59">
        <v>2.0</v>
      </c>
      <c r="N829" s="61">
        <v>403.437285673942</v>
      </c>
      <c r="O829" s="61">
        <v>1.266</v>
      </c>
      <c r="P829" s="61">
        <v>0.119</v>
      </c>
      <c r="Q829" s="61">
        <v>-0.319</v>
      </c>
      <c r="R829" s="61">
        <v>0.102</v>
      </c>
      <c r="S829" s="60">
        <v>29.59</v>
      </c>
      <c r="T829" s="60">
        <v>0.297</v>
      </c>
      <c r="U829" s="5"/>
      <c r="V829" s="5"/>
      <c r="W829" s="60">
        <v>0.1772</v>
      </c>
      <c r="X829" s="5"/>
      <c r="Y829" s="83" t="s">
        <v>351</v>
      </c>
      <c r="Z829" s="60">
        <v>15.92</v>
      </c>
      <c r="AA829" s="60">
        <v>0.01</v>
      </c>
      <c r="AB829" s="60">
        <v>12.826</v>
      </c>
      <c r="AC829" s="60">
        <v>0.028</v>
      </c>
      <c r="AD829" s="60">
        <v>12.113</v>
      </c>
      <c r="AE829" s="60">
        <v>0.024</v>
      </c>
      <c r="AF829" s="60">
        <v>11.86</v>
      </c>
      <c r="AG829" s="60">
        <v>0.028</v>
      </c>
      <c r="AH829" s="6"/>
      <c r="AI829" s="6"/>
      <c r="AJ829" s="63" t="s">
        <v>702</v>
      </c>
      <c r="AK829" s="64" t="s">
        <v>216</v>
      </c>
      <c r="AL829" s="64" t="s">
        <v>1631</v>
      </c>
      <c r="AM829" s="64">
        <v>4.0</v>
      </c>
      <c r="AN829" s="102">
        <v>360.0</v>
      </c>
      <c r="AO829" s="13"/>
      <c r="AP829" s="64" t="s">
        <v>422</v>
      </c>
      <c r="AQ829" s="7"/>
      <c r="AR829" s="78">
        <v>3300.0</v>
      </c>
      <c r="AS829" s="64">
        <v>150.0</v>
      </c>
      <c r="AT829" s="79">
        <v>0.3</v>
      </c>
      <c r="AU829" s="7"/>
      <c r="AV829" s="64">
        <v>0.15</v>
      </c>
      <c r="AW829" s="7"/>
      <c r="AX829" s="73">
        <v>1.19</v>
      </c>
      <c r="AY829" s="7"/>
      <c r="AZ829" s="11" t="s">
        <v>1632</v>
      </c>
      <c r="BA829" s="11" t="s">
        <v>1633</v>
      </c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2"/>
      <c r="DK829" s="12"/>
      <c r="DL829" s="12"/>
      <c r="DM829" s="69"/>
      <c r="DN829" s="69"/>
      <c r="DO829" s="69"/>
      <c r="DP829" s="69"/>
      <c r="DQ829" s="11"/>
      <c r="DR829" s="69"/>
      <c r="DS829" s="69"/>
      <c r="DT829" s="69"/>
      <c r="DU829" s="69"/>
      <c r="DV829" s="73">
        <v>-3.02</v>
      </c>
      <c r="DW829" s="10"/>
      <c r="DX829" s="81">
        <v>1.51E-10</v>
      </c>
      <c r="DY829" s="7"/>
      <c r="DZ829" s="64" t="s">
        <v>1634</v>
      </c>
      <c r="EA829" s="72" t="s">
        <v>354</v>
      </c>
      <c r="EB829" s="82" t="s">
        <v>1676</v>
      </c>
    </row>
    <row r="830">
      <c r="A830" s="55" t="s">
        <v>1711</v>
      </c>
      <c r="B830" s="194" t="s">
        <v>1712</v>
      </c>
      <c r="C830" s="4"/>
      <c r="D830" s="4"/>
      <c r="E830" s="4" t="s">
        <v>137</v>
      </c>
      <c r="F830" s="57" t="s">
        <v>168</v>
      </c>
      <c r="G830" s="58">
        <v>84.67322</v>
      </c>
      <c r="H830" s="195">
        <v>-2.50798</v>
      </c>
      <c r="I830" s="6" t="s">
        <v>350</v>
      </c>
      <c r="J830" s="6" t="s">
        <v>169</v>
      </c>
      <c r="K830" s="58">
        <v>3.0</v>
      </c>
      <c r="L830" s="59"/>
      <c r="M830" s="59">
        <v>2.0</v>
      </c>
      <c r="N830" s="61">
        <v>388.334433614228</v>
      </c>
      <c r="O830" s="61">
        <v>1.183</v>
      </c>
      <c r="P830" s="61">
        <v>0.128</v>
      </c>
      <c r="Q830" s="61">
        <v>-0.691</v>
      </c>
      <c r="R830" s="61">
        <v>0.116</v>
      </c>
      <c r="S830" s="60">
        <v>31.11</v>
      </c>
      <c r="T830" s="60">
        <v>0.238</v>
      </c>
      <c r="U830" s="5"/>
      <c r="V830" s="5"/>
      <c r="W830" s="60">
        <v>0.1815</v>
      </c>
      <c r="X830" s="5"/>
      <c r="Y830" s="106" t="s">
        <v>351</v>
      </c>
      <c r="Z830" s="60">
        <v>15.87</v>
      </c>
      <c r="AA830" s="60">
        <v>0.01</v>
      </c>
      <c r="AB830" s="60">
        <v>12.844</v>
      </c>
      <c r="AC830" s="60">
        <v>0.027</v>
      </c>
      <c r="AD830" s="60">
        <v>12.14</v>
      </c>
      <c r="AE830" s="60">
        <v>0.023</v>
      </c>
      <c r="AF830" s="60">
        <v>11.933</v>
      </c>
      <c r="AG830" s="60">
        <v>0.024</v>
      </c>
      <c r="AH830" s="6"/>
      <c r="AI830" s="6"/>
      <c r="AJ830" s="63" t="s">
        <v>702</v>
      </c>
      <c r="AK830" s="64" t="s">
        <v>216</v>
      </c>
      <c r="AL830" s="64" t="s">
        <v>1631</v>
      </c>
      <c r="AM830" s="64">
        <v>4.0</v>
      </c>
      <c r="AN830" s="102">
        <v>360.0</v>
      </c>
      <c r="AO830" s="13"/>
      <c r="AP830" s="13"/>
      <c r="AQ830" s="7"/>
      <c r="AR830" s="78">
        <v>3300.0</v>
      </c>
      <c r="AS830" s="64">
        <v>150.0</v>
      </c>
      <c r="AT830" s="79">
        <v>0.3</v>
      </c>
      <c r="AU830" s="7"/>
      <c r="AV830" s="70">
        <v>0.14</v>
      </c>
      <c r="AW830" s="92"/>
      <c r="AX830" s="81">
        <v>1.15</v>
      </c>
      <c r="AY830" s="7"/>
      <c r="AZ830" s="11" t="s">
        <v>1632</v>
      </c>
      <c r="BA830" s="11" t="s">
        <v>1633</v>
      </c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2"/>
      <c r="DK830" s="12"/>
      <c r="DL830" s="12"/>
      <c r="DM830" s="69"/>
      <c r="DN830" s="69"/>
      <c r="DO830" s="69"/>
      <c r="DP830" s="69"/>
      <c r="DQ830" s="11"/>
      <c r="DR830" s="69"/>
      <c r="DS830" s="69"/>
      <c r="DT830" s="69"/>
      <c r="DU830" s="69"/>
      <c r="DV830" s="97">
        <v>-3.06</v>
      </c>
      <c r="DW830" s="10"/>
      <c r="DX830" s="81">
        <v>1.32E-10</v>
      </c>
      <c r="DY830" s="7"/>
      <c r="DZ830" s="64" t="s">
        <v>1634</v>
      </c>
      <c r="EA830" s="72" t="s">
        <v>354</v>
      </c>
      <c r="EB830" s="7"/>
    </row>
    <row r="831">
      <c r="A831" s="55" t="s">
        <v>424</v>
      </c>
      <c r="B831" s="55" t="s">
        <v>425</v>
      </c>
      <c r="C831" s="4"/>
      <c r="D831" s="4"/>
      <c r="E831" s="4"/>
      <c r="F831" s="57" t="s">
        <v>168</v>
      </c>
      <c r="G831" s="58">
        <v>84.66254</v>
      </c>
      <c r="H831" s="58">
        <v>-2.75888</v>
      </c>
      <c r="I831" s="6" t="s">
        <v>350</v>
      </c>
      <c r="J831" s="6" t="s">
        <v>169</v>
      </c>
      <c r="K831" s="58">
        <v>3.0</v>
      </c>
      <c r="L831" s="5"/>
      <c r="M831" s="59">
        <v>2.0</v>
      </c>
      <c r="N831" s="61">
        <v>428.338901739055</v>
      </c>
      <c r="O831" s="61">
        <v>1.155</v>
      </c>
      <c r="P831" s="61">
        <v>0.149</v>
      </c>
      <c r="Q831" s="61">
        <v>-0.454</v>
      </c>
      <c r="R831" s="61">
        <v>0.123</v>
      </c>
      <c r="S831" s="60">
        <v>30.3505</v>
      </c>
      <c r="T831" s="60">
        <v>0.212918</v>
      </c>
      <c r="U831" s="5"/>
      <c r="V831" s="5"/>
      <c r="W831" s="60">
        <v>0.2125</v>
      </c>
      <c r="X831" s="5"/>
      <c r="Y831" s="106" t="s">
        <v>351</v>
      </c>
      <c r="Z831" s="60">
        <v>15.92</v>
      </c>
      <c r="AA831" s="60">
        <v>0.05</v>
      </c>
      <c r="AB831" s="60">
        <v>12.913</v>
      </c>
      <c r="AC831" s="60">
        <v>0.028</v>
      </c>
      <c r="AD831" s="60">
        <v>12.195</v>
      </c>
      <c r="AE831" s="60">
        <v>0.023</v>
      </c>
      <c r="AF831" s="60">
        <v>11.89</v>
      </c>
      <c r="AG831" s="60">
        <v>0.028</v>
      </c>
      <c r="AH831" s="6"/>
      <c r="AI831" s="6"/>
      <c r="AJ831" s="63" t="s">
        <v>702</v>
      </c>
      <c r="AK831" s="64" t="s">
        <v>216</v>
      </c>
      <c r="AL831" s="64" t="s">
        <v>1631</v>
      </c>
      <c r="AM831" s="64">
        <v>4.0</v>
      </c>
      <c r="AN831" s="102">
        <v>360.0</v>
      </c>
      <c r="AO831" s="13"/>
      <c r="AP831" s="64" t="s">
        <v>1285</v>
      </c>
      <c r="AQ831" s="7"/>
      <c r="AR831" s="78">
        <v>3300.0</v>
      </c>
      <c r="AS831" s="64">
        <v>150.0</v>
      </c>
      <c r="AT831" s="79">
        <v>0.3</v>
      </c>
      <c r="AU831" s="7"/>
      <c r="AV831" s="64">
        <v>0.12</v>
      </c>
      <c r="AW831" s="7"/>
      <c r="AX831" s="73">
        <v>1.06</v>
      </c>
      <c r="AY831" s="7"/>
      <c r="AZ831" s="11" t="s">
        <v>1632</v>
      </c>
      <c r="BA831" s="11" t="s">
        <v>1633</v>
      </c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2"/>
      <c r="DK831" s="12"/>
      <c r="DL831" s="12"/>
      <c r="DM831" s="69"/>
      <c r="DN831" s="69"/>
      <c r="DO831" s="69"/>
      <c r="DP831" s="69"/>
      <c r="DQ831" s="11"/>
      <c r="DR831" s="69"/>
      <c r="DS831" s="69"/>
      <c r="DT831" s="69"/>
      <c r="DU831" s="69"/>
      <c r="DV831" s="73">
        <v>-2.05</v>
      </c>
      <c r="DW831" s="10"/>
      <c r="DX831" s="81">
        <v>1.29E-9</v>
      </c>
      <c r="DY831" s="7"/>
      <c r="DZ831" s="64" t="s">
        <v>1634</v>
      </c>
      <c r="EA831" s="72" t="s">
        <v>354</v>
      </c>
      <c r="EB831" s="82" t="s">
        <v>705</v>
      </c>
    </row>
    <row r="832">
      <c r="A832" s="55" t="s">
        <v>1713</v>
      </c>
      <c r="B832" s="55" t="s">
        <v>1714</v>
      </c>
      <c r="C832" s="4"/>
      <c r="D832" s="3"/>
      <c r="E832" s="3"/>
      <c r="F832" s="57" t="s">
        <v>168</v>
      </c>
      <c r="G832" s="58">
        <v>84.76255</v>
      </c>
      <c r="H832" s="58">
        <v>-2.69087</v>
      </c>
      <c r="I832" s="6" t="s">
        <v>350</v>
      </c>
      <c r="J832" s="6" t="s">
        <v>169</v>
      </c>
      <c r="K832" s="58">
        <v>3.0</v>
      </c>
      <c r="L832" s="5"/>
      <c r="M832" s="59">
        <v>2.0</v>
      </c>
      <c r="N832" s="61">
        <v>410.205923373533</v>
      </c>
      <c r="O832" s="61">
        <v>1.367</v>
      </c>
      <c r="P832" s="61">
        <v>0.127</v>
      </c>
      <c r="Q832" s="61">
        <v>-0.67</v>
      </c>
      <c r="R832" s="61">
        <v>0.112</v>
      </c>
      <c r="S832" s="60">
        <v>29.84</v>
      </c>
      <c r="T832" s="60">
        <v>0.247</v>
      </c>
      <c r="U832" s="5"/>
      <c r="V832" s="5"/>
      <c r="W832" s="60">
        <v>0.2218</v>
      </c>
      <c r="X832" s="5"/>
      <c r="Y832" s="109" t="s">
        <v>351</v>
      </c>
      <c r="Z832" s="60">
        <v>15.33</v>
      </c>
      <c r="AA832" s="60">
        <v>0.01</v>
      </c>
      <c r="AB832" s="60">
        <v>12.438</v>
      </c>
      <c r="AC832" s="60">
        <v>0.026</v>
      </c>
      <c r="AD832" s="60">
        <v>11.608</v>
      </c>
      <c r="AE832" s="60">
        <v>0.023</v>
      </c>
      <c r="AF832" s="60">
        <v>11.156</v>
      </c>
      <c r="AG832" s="60">
        <v>0.028</v>
      </c>
      <c r="AH832" s="6"/>
      <c r="AI832" s="6"/>
      <c r="AJ832" s="63" t="s">
        <v>702</v>
      </c>
      <c r="AK832" s="64" t="s">
        <v>216</v>
      </c>
      <c r="AL832" s="64" t="s">
        <v>1631</v>
      </c>
      <c r="AM832" s="64">
        <v>4.0</v>
      </c>
      <c r="AN832" s="102">
        <v>360.0</v>
      </c>
      <c r="AO832" s="13"/>
      <c r="AP832" s="64" t="s">
        <v>1285</v>
      </c>
      <c r="AQ832" s="7"/>
      <c r="AR832" s="78">
        <v>3400.0</v>
      </c>
      <c r="AS832" s="64">
        <v>150.0</v>
      </c>
      <c r="AT832" s="79">
        <v>0.35</v>
      </c>
      <c r="AU832" s="7"/>
      <c r="AV832" s="64">
        <v>0.17</v>
      </c>
      <c r="AW832" s="7"/>
      <c r="AX832" s="73">
        <v>1.19</v>
      </c>
      <c r="AY832" s="7"/>
      <c r="AZ832" s="11" t="s">
        <v>1632</v>
      </c>
      <c r="BA832" s="11" t="s">
        <v>1633</v>
      </c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2"/>
      <c r="DK832" s="12"/>
      <c r="DL832" s="12"/>
      <c r="DM832" s="69"/>
      <c r="DN832" s="69"/>
      <c r="DO832" s="69"/>
      <c r="DP832" s="69"/>
      <c r="DQ832" s="11"/>
      <c r="DR832" s="69"/>
      <c r="DS832" s="69"/>
      <c r="DT832" s="69"/>
      <c r="DU832" s="69"/>
      <c r="DV832" s="97">
        <v>-2.75</v>
      </c>
      <c r="DW832" s="10"/>
      <c r="DX832" s="81">
        <v>2.45E-10</v>
      </c>
      <c r="DY832" s="7"/>
      <c r="DZ832" s="64" t="s">
        <v>1634</v>
      </c>
      <c r="EA832" s="72" t="s">
        <v>354</v>
      </c>
      <c r="EB832" s="82" t="s">
        <v>705</v>
      </c>
    </row>
    <row r="833">
      <c r="A833" s="55" t="s">
        <v>1715</v>
      </c>
      <c r="B833" s="55" t="s">
        <v>1716</v>
      </c>
      <c r="C833" s="4"/>
      <c r="D833" s="4"/>
      <c r="E833" s="4" t="s">
        <v>137</v>
      </c>
      <c r="F833" s="57" t="s">
        <v>168</v>
      </c>
      <c r="G833" s="58">
        <v>84.57595</v>
      </c>
      <c r="H833" s="58">
        <v>-2.80397</v>
      </c>
      <c r="I833" s="6" t="s">
        <v>350</v>
      </c>
      <c r="J833" s="6" t="s">
        <v>515</v>
      </c>
      <c r="K833" s="58">
        <v>3.0</v>
      </c>
      <c r="L833" s="5"/>
      <c r="M833" s="59">
        <v>2.0</v>
      </c>
      <c r="N833" s="61">
        <v>402.933354823112</v>
      </c>
      <c r="O833" s="61">
        <v>1.343</v>
      </c>
      <c r="P833" s="61">
        <v>0.123</v>
      </c>
      <c r="Q833" s="61">
        <v>-0.989</v>
      </c>
      <c r="R833" s="61">
        <v>0.109</v>
      </c>
      <c r="S833" s="60">
        <v>31.25</v>
      </c>
      <c r="T833" s="60">
        <v>0.184</v>
      </c>
      <c r="U833" s="5"/>
      <c r="V833" s="5"/>
      <c r="W833" s="60">
        <v>0.1797</v>
      </c>
      <c r="X833" s="5"/>
      <c r="Y833" s="83" t="s">
        <v>351</v>
      </c>
      <c r="Z833" s="60">
        <v>15.54</v>
      </c>
      <c r="AA833" s="60">
        <v>0.01</v>
      </c>
      <c r="AB833" s="60">
        <v>12.76</v>
      </c>
      <c r="AC833" s="60">
        <v>0.026</v>
      </c>
      <c r="AD833" s="60">
        <v>12.023</v>
      </c>
      <c r="AE833" s="60">
        <v>0.023</v>
      </c>
      <c r="AF833" s="60">
        <v>11.803</v>
      </c>
      <c r="AG833" s="60">
        <v>0.021</v>
      </c>
      <c r="AH833" s="6"/>
      <c r="AI833" s="6"/>
      <c r="AJ833" s="63" t="s">
        <v>702</v>
      </c>
      <c r="AK833" s="64" t="s">
        <v>216</v>
      </c>
      <c r="AL833" s="64" t="s">
        <v>1631</v>
      </c>
      <c r="AM833" s="64">
        <v>4.0</v>
      </c>
      <c r="AN833" s="102">
        <v>360.0</v>
      </c>
      <c r="AO833" s="13"/>
      <c r="AP833" s="64" t="s">
        <v>704</v>
      </c>
      <c r="AQ833" s="7"/>
      <c r="AR833" s="78">
        <v>3400.0</v>
      </c>
      <c r="AS833" s="64">
        <v>150.0</v>
      </c>
      <c r="AT833" s="79">
        <v>0.35</v>
      </c>
      <c r="AU833" s="7"/>
      <c r="AV833" s="64">
        <v>0.16</v>
      </c>
      <c r="AW833" s="7"/>
      <c r="AX833" s="73">
        <v>1.16</v>
      </c>
      <c r="AY833" s="7"/>
      <c r="AZ833" s="11" t="s">
        <v>1632</v>
      </c>
      <c r="BA833" s="11" t="s">
        <v>1633</v>
      </c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2"/>
      <c r="DK833" s="12"/>
      <c r="DL833" s="12"/>
      <c r="DM833" s="69"/>
      <c r="DN833" s="69"/>
      <c r="DO833" s="69"/>
      <c r="DP833" s="69"/>
      <c r="DQ833" s="11"/>
      <c r="DR833" s="69"/>
      <c r="DS833" s="69"/>
      <c r="DT833" s="69"/>
      <c r="DU833" s="69"/>
      <c r="DV833" s="97">
        <v>-2.9</v>
      </c>
      <c r="DW833" s="10"/>
      <c r="DX833" s="81">
        <v>1.66E-10</v>
      </c>
      <c r="DY833" s="7"/>
      <c r="DZ833" s="64" t="s">
        <v>1634</v>
      </c>
      <c r="EA833" s="72" t="s">
        <v>354</v>
      </c>
      <c r="EB833" s="82" t="s">
        <v>705</v>
      </c>
    </row>
    <row r="834">
      <c r="A834" s="55" t="s">
        <v>1664</v>
      </c>
      <c r="B834" s="55" t="s">
        <v>1717</v>
      </c>
      <c r="C834" s="4"/>
      <c r="D834" s="4"/>
      <c r="E834" s="4"/>
      <c r="F834" s="57" t="s">
        <v>168</v>
      </c>
      <c r="G834" s="58">
        <v>84.50394</v>
      </c>
      <c r="H834" s="58">
        <v>-2.43548</v>
      </c>
      <c r="I834" s="6" t="s">
        <v>350</v>
      </c>
      <c r="J834" s="6" t="s">
        <v>712</v>
      </c>
      <c r="K834" s="58">
        <v>3.0</v>
      </c>
      <c r="L834" s="5"/>
      <c r="M834" s="59">
        <v>2.0</v>
      </c>
      <c r="N834" s="61">
        <v>349.198589237699</v>
      </c>
      <c r="O834" s="61">
        <v>1.749</v>
      </c>
      <c r="P834" s="61">
        <v>0.105</v>
      </c>
      <c r="Q834" s="61">
        <v>-1.328</v>
      </c>
      <c r="R834" s="61">
        <v>0.088</v>
      </c>
      <c r="S834" s="60">
        <v>22.13</v>
      </c>
      <c r="T834" s="60">
        <v>0.252</v>
      </c>
      <c r="U834" s="5"/>
      <c r="V834" s="5"/>
      <c r="W834" s="60">
        <v>0.1311</v>
      </c>
      <c r="X834" s="5"/>
      <c r="Y834" s="83" t="s">
        <v>351</v>
      </c>
      <c r="Z834" s="60">
        <v>15.57</v>
      </c>
      <c r="AA834" s="60">
        <v>0.01</v>
      </c>
      <c r="AB834" s="60">
        <v>12.824</v>
      </c>
      <c r="AC834" s="60">
        <v>0.028</v>
      </c>
      <c r="AD834" s="60">
        <v>12.147</v>
      </c>
      <c r="AE834" s="60">
        <v>0.026</v>
      </c>
      <c r="AF834" s="60">
        <v>11.931</v>
      </c>
      <c r="AG834" s="60">
        <v>0.027</v>
      </c>
      <c r="AH834" s="6"/>
      <c r="AI834" s="6"/>
      <c r="AJ834" s="63" t="s">
        <v>702</v>
      </c>
      <c r="AK834" s="64" t="s">
        <v>216</v>
      </c>
      <c r="AL834" s="64" t="s">
        <v>1631</v>
      </c>
      <c r="AM834" s="64">
        <v>4.0</v>
      </c>
      <c r="AN834" s="102">
        <v>360.0</v>
      </c>
      <c r="AO834" s="13"/>
      <c r="AP834" s="64" t="s">
        <v>1285</v>
      </c>
      <c r="AQ834" s="7"/>
      <c r="AR834" s="78">
        <v>3400.0</v>
      </c>
      <c r="AS834" s="64">
        <v>150.0</v>
      </c>
      <c r="AT834" s="79">
        <v>0.35</v>
      </c>
      <c r="AU834" s="7"/>
      <c r="AV834" s="64">
        <v>0.14</v>
      </c>
      <c r="AW834" s="7"/>
      <c r="AX834" s="73">
        <v>1.08</v>
      </c>
      <c r="AY834" s="7"/>
      <c r="AZ834" s="11" t="s">
        <v>1632</v>
      </c>
      <c r="BA834" s="11" t="s">
        <v>1633</v>
      </c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2"/>
      <c r="DK834" s="12"/>
      <c r="DL834" s="12"/>
      <c r="DM834" s="69"/>
      <c r="DN834" s="69"/>
      <c r="DO834" s="69"/>
      <c r="DP834" s="69"/>
      <c r="DQ834" s="11"/>
      <c r="DR834" s="69"/>
      <c r="DS834" s="69"/>
      <c r="DT834" s="69"/>
      <c r="DU834" s="69"/>
      <c r="DV834" s="73">
        <v>-2.93</v>
      </c>
      <c r="DW834" s="10"/>
      <c r="DX834" s="81">
        <v>1.51E-10</v>
      </c>
      <c r="DY834" s="7"/>
      <c r="DZ834" s="64" t="s">
        <v>1634</v>
      </c>
      <c r="EA834" s="72" t="s">
        <v>354</v>
      </c>
      <c r="EB834" s="82" t="s">
        <v>1718</v>
      </c>
    </row>
    <row r="835">
      <c r="A835" s="55" t="s">
        <v>416</v>
      </c>
      <c r="B835" s="55" t="s">
        <v>417</v>
      </c>
      <c r="C835" s="4"/>
      <c r="D835" s="4"/>
      <c r="E835" s="4"/>
      <c r="F835" s="57" t="s">
        <v>168</v>
      </c>
      <c r="G835" s="58">
        <v>84.97346</v>
      </c>
      <c r="H835" s="58">
        <v>-2.56191</v>
      </c>
      <c r="I835" s="6" t="s">
        <v>350</v>
      </c>
      <c r="J835" s="6" t="s">
        <v>169</v>
      </c>
      <c r="K835" s="58">
        <v>3.0</v>
      </c>
      <c r="L835" s="5"/>
      <c r="M835" s="60">
        <v>2.0</v>
      </c>
      <c r="N835" s="61">
        <v>387.672029463074</v>
      </c>
      <c r="O835" s="61">
        <v>2.4</v>
      </c>
      <c r="P835" s="61">
        <v>0.117</v>
      </c>
      <c r="Q835" s="61">
        <v>-0.314</v>
      </c>
      <c r="R835" s="61">
        <v>0.102</v>
      </c>
      <c r="S835" s="60">
        <v>30.91</v>
      </c>
      <c r="T835" s="60">
        <v>0.156</v>
      </c>
      <c r="U835" s="6"/>
      <c r="V835" s="5"/>
      <c r="W835" s="60">
        <v>0.1874</v>
      </c>
      <c r="X835" s="5"/>
      <c r="Y835" s="83" t="s">
        <v>351</v>
      </c>
      <c r="Z835" s="60">
        <v>15.84</v>
      </c>
      <c r="AA835" s="60">
        <v>0.02</v>
      </c>
      <c r="AB835" s="60">
        <v>12.825</v>
      </c>
      <c r="AC835" s="60">
        <v>0.028</v>
      </c>
      <c r="AD835" s="60">
        <v>12.064</v>
      </c>
      <c r="AE835" s="60">
        <v>0.026</v>
      </c>
      <c r="AF835" s="60">
        <v>11.59</v>
      </c>
      <c r="AG835" s="60">
        <v>0.025</v>
      </c>
      <c r="AH835" s="6"/>
      <c r="AI835" s="5"/>
      <c r="AJ835" s="63" t="s">
        <v>702</v>
      </c>
      <c r="AK835" s="64" t="s">
        <v>216</v>
      </c>
      <c r="AL835" s="64" t="s">
        <v>1631</v>
      </c>
      <c r="AM835" s="64">
        <v>4.0</v>
      </c>
      <c r="AN835" s="102">
        <v>360.0</v>
      </c>
      <c r="AO835" s="13"/>
      <c r="AP835" s="64" t="s">
        <v>395</v>
      </c>
      <c r="AQ835" s="7"/>
      <c r="AR835" s="78">
        <v>3400.0</v>
      </c>
      <c r="AS835" s="64">
        <v>150.0</v>
      </c>
      <c r="AT835" s="79">
        <v>0.35</v>
      </c>
      <c r="AU835" s="7"/>
      <c r="AV835" s="64">
        <v>0.13</v>
      </c>
      <c r="AW835" s="7"/>
      <c r="AX835" s="97">
        <v>1.04</v>
      </c>
      <c r="AY835" s="7"/>
      <c r="AZ835" s="11" t="s">
        <v>1632</v>
      </c>
      <c r="BA835" s="11" t="s">
        <v>1633</v>
      </c>
      <c r="BB835" s="12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2"/>
      <c r="DK835" s="12"/>
      <c r="DL835" s="12"/>
      <c r="DM835" s="69"/>
      <c r="DN835" s="69"/>
      <c r="DO835" s="69"/>
      <c r="DP835" s="69"/>
      <c r="DQ835" s="11"/>
      <c r="DR835" s="69"/>
      <c r="DS835" s="69"/>
      <c r="DT835" s="69"/>
      <c r="DU835" s="69"/>
      <c r="DV835" s="97">
        <v>-1.68</v>
      </c>
      <c r="DW835" s="10"/>
      <c r="DX835" s="81">
        <v>2.51E-9</v>
      </c>
      <c r="DY835" s="7"/>
      <c r="DZ835" s="64" t="s">
        <v>1634</v>
      </c>
      <c r="EA835" s="72" t="s">
        <v>354</v>
      </c>
      <c r="EB835" s="7"/>
    </row>
    <row r="836">
      <c r="A836" s="55" t="s">
        <v>1719</v>
      </c>
      <c r="B836" s="55" t="s">
        <v>1720</v>
      </c>
      <c r="C836" s="4"/>
      <c r="D836" s="3"/>
      <c r="E836" s="3"/>
      <c r="F836" s="57" t="s">
        <v>168</v>
      </c>
      <c r="G836" s="58">
        <v>84.765</v>
      </c>
      <c r="H836" s="58">
        <v>-2.77413</v>
      </c>
      <c r="I836" s="6" t="s">
        <v>350</v>
      </c>
      <c r="J836" s="6" t="s">
        <v>169</v>
      </c>
      <c r="K836" s="58">
        <v>3.0</v>
      </c>
      <c r="L836" s="5"/>
      <c r="M836" s="59">
        <v>2.0</v>
      </c>
      <c r="N836" s="61">
        <v>370.713623725671</v>
      </c>
      <c r="O836" s="61">
        <v>2.187</v>
      </c>
      <c r="P836" s="61">
        <v>0.188</v>
      </c>
      <c r="Q836" s="61">
        <v>-1.312</v>
      </c>
      <c r="R836" s="61">
        <v>0.161</v>
      </c>
      <c r="S836" s="60">
        <v>30.8437</v>
      </c>
      <c r="T836" s="60">
        <v>0.189806</v>
      </c>
      <c r="U836" s="5"/>
      <c r="V836" s="5"/>
      <c r="W836" s="60">
        <v>0.22</v>
      </c>
      <c r="X836" s="5"/>
      <c r="Y836" s="83" t="s">
        <v>351</v>
      </c>
      <c r="Z836" s="60">
        <v>15.82</v>
      </c>
      <c r="AA836" s="60">
        <v>0.02</v>
      </c>
      <c r="AB836" s="60">
        <v>12.844</v>
      </c>
      <c r="AC836" s="60">
        <v>0.028</v>
      </c>
      <c r="AD836" s="60">
        <v>12.123</v>
      </c>
      <c r="AE836" s="60">
        <v>0.024</v>
      </c>
      <c r="AF836" s="60">
        <v>11.863</v>
      </c>
      <c r="AG836" s="60">
        <v>0.025</v>
      </c>
      <c r="AH836" s="6"/>
      <c r="AI836" s="6"/>
      <c r="AJ836" s="63" t="s">
        <v>702</v>
      </c>
      <c r="AK836" s="64" t="s">
        <v>216</v>
      </c>
      <c r="AL836" s="64" t="s">
        <v>1631</v>
      </c>
      <c r="AM836" s="64">
        <v>4.0</v>
      </c>
      <c r="AN836" s="102">
        <v>360.0</v>
      </c>
      <c r="AO836" s="13"/>
      <c r="AP836" s="64" t="s">
        <v>422</v>
      </c>
      <c r="AQ836" s="7"/>
      <c r="AR836" s="78">
        <v>3400.0</v>
      </c>
      <c r="AS836" s="64">
        <v>150.0</v>
      </c>
      <c r="AT836" s="79">
        <v>0.35</v>
      </c>
      <c r="AU836" s="7"/>
      <c r="AV836" s="64">
        <v>0.13</v>
      </c>
      <c r="AW836" s="7"/>
      <c r="AX836" s="73">
        <v>1.04</v>
      </c>
      <c r="AY836" s="7"/>
      <c r="AZ836" s="11" t="s">
        <v>1632</v>
      </c>
      <c r="BA836" s="11" t="s">
        <v>1633</v>
      </c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2"/>
      <c r="DK836" s="12"/>
      <c r="DL836" s="12"/>
      <c r="DM836" s="69"/>
      <c r="DN836" s="69"/>
      <c r="DO836" s="69"/>
      <c r="DP836" s="69"/>
      <c r="DQ836" s="11"/>
      <c r="DR836" s="69"/>
      <c r="DS836" s="69"/>
      <c r="DT836" s="69"/>
      <c r="DU836" s="69"/>
      <c r="DV836" s="97">
        <v>-2.59</v>
      </c>
      <c r="DW836" s="10"/>
      <c r="DX836" s="81">
        <v>3.16E-10</v>
      </c>
      <c r="DY836" s="7"/>
      <c r="DZ836" s="64" t="s">
        <v>1634</v>
      </c>
      <c r="EA836" s="72" t="s">
        <v>354</v>
      </c>
      <c r="EB836" s="82" t="s">
        <v>705</v>
      </c>
    </row>
    <row r="837">
      <c r="A837" s="55" t="s">
        <v>1721</v>
      </c>
      <c r="B837" s="55" t="s">
        <v>1722</v>
      </c>
      <c r="C837" s="4"/>
      <c r="D837" s="3"/>
      <c r="E837" s="3"/>
      <c r="F837" s="57" t="s">
        <v>168</v>
      </c>
      <c r="G837" s="58">
        <v>84.74685</v>
      </c>
      <c r="H837" s="58">
        <v>-2.56428</v>
      </c>
      <c r="I837" s="6" t="s">
        <v>350</v>
      </c>
      <c r="J837" s="6" t="s">
        <v>169</v>
      </c>
      <c r="K837" s="58">
        <v>3.0</v>
      </c>
      <c r="L837" s="5"/>
      <c r="M837" s="59">
        <v>2.0</v>
      </c>
      <c r="N837" s="61">
        <v>396.039603960396</v>
      </c>
      <c r="O837" s="61">
        <v>1.782</v>
      </c>
      <c r="P837" s="61">
        <v>0.111</v>
      </c>
      <c r="Q837" s="61">
        <v>-0.565</v>
      </c>
      <c r="R837" s="61">
        <v>0.099</v>
      </c>
      <c r="S837" s="60">
        <v>30.3439</v>
      </c>
      <c r="T837" s="60">
        <v>0.26046</v>
      </c>
      <c r="U837" s="5"/>
      <c r="V837" s="5"/>
      <c r="W837" s="60">
        <v>0.1971</v>
      </c>
      <c r="X837" s="5"/>
      <c r="Y837" s="83" t="s">
        <v>351</v>
      </c>
      <c r="Z837" s="60">
        <v>15.59</v>
      </c>
      <c r="AA837" s="60">
        <v>0.01</v>
      </c>
      <c r="AB837" s="60">
        <v>12.888</v>
      </c>
      <c r="AC837" s="60">
        <v>0.027</v>
      </c>
      <c r="AD837" s="60">
        <v>11.979</v>
      </c>
      <c r="AE837" s="60">
        <v>0.023</v>
      </c>
      <c r="AF837" s="60">
        <v>11.401</v>
      </c>
      <c r="AG837" s="60">
        <v>0.028</v>
      </c>
      <c r="AH837" s="6"/>
      <c r="AI837" s="6"/>
      <c r="AJ837" s="63" t="s">
        <v>702</v>
      </c>
      <c r="AK837" s="64" t="s">
        <v>216</v>
      </c>
      <c r="AL837" s="64" t="s">
        <v>1631</v>
      </c>
      <c r="AM837" s="64">
        <v>4.0</v>
      </c>
      <c r="AN837" s="102">
        <v>360.0</v>
      </c>
      <c r="AO837" s="13"/>
      <c r="AP837" s="64" t="s">
        <v>1285</v>
      </c>
      <c r="AQ837" s="7"/>
      <c r="AR837" s="78">
        <v>3400.0</v>
      </c>
      <c r="AS837" s="64">
        <v>150.0</v>
      </c>
      <c r="AT837" s="79">
        <v>0.35</v>
      </c>
      <c r="AU837" s="7"/>
      <c r="AV837" s="64">
        <v>0.06</v>
      </c>
      <c r="AW837" s="7"/>
      <c r="AX837" s="73">
        <v>0.71</v>
      </c>
      <c r="AY837" s="7"/>
      <c r="AZ837" s="11" t="s">
        <v>1632</v>
      </c>
      <c r="BA837" s="11" t="s">
        <v>1633</v>
      </c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2"/>
      <c r="DK837" s="12"/>
      <c r="DL837" s="12"/>
      <c r="DM837" s="69"/>
      <c r="DN837" s="69"/>
      <c r="DO837" s="69"/>
      <c r="DP837" s="69"/>
      <c r="DQ837" s="11"/>
      <c r="DR837" s="69"/>
      <c r="DS837" s="69"/>
      <c r="DT837" s="69"/>
      <c r="DU837" s="69"/>
      <c r="DV837" s="97">
        <v>-2.74</v>
      </c>
      <c r="DW837" s="10"/>
      <c r="DX837" s="81">
        <v>1.51E-10</v>
      </c>
      <c r="DY837" s="7"/>
      <c r="DZ837" s="64" t="s">
        <v>1634</v>
      </c>
      <c r="EA837" s="72" t="s">
        <v>354</v>
      </c>
      <c r="EB837" s="82" t="s">
        <v>705</v>
      </c>
    </row>
    <row r="838">
      <c r="A838" s="55" t="s">
        <v>1723</v>
      </c>
      <c r="B838" s="55" t="s">
        <v>1724</v>
      </c>
      <c r="C838" s="4"/>
      <c r="D838" s="4"/>
      <c r="E838" s="4"/>
      <c r="F838" s="57" t="s">
        <v>168</v>
      </c>
      <c r="G838" s="58">
        <v>84.63153</v>
      </c>
      <c r="H838" s="58">
        <v>-2.58742</v>
      </c>
      <c r="I838" s="6" t="s">
        <v>350</v>
      </c>
      <c r="J838" s="6" t="s">
        <v>169</v>
      </c>
      <c r="K838" s="58">
        <v>3.0</v>
      </c>
      <c r="L838" s="5"/>
      <c r="M838" s="5"/>
      <c r="N838" s="60"/>
      <c r="O838" s="60"/>
      <c r="P838" s="60"/>
      <c r="Q838" s="60"/>
      <c r="R838" s="60"/>
      <c r="S838" s="60">
        <v>31.6016</v>
      </c>
      <c r="T838" s="60">
        <v>0.27768</v>
      </c>
      <c r="U838" s="5"/>
      <c r="V838" s="5"/>
      <c r="W838" s="60">
        <v>0.1842</v>
      </c>
      <c r="X838" s="5"/>
      <c r="Y838" s="83" t="s">
        <v>351</v>
      </c>
      <c r="Z838" s="60">
        <v>14.88</v>
      </c>
      <c r="AA838" s="60">
        <v>0.01</v>
      </c>
      <c r="AB838" s="60">
        <v>11.52</v>
      </c>
      <c r="AC838" s="60">
        <v>0.03</v>
      </c>
      <c r="AD838" s="60">
        <v>10.705</v>
      </c>
      <c r="AE838" s="60">
        <v>0.023</v>
      </c>
      <c r="AF838" s="60">
        <v>10.352</v>
      </c>
      <c r="AG838" s="60">
        <v>0.022</v>
      </c>
      <c r="AH838" s="6"/>
      <c r="AI838" s="6"/>
      <c r="AJ838" s="63" t="s">
        <v>702</v>
      </c>
      <c r="AK838" s="64" t="s">
        <v>216</v>
      </c>
      <c r="AL838" s="64" t="s">
        <v>1631</v>
      </c>
      <c r="AM838" s="64">
        <v>4.0</v>
      </c>
      <c r="AN838" s="102">
        <v>360.0</v>
      </c>
      <c r="AO838" s="13"/>
      <c r="AP838" s="64" t="s">
        <v>427</v>
      </c>
      <c r="AQ838" s="7"/>
      <c r="AR838" s="78">
        <v>3300.0</v>
      </c>
      <c r="AS838" s="64">
        <v>150.0</v>
      </c>
      <c r="AT838" s="79">
        <v>0.4</v>
      </c>
      <c r="AU838" s="7"/>
      <c r="AV838" s="70">
        <v>0.51</v>
      </c>
      <c r="AW838" s="7"/>
      <c r="AX838" s="73">
        <v>2.19</v>
      </c>
      <c r="AY838" s="7"/>
      <c r="AZ838" s="11" t="s">
        <v>1632</v>
      </c>
      <c r="BA838" s="11" t="s">
        <v>1633</v>
      </c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2"/>
      <c r="DK838" s="12"/>
      <c r="DL838" s="12"/>
      <c r="DM838" s="69"/>
      <c r="DN838" s="69"/>
      <c r="DO838" s="69"/>
      <c r="DP838" s="69"/>
      <c r="DQ838" s="11"/>
      <c r="DR838" s="69"/>
      <c r="DS838" s="69"/>
      <c r="DT838" s="69"/>
      <c r="DU838" s="69"/>
      <c r="DV838" s="97">
        <v>-2.3</v>
      </c>
      <c r="DW838" s="10"/>
      <c r="DX838" s="81">
        <v>1.12E-9</v>
      </c>
      <c r="DY838" s="7"/>
      <c r="DZ838" s="64" t="s">
        <v>1634</v>
      </c>
      <c r="EA838" s="72" t="s">
        <v>354</v>
      </c>
      <c r="EB838" s="82" t="s">
        <v>1676</v>
      </c>
    </row>
    <row r="839">
      <c r="A839" s="55" t="s">
        <v>1725</v>
      </c>
      <c r="B839" s="55" t="s">
        <v>1726</v>
      </c>
      <c r="C839" s="4"/>
      <c r="D839" s="3"/>
      <c r="E839" s="3"/>
      <c r="F839" s="57" t="s">
        <v>168</v>
      </c>
      <c r="G839" s="58">
        <v>84.63079</v>
      </c>
      <c r="H839" s="58">
        <v>-2.60936</v>
      </c>
      <c r="I839" s="6" t="s">
        <v>350</v>
      </c>
      <c r="J839" s="6" t="s">
        <v>169</v>
      </c>
      <c r="K839" s="58">
        <v>3.0</v>
      </c>
      <c r="L839" s="5"/>
      <c r="M839" s="5"/>
      <c r="N839" s="60"/>
      <c r="O839" s="60"/>
      <c r="P839" s="60"/>
      <c r="Q839" s="60"/>
      <c r="R839" s="60"/>
      <c r="S839" s="60">
        <v>30.81</v>
      </c>
      <c r="T839" s="60">
        <v>0.88</v>
      </c>
      <c r="U839" s="5"/>
      <c r="V839" s="5"/>
      <c r="W839" s="60">
        <v>0.1875</v>
      </c>
      <c r="X839" s="5"/>
      <c r="Y839" s="109" t="s">
        <v>351</v>
      </c>
      <c r="Z839" s="60">
        <v>15.22</v>
      </c>
      <c r="AA839" s="60">
        <v>0.01</v>
      </c>
      <c r="AB839" s="60">
        <v>12.174</v>
      </c>
      <c r="AC839" s="60">
        <v>0.027</v>
      </c>
      <c r="AD839" s="60">
        <v>11.473</v>
      </c>
      <c r="AE839" s="60">
        <v>0.024</v>
      </c>
      <c r="AF839" s="60">
        <v>10.986</v>
      </c>
      <c r="AG839" s="60">
        <v>0.025</v>
      </c>
      <c r="AH839" s="6"/>
      <c r="AI839" s="6"/>
      <c r="AJ839" s="63" t="s">
        <v>702</v>
      </c>
      <c r="AK839" s="64" t="s">
        <v>216</v>
      </c>
      <c r="AL839" s="64" t="s">
        <v>1631</v>
      </c>
      <c r="AM839" s="64">
        <v>4.0</v>
      </c>
      <c r="AN839" s="102">
        <v>360.0</v>
      </c>
      <c r="AO839" s="13"/>
      <c r="AP839" s="64" t="s">
        <v>422</v>
      </c>
      <c r="AQ839" s="7"/>
      <c r="AR839" s="78">
        <v>3400.0</v>
      </c>
      <c r="AS839" s="64">
        <v>150.0</v>
      </c>
      <c r="AT839" s="79">
        <v>0.4</v>
      </c>
      <c r="AU839" s="7"/>
      <c r="AV839" s="64">
        <v>0.22</v>
      </c>
      <c r="AW839" s="7"/>
      <c r="AX839" s="73">
        <v>1.36</v>
      </c>
      <c r="AY839" s="7"/>
      <c r="AZ839" s="11" t="s">
        <v>1632</v>
      </c>
      <c r="BA839" s="11" t="s">
        <v>1633</v>
      </c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2"/>
      <c r="DK839" s="12"/>
      <c r="DL839" s="12"/>
      <c r="DM839" s="69"/>
      <c r="DN839" s="69"/>
      <c r="DO839" s="69"/>
      <c r="DP839" s="69"/>
      <c r="DQ839" s="11"/>
      <c r="DR839" s="69"/>
      <c r="DS839" s="69"/>
      <c r="DT839" s="69"/>
      <c r="DU839" s="69"/>
      <c r="DV839" s="97">
        <v>-1.8</v>
      </c>
      <c r="DW839" s="10"/>
      <c r="DX839" s="81">
        <v>2.19E-9</v>
      </c>
      <c r="DY839" s="7"/>
      <c r="DZ839" s="64" t="s">
        <v>1634</v>
      </c>
      <c r="EA839" s="72" t="s">
        <v>354</v>
      </c>
      <c r="EB839" s="82" t="s">
        <v>705</v>
      </c>
    </row>
    <row r="840">
      <c r="A840" s="55" t="s">
        <v>1727</v>
      </c>
      <c r="B840" s="55" t="s">
        <v>1728</v>
      </c>
      <c r="C840" s="4"/>
      <c r="D840" s="4"/>
      <c r="E840" s="4"/>
      <c r="F840" s="57" t="s">
        <v>168</v>
      </c>
      <c r="G840" s="58">
        <v>84.689</v>
      </c>
      <c r="H840" s="58">
        <v>-2.69983</v>
      </c>
      <c r="I840" s="6" t="s">
        <v>350</v>
      </c>
      <c r="J840" s="6" t="s">
        <v>169</v>
      </c>
      <c r="K840" s="58">
        <v>3.0</v>
      </c>
      <c r="L840" s="5"/>
      <c r="M840" s="5"/>
      <c r="N840" s="60"/>
      <c r="O840" s="60">
        <v>-23.3</v>
      </c>
      <c r="P840" s="60">
        <v>5.6</v>
      </c>
      <c r="Q840" s="60">
        <v>7.4</v>
      </c>
      <c r="R840" s="60">
        <v>5.6</v>
      </c>
      <c r="S840" s="60">
        <v>31.44</v>
      </c>
      <c r="T840" s="60">
        <v>0.162</v>
      </c>
      <c r="U840" s="5"/>
      <c r="V840" s="5"/>
      <c r="W840" s="60">
        <v>0.213</v>
      </c>
      <c r="X840" s="5"/>
      <c r="Y840" s="106" t="s">
        <v>351</v>
      </c>
      <c r="Z840" s="60">
        <v>15.19</v>
      </c>
      <c r="AA840" s="60">
        <v>0.11</v>
      </c>
      <c r="AB840" s="60">
        <v>11.988</v>
      </c>
      <c r="AC840" s="60">
        <v>0.03</v>
      </c>
      <c r="AD840" s="60">
        <v>11.329</v>
      </c>
      <c r="AE840" s="60">
        <v>0.029</v>
      </c>
      <c r="AF840" s="60">
        <v>11.039</v>
      </c>
      <c r="AG840" s="60">
        <v>0.027</v>
      </c>
      <c r="AH840" s="6"/>
      <c r="AI840" s="6"/>
      <c r="AJ840" s="63" t="s">
        <v>702</v>
      </c>
      <c r="AK840" s="64" t="s">
        <v>216</v>
      </c>
      <c r="AL840" s="64" t="s">
        <v>1631</v>
      </c>
      <c r="AM840" s="73">
        <v>4.0</v>
      </c>
      <c r="AN840" s="102">
        <v>360.0</v>
      </c>
      <c r="AO840" s="13"/>
      <c r="AP840" s="64" t="s">
        <v>558</v>
      </c>
      <c r="AQ840" s="7"/>
      <c r="AR840" s="78">
        <v>3500.0</v>
      </c>
      <c r="AS840" s="64">
        <v>150.0</v>
      </c>
      <c r="AT840" s="79">
        <v>0.5</v>
      </c>
      <c r="AU840" s="7"/>
      <c r="AV840" s="64">
        <v>0.3</v>
      </c>
      <c r="AW840" s="7"/>
      <c r="AX840" s="73">
        <v>1.49</v>
      </c>
      <c r="AY840" s="7"/>
      <c r="AZ840" s="11" t="s">
        <v>1632</v>
      </c>
      <c r="BA840" s="11" t="s">
        <v>1633</v>
      </c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2"/>
      <c r="DK840" s="12"/>
      <c r="DL840" s="12"/>
      <c r="DM840" s="69"/>
      <c r="DN840" s="69"/>
      <c r="DO840" s="69"/>
      <c r="DP840" s="69"/>
      <c r="DQ840" s="11"/>
      <c r="DR840" s="69"/>
      <c r="DS840" s="69"/>
      <c r="DT840" s="69"/>
      <c r="DU840" s="69"/>
      <c r="DV840" s="97">
        <v>-2.28</v>
      </c>
      <c r="DW840" s="10"/>
      <c r="DX840" s="81">
        <v>6.46E-10</v>
      </c>
      <c r="DY840" s="7"/>
      <c r="DZ840" s="64" t="s">
        <v>1634</v>
      </c>
      <c r="EA840" s="72" t="s">
        <v>354</v>
      </c>
      <c r="EB840" s="82" t="s">
        <v>705</v>
      </c>
    </row>
    <row r="841">
      <c r="A841" s="55" t="s">
        <v>1729</v>
      </c>
      <c r="B841" s="55" t="s">
        <v>1730</v>
      </c>
      <c r="C841" s="4"/>
      <c r="D841" s="4"/>
      <c r="E841" s="4" t="s">
        <v>1670</v>
      </c>
      <c r="F841" s="57" t="s">
        <v>168</v>
      </c>
      <c r="G841" s="58">
        <v>85.03713</v>
      </c>
      <c r="H841" s="58">
        <v>-2.55938</v>
      </c>
      <c r="I841" s="6" t="s">
        <v>350</v>
      </c>
      <c r="J841" s="6" t="s">
        <v>169</v>
      </c>
      <c r="K841" s="58">
        <v>3.0</v>
      </c>
      <c r="L841" s="5"/>
      <c r="M841" s="60">
        <v>2.0</v>
      </c>
      <c r="N841" s="61">
        <v>402.965828497743</v>
      </c>
      <c r="O841" s="61">
        <v>2.217</v>
      </c>
      <c r="P841" s="61">
        <v>0.062</v>
      </c>
      <c r="Q841" s="61">
        <v>-0.229</v>
      </c>
      <c r="R841" s="61">
        <v>0.053</v>
      </c>
      <c r="S841" s="60">
        <v>29.15</v>
      </c>
      <c r="T841" s="60">
        <v>0.257</v>
      </c>
      <c r="U841" s="5"/>
      <c r="V841" s="5"/>
      <c r="W841" s="60">
        <v>0.199</v>
      </c>
      <c r="X841" s="5"/>
      <c r="Y841" s="106" t="s">
        <v>351</v>
      </c>
      <c r="Z841" s="60">
        <v>14.09</v>
      </c>
      <c r="AA841" s="60">
        <v>0.02</v>
      </c>
      <c r="AB841" s="60">
        <v>11.501</v>
      </c>
      <c r="AC841" s="60">
        <v>0.026</v>
      </c>
      <c r="AD841" s="60">
        <v>10.546</v>
      </c>
      <c r="AE841" s="60">
        <v>0.023</v>
      </c>
      <c r="AF841" s="60">
        <v>9.911</v>
      </c>
      <c r="AG841" s="60">
        <v>0.024</v>
      </c>
      <c r="AH841" s="6"/>
      <c r="AI841" s="6"/>
      <c r="AJ841" s="63" t="s">
        <v>702</v>
      </c>
      <c r="AK841" s="64" t="s">
        <v>216</v>
      </c>
      <c r="AL841" s="64" t="s">
        <v>1631</v>
      </c>
      <c r="AM841" s="64">
        <v>4.0</v>
      </c>
      <c r="AN841" s="102">
        <v>360.0</v>
      </c>
      <c r="AO841" s="13"/>
      <c r="AP841" s="64" t="s">
        <v>1423</v>
      </c>
      <c r="AQ841" s="7"/>
      <c r="AR841" s="78">
        <v>3500.0</v>
      </c>
      <c r="AS841" s="64">
        <v>150.0</v>
      </c>
      <c r="AT841" s="79">
        <v>0.55</v>
      </c>
      <c r="AU841" s="7"/>
      <c r="AV841" s="64">
        <v>0.53</v>
      </c>
      <c r="AW841" s="7"/>
      <c r="AX841" s="73">
        <v>1.99</v>
      </c>
      <c r="AY841" s="7"/>
      <c r="AZ841" s="11" t="s">
        <v>1632</v>
      </c>
      <c r="BA841" s="11" t="s">
        <v>1633</v>
      </c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2"/>
      <c r="DK841" s="12"/>
      <c r="DL841" s="12"/>
      <c r="DM841" s="69"/>
      <c r="DN841" s="69"/>
      <c r="DO841" s="69"/>
      <c r="DP841" s="69"/>
      <c r="DQ841" s="11"/>
      <c r="DR841" s="69"/>
      <c r="DS841" s="69"/>
      <c r="DT841" s="69"/>
      <c r="DU841" s="69"/>
      <c r="DV841" s="97">
        <v>-1.82</v>
      </c>
      <c r="DW841" s="10"/>
      <c r="DX841" s="81">
        <v>2.24E-9</v>
      </c>
      <c r="DY841" s="7"/>
      <c r="DZ841" s="64" t="s">
        <v>1634</v>
      </c>
      <c r="EA841" s="72" t="s">
        <v>354</v>
      </c>
      <c r="EB841" s="82" t="s">
        <v>705</v>
      </c>
    </row>
    <row r="842">
      <c r="A842" s="55" t="s">
        <v>1731</v>
      </c>
      <c r="B842" s="55" t="s">
        <v>1732</v>
      </c>
      <c r="C842" s="4"/>
      <c r="D842" s="4"/>
      <c r="E842" s="4"/>
      <c r="F842" s="57" t="s">
        <v>168</v>
      </c>
      <c r="G842" s="58">
        <v>84.68423</v>
      </c>
      <c r="H842" s="58">
        <v>-2.67209</v>
      </c>
      <c r="I842" s="6" t="s">
        <v>350</v>
      </c>
      <c r="J842" s="6" t="s">
        <v>169</v>
      </c>
      <c r="K842" s="58">
        <v>3.0</v>
      </c>
      <c r="L842" s="5"/>
      <c r="M842" s="59">
        <v>2.0</v>
      </c>
      <c r="N842" s="61">
        <v>400.769477396601</v>
      </c>
      <c r="O842" s="61">
        <v>1.517</v>
      </c>
      <c r="P842" s="61">
        <v>0.039</v>
      </c>
      <c r="Q842" s="61">
        <v>-0.989</v>
      </c>
      <c r="R842" s="61">
        <v>0.038</v>
      </c>
      <c r="S842" s="60">
        <v>30.3</v>
      </c>
      <c r="T842" s="60">
        <v>0.291</v>
      </c>
      <c r="U842" s="5"/>
      <c r="V842" s="5"/>
      <c r="W842" s="60">
        <v>0.2105</v>
      </c>
      <c r="X842" s="5"/>
      <c r="Y842" s="109" t="s">
        <v>351</v>
      </c>
      <c r="Z842" s="60">
        <v>13.22</v>
      </c>
      <c r="AA842" s="60">
        <v>0.01</v>
      </c>
      <c r="AB842" s="60">
        <v>11.363</v>
      </c>
      <c r="AC842" s="60">
        <v>0.026</v>
      </c>
      <c r="AD842" s="60">
        <v>10.688</v>
      </c>
      <c r="AE842" s="60">
        <v>0.024</v>
      </c>
      <c r="AF842" s="60">
        <v>10.439</v>
      </c>
      <c r="AG842" s="60">
        <v>0.024</v>
      </c>
      <c r="AH842" s="6"/>
      <c r="AI842" s="6"/>
      <c r="AJ842" s="63" t="s">
        <v>702</v>
      </c>
      <c r="AK842" s="64" t="s">
        <v>216</v>
      </c>
      <c r="AL842" s="64" t="s">
        <v>1631</v>
      </c>
      <c r="AM842" s="64">
        <v>4.0</v>
      </c>
      <c r="AN842" s="102">
        <v>360.0</v>
      </c>
      <c r="AO842" s="13"/>
      <c r="AP842" s="64" t="s">
        <v>1423</v>
      </c>
      <c r="AQ842" s="7"/>
      <c r="AR842" s="78">
        <v>3500.0</v>
      </c>
      <c r="AS842" s="64">
        <v>150.0</v>
      </c>
      <c r="AT842" s="79">
        <v>0.6</v>
      </c>
      <c r="AU842" s="7"/>
      <c r="AV842" s="70">
        <v>0.63</v>
      </c>
      <c r="AW842" s="7"/>
      <c r="AX842" s="73">
        <v>2.16</v>
      </c>
      <c r="AY842" s="7"/>
      <c r="AZ842" s="11" t="s">
        <v>1632</v>
      </c>
      <c r="BA842" s="11" t="s">
        <v>1633</v>
      </c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2"/>
      <c r="DK842" s="12"/>
      <c r="DL842" s="12"/>
      <c r="DM842" s="69"/>
      <c r="DN842" s="69"/>
      <c r="DO842" s="69"/>
      <c r="DP842" s="69"/>
      <c r="DQ842" s="11"/>
      <c r="DR842" s="69"/>
      <c r="DS842" s="69"/>
      <c r="DT842" s="69"/>
      <c r="DU842" s="69"/>
      <c r="DV842" s="97">
        <v>-1.92</v>
      </c>
      <c r="DW842" s="10"/>
      <c r="DX842" s="81">
        <v>1.74E-9</v>
      </c>
      <c r="DY842" s="7"/>
      <c r="DZ842" s="64" t="s">
        <v>1634</v>
      </c>
      <c r="EA842" s="72" t="s">
        <v>354</v>
      </c>
      <c r="EB842" s="82" t="s">
        <v>1676</v>
      </c>
    </row>
    <row r="843">
      <c r="A843" s="55" t="s">
        <v>1733</v>
      </c>
      <c r="B843" s="55" t="s">
        <v>1734</v>
      </c>
      <c r="C843" s="4"/>
      <c r="D843" s="3"/>
      <c r="E843" s="3"/>
      <c r="F843" s="57" t="s">
        <v>168</v>
      </c>
      <c r="G843" s="58">
        <v>84.75575</v>
      </c>
      <c r="H843" s="58">
        <v>-2.30771</v>
      </c>
      <c r="I843" s="6" t="s">
        <v>350</v>
      </c>
      <c r="J843" s="6" t="s">
        <v>169</v>
      </c>
      <c r="K843" s="58">
        <v>3.0</v>
      </c>
      <c r="L843" s="5"/>
      <c r="M843" s="59">
        <v>2.0</v>
      </c>
      <c r="N843" s="61">
        <v>420.433046037418</v>
      </c>
      <c r="O843" s="61">
        <v>1.752</v>
      </c>
      <c r="P843" s="61">
        <v>0.055</v>
      </c>
      <c r="Q843" s="61">
        <v>-0.115</v>
      </c>
      <c r="R843" s="61">
        <v>0.053</v>
      </c>
      <c r="S843" s="60">
        <v>30.4046</v>
      </c>
      <c r="T843" s="60">
        <v>0.230914</v>
      </c>
      <c r="U843" s="5"/>
      <c r="V843" s="5"/>
      <c r="W843" s="60">
        <v>0.16</v>
      </c>
      <c r="X843" s="5"/>
      <c r="Y843" s="106" t="s">
        <v>351</v>
      </c>
      <c r="Z843" s="60">
        <v>14.02</v>
      </c>
      <c r="AA843" s="60">
        <v>0.02</v>
      </c>
      <c r="AB843" s="60">
        <v>11.733</v>
      </c>
      <c r="AC843" s="60">
        <v>0.027</v>
      </c>
      <c r="AD843" s="60">
        <v>10.842</v>
      </c>
      <c r="AE843" s="60">
        <v>0.023</v>
      </c>
      <c r="AF843" s="60">
        <v>10.335</v>
      </c>
      <c r="AG843" s="60">
        <v>0.023</v>
      </c>
      <c r="AH843" s="6"/>
      <c r="AI843" s="6"/>
      <c r="AJ843" s="63" t="s">
        <v>702</v>
      </c>
      <c r="AK843" s="64" t="s">
        <v>216</v>
      </c>
      <c r="AL843" s="64" t="s">
        <v>1631</v>
      </c>
      <c r="AM843" s="73">
        <v>4.0</v>
      </c>
      <c r="AN843" s="102">
        <v>360.0</v>
      </c>
      <c r="AO843" s="13"/>
      <c r="AP843" s="64" t="s">
        <v>571</v>
      </c>
      <c r="AQ843" s="7"/>
      <c r="AR843" s="78">
        <v>3600.0</v>
      </c>
      <c r="AS843" s="64">
        <v>150.0</v>
      </c>
      <c r="AT843" s="79">
        <v>0.6</v>
      </c>
      <c r="AU843" s="7"/>
      <c r="AV843" s="64">
        <v>0.42</v>
      </c>
      <c r="AW843" s="7"/>
      <c r="AX843" s="73">
        <v>1.67</v>
      </c>
      <c r="AY843" s="7"/>
      <c r="AZ843" s="11" t="s">
        <v>1632</v>
      </c>
      <c r="BA843" s="11" t="s">
        <v>1633</v>
      </c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2"/>
      <c r="DK843" s="12"/>
      <c r="DL843" s="12"/>
      <c r="DM843" s="69"/>
      <c r="DN843" s="69"/>
      <c r="DO843" s="69"/>
      <c r="DP843" s="69"/>
      <c r="DQ843" s="11"/>
      <c r="DR843" s="69"/>
      <c r="DS843" s="69"/>
      <c r="DT843" s="69"/>
      <c r="DU843" s="69"/>
      <c r="DV843" s="97">
        <v>-2.01</v>
      </c>
      <c r="DW843" s="10"/>
      <c r="DX843" s="81">
        <v>1.12E-9</v>
      </c>
      <c r="DY843" s="7"/>
      <c r="DZ843" s="64" t="s">
        <v>1634</v>
      </c>
      <c r="EA843" s="72" t="s">
        <v>354</v>
      </c>
      <c r="EB843" s="82" t="s">
        <v>705</v>
      </c>
    </row>
    <row r="844">
      <c r="A844" s="55" t="s">
        <v>1735</v>
      </c>
      <c r="B844" s="55" t="s">
        <v>1736</v>
      </c>
      <c r="C844" s="4"/>
      <c r="D844" s="3"/>
      <c r="E844" s="3" t="s">
        <v>137</v>
      </c>
      <c r="F844" s="57" t="s">
        <v>168</v>
      </c>
      <c r="G844" s="58">
        <v>84.52801</v>
      </c>
      <c r="H844" s="58">
        <v>-2.50627</v>
      </c>
      <c r="I844" s="6" t="s">
        <v>350</v>
      </c>
      <c r="J844" s="6" t="s">
        <v>169</v>
      </c>
      <c r="K844" s="58">
        <v>3.0</v>
      </c>
      <c r="L844" s="5"/>
      <c r="M844" s="59">
        <v>2.0</v>
      </c>
      <c r="N844" s="61">
        <v>424.826883045159</v>
      </c>
      <c r="O844" s="61">
        <v>1.035</v>
      </c>
      <c r="P844" s="61">
        <v>0.074</v>
      </c>
      <c r="Q844" s="61">
        <v>-0.383</v>
      </c>
      <c r="R844" s="61">
        <v>0.074</v>
      </c>
      <c r="S844" s="60">
        <v>30.29</v>
      </c>
      <c r="T844" s="60">
        <v>0.711</v>
      </c>
      <c r="U844" s="5"/>
      <c r="V844" s="5"/>
      <c r="W844" s="60">
        <v>0.1353</v>
      </c>
      <c r="X844" s="5"/>
      <c r="Y844" s="106" t="s">
        <v>351</v>
      </c>
      <c r="Z844" s="60">
        <v>14.08</v>
      </c>
      <c r="AA844" s="60">
        <v>0.01</v>
      </c>
      <c r="AB844" s="60">
        <v>11.764</v>
      </c>
      <c r="AC844" s="60">
        <v>0.026</v>
      </c>
      <c r="AD844" s="60">
        <v>10.924</v>
      </c>
      <c r="AE844" s="60">
        <v>0.023</v>
      </c>
      <c r="AF844" s="60">
        <v>10.544</v>
      </c>
      <c r="AG844" s="60">
        <v>0.022</v>
      </c>
      <c r="AH844" s="6"/>
      <c r="AI844" s="6"/>
      <c r="AJ844" s="63" t="s">
        <v>702</v>
      </c>
      <c r="AK844" s="64" t="s">
        <v>216</v>
      </c>
      <c r="AL844" s="64" t="s">
        <v>1631</v>
      </c>
      <c r="AM844" s="64">
        <v>4.0</v>
      </c>
      <c r="AN844" s="102">
        <v>360.0</v>
      </c>
      <c r="AO844" s="13"/>
      <c r="AP844" s="64" t="s">
        <v>419</v>
      </c>
      <c r="AQ844" s="7"/>
      <c r="AR844" s="78">
        <v>3600.0</v>
      </c>
      <c r="AS844" s="64">
        <v>150.0</v>
      </c>
      <c r="AT844" s="79">
        <v>0.6</v>
      </c>
      <c r="AU844" s="7"/>
      <c r="AV844" s="64">
        <v>0.39</v>
      </c>
      <c r="AW844" s="7"/>
      <c r="AX844" s="73">
        <v>1.61</v>
      </c>
      <c r="AY844" s="7"/>
      <c r="AZ844" s="11" t="s">
        <v>1632</v>
      </c>
      <c r="BA844" s="11" t="s">
        <v>1633</v>
      </c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2"/>
      <c r="DK844" s="12"/>
      <c r="DL844" s="12"/>
      <c r="DM844" s="69"/>
      <c r="DN844" s="69"/>
      <c r="DO844" s="69"/>
      <c r="DP844" s="69"/>
      <c r="DQ844" s="11"/>
      <c r="DR844" s="69"/>
      <c r="DS844" s="69"/>
      <c r="DT844" s="69"/>
      <c r="DU844" s="69"/>
      <c r="DV844" s="97">
        <v>-2.26</v>
      </c>
      <c r="DW844" s="10"/>
      <c r="DX844" s="81">
        <v>4.79E-10</v>
      </c>
      <c r="DY844" s="7"/>
      <c r="DZ844" s="64" t="s">
        <v>1634</v>
      </c>
      <c r="EA844" s="72" t="s">
        <v>354</v>
      </c>
      <c r="EB844" s="7"/>
    </row>
    <row r="845">
      <c r="A845" s="55" t="s">
        <v>1737</v>
      </c>
      <c r="B845" s="55" t="s">
        <v>1738</v>
      </c>
      <c r="C845" s="4"/>
      <c r="D845" s="3"/>
      <c r="E845" s="3" t="s">
        <v>137</v>
      </c>
      <c r="F845" s="57" t="s">
        <v>168</v>
      </c>
      <c r="G845" s="58">
        <v>84.78563</v>
      </c>
      <c r="H845" s="58">
        <v>-2.86296</v>
      </c>
      <c r="I845" s="6" t="s">
        <v>350</v>
      </c>
      <c r="J845" s="6" t="s">
        <v>515</v>
      </c>
      <c r="K845" s="58">
        <v>3.0</v>
      </c>
      <c r="L845" s="5"/>
      <c r="M845" s="59">
        <v>2.0</v>
      </c>
      <c r="N845" s="61">
        <v>429.922613929492</v>
      </c>
      <c r="O845" s="61">
        <v>3.152</v>
      </c>
      <c r="P845" s="61">
        <v>0.255</v>
      </c>
      <c r="Q845" s="61">
        <v>-1.632</v>
      </c>
      <c r="R845" s="61">
        <v>0.213</v>
      </c>
      <c r="S845" s="60">
        <v>29.9333</v>
      </c>
      <c r="T845" s="60">
        <v>0.111664</v>
      </c>
      <c r="U845" s="5"/>
      <c r="V845" s="5"/>
      <c r="W845" s="60">
        <v>0.2298</v>
      </c>
      <c r="X845" s="5"/>
      <c r="Y845" s="106" t="s">
        <v>351</v>
      </c>
      <c r="Z845" s="60">
        <v>14.21</v>
      </c>
      <c r="AA845" s="60">
        <v>0.01</v>
      </c>
      <c r="AB845" s="60">
        <v>11.948</v>
      </c>
      <c r="AC845" s="60">
        <v>0.024</v>
      </c>
      <c r="AD845" s="60">
        <v>11.201</v>
      </c>
      <c r="AE845" s="60">
        <v>0.023</v>
      </c>
      <c r="AF845" s="60">
        <v>11.028</v>
      </c>
      <c r="AG845" s="60">
        <v>0.024</v>
      </c>
      <c r="AH845" s="6"/>
      <c r="AI845" s="6"/>
      <c r="AJ845" s="63" t="s">
        <v>702</v>
      </c>
      <c r="AK845" s="64" t="s">
        <v>216</v>
      </c>
      <c r="AL845" s="64" t="s">
        <v>1631</v>
      </c>
      <c r="AM845" s="64">
        <v>4.0</v>
      </c>
      <c r="AN845" s="102">
        <v>360.0</v>
      </c>
      <c r="AO845" s="13"/>
      <c r="AP845" s="64" t="s">
        <v>571</v>
      </c>
      <c r="AQ845" s="7"/>
      <c r="AR845" s="78">
        <v>3600.0</v>
      </c>
      <c r="AS845" s="64">
        <v>150.0</v>
      </c>
      <c r="AT845" s="79">
        <v>0.6</v>
      </c>
      <c r="AU845" s="7"/>
      <c r="AV845" s="64">
        <v>0.35</v>
      </c>
      <c r="AW845" s="7"/>
      <c r="AX845" s="73">
        <v>1.53</v>
      </c>
      <c r="AY845" s="7"/>
      <c r="AZ845" s="11" t="s">
        <v>1632</v>
      </c>
      <c r="BA845" s="11" t="s">
        <v>1633</v>
      </c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97">
        <v>-2.39</v>
      </c>
      <c r="DW845" s="10"/>
      <c r="DX845" s="81">
        <v>4.17E-10</v>
      </c>
      <c r="DY845" s="7"/>
      <c r="DZ845" s="64" t="s">
        <v>1634</v>
      </c>
      <c r="EA845" s="72" t="s">
        <v>354</v>
      </c>
      <c r="EB845" s="82" t="s">
        <v>705</v>
      </c>
    </row>
    <row r="846">
      <c r="A846" s="55" t="s">
        <v>1739</v>
      </c>
      <c r="B846" s="55" t="s">
        <v>1740</v>
      </c>
      <c r="C846" s="4"/>
      <c r="D846" s="4"/>
      <c r="E846" s="4" t="s">
        <v>1670</v>
      </c>
      <c r="F846" s="57" t="s">
        <v>168</v>
      </c>
      <c r="G846" s="58">
        <v>84.97777</v>
      </c>
      <c r="H846" s="58">
        <v>-2.77618</v>
      </c>
      <c r="I846" s="6" t="s">
        <v>350</v>
      </c>
      <c r="J846" s="6" t="s">
        <v>169</v>
      </c>
      <c r="K846" s="58">
        <v>3.0</v>
      </c>
      <c r="L846" s="5"/>
      <c r="M846" s="60">
        <v>2.0</v>
      </c>
      <c r="N846" s="61">
        <v>406.752084604433</v>
      </c>
      <c r="O846" s="61">
        <v>2.123</v>
      </c>
      <c r="P846" s="61">
        <v>0.051</v>
      </c>
      <c r="Q846" s="61">
        <v>-0.725</v>
      </c>
      <c r="R846" s="61">
        <v>0.048</v>
      </c>
      <c r="S846" s="60">
        <v>30.0005</v>
      </c>
      <c r="T846" s="60">
        <v>0.229718</v>
      </c>
      <c r="U846" s="5"/>
      <c r="V846" s="5"/>
      <c r="W846" s="60">
        <v>0.2403</v>
      </c>
      <c r="X846" s="5"/>
      <c r="Y846" s="109" t="s">
        <v>351</v>
      </c>
      <c r="Z846" s="60">
        <v>13.51</v>
      </c>
      <c r="AA846" s="60">
        <v>0.02</v>
      </c>
      <c r="AB846" s="60">
        <v>11.054</v>
      </c>
      <c r="AC846" s="60">
        <v>0.028</v>
      </c>
      <c r="AD846" s="60">
        <v>10.251</v>
      </c>
      <c r="AE846" s="60">
        <v>0.024</v>
      </c>
      <c r="AF846" s="60">
        <v>9.832</v>
      </c>
      <c r="AG846" s="60">
        <v>0.024</v>
      </c>
      <c r="AH846" s="6"/>
      <c r="AI846" s="5"/>
      <c r="AJ846" s="63" t="s">
        <v>702</v>
      </c>
      <c r="AK846" s="64" t="s">
        <v>216</v>
      </c>
      <c r="AL846" s="64" t="s">
        <v>1631</v>
      </c>
      <c r="AM846" s="73">
        <v>4.0</v>
      </c>
      <c r="AN846" s="102">
        <v>360.0</v>
      </c>
      <c r="AO846" s="13"/>
      <c r="AP846" s="64" t="s">
        <v>1741</v>
      </c>
      <c r="AQ846" s="7"/>
      <c r="AR846" s="78">
        <v>3600.0</v>
      </c>
      <c r="AS846" s="64">
        <v>150.0</v>
      </c>
      <c r="AT846" s="79">
        <v>0.7</v>
      </c>
      <c r="AU846" s="7"/>
      <c r="AV846" s="64">
        <v>0.64</v>
      </c>
      <c r="AW846" s="7"/>
      <c r="AX846" s="97">
        <v>2.06</v>
      </c>
      <c r="AY846" s="7"/>
      <c r="AZ846" s="11" t="s">
        <v>1632</v>
      </c>
      <c r="BA846" s="11" t="s">
        <v>1633</v>
      </c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2"/>
      <c r="DK846" s="12"/>
      <c r="DL846" s="12"/>
      <c r="DM846" s="69"/>
      <c r="DN846" s="69"/>
      <c r="DO846" s="69"/>
      <c r="DP846" s="69"/>
      <c r="DQ846" s="11"/>
      <c r="DR846" s="69"/>
      <c r="DS846" s="69"/>
      <c r="DT846" s="69"/>
      <c r="DU846" s="69"/>
      <c r="DV846" s="97">
        <v>-2.15</v>
      </c>
      <c r="DW846" s="10"/>
      <c r="DX846" s="81">
        <v>8.51E-10</v>
      </c>
      <c r="DY846" s="7"/>
      <c r="DZ846" s="64" t="s">
        <v>1634</v>
      </c>
      <c r="EA846" s="72" t="s">
        <v>354</v>
      </c>
      <c r="EB846" s="82" t="s">
        <v>705</v>
      </c>
    </row>
    <row r="847">
      <c r="A847" s="55" t="s">
        <v>1742</v>
      </c>
      <c r="B847" s="55" t="s">
        <v>1743</v>
      </c>
      <c r="C847" s="4"/>
      <c r="D847" s="4"/>
      <c r="E847" s="4" t="s">
        <v>137</v>
      </c>
      <c r="F847" s="57" t="s">
        <v>168</v>
      </c>
      <c r="G847" s="58">
        <v>84.79804</v>
      </c>
      <c r="H847" s="58">
        <v>-2.51851</v>
      </c>
      <c r="I847" s="6" t="s">
        <v>350</v>
      </c>
      <c r="J847" s="6" t="s">
        <v>169</v>
      </c>
      <c r="K847" s="58">
        <v>3.0</v>
      </c>
      <c r="L847" s="5"/>
      <c r="M847" s="59">
        <v>2.0</v>
      </c>
      <c r="N847" s="61">
        <v>410.694484373074</v>
      </c>
      <c r="O847" s="61">
        <v>1.873</v>
      </c>
      <c r="P847" s="61">
        <v>0.059</v>
      </c>
      <c r="Q847" s="61">
        <v>-0.339</v>
      </c>
      <c r="R847" s="61">
        <v>0.057</v>
      </c>
      <c r="S847" s="60">
        <v>30.2975</v>
      </c>
      <c r="T847" s="60">
        <v>0.176875</v>
      </c>
      <c r="U847" s="5"/>
      <c r="V847" s="5"/>
      <c r="W847" s="60">
        <v>0.1919</v>
      </c>
      <c r="X847" s="5"/>
      <c r="Y847" s="106" t="s">
        <v>351</v>
      </c>
      <c r="Z847" s="60">
        <v>14.56</v>
      </c>
      <c r="AA847" s="60">
        <v>0.01</v>
      </c>
      <c r="AB847" s="60">
        <v>11.994</v>
      </c>
      <c r="AC847" s="60">
        <v>0.028</v>
      </c>
      <c r="AD847" s="60">
        <v>11.193</v>
      </c>
      <c r="AE847" s="60">
        <v>0.024</v>
      </c>
      <c r="AF847" s="60">
        <v>10.734</v>
      </c>
      <c r="AG847" s="60">
        <v>0.019</v>
      </c>
      <c r="AH847" s="6"/>
      <c r="AI847" s="6"/>
      <c r="AJ847" s="63" t="s">
        <v>702</v>
      </c>
      <c r="AK847" s="64" t="s">
        <v>216</v>
      </c>
      <c r="AL847" s="64" t="s">
        <v>1631</v>
      </c>
      <c r="AM847" s="73">
        <v>4.0</v>
      </c>
      <c r="AN847" s="102">
        <v>360.0</v>
      </c>
      <c r="AO847" s="13"/>
      <c r="AP847" s="64" t="s">
        <v>713</v>
      </c>
      <c r="AQ847" s="7"/>
      <c r="AR847" s="78">
        <v>3700.0</v>
      </c>
      <c r="AS847" s="64">
        <v>150.0</v>
      </c>
      <c r="AT847" s="79">
        <v>0.7</v>
      </c>
      <c r="AU847" s="7"/>
      <c r="AV847" s="64">
        <v>0.29</v>
      </c>
      <c r="AW847" s="7"/>
      <c r="AX847" s="73">
        <v>1.31</v>
      </c>
      <c r="AY847" s="7"/>
      <c r="AZ847" s="11" t="s">
        <v>1632</v>
      </c>
      <c r="BA847" s="11" t="s">
        <v>1633</v>
      </c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2"/>
      <c r="DK847" s="12"/>
      <c r="DL847" s="12"/>
      <c r="DM847" s="69"/>
      <c r="DN847" s="69"/>
      <c r="DO847" s="69"/>
      <c r="DP847" s="69"/>
      <c r="DQ847" s="11"/>
      <c r="DR847" s="69"/>
      <c r="DS847" s="69"/>
      <c r="DT847" s="69"/>
      <c r="DU847" s="69"/>
      <c r="DV847" s="73">
        <v>-2.41</v>
      </c>
      <c r="DW847" s="10"/>
      <c r="DX847" s="81">
        <v>2.95E-10</v>
      </c>
      <c r="DY847" s="7"/>
      <c r="DZ847" s="64" t="s">
        <v>1634</v>
      </c>
      <c r="EA847" s="72" t="s">
        <v>354</v>
      </c>
      <c r="EB847" s="82" t="s">
        <v>705</v>
      </c>
    </row>
    <row r="848">
      <c r="A848" s="55" t="s">
        <v>710</v>
      </c>
      <c r="B848" s="55" t="s">
        <v>711</v>
      </c>
      <c r="C848" s="4"/>
      <c r="D848" s="3"/>
      <c r="E848" s="3"/>
      <c r="F848" s="57" t="s">
        <v>168</v>
      </c>
      <c r="G848" s="58">
        <v>84.74306</v>
      </c>
      <c r="H848" s="58">
        <v>-2.26953</v>
      </c>
      <c r="I848" s="6" t="s">
        <v>350</v>
      </c>
      <c r="J848" s="6" t="s">
        <v>712</v>
      </c>
      <c r="K848" s="58">
        <v>3.0</v>
      </c>
      <c r="L848" s="5"/>
      <c r="M848" s="59">
        <v>2.0</v>
      </c>
      <c r="N848" s="61">
        <v>398.692289291125</v>
      </c>
      <c r="O848" s="61">
        <v>0.665</v>
      </c>
      <c r="P848" s="61">
        <v>0.067</v>
      </c>
      <c r="Q848" s="61">
        <v>0.458</v>
      </c>
      <c r="R848" s="61">
        <v>0.057</v>
      </c>
      <c r="S848" s="60">
        <v>26.0964</v>
      </c>
      <c r="T848" s="60">
        <v>0.126643</v>
      </c>
      <c r="U848" s="5"/>
      <c r="V848" s="5"/>
      <c r="W848" s="60">
        <v>0.1511</v>
      </c>
      <c r="X848" s="5"/>
      <c r="Y848" s="106" t="s">
        <v>351</v>
      </c>
      <c r="Z848" s="60">
        <v>14.62</v>
      </c>
      <c r="AA848" s="60">
        <v>0.02</v>
      </c>
      <c r="AB848" s="60">
        <v>12.338</v>
      </c>
      <c r="AC848" s="60">
        <v>0.028</v>
      </c>
      <c r="AD848" s="60">
        <v>11.561</v>
      </c>
      <c r="AE848" s="60">
        <v>0.026</v>
      </c>
      <c r="AF848" s="60">
        <v>11.282</v>
      </c>
      <c r="AG848" s="60">
        <v>0.023</v>
      </c>
      <c r="AH848" s="6"/>
      <c r="AI848" s="6"/>
      <c r="AJ848" s="63" t="s">
        <v>702</v>
      </c>
      <c r="AK848" s="64" t="s">
        <v>216</v>
      </c>
      <c r="AL848" s="64" t="s">
        <v>1631</v>
      </c>
      <c r="AM848" s="64">
        <v>4.0</v>
      </c>
      <c r="AN848" s="102">
        <v>360.0</v>
      </c>
      <c r="AO848" s="13"/>
      <c r="AP848" s="64" t="s">
        <v>713</v>
      </c>
      <c r="AQ848" s="7"/>
      <c r="AR848" s="78">
        <v>3700.0</v>
      </c>
      <c r="AS848" s="64">
        <v>150.0</v>
      </c>
      <c r="AT848" s="79">
        <v>0.7</v>
      </c>
      <c r="AU848" s="7"/>
      <c r="AV848" s="64">
        <v>0.21</v>
      </c>
      <c r="AW848" s="7"/>
      <c r="AX848" s="73">
        <v>1.12</v>
      </c>
      <c r="AY848" s="7"/>
      <c r="AZ848" s="11" t="s">
        <v>1632</v>
      </c>
      <c r="BA848" s="11" t="s">
        <v>1633</v>
      </c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2"/>
      <c r="DK848" s="12"/>
      <c r="DL848" s="12"/>
      <c r="DM848" s="69"/>
      <c r="DN848" s="69"/>
      <c r="DO848" s="69"/>
      <c r="DP848" s="69"/>
      <c r="DQ848" s="11"/>
      <c r="DR848" s="69"/>
      <c r="DS848" s="69"/>
      <c r="DT848" s="69"/>
      <c r="DU848" s="69"/>
      <c r="DV848" s="73">
        <v>-2.26</v>
      </c>
      <c r="DW848" s="10"/>
      <c r="DX848" s="81">
        <v>3.55E-10</v>
      </c>
      <c r="DY848" s="7"/>
      <c r="DZ848" s="64" t="s">
        <v>1634</v>
      </c>
      <c r="EA848" s="72" t="s">
        <v>354</v>
      </c>
      <c r="EB848" s="82" t="s">
        <v>705</v>
      </c>
    </row>
    <row r="849">
      <c r="A849" s="55" t="s">
        <v>1744</v>
      </c>
      <c r="B849" s="55" t="s">
        <v>1745</v>
      </c>
      <c r="C849" s="3"/>
      <c r="D849" s="3"/>
      <c r="E849" s="3" t="s">
        <v>137</v>
      </c>
      <c r="F849" s="57" t="s">
        <v>168</v>
      </c>
      <c r="G849" s="58">
        <v>84.85511</v>
      </c>
      <c r="H849" s="58">
        <v>-2.63945</v>
      </c>
      <c r="I849" s="6" t="s">
        <v>350</v>
      </c>
      <c r="J849" s="6" t="s">
        <v>169</v>
      </c>
      <c r="K849" s="58">
        <v>3.0</v>
      </c>
      <c r="L849" s="6"/>
      <c r="M849" s="59">
        <v>2.0</v>
      </c>
      <c r="N849" s="60">
        <v>383.597376193946</v>
      </c>
      <c r="O849" s="60">
        <v>1.945</v>
      </c>
      <c r="P849" s="60">
        <v>0.061</v>
      </c>
      <c r="Q849" s="60">
        <v>-0.315</v>
      </c>
      <c r="R849" s="60">
        <v>0.053</v>
      </c>
      <c r="S849" s="60">
        <v>29.94</v>
      </c>
      <c r="T849" s="60">
        <v>0.172</v>
      </c>
      <c r="U849" s="5"/>
      <c r="V849" s="5"/>
      <c r="W849" s="60">
        <v>0.2199</v>
      </c>
      <c r="X849" s="5"/>
      <c r="Y849" s="109" t="s">
        <v>351</v>
      </c>
      <c r="Z849" s="60">
        <v>13.78</v>
      </c>
      <c r="AA849" s="60">
        <v>0.01</v>
      </c>
      <c r="AB849" s="60">
        <v>11.31</v>
      </c>
      <c r="AC849" s="60">
        <v>0.03</v>
      </c>
      <c r="AD849" s="60">
        <v>10.451</v>
      </c>
      <c r="AE849" s="60">
        <v>0.023</v>
      </c>
      <c r="AF849" s="60">
        <v>10.002</v>
      </c>
      <c r="AG849" s="60">
        <v>0.023</v>
      </c>
      <c r="AH849" s="6"/>
      <c r="AI849" s="6"/>
      <c r="AJ849" s="63" t="s">
        <v>702</v>
      </c>
      <c r="AK849" s="64" t="s">
        <v>216</v>
      </c>
      <c r="AL849" s="64" t="s">
        <v>1631</v>
      </c>
      <c r="AM849" s="73">
        <v>4.0</v>
      </c>
      <c r="AN849" s="102">
        <v>360.0</v>
      </c>
      <c r="AO849" s="13"/>
      <c r="AP849" s="64" t="s">
        <v>1423</v>
      </c>
      <c r="AQ849" s="7"/>
      <c r="AR849" s="78">
        <v>3700.0</v>
      </c>
      <c r="AS849" s="64">
        <v>150.0</v>
      </c>
      <c r="AT849" s="79">
        <v>0.75</v>
      </c>
      <c r="AU849" s="92"/>
      <c r="AV849" s="64">
        <v>0.45</v>
      </c>
      <c r="AW849" s="7"/>
      <c r="AX849" s="97">
        <v>1.64</v>
      </c>
      <c r="AY849" s="13"/>
      <c r="AZ849" s="11" t="s">
        <v>1632</v>
      </c>
      <c r="BA849" s="11" t="s">
        <v>1633</v>
      </c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2"/>
      <c r="DG849" s="12"/>
      <c r="DH849" s="12"/>
      <c r="DI849" s="12"/>
      <c r="DJ849" s="12"/>
      <c r="DK849" s="12"/>
      <c r="DL849" s="12"/>
      <c r="DM849" s="69"/>
      <c r="DN849" s="69"/>
      <c r="DO849" s="69"/>
      <c r="DP849" s="69"/>
      <c r="DQ849" s="11"/>
      <c r="DR849" s="69"/>
      <c r="DS849" s="69"/>
      <c r="DT849" s="69"/>
      <c r="DU849" s="69"/>
      <c r="DV849" s="97">
        <v>-2.17</v>
      </c>
      <c r="DW849" s="10"/>
      <c r="DX849" s="81">
        <v>6.03E-10</v>
      </c>
      <c r="DY849" s="7"/>
      <c r="DZ849" s="64" t="s">
        <v>1634</v>
      </c>
      <c r="EA849" s="72" t="s">
        <v>354</v>
      </c>
      <c r="EB849" s="82" t="s">
        <v>705</v>
      </c>
    </row>
    <row r="850">
      <c r="A850" s="55" t="s">
        <v>714</v>
      </c>
      <c r="B850" s="55" t="s">
        <v>715</v>
      </c>
      <c r="C850" s="4"/>
      <c r="D850" s="3"/>
      <c r="E850" s="3" t="s">
        <v>1670</v>
      </c>
      <c r="F850" s="57" t="s">
        <v>168</v>
      </c>
      <c r="G850" s="58">
        <v>84.78176</v>
      </c>
      <c r="H850" s="58">
        <v>-2.54423</v>
      </c>
      <c r="I850" s="6" t="s">
        <v>350</v>
      </c>
      <c r="J850" s="6" t="s">
        <v>712</v>
      </c>
      <c r="K850" s="58">
        <v>3.0</v>
      </c>
      <c r="L850" s="5"/>
      <c r="M850" s="59">
        <v>2.0</v>
      </c>
      <c r="N850" s="61">
        <v>400.914084111774</v>
      </c>
      <c r="O850" s="61">
        <v>1.924</v>
      </c>
      <c r="P850" s="61">
        <v>0.051</v>
      </c>
      <c r="Q850" s="61">
        <v>-1.508</v>
      </c>
      <c r="R850" s="61">
        <v>0.048</v>
      </c>
      <c r="S850" s="60">
        <v>29.88</v>
      </c>
      <c r="T850" s="60">
        <v>0.566</v>
      </c>
      <c r="U850" s="5"/>
      <c r="V850" s="5"/>
      <c r="W850" s="60">
        <v>0.197</v>
      </c>
      <c r="X850" s="5"/>
      <c r="Y850" s="106" t="s">
        <v>351</v>
      </c>
      <c r="Z850" s="60">
        <v>13.18</v>
      </c>
      <c r="AA850" s="60">
        <v>0.01</v>
      </c>
      <c r="AB850" s="60">
        <v>11.298</v>
      </c>
      <c r="AC850" s="60">
        <v>0.026</v>
      </c>
      <c r="AD850" s="60">
        <v>10.573</v>
      </c>
      <c r="AE850" s="60">
        <v>0.024</v>
      </c>
      <c r="AF850" s="60">
        <v>10.26</v>
      </c>
      <c r="AG850" s="60">
        <v>0.023</v>
      </c>
      <c r="AH850" s="6"/>
      <c r="AI850" s="6"/>
      <c r="AJ850" s="63" t="s">
        <v>702</v>
      </c>
      <c r="AK850" s="64" t="s">
        <v>216</v>
      </c>
      <c r="AL850" s="64" t="s">
        <v>1631</v>
      </c>
      <c r="AM850" s="64">
        <v>4.0</v>
      </c>
      <c r="AN850" s="102">
        <v>360.0</v>
      </c>
      <c r="AO850" s="13"/>
      <c r="AP850" s="64" t="s">
        <v>716</v>
      </c>
      <c r="AQ850" s="7"/>
      <c r="AR850" s="78">
        <v>3700.0</v>
      </c>
      <c r="AS850" s="64">
        <v>150.0</v>
      </c>
      <c r="AT850" s="79">
        <v>0.8</v>
      </c>
      <c r="AU850" s="7"/>
      <c r="AV850" s="64">
        <v>0.5</v>
      </c>
      <c r="AW850" s="7"/>
      <c r="AX850" s="73">
        <v>1.73</v>
      </c>
      <c r="AY850" s="7"/>
      <c r="AZ850" s="11" t="s">
        <v>1632</v>
      </c>
      <c r="BA850" s="11" t="s">
        <v>1633</v>
      </c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97">
        <v>-2.07</v>
      </c>
      <c r="DW850" s="10"/>
      <c r="DX850" s="81">
        <v>7.41E-10</v>
      </c>
      <c r="DY850" s="7"/>
      <c r="DZ850" s="64" t="s">
        <v>1634</v>
      </c>
      <c r="EA850" s="72" t="s">
        <v>354</v>
      </c>
      <c r="EB850" s="82" t="s">
        <v>705</v>
      </c>
    </row>
    <row r="851">
      <c r="A851" s="55" t="s">
        <v>1746</v>
      </c>
      <c r="B851" s="55" t="s">
        <v>1747</v>
      </c>
      <c r="C851" s="4"/>
      <c r="D851" s="3"/>
      <c r="E851" s="3" t="s">
        <v>137</v>
      </c>
      <c r="F851" s="57" t="s">
        <v>168</v>
      </c>
      <c r="G851" s="58">
        <v>84.82854</v>
      </c>
      <c r="H851" s="58">
        <v>-2.5148</v>
      </c>
      <c r="I851" s="6" t="s">
        <v>350</v>
      </c>
      <c r="J851" s="6" t="s">
        <v>169</v>
      </c>
      <c r="K851" s="58">
        <v>3.0</v>
      </c>
      <c r="L851" s="5"/>
      <c r="M851" s="59">
        <v>2.0</v>
      </c>
      <c r="N851" s="61">
        <v>402.252614641995</v>
      </c>
      <c r="O851" s="61">
        <v>1.751</v>
      </c>
      <c r="P851" s="61">
        <v>0.117</v>
      </c>
      <c r="Q851" s="61">
        <v>-0.543</v>
      </c>
      <c r="R851" s="61">
        <v>0.075</v>
      </c>
      <c r="S851" s="60">
        <v>30.33</v>
      </c>
      <c r="T851" s="60">
        <v>1.647</v>
      </c>
      <c r="U851" s="5"/>
      <c r="V851" s="5"/>
      <c r="W851" s="60">
        <v>0.1909</v>
      </c>
      <c r="X851" s="5"/>
      <c r="Y851" s="106" t="s">
        <v>351</v>
      </c>
      <c r="Z851" s="60">
        <v>13.49</v>
      </c>
      <c r="AA851" s="60">
        <v>0.01</v>
      </c>
      <c r="AB851" s="60">
        <v>11.4</v>
      </c>
      <c r="AC851" s="60">
        <v>0.028</v>
      </c>
      <c r="AD851" s="60">
        <v>10.638</v>
      </c>
      <c r="AE851" s="60">
        <v>0.026</v>
      </c>
      <c r="AF851" s="60">
        <v>10.34</v>
      </c>
      <c r="AG851" s="60">
        <v>0.021</v>
      </c>
      <c r="AH851" s="6"/>
      <c r="AI851" s="6"/>
      <c r="AJ851" s="63" t="s">
        <v>702</v>
      </c>
      <c r="AK851" s="64" t="s">
        <v>216</v>
      </c>
      <c r="AL851" s="64" t="s">
        <v>1631</v>
      </c>
      <c r="AM851" s="64">
        <v>4.0</v>
      </c>
      <c r="AN851" s="102">
        <v>360.0</v>
      </c>
      <c r="AO851" s="13"/>
      <c r="AP851" s="64" t="s">
        <v>1748</v>
      </c>
      <c r="AQ851" s="7"/>
      <c r="AR851" s="78">
        <v>3800.0</v>
      </c>
      <c r="AS851" s="64">
        <v>150.0</v>
      </c>
      <c r="AT851" s="79">
        <v>0.9</v>
      </c>
      <c r="AU851" s="7"/>
      <c r="AV851" s="64">
        <v>0.53</v>
      </c>
      <c r="AW851" s="7"/>
      <c r="AX851" s="73">
        <v>1.68</v>
      </c>
      <c r="AY851" s="7"/>
      <c r="AZ851" s="11" t="s">
        <v>1632</v>
      </c>
      <c r="BA851" s="11" t="s">
        <v>1633</v>
      </c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2"/>
      <c r="DK851" s="12"/>
      <c r="DL851" s="12"/>
      <c r="DM851" s="69"/>
      <c r="DN851" s="69"/>
      <c r="DO851" s="69"/>
      <c r="DP851" s="69"/>
      <c r="DQ851" s="11"/>
      <c r="DR851" s="69"/>
      <c r="DS851" s="69"/>
      <c r="DT851" s="69"/>
      <c r="DU851" s="69"/>
      <c r="DV851" s="97">
        <v>-2.12</v>
      </c>
      <c r="DW851" s="10"/>
      <c r="DX851" s="81">
        <v>5.75E-10</v>
      </c>
      <c r="DY851" s="7"/>
      <c r="DZ851" s="64" t="s">
        <v>1634</v>
      </c>
      <c r="EA851" s="72" t="s">
        <v>354</v>
      </c>
      <c r="EB851" s="82" t="s">
        <v>705</v>
      </c>
    </row>
    <row r="852">
      <c r="A852" s="55" t="s">
        <v>1749</v>
      </c>
      <c r="B852" s="55" t="s">
        <v>1750</v>
      </c>
      <c r="C852" s="4"/>
      <c r="D852" s="4"/>
      <c r="E852" s="4" t="s">
        <v>137</v>
      </c>
      <c r="F852" s="57" t="s">
        <v>168</v>
      </c>
      <c r="G852" s="58">
        <v>84.6677</v>
      </c>
      <c r="H852" s="58">
        <v>-2.50515</v>
      </c>
      <c r="I852" s="6" t="s">
        <v>350</v>
      </c>
      <c r="J852" s="6" t="s">
        <v>169</v>
      </c>
      <c r="K852" s="58">
        <v>3.0</v>
      </c>
      <c r="L852" s="5"/>
      <c r="M852" s="59">
        <v>2.0</v>
      </c>
      <c r="N852" s="61">
        <v>380.734818199124</v>
      </c>
      <c r="O852" s="61">
        <v>0.897</v>
      </c>
      <c r="P852" s="61">
        <v>0.056</v>
      </c>
      <c r="Q852" s="61">
        <v>-0.554</v>
      </c>
      <c r="R852" s="61">
        <v>0.051</v>
      </c>
      <c r="S852" s="60">
        <v>32.1229</v>
      </c>
      <c r="T852" s="60">
        <v>0.447718</v>
      </c>
      <c r="U852" s="5"/>
      <c r="V852" s="5"/>
      <c r="W852" s="60">
        <v>0.1804</v>
      </c>
      <c r="X852" s="5"/>
      <c r="Y852" s="83" t="s">
        <v>351</v>
      </c>
      <c r="Z852" s="60">
        <v>14.48</v>
      </c>
      <c r="AA852" s="60">
        <v>0.01</v>
      </c>
      <c r="AB852" s="60">
        <v>11.512</v>
      </c>
      <c r="AC852" s="60">
        <v>0.026</v>
      </c>
      <c r="AD852" s="60">
        <v>10.763</v>
      </c>
      <c r="AE852" s="60">
        <v>0.023</v>
      </c>
      <c r="AF852" s="60">
        <v>10.395</v>
      </c>
      <c r="AG852" s="60">
        <v>0.025</v>
      </c>
      <c r="AH852" s="6"/>
      <c r="AI852" s="6"/>
      <c r="AJ852" s="63" t="s">
        <v>702</v>
      </c>
      <c r="AK852" s="64" t="s">
        <v>216</v>
      </c>
      <c r="AL852" s="64" t="s">
        <v>1631</v>
      </c>
      <c r="AM852" s="64">
        <v>4.0</v>
      </c>
      <c r="AN852" s="102">
        <v>360.0</v>
      </c>
      <c r="AO852" s="13"/>
      <c r="AP852" s="64" t="s">
        <v>1751</v>
      </c>
      <c r="AQ852" s="7"/>
      <c r="AR852" s="78">
        <v>3900.0</v>
      </c>
      <c r="AS852" s="64">
        <v>150.0</v>
      </c>
      <c r="AT852" s="79">
        <v>0.9</v>
      </c>
      <c r="AU852" s="7"/>
      <c r="AV852" s="64">
        <v>0.41</v>
      </c>
      <c r="AW852" s="7"/>
      <c r="AX852" s="73">
        <v>1.41</v>
      </c>
      <c r="AY852" s="7"/>
      <c r="AZ852" s="11" t="s">
        <v>1632</v>
      </c>
      <c r="BA852" s="11" t="s">
        <v>1633</v>
      </c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2"/>
      <c r="DK852" s="12"/>
      <c r="DL852" s="12"/>
      <c r="DM852" s="69"/>
      <c r="DN852" s="69"/>
      <c r="DO852" s="69"/>
      <c r="DP852" s="69"/>
      <c r="DQ852" s="11"/>
      <c r="DR852" s="69"/>
      <c r="DS852" s="69"/>
      <c r="DT852" s="69"/>
      <c r="DU852" s="69"/>
      <c r="DV852" s="73">
        <v>-2.06</v>
      </c>
      <c r="DW852" s="10"/>
      <c r="DX852" s="81">
        <v>5.5E-10</v>
      </c>
      <c r="DY852" s="7"/>
      <c r="DZ852" s="64" t="s">
        <v>1634</v>
      </c>
      <c r="EA852" s="72" t="s">
        <v>354</v>
      </c>
      <c r="EB852" s="82" t="s">
        <v>1676</v>
      </c>
    </row>
    <row r="853">
      <c r="A853" s="55" t="s">
        <v>1752</v>
      </c>
      <c r="B853" s="55" t="s">
        <v>1753</v>
      </c>
      <c r="C853" s="4"/>
      <c r="D853" s="3"/>
      <c r="E853" s="3" t="s">
        <v>137</v>
      </c>
      <c r="F853" s="57" t="s">
        <v>168</v>
      </c>
      <c r="G853" s="58">
        <v>84.71678</v>
      </c>
      <c r="H853" s="58">
        <v>-2.77881</v>
      </c>
      <c r="I853" s="6" t="s">
        <v>350</v>
      </c>
      <c r="J853" s="6" t="s">
        <v>169</v>
      </c>
      <c r="K853" s="58">
        <v>3.0</v>
      </c>
      <c r="L853" s="5"/>
      <c r="M853" s="59">
        <v>2.0</v>
      </c>
      <c r="N853" s="61">
        <v>404.710834109029</v>
      </c>
      <c r="O853" s="61">
        <v>1.63</v>
      </c>
      <c r="P853" s="61">
        <v>0.063</v>
      </c>
      <c r="Q853" s="61">
        <v>-1.011</v>
      </c>
      <c r="R853" s="61">
        <v>0.052</v>
      </c>
      <c r="S853" s="60">
        <v>30.07</v>
      </c>
      <c r="T853" s="60">
        <v>0.194</v>
      </c>
      <c r="U853" s="5"/>
      <c r="V853" s="5"/>
      <c r="W853" s="60">
        <v>0.2076</v>
      </c>
      <c r="X853" s="60"/>
      <c r="Y853" s="106" t="s">
        <v>351</v>
      </c>
      <c r="Z853" s="60">
        <v>13.44</v>
      </c>
      <c r="AA853" s="60">
        <v>0.02</v>
      </c>
      <c r="AB853" s="60">
        <v>11.518</v>
      </c>
      <c r="AC853" s="60">
        <v>0.026</v>
      </c>
      <c r="AD853" s="60">
        <v>10.774</v>
      </c>
      <c r="AE853" s="60">
        <v>0.024</v>
      </c>
      <c r="AF853" s="60">
        <v>10.421</v>
      </c>
      <c r="AG853" s="60">
        <v>0.021</v>
      </c>
      <c r="AH853" s="6"/>
      <c r="AI853" s="6"/>
      <c r="AJ853" s="63" t="s">
        <v>702</v>
      </c>
      <c r="AK853" s="64" t="s">
        <v>216</v>
      </c>
      <c r="AL853" s="64" t="s">
        <v>1631</v>
      </c>
      <c r="AM853" s="64">
        <v>4.0</v>
      </c>
      <c r="AN853" s="102">
        <v>360.0</v>
      </c>
      <c r="AO853" s="13"/>
      <c r="AP853" s="64" t="s">
        <v>1423</v>
      </c>
      <c r="AQ853" s="7"/>
      <c r="AR853" s="78">
        <v>4000.0</v>
      </c>
      <c r="AS853" s="64">
        <v>150.0</v>
      </c>
      <c r="AT853" s="79">
        <v>1.0</v>
      </c>
      <c r="AU853" s="7"/>
      <c r="AV853" s="64">
        <v>0.47</v>
      </c>
      <c r="AW853" s="7"/>
      <c r="AX853" s="73">
        <v>1.43</v>
      </c>
      <c r="AY853" s="7"/>
      <c r="AZ853" s="11" t="s">
        <v>1632</v>
      </c>
      <c r="BA853" s="11" t="s">
        <v>1633</v>
      </c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97">
        <v>-1.93</v>
      </c>
      <c r="DW853" s="10"/>
      <c r="DX853" s="81">
        <v>6.76E-10</v>
      </c>
      <c r="DY853" s="7"/>
      <c r="DZ853" s="64" t="s">
        <v>1634</v>
      </c>
      <c r="EA853" s="72" t="s">
        <v>354</v>
      </c>
      <c r="EB853" s="82" t="s">
        <v>705</v>
      </c>
    </row>
    <row r="854">
      <c r="A854" s="74" t="s">
        <v>185</v>
      </c>
      <c r="B854" s="55" t="s">
        <v>186</v>
      </c>
      <c r="C854" s="3" t="s">
        <v>156</v>
      </c>
      <c r="D854" s="57">
        <v>8.7</v>
      </c>
      <c r="E854" s="4"/>
      <c r="F854" s="57" t="s">
        <v>187</v>
      </c>
      <c r="G854" s="58">
        <v>246.8333</v>
      </c>
      <c r="H854" s="58">
        <v>-24.5831</v>
      </c>
      <c r="I854" s="6" t="s">
        <v>188</v>
      </c>
      <c r="J854" s="6" t="s">
        <v>189</v>
      </c>
      <c r="K854" s="58">
        <v>2.0</v>
      </c>
      <c r="L854" s="5"/>
      <c r="M854" s="5"/>
      <c r="N854" s="60"/>
      <c r="O854" s="60">
        <v>-5.9</v>
      </c>
      <c r="P854" s="60">
        <v>0.5</v>
      </c>
      <c r="Q854" s="60">
        <v>-24.4</v>
      </c>
      <c r="R854" s="60">
        <v>0.4</v>
      </c>
      <c r="S854" s="5"/>
      <c r="T854" s="5"/>
      <c r="U854" s="58">
        <v>1.77</v>
      </c>
      <c r="V854" s="58">
        <v>0.71</v>
      </c>
      <c r="W854" s="5"/>
      <c r="X854" s="5"/>
      <c r="Y854" s="75" t="s">
        <v>190</v>
      </c>
      <c r="Z854" s="5"/>
      <c r="AA854" s="6"/>
      <c r="AB854" s="60">
        <v>16.069</v>
      </c>
      <c r="AC854" s="60">
        <v>0.01</v>
      </c>
      <c r="AD854" s="61">
        <v>15.321</v>
      </c>
      <c r="AE854" s="61">
        <v>0.09</v>
      </c>
      <c r="AF854" s="59">
        <v>14.57</v>
      </c>
      <c r="AG854" s="60">
        <v>0.009</v>
      </c>
      <c r="AH854" s="6"/>
      <c r="AI854" s="6"/>
      <c r="AJ854" s="76" t="s">
        <v>191</v>
      </c>
      <c r="AK854" s="64" t="s">
        <v>192</v>
      </c>
      <c r="AL854" s="64">
        <v>2016.0</v>
      </c>
      <c r="AM854" s="64">
        <v>4.0</v>
      </c>
      <c r="AN854" s="77">
        <v>125.0</v>
      </c>
      <c r="AO854" s="64">
        <v>25.0</v>
      </c>
      <c r="AP854" s="13" t="s">
        <v>193</v>
      </c>
      <c r="AQ854" s="64">
        <v>1.0</v>
      </c>
      <c r="AR854" s="78">
        <v>2600.0</v>
      </c>
      <c r="AS854" s="64">
        <v>100.0</v>
      </c>
      <c r="AT854" s="79">
        <v>0.013</v>
      </c>
      <c r="AU854" s="64">
        <v>0.007</v>
      </c>
      <c r="AV854" s="13"/>
      <c r="AW854" s="7"/>
      <c r="AX854" s="73">
        <v>0.19</v>
      </c>
      <c r="AY854" s="7"/>
      <c r="AZ854" s="11" t="s">
        <v>162</v>
      </c>
      <c r="BA854" s="111" t="s">
        <v>1754</v>
      </c>
      <c r="BB854" s="68">
        <v>-57.39</v>
      </c>
      <c r="BC854" s="68">
        <v>17.71</v>
      </c>
      <c r="BD854" s="80">
        <v>1.34E-15</v>
      </c>
      <c r="BE854" s="80">
        <v>5.0E-17</v>
      </c>
      <c r="BF854" s="68">
        <v>-46.9</v>
      </c>
      <c r="BG854" s="68">
        <v>4.21</v>
      </c>
      <c r="BH854" s="80">
        <v>2.19E-16</v>
      </c>
      <c r="BI854" s="80">
        <v>3.0E-18</v>
      </c>
      <c r="BJ854" s="68">
        <v>-23.06</v>
      </c>
      <c r="BK854" s="68">
        <v>2.28</v>
      </c>
      <c r="BL854" s="80">
        <v>6.57E-16</v>
      </c>
      <c r="BM854" s="80">
        <v>4.0E-18</v>
      </c>
      <c r="BN854" s="11"/>
      <c r="BO854" s="11"/>
      <c r="BP854" s="11"/>
      <c r="BQ854" s="11"/>
      <c r="BR854" s="11"/>
      <c r="BS854" s="11"/>
      <c r="BT854" s="11"/>
      <c r="BU854" s="11"/>
      <c r="BV854" s="68">
        <v>-9.37</v>
      </c>
      <c r="BW854" s="68">
        <v>0.44</v>
      </c>
      <c r="BX854" s="80">
        <v>8.93E-17</v>
      </c>
      <c r="BY854" s="80">
        <v>1.2E-18</v>
      </c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69"/>
      <c r="DN854" s="69"/>
      <c r="DO854" s="69"/>
      <c r="DP854" s="69"/>
      <c r="DQ854" s="11"/>
      <c r="DR854" s="68">
        <v>-6.97</v>
      </c>
      <c r="DS854" s="68">
        <v>0.5</v>
      </c>
      <c r="DT854" s="80">
        <v>1.61E-16</v>
      </c>
      <c r="DU854" s="80">
        <v>1.29E-16</v>
      </c>
      <c r="DV854" s="13"/>
      <c r="DW854" s="10"/>
      <c r="DX854" s="81">
        <f>10^(-11.08)</f>
        <v>0</v>
      </c>
      <c r="DY854" s="92">
        <f>(0.4*DX854)/0.434</f>
        <v>0</v>
      </c>
      <c r="DZ854" s="64" t="s">
        <v>1755</v>
      </c>
      <c r="EA854" s="82"/>
      <c r="EB854" s="72" t="s">
        <v>1756</v>
      </c>
    </row>
    <row r="855">
      <c r="A855" s="55" t="s">
        <v>214</v>
      </c>
      <c r="B855" s="55" t="s">
        <v>214</v>
      </c>
      <c r="C855" s="4"/>
      <c r="D855" s="4"/>
      <c r="E855" s="4"/>
      <c r="F855" s="57" t="s">
        <v>187</v>
      </c>
      <c r="G855" s="58">
        <v>246.592788</v>
      </c>
      <c r="H855" s="58">
        <v>-24.401962</v>
      </c>
      <c r="I855" s="6" t="s">
        <v>158</v>
      </c>
      <c r="J855" s="6" t="s">
        <v>169</v>
      </c>
      <c r="K855" s="58">
        <v>1.0</v>
      </c>
      <c r="L855" s="5"/>
      <c r="M855" s="60"/>
      <c r="N855" s="60"/>
      <c r="O855" s="60"/>
      <c r="P855" s="60"/>
      <c r="Q855" s="60"/>
      <c r="R855" s="60"/>
      <c r="S855" s="60"/>
      <c r="T855" s="60"/>
      <c r="U855" s="61">
        <v>7.7</v>
      </c>
      <c r="V855" s="60">
        <v>0.3</v>
      </c>
      <c r="W855" s="5"/>
      <c r="X855" s="5"/>
      <c r="Y855" s="163" t="s">
        <v>754</v>
      </c>
      <c r="Z855" s="60"/>
      <c r="AA855" s="60"/>
      <c r="AB855" s="60">
        <v>16.451</v>
      </c>
      <c r="AC855" s="60">
        <v>0.136</v>
      </c>
      <c r="AD855" s="60">
        <v>15.086</v>
      </c>
      <c r="AE855" s="60">
        <v>0.075</v>
      </c>
      <c r="AF855" s="60">
        <v>13.935</v>
      </c>
      <c r="AG855" s="60">
        <v>0.056</v>
      </c>
      <c r="AH855" s="6"/>
      <c r="AI855" s="6"/>
      <c r="AJ855" s="164" t="s">
        <v>754</v>
      </c>
      <c r="AK855" s="64" t="s">
        <v>610</v>
      </c>
      <c r="AL855" s="97">
        <v>2010.0</v>
      </c>
      <c r="AM855" s="64">
        <v>3.5</v>
      </c>
      <c r="AN855" s="77">
        <v>125.0</v>
      </c>
      <c r="AO855" s="13"/>
      <c r="AP855" s="13" t="s">
        <v>318</v>
      </c>
      <c r="AQ855" s="13"/>
      <c r="AR855" s="78">
        <v>2700.0</v>
      </c>
      <c r="AS855" s="97">
        <v>75.0</v>
      </c>
      <c r="AT855" s="79">
        <v>0.03</v>
      </c>
      <c r="AU855" s="73">
        <v>0.02</v>
      </c>
      <c r="AV855" s="64">
        <v>0.005</v>
      </c>
      <c r="AW855" s="64">
        <v>0.001</v>
      </c>
      <c r="AX855" s="73">
        <v>0.32</v>
      </c>
      <c r="AY855" s="73">
        <v>0.06</v>
      </c>
      <c r="AZ855" s="11" t="s">
        <v>162</v>
      </c>
      <c r="BA855" s="111" t="s">
        <v>1754</v>
      </c>
      <c r="BB855" s="68">
        <v>-121.18</v>
      </c>
      <c r="BC855" s="68">
        <v>36.14</v>
      </c>
      <c r="BD855" s="80">
        <v>1.3E-14</v>
      </c>
      <c r="BE855" s="80">
        <v>4.0E-15</v>
      </c>
      <c r="BF855" s="68"/>
      <c r="BG855" s="68"/>
      <c r="BH855" s="80">
        <v>2.0E-13</v>
      </c>
      <c r="BI855" s="80"/>
      <c r="BJ855" s="68"/>
      <c r="BK855" s="11"/>
      <c r="BL855" s="80">
        <v>2.69E-13</v>
      </c>
      <c r="BM855" s="80"/>
      <c r="BN855" s="68"/>
      <c r="BO855" s="11"/>
      <c r="BP855" s="80">
        <v>3.82E-13</v>
      </c>
      <c r="BQ855" s="80"/>
      <c r="BR855" s="11"/>
      <c r="BS855" s="11"/>
      <c r="BT855" s="11"/>
      <c r="BU855" s="11"/>
      <c r="BV855" s="11"/>
      <c r="BW855" s="11"/>
      <c r="BX855" s="11"/>
      <c r="BY855" s="11"/>
      <c r="BZ855" s="68"/>
      <c r="CA855" s="68"/>
      <c r="CB855" s="80">
        <v>1.0E-15</v>
      </c>
      <c r="CC855" s="80"/>
      <c r="CD855" s="68"/>
      <c r="CE855" s="68"/>
      <c r="CF855" s="80">
        <v>1.0E-15</v>
      </c>
      <c r="CG855" s="80"/>
      <c r="CH855" s="68"/>
      <c r="CI855" s="68"/>
      <c r="CJ855" s="80">
        <v>5.0E-15</v>
      </c>
      <c r="CK855" s="80"/>
      <c r="CL855" s="68"/>
      <c r="CM855" s="68"/>
      <c r="CN855" s="80"/>
      <c r="CO855" s="80"/>
      <c r="CP855" s="80"/>
      <c r="CQ855" s="80"/>
      <c r="CR855" s="80"/>
      <c r="CS855" s="80"/>
      <c r="CT855" s="68"/>
      <c r="CU855" s="68"/>
      <c r="CV855" s="80">
        <v>8.4E-14</v>
      </c>
      <c r="CW855" s="80"/>
      <c r="CX855" s="68"/>
      <c r="CY855" s="68"/>
      <c r="CZ855" s="80">
        <v>1.4E-14</v>
      </c>
      <c r="DA855" s="80"/>
      <c r="DB855" s="11"/>
      <c r="DC855" s="11"/>
      <c r="DD855" s="11"/>
      <c r="DE855" s="11"/>
      <c r="DF855" s="68"/>
      <c r="DG855" s="68"/>
      <c r="DH855" s="80">
        <v>3.32E-13</v>
      </c>
      <c r="DI855" s="80"/>
      <c r="DJ855" s="12"/>
      <c r="DK855" s="12"/>
      <c r="DL855" s="12"/>
      <c r="DM855" s="69"/>
      <c r="DN855" s="69"/>
      <c r="DO855" s="69"/>
      <c r="DP855" s="69"/>
      <c r="DQ855" s="11"/>
      <c r="DR855" s="69"/>
      <c r="DS855" s="69"/>
      <c r="DT855" s="69"/>
      <c r="DU855" s="69"/>
      <c r="DV855" s="73">
        <v>-4.33</v>
      </c>
      <c r="DW855" s="10"/>
      <c r="DX855" s="81">
        <v>2.0E-11</v>
      </c>
      <c r="DY855" s="7"/>
      <c r="DZ855" s="64" t="s">
        <v>755</v>
      </c>
      <c r="EA855" s="64" t="s">
        <v>756</v>
      </c>
      <c r="EB855" s="13"/>
    </row>
    <row r="856">
      <c r="A856" s="55" t="s">
        <v>241</v>
      </c>
      <c r="B856" s="55" t="s">
        <v>1323</v>
      </c>
      <c r="C856" s="4"/>
      <c r="D856" s="4"/>
      <c r="E856" s="4"/>
      <c r="F856" s="57" t="s">
        <v>187</v>
      </c>
      <c r="G856" s="58">
        <v>246.9109504</v>
      </c>
      <c r="H856" s="58">
        <v>-24.64423075</v>
      </c>
      <c r="I856" s="6" t="s">
        <v>158</v>
      </c>
      <c r="J856" s="6" t="s">
        <v>169</v>
      </c>
      <c r="K856" s="58">
        <v>1.0</v>
      </c>
      <c r="L856" s="5"/>
      <c r="M856" s="60">
        <v>2.0</v>
      </c>
      <c r="N856" s="61">
        <v>142.663528069049</v>
      </c>
      <c r="O856" s="61">
        <v>-6.904</v>
      </c>
      <c r="P856" s="61">
        <v>1.086</v>
      </c>
      <c r="Q856" s="61">
        <v>-24.646</v>
      </c>
      <c r="R856" s="61">
        <v>0.719</v>
      </c>
      <c r="S856" s="60"/>
      <c r="T856" s="60"/>
      <c r="U856" s="61">
        <v>5.1</v>
      </c>
      <c r="V856" s="60">
        <v>0.2</v>
      </c>
      <c r="W856" s="5"/>
      <c r="X856" s="5"/>
      <c r="Y856" s="163" t="s">
        <v>754</v>
      </c>
      <c r="Z856" s="60"/>
      <c r="AA856" s="60"/>
      <c r="AB856" s="60">
        <v>13.271</v>
      </c>
      <c r="AC856" s="60">
        <v>0.026</v>
      </c>
      <c r="AD856" s="60">
        <v>11.932</v>
      </c>
      <c r="AE856" s="60">
        <v>0.024</v>
      </c>
      <c r="AF856" s="60">
        <v>11.076</v>
      </c>
      <c r="AG856" s="60">
        <v>0.025</v>
      </c>
      <c r="AH856" s="6"/>
      <c r="AI856" s="6"/>
      <c r="AJ856" s="164" t="s">
        <v>754</v>
      </c>
      <c r="AK856" s="64" t="s">
        <v>610</v>
      </c>
      <c r="AL856" s="97">
        <v>2010.0</v>
      </c>
      <c r="AM856" s="64">
        <v>3.5</v>
      </c>
      <c r="AN856" s="77">
        <v>125.0</v>
      </c>
      <c r="AO856" s="13"/>
      <c r="AP856" s="13" t="s">
        <v>318</v>
      </c>
      <c r="AQ856" s="13"/>
      <c r="AR856" s="78">
        <v>2700.0</v>
      </c>
      <c r="AS856" s="97">
        <v>50.0</v>
      </c>
      <c r="AT856" s="79">
        <v>0.05</v>
      </c>
      <c r="AU856" s="7"/>
      <c r="AV856" s="64">
        <v>0.052</v>
      </c>
      <c r="AW856" s="64">
        <v>0.002</v>
      </c>
      <c r="AX856" s="73">
        <v>1.05</v>
      </c>
      <c r="AY856" s="73">
        <v>0.05</v>
      </c>
      <c r="AZ856" s="11" t="s">
        <v>162</v>
      </c>
      <c r="BA856" s="111" t="s">
        <v>1754</v>
      </c>
      <c r="BB856" s="68">
        <v>-63.35</v>
      </c>
      <c r="BC856" s="68">
        <v>2.22</v>
      </c>
      <c r="BD856" s="80">
        <v>1.05E-13</v>
      </c>
      <c r="BE856" s="80">
        <v>4.0E-15</v>
      </c>
      <c r="BF856" s="68">
        <v>-31.33</v>
      </c>
      <c r="BG856" s="68">
        <v>6.31</v>
      </c>
      <c r="BH856" s="80">
        <v>2.8E-14</v>
      </c>
      <c r="BI856" s="80">
        <v>6.0E-15</v>
      </c>
      <c r="BJ856" s="68">
        <v>-18.81</v>
      </c>
      <c r="BK856" s="68">
        <v>7.24</v>
      </c>
      <c r="BL856" s="80">
        <v>1.5E-14</v>
      </c>
      <c r="BM856" s="80">
        <v>6.0E-15</v>
      </c>
      <c r="BN856" s="11"/>
      <c r="BO856" s="11"/>
      <c r="BP856" s="80">
        <v>1.7E-14</v>
      </c>
      <c r="BQ856" s="80"/>
      <c r="BR856" s="11"/>
      <c r="BS856" s="11"/>
      <c r="BT856" s="11"/>
      <c r="BU856" s="11"/>
      <c r="BV856" s="11"/>
      <c r="BW856" s="11"/>
      <c r="BX856" s="11"/>
      <c r="BY856" s="11"/>
      <c r="BZ856" s="68">
        <v>-1.6</v>
      </c>
      <c r="CA856" s="68">
        <v>0.18</v>
      </c>
      <c r="CB856" s="80">
        <v>1.5E-14</v>
      </c>
      <c r="CC856" s="80">
        <v>2.0E-15</v>
      </c>
      <c r="CD856" s="68">
        <v>-3.68</v>
      </c>
      <c r="CE856" s="68">
        <v>0.56</v>
      </c>
      <c r="CF856" s="80">
        <v>4.4E-14</v>
      </c>
      <c r="CG856" s="80">
        <v>7.0E-15</v>
      </c>
      <c r="CH856" s="68">
        <v>-2.19</v>
      </c>
      <c r="CI856" s="68">
        <v>1.01</v>
      </c>
      <c r="CJ856" s="80">
        <v>1.9E-14</v>
      </c>
      <c r="CK856" s="80">
        <v>9.0E-15</v>
      </c>
      <c r="CL856" s="68"/>
      <c r="CM856" s="68"/>
      <c r="CN856" s="80">
        <v>2.0E-15</v>
      </c>
      <c r="CO856" s="80"/>
      <c r="CP856" s="80"/>
      <c r="CQ856" s="80"/>
      <c r="CR856" s="80"/>
      <c r="CS856" s="80"/>
      <c r="CT856" s="68">
        <v>-13.56</v>
      </c>
      <c r="CU856" s="68">
        <v>4.62</v>
      </c>
      <c r="CV856" s="80">
        <v>7.0E-15</v>
      </c>
      <c r="CW856" s="80">
        <v>2.0E-15</v>
      </c>
      <c r="CX856" s="68">
        <v>-3.62</v>
      </c>
      <c r="CY856" s="68">
        <v>1.05</v>
      </c>
      <c r="CZ856" s="80">
        <v>3.0E-15</v>
      </c>
      <c r="DA856" s="80">
        <v>1.0E-15</v>
      </c>
      <c r="DB856" s="11"/>
      <c r="DC856" s="11"/>
      <c r="DD856" s="11"/>
      <c r="DE856" s="11"/>
      <c r="DF856" s="68"/>
      <c r="DG856" s="68"/>
      <c r="DH856" s="80">
        <v>2.0E-14</v>
      </c>
      <c r="DI856" s="80"/>
      <c r="DJ856" s="12"/>
      <c r="DK856" s="12"/>
      <c r="DL856" s="12"/>
      <c r="DM856" s="69"/>
      <c r="DN856" s="69"/>
      <c r="DO856" s="69"/>
      <c r="DP856" s="69"/>
      <c r="DQ856" s="11"/>
      <c r="DR856" s="69"/>
      <c r="DS856" s="69"/>
      <c r="DT856" s="69"/>
      <c r="DU856" s="69"/>
      <c r="DV856" s="73">
        <v>-2.82</v>
      </c>
      <c r="DW856" s="10"/>
      <c r="DX856" s="81">
        <v>1.26E-9</v>
      </c>
      <c r="DY856" s="7"/>
      <c r="DZ856" s="64" t="s">
        <v>755</v>
      </c>
      <c r="EA856" s="64" t="s">
        <v>756</v>
      </c>
      <c r="EB856" s="13"/>
    </row>
    <row r="857">
      <c r="A857" s="55" t="s">
        <v>1321</v>
      </c>
      <c r="B857" s="55" t="s">
        <v>1321</v>
      </c>
      <c r="C857" s="4"/>
      <c r="D857" s="4"/>
      <c r="E857" s="4"/>
      <c r="F857" s="57" t="s">
        <v>187</v>
      </c>
      <c r="G857" s="58">
        <v>246.9428826</v>
      </c>
      <c r="H857" s="58">
        <v>-24.52812907</v>
      </c>
      <c r="I857" s="6" t="s">
        <v>158</v>
      </c>
      <c r="J857" s="6" t="s">
        <v>169</v>
      </c>
      <c r="K857" s="58">
        <v>1.0</v>
      </c>
      <c r="L857" s="5"/>
      <c r="M857" s="60">
        <v>2.0</v>
      </c>
      <c r="N857" s="61">
        <v>138.952575485986</v>
      </c>
      <c r="O857" s="61">
        <v>-8.295</v>
      </c>
      <c r="P857" s="61">
        <v>1.389</v>
      </c>
      <c r="Q857" s="61">
        <v>-24.902</v>
      </c>
      <c r="R857" s="61">
        <v>1.018</v>
      </c>
      <c r="S857" s="60"/>
      <c r="T857" s="60"/>
      <c r="U857" s="61">
        <v>6.9</v>
      </c>
      <c r="V857" s="60">
        <v>0.1</v>
      </c>
      <c r="W857" s="5"/>
      <c r="X857" s="5"/>
      <c r="Y857" s="163" t="s">
        <v>754</v>
      </c>
      <c r="Z857" s="60"/>
      <c r="AA857" s="60"/>
      <c r="AB857" s="60">
        <v>13.834</v>
      </c>
      <c r="AC857" s="60">
        <v>0.023</v>
      </c>
      <c r="AD857" s="60">
        <v>12.208</v>
      </c>
      <c r="AE857" s="60">
        <v>0.024</v>
      </c>
      <c r="AF857" s="60">
        <v>11.323</v>
      </c>
      <c r="AG857" s="60">
        <v>0.021</v>
      </c>
      <c r="AH857" s="6"/>
      <c r="AI857" s="6"/>
      <c r="AJ857" s="164" t="s">
        <v>754</v>
      </c>
      <c r="AK857" s="64" t="s">
        <v>610</v>
      </c>
      <c r="AL857" s="97">
        <v>2010.0</v>
      </c>
      <c r="AM857" s="64">
        <v>3.5</v>
      </c>
      <c r="AN857" s="77">
        <v>125.0</v>
      </c>
      <c r="AO857" s="13"/>
      <c r="AP857" s="13" t="s">
        <v>232</v>
      </c>
      <c r="AQ857" s="13"/>
      <c r="AR857" s="78">
        <v>2800.0</v>
      </c>
      <c r="AS857" s="97">
        <v>50.0</v>
      </c>
      <c r="AT857" s="79">
        <v>0.06</v>
      </c>
      <c r="AU857" s="73"/>
      <c r="AV857" s="64">
        <v>0.057</v>
      </c>
      <c r="AW857" s="64">
        <v>0.0</v>
      </c>
      <c r="AX857" s="73">
        <v>1.02</v>
      </c>
      <c r="AY857" s="73">
        <v>0.04</v>
      </c>
      <c r="AZ857" s="11" t="s">
        <v>162</v>
      </c>
      <c r="BA857" s="111" t="s">
        <v>1754</v>
      </c>
      <c r="BB857" s="68">
        <v>-7.28</v>
      </c>
      <c r="BC857" s="68">
        <v>2.32</v>
      </c>
      <c r="BD857" s="80">
        <v>8.0E-15</v>
      </c>
      <c r="BE857" s="80">
        <v>3.0E-15</v>
      </c>
      <c r="BF857" s="68"/>
      <c r="BG857" s="68"/>
      <c r="BH857" s="68"/>
      <c r="BI857" s="80"/>
      <c r="BJ857" s="11"/>
      <c r="BK857" s="11"/>
      <c r="BL857" s="68"/>
      <c r="BM857" s="80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68"/>
      <c r="CA857" s="68"/>
      <c r="CB857" s="80">
        <v>3.0E-15</v>
      </c>
      <c r="CC857" s="80"/>
      <c r="CD857" s="68"/>
      <c r="CE857" s="68"/>
      <c r="CF857" s="80">
        <v>2.0E-15</v>
      </c>
      <c r="CG857" s="80"/>
      <c r="CH857" s="68"/>
      <c r="CI857" s="68"/>
      <c r="CJ857" s="80">
        <v>8.0E-15</v>
      </c>
      <c r="CK857" s="80"/>
      <c r="CL857" s="68"/>
      <c r="CM857" s="68"/>
      <c r="CN857" s="80">
        <v>1.0E-15</v>
      </c>
      <c r="CO857" s="80"/>
      <c r="CP857" s="80"/>
      <c r="CQ857" s="80"/>
      <c r="CR857" s="80"/>
      <c r="CS857" s="80"/>
      <c r="CT857" s="68"/>
      <c r="CU857" s="68"/>
      <c r="CV857" s="80">
        <v>3.4E-14</v>
      </c>
      <c r="CW857" s="80"/>
      <c r="CX857" s="68"/>
      <c r="CY857" s="68"/>
      <c r="CZ857" s="80">
        <v>1.4E-14</v>
      </c>
      <c r="DA857" s="80"/>
      <c r="DB857" s="11"/>
      <c r="DC857" s="11"/>
      <c r="DD857" s="11"/>
      <c r="DE857" s="11"/>
      <c r="DF857" s="68"/>
      <c r="DG857" s="68"/>
      <c r="DH857" s="68"/>
      <c r="DI857" s="80"/>
      <c r="DJ857" s="12"/>
      <c r="DK857" s="12"/>
      <c r="DL857" s="12"/>
      <c r="DM857" s="69"/>
      <c r="DN857" s="69"/>
      <c r="DO857" s="69"/>
      <c r="DP857" s="69"/>
      <c r="DQ857" s="11"/>
      <c r="DR857" s="69"/>
      <c r="DS857" s="69"/>
      <c r="DT857" s="69"/>
      <c r="DU857" s="69"/>
      <c r="DV857" s="73">
        <v>-4.6</v>
      </c>
      <c r="DW857" s="10"/>
      <c r="DX857" s="81">
        <v>1.86E-11</v>
      </c>
      <c r="DY857" s="7"/>
      <c r="DZ857" s="64" t="s">
        <v>755</v>
      </c>
      <c r="EA857" s="64" t="s">
        <v>756</v>
      </c>
      <c r="EB857" s="13"/>
    </row>
    <row r="858">
      <c r="A858" s="55" t="s">
        <v>1320</v>
      </c>
      <c r="B858" s="55" t="s">
        <v>1320</v>
      </c>
      <c r="C858" s="4"/>
      <c r="D858" s="4"/>
      <c r="E858" s="4"/>
      <c r="F858" s="57" t="s">
        <v>187</v>
      </c>
      <c r="G858" s="58">
        <v>246.9059468</v>
      </c>
      <c r="H858" s="58">
        <v>-24.29859876</v>
      </c>
      <c r="I858" s="6" t="s">
        <v>158</v>
      </c>
      <c r="J858" s="6" t="s">
        <v>169</v>
      </c>
      <c r="K858" s="58">
        <v>1.0</v>
      </c>
      <c r="L858" s="5"/>
      <c r="M858" s="60">
        <v>2.0</v>
      </c>
      <c r="N858" s="61">
        <v>142.696100115583</v>
      </c>
      <c r="O858" s="61">
        <v>-4.693</v>
      </c>
      <c r="P858" s="61">
        <v>2.667</v>
      </c>
      <c r="Q858" s="61">
        <v>-26.314</v>
      </c>
      <c r="R858" s="61">
        <v>1.903</v>
      </c>
      <c r="S858" s="60"/>
      <c r="T858" s="60"/>
      <c r="U858" s="61">
        <v>6.1</v>
      </c>
      <c r="V858" s="60">
        <v>0.2</v>
      </c>
      <c r="W858" s="5"/>
      <c r="X858" s="5"/>
      <c r="Y858" s="163" t="s">
        <v>754</v>
      </c>
      <c r="Z858" s="60"/>
      <c r="AA858" s="60"/>
      <c r="AB858" s="60">
        <v>14.148</v>
      </c>
      <c r="AC858" s="60">
        <v>0.028</v>
      </c>
      <c r="AD858" s="60">
        <v>12.758</v>
      </c>
      <c r="AE858" s="60">
        <v>0.029</v>
      </c>
      <c r="AF858" s="60">
        <v>11.947</v>
      </c>
      <c r="AG858" s="60">
        <v>0.033</v>
      </c>
      <c r="AH858" s="6"/>
      <c r="AI858" s="6"/>
      <c r="AJ858" s="164" t="s">
        <v>754</v>
      </c>
      <c r="AK858" s="64" t="s">
        <v>610</v>
      </c>
      <c r="AL858" s="97">
        <v>2010.0</v>
      </c>
      <c r="AM858" s="64">
        <v>3.5</v>
      </c>
      <c r="AN858" s="77">
        <v>125.0</v>
      </c>
      <c r="AO858" s="13"/>
      <c r="AP858" s="13" t="s">
        <v>232</v>
      </c>
      <c r="AQ858" s="7"/>
      <c r="AR858" s="78">
        <v>2800.0</v>
      </c>
      <c r="AS858" s="97">
        <v>50.0</v>
      </c>
      <c r="AT858" s="79">
        <v>0.06</v>
      </c>
      <c r="AU858" s="73">
        <v>0.01</v>
      </c>
      <c r="AV858" s="64">
        <v>0.03</v>
      </c>
      <c r="AW858" s="64">
        <v>0.001</v>
      </c>
      <c r="AX858" s="70">
        <v>0.73</v>
      </c>
      <c r="AY858" s="73">
        <v>0.03</v>
      </c>
      <c r="AZ858" s="11" t="s">
        <v>162</v>
      </c>
      <c r="BA858" s="111" t="s">
        <v>1754</v>
      </c>
      <c r="BB858" s="68">
        <v>-105.46</v>
      </c>
      <c r="BC858" s="68">
        <v>8.83</v>
      </c>
      <c r="BD858" s="80">
        <v>8.5E-14</v>
      </c>
      <c r="BE858" s="80">
        <v>7.0E-15</v>
      </c>
      <c r="BF858" s="68"/>
      <c r="BG858" s="68"/>
      <c r="BH858" s="80">
        <v>3.8E-14</v>
      </c>
      <c r="BI858" s="80"/>
      <c r="BJ858" s="68"/>
      <c r="BK858" s="11"/>
      <c r="BL858" s="80">
        <v>7.6E-14</v>
      </c>
      <c r="BM858" s="80"/>
      <c r="BN858" s="11"/>
      <c r="BO858" s="11"/>
      <c r="BP858" s="80">
        <v>8.9E-14</v>
      </c>
      <c r="BQ858" s="80"/>
      <c r="BR858" s="11"/>
      <c r="BS858" s="11"/>
      <c r="BT858" s="11"/>
      <c r="BU858" s="11"/>
      <c r="BV858" s="11"/>
      <c r="BW858" s="11"/>
      <c r="BX858" s="11"/>
      <c r="BY858" s="11"/>
      <c r="BZ858" s="68">
        <v>-2.38</v>
      </c>
      <c r="CA858" s="68">
        <v>0.32</v>
      </c>
      <c r="CB858" s="80">
        <v>1.1E-14</v>
      </c>
      <c r="CC858" s="80">
        <v>1.0E-15</v>
      </c>
      <c r="CD858" s="68">
        <v>-1.78</v>
      </c>
      <c r="CE858" s="68">
        <v>0.46</v>
      </c>
      <c r="CF858" s="80">
        <v>9.0E-15</v>
      </c>
      <c r="CG858" s="80">
        <v>2.0E-15</v>
      </c>
      <c r="CH858" s="68"/>
      <c r="CI858" s="68"/>
      <c r="CJ858" s="80">
        <v>6.0E-15</v>
      </c>
      <c r="CK858" s="80"/>
      <c r="CL858" s="68">
        <v>-1.01</v>
      </c>
      <c r="CM858" s="68">
        <v>0.23</v>
      </c>
      <c r="CN858" s="80">
        <v>2.0E-15</v>
      </c>
      <c r="CO858" s="80"/>
      <c r="CP858" s="80"/>
      <c r="CQ858" s="80"/>
      <c r="CR858" s="80"/>
      <c r="CS858" s="80"/>
      <c r="CT858" s="68"/>
      <c r="CU858" s="68"/>
      <c r="CV858" s="80">
        <v>2.4E-14</v>
      </c>
      <c r="CW858" s="80"/>
      <c r="CX858" s="68"/>
      <c r="CY858" s="68"/>
      <c r="CZ858" s="80">
        <v>2.7E-14</v>
      </c>
      <c r="DA858" s="80"/>
      <c r="DB858" s="11"/>
      <c r="DC858" s="11"/>
      <c r="DD858" s="11"/>
      <c r="DE858" s="11"/>
      <c r="DF858" s="68"/>
      <c r="DG858" s="68"/>
      <c r="DH858" s="80">
        <v>2.41E-13</v>
      </c>
      <c r="DI858" s="80"/>
      <c r="DJ858" s="12"/>
      <c r="DK858" s="12"/>
      <c r="DL858" s="12"/>
      <c r="DM858" s="69"/>
      <c r="DN858" s="69"/>
      <c r="DO858" s="69"/>
      <c r="DP858" s="69"/>
      <c r="DQ858" s="11"/>
      <c r="DR858" s="69"/>
      <c r="DS858" s="69"/>
      <c r="DT858" s="69"/>
      <c r="DU858" s="69"/>
      <c r="DV858" s="73">
        <v>-3.25</v>
      </c>
      <c r="DW858" s="10"/>
      <c r="DX858" s="81">
        <v>2.75E-10</v>
      </c>
      <c r="DY858" s="7"/>
      <c r="DZ858" s="64" t="s">
        <v>755</v>
      </c>
      <c r="EA858" s="64" t="s">
        <v>756</v>
      </c>
      <c r="EB858" s="7"/>
    </row>
    <row r="859">
      <c r="A859" s="55" t="s">
        <v>636</v>
      </c>
      <c r="B859" s="55" t="s">
        <v>636</v>
      </c>
      <c r="C859" s="4"/>
      <c r="D859" s="4"/>
      <c r="E859" s="4"/>
      <c r="F859" s="57" t="s">
        <v>187</v>
      </c>
      <c r="G859" s="58">
        <v>246.5912848</v>
      </c>
      <c r="H859" s="58">
        <v>-24.74436689</v>
      </c>
      <c r="I859" s="6" t="s">
        <v>158</v>
      </c>
      <c r="J859" s="6" t="s">
        <v>169</v>
      </c>
      <c r="K859" s="58">
        <v>1.0</v>
      </c>
      <c r="L859" s="5"/>
      <c r="M859" s="60">
        <v>2.0</v>
      </c>
      <c r="N859" s="61">
        <v>151.258470474346</v>
      </c>
      <c r="O859" s="61">
        <v>-8.227</v>
      </c>
      <c r="P859" s="61">
        <v>0.457</v>
      </c>
      <c r="Q859" s="61">
        <v>-25.155</v>
      </c>
      <c r="R859" s="61">
        <v>0.347</v>
      </c>
      <c r="S859" s="60"/>
      <c r="T859" s="60"/>
      <c r="U859" s="61">
        <v>0.6</v>
      </c>
      <c r="V859" s="60">
        <v>0.1</v>
      </c>
      <c r="W859" s="5"/>
      <c r="X859" s="5"/>
      <c r="Y859" s="163" t="s">
        <v>754</v>
      </c>
      <c r="Z859" s="60">
        <v>17.95</v>
      </c>
      <c r="AA859" s="60"/>
      <c r="AB859" s="60">
        <v>12.34</v>
      </c>
      <c r="AC859" s="60">
        <v>0.023</v>
      </c>
      <c r="AD859" s="60">
        <v>11.48</v>
      </c>
      <c r="AE859" s="60">
        <v>0.022</v>
      </c>
      <c r="AF859" s="60">
        <v>10.857</v>
      </c>
      <c r="AG859" s="60">
        <v>0.023</v>
      </c>
      <c r="AH859" s="6"/>
      <c r="AI859" s="6"/>
      <c r="AJ859" s="164" t="s">
        <v>754</v>
      </c>
      <c r="AK859" s="64" t="s">
        <v>610</v>
      </c>
      <c r="AL859" s="97">
        <v>2010.0</v>
      </c>
      <c r="AM859" s="64">
        <v>3.5</v>
      </c>
      <c r="AN859" s="77">
        <v>125.0</v>
      </c>
      <c r="AO859" s="13"/>
      <c r="AP859" s="13" t="s">
        <v>217</v>
      </c>
      <c r="AQ859" s="13"/>
      <c r="AR859" s="78">
        <v>2935.0</v>
      </c>
      <c r="AS859" s="73">
        <v>50.0</v>
      </c>
      <c r="AT859" s="79">
        <v>0.07</v>
      </c>
      <c r="AU859" s="73">
        <v>0.01</v>
      </c>
      <c r="AV859" s="64">
        <v>0.033</v>
      </c>
      <c r="AW859" s="64">
        <v>0.0</v>
      </c>
      <c r="AX859" s="73">
        <v>0.7</v>
      </c>
      <c r="AY859" s="73">
        <v>0.03</v>
      </c>
      <c r="AZ859" s="11" t="s">
        <v>162</v>
      </c>
      <c r="BA859" s="111" t="s">
        <v>1754</v>
      </c>
      <c r="BB859" s="68">
        <v>-135.35</v>
      </c>
      <c r="BC859" s="68">
        <v>1.65</v>
      </c>
      <c r="BD859" s="80">
        <v>2.46E-14</v>
      </c>
      <c r="BE859" s="80">
        <v>3.0E-16</v>
      </c>
      <c r="BF859" s="68">
        <v>-79.54</v>
      </c>
      <c r="BG859" s="68">
        <v>5.42</v>
      </c>
      <c r="BH859" s="80">
        <v>2.69E-15</v>
      </c>
      <c r="BI859" s="80">
        <v>1.8E-16</v>
      </c>
      <c r="BJ859" s="68">
        <v>-80.77</v>
      </c>
      <c r="BK859" s="68">
        <v>9.01</v>
      </c>
      <c r="BL859" s="80">
        <v>1.41E-15</v>
      </c>
      <c r="BM859" s="80">
        <v>1.6E-16</v>
      </c>
      <c r="BN859" s="68">
        <v>-66.15</v>
      </c>
      <c r="BO859" s="68">
        <v>10.03</v>
      </c>
      <c r="BP859" s="80">
        <v>1.05E-15</v>
      </c>
      <c r="BQ859" s="80">
        <v>1.6E-16</v>
      </c>
      <c r="BR859" s="11"/>
      <c r="BS859" s="11"/>
      <c r="BT859" s="11"/>
      <c r="BU859" s="11"/>
      <c r="BV859" s="11"/>
      <c r="BW859" s="11"/>
      <c r="BX859" s="11"/>
      <c r="BY859" s="11"/>
      <c r="BZ859" s="68">
        <v>-0.14</v>
      </c>
      <c r="CA859" s="68">
        <v>0.22</v>
      </c>
      <c r="CB859" s="80">
        <v>6.9E-16</v>
      </c>
      <c r="CC859" s="80">
        <v>1.09E-15</v>
      </c>
      <c r="CD859" s="68">
        <v>-0.62</v>
      </c>
      <c r="CE859" s="68">
        <v>0.3</v>
      </c>
      <c r="CF859" s="80">
        <v>2.78E-15</v>
      </c>
      <c r="CG859" s="80">
        <v>1.37E-15</v>
      </c>
      <c r="CH859" s="68"/>
      <c r="CI859" s="68"/>
      <c r="CJ859" s="80">
        <v>1.3E-15</v>
      </c>
      <c r="CK859" s="80"/>
      <c r="CL859" s="68"/>
      <c r="CM859" s="68"/>
      <c r="CN859" s="80">
        <v>5.0E-16</v>
      </c>
      <c r="CO859" s="80"/>
      <c r="CP859" s="80"/>
      <c r="CQ859" s="80"/>
      <c r="CR859" s="80"/>
      <c r="CS859" s="80"/>
      <c r="CT859" s="68">
        <v>-11.62</v>
      </c>
      <c r="CU859" s="68">
        <v>1.48</v>
      </c>
      <c r="CV859" s="80">
        <v>5.4E-16</v>
      </c>
      <c r="CW859" s="80">
        <v>7.0E-17</v>
      </c>
      <c r="CX859" s="68">
        <v>-2.77</v>
      </c>
      <c r="CY859" s="68">
        <v>0.6</v>
      </c>
      <c r="CZ859" s="80">
        <v>2.9E-16</v>
      </c>
      <c r="DA859" s="80">
        <v>6.0E-17</v>
      </c>
      <c r="DB859" s="11"/>
      <c r="DC859" s="11"/>
      <c r="DD859" s="11"/>
      <c r="DE859" s="11"/>
      <c r="DF859" s="68">
        <v>-47.16</v>
      </c>
      <c r="DG859" s="68">
        <v>13.82</v>
      </c>
      <c r="DH859" s="80">
        <v>3.6E-16</v>
      </c>
      <c r="DI859" s="80">
        <v>1.1E-16</v>
      </c>
      <c r="DJ859" s="12"/>
      <c r="DK859" s="12"/>
      <c r="DL859" s="12"/>
      <c r="DM859" s="69"/>
      <c r="DN859" s="69"/>
      <c r="DO859" s="69"/>
      <c r="DP859" s="69"/>
      <c r="DQ859" s="11"/>
      <c r="DR859" s="69"/>
      <c r="DS859" s="69"/>
      <c r="DT859" s="69"/>
      <c r="DU859" s="69"/>
      <c r="DV859" s="73">
        <v>-4.09</v>
      </c>
      <c r="DW859" s="10"/>
      <c r="DX859" s="81">
        <v>3.24E-11</v>
      </c>
      <c r="DY859" s="7"/>
      <c r="DZ859" s="64" t="s">
        <v>755</v>
      </c>
      <c r="EA859" s="64" t="s">
        <v>756</v>
      </c>
      <c r="EB859" s="13"/>
    </row>
    <row r="860">
      <c r="A860" s="55" t="s">
        <v>1319</v>
      </c>
      <c r="B860" s="55" t="s">
        <v>1319</v>
      </c>
      <c r="C860" s="3"/>
      <c r="D860" s="3"/>
      <c r="E860" s="3"/>
      <c r="F860" s="57" t="s">
        <v>187</v>
      </c>
      <c r="G860" s="58">
        <v>246.578419</v>
      </c>
      <c r="H860" s="58">
        <v>-24.436256</v>
      </c>
      <c r="I860" s="6" t="s">
        <v>158</v>
      </c>
      <c r="J860" s="6" t="s">
        <v>169</v>
      </c>
      <c r="K860" s="58">
        <v>1.0</v>
      </c>
      <c r="L860" s="6"/>
      <c r="M860" s="60"/>
      <c r="N860" s="6"/>
      <c r="O860" s="6"/>
      <c r="P860" s="6"/>
      <c r="Q860" s="6"/>
      <c r="R860" s="6"/>
      <c r="S860" s="60"/>
      <c r="T860" s="60"/>
      <c r="U860" s="61">
        <v>9.7</v>
      </c>
      <c r="V860" s="60">
        <v>0.2</v>
      </c>
      <c r="W860" s="6"/>
      <c r="X860" s="6"/>
      <c r="Y860" s="163" t="s">
        <v>754</v>
      </c>
      <c r="Z860" s="60"/>
      <c r="AA860" s="60"/>
      <c r="AB860" s="60">
        <v>14.844</v>
      </c>
      <c r="AC860" s="60">
        <v>0.038</v>
      </c>
      <c r="AD860" s="60">
        <v>13.2</v>
      </c>
      <c r="AE860" s="60">
        <v>0.033</v>
      </c>
      <c r="AF860" s="60">
        <v>12.143</v>
      </c>
      <c r="AG860" s="60">
        <v>0.024</v>
      </c>
      <c r="AH860" s="132"/>
      <c r="AI860" s="6"/>
      <c r="AJ860" s="164" t="s">
        <v>754</v>
      </c>
      <c r="AK860" s="64" t="s">
        <v>610</v>
      </c>
      <c r="AL860" s="97">
        <v>2010.0</v>
      </c>
      <c r="AM860" s="64">
        <v>3.5</v>
      </c>
      <c r="AN860" s="77">
        <v>125.0</v>
      </c>
      <c r="AO860" s="7"/>
      <c r="AP860" s="13" t="s">
        <v>345</v>
      </c>
      <c r="AQ860" s="13"/>
      <c r="AR860" s="78">
        <v>2900.0</v>
      </c>
      <c r="AS860" s="81">
        <v>75.0</v>
      </c>
      <c r="AT860" s="79">
        <v>0.07</v>
      </c>
      <c r="AU860" s="81">
        <v>0.02</v>
      </c>
      <c r="AV860" s="114">
        <v>0.04</v>
      </c>
      <c r="AW860" s="114">
        <v>0.017</v>
      </c>
      <c r="AX860" s="81">
        <v>0.79</v>
      </c>
      <c r="AY860" s="73">
        <v>0.2</v>
      </c>
      <c r="AZ860" s="69" t="s">
        <v>162</v>
      </c>
      <c r="BA860" s="111" t="s">
        <v>1754</v>
      </c>
      <c r="BB860" s="80">
        <v>-94.72</v>
      </c>
      <c r="BC860" s="80">
        <v>38.64</v>
      </c>
      <c r="BD860" s="80">
        <v>1.03E-13</v>
      </c>
      <c r="BE860" s="80">
        <v>4.2E-14</v>
      </c>
      <c r="BF860" s="68"/>
      <c r="BG860" s="68"/>
      <c r="BH860" s="80">
        <v>1.05E-12</v>
      </c>
      <c r="BI860" s="80"/>
      <c r="BJ860" s="12"/>
      <c r="BK860" s="12"/>
      <c r="BL860" s="80">
        <v>1.75E-12</v>
      </c>
      <c r="BM860" s="80"/>
      <c r="BN860" s="69"/>
      <c r="BO860" s="69"/>
      <c r="BP860" s="80">
        <v>2.31E-12</v>
      </c>
      <c r="BQ860" s="80"/>
      <c r="BR860" s="69"/>
      <c r="BS860" s="69"/>
      <c r="BT860" s="69"/>
      <c r="BU860" s="69"/>
      <c r="BV860" s="69"/>
      <c r="BW860" s="69"/>
      <c r="BX860" s="69"/>
      <c r="BY860" s="69"/>
      <c r="BZ860" s="68">
        <v>-0.39</v>
      </c>
      <c r="CA860" s="68">
        <v>0.35</v>
      </c>
      <c r="CB860" s="80">
        <v>3.0E-15</v>
      </c>
      <c r="CC860" s="80">
        <v>2.0E-15</v>
      </c>
      <c r="CD860" s="68">
        <v>-0.6</v>
      </c>
      <c r="CE860" s="68">
        <v>0.32</v>
      </c>
      <c r="CF860" s="80">
        <v>4.0E-15</v>
      </c>
      <c r="CG860" s="80">
        <v>2.0E-15</v>
      </c>
      <c r="CH860" s="68"/>
      <c r="CI860" s="80">
        <v>0.0</v>
      </c>
      <c r="CJ860" s="80">
        <v>1.3E-14</v>
      </c>
      <c r="CK860" s="80"/>
      <c r="CL860" s="68">
        <v>-0.53</v>
      </c>
      <c r="CM860" s="68">
        <v>0.26</v>
      </c>
      <c r="CN860" s="80">
        <v>2.0E-15</v>
      </c>
      <c r="CO860" s="80">
        <v>1.0E-15</v>
      </c>
      <c r="CP860" s="80"/>
      <c r="CQ860" s="80"/>
      <c r="CR860" s="80"/>
      <c r="CS860" s="80"/>
      <c r="CT860" s="80"/>
      <c r="CU860" s="80"/>
      <c r="CV860" s="80">
        <v>2.86E-13</v>
      </c>
      <c r="CW860" s="80"/>
      <c r="CX860" s="68"/>
      <c r="CY860" s="80"/>
      <c r="CZ860" s="80">
        <v>7.6E-14</v>
      </c>
      <c r="DA860" s="80"/>
      <c r="DB860" s="69"/>
      <c r="DC860" s="69"/>
      <c r="DD860" s="69"/>
      <c r="DE860" s="69"/>
      <c r="DF860" s="80"/>
      <c r="DG860" s="80"/>
      <c r="DH860" s="80">
        <v>2.48E-12</v>
      </c>
      <c r="DI860" s="80"/>
      <c r="DJ860" s="69"/>
      <c r="DK860" s="69"/>
      <c r="DL860" s="69"/>
      <c r="DM860" s="69"/>
      <c r="DN860" s="69"/>
      <c r="DO860" s="69"/>
      <c r="DP860" s="69"/>
      <c r="DQ860" s="69"/>
      <c r="DR860" s="69"/>
      <c r="DS860" s="69"/>
      <c r="DT860" s="69"/>
      <c r="DU860" s="69"/>
      <c r="DV860" s="97">
        <v>-3.51</v>
      </c>
      <c r="DW860" s="10"/>
      <c r="DX860" s="81">
        <v>1.41E-10</v>
      </c>
      <c r="DY860" s="7"/>
      <c r="DZ860" s="64" t="s">
        <v>755</v>
      </c>
      <c r="EA860" s="64" t="s">
        <v>756</v>
      </c>
      <c r="EB860" s="7"/>
    </row>
    <row r="861">
      <c r="A861" s="74" t="s">
        <v>661</v>
      </c>
      <c r="B861" s="74" t="s">
        <v>661</v>
      </c>
      <c r="C861" s="3"/>
      <c r="D861" s="3"/>
      <c r="E861" s="3"/>
      <c r="F861" s="57" t="s">
        <v>168</v>
      </c>
      <c r="G861" s="58">
        <v>246.578419</v>
      </c>
      <c r="H861" s="58">
        <v>-24.436256</v>
      </c>
      <c r="I861" s="6" t="s">
        <v>158</v>
      </c>
      <c r="J861" s="6" t="s">
        <v>169</v>
      </c>
      <c r="K861" s="58">
        <v>1.0</v>
      </c>
      <c r="L861" s="6"/>
      <c r="M861" s="60">
        <v>2.0</v>
      </c>
      <c r="N861" s="60">
        <v>136.593361562628</v>
      </c>
      <c r="O861" s="60">
        <v>-9.05</v>
      </c>
      <c r="P861" s="60">
        <v>0.403</v>
      </c>
      <c r="Q861" s="60">
        <v>-25.287</v>
      </c>
      <c r="R861" s="60">
        <v>0.25</v>
      </c>
      <c r="S861" s="60"/>
      <c r="T861" s="60"/>
      <c r="U861" s="61">
        <v>4.5</v>
      </c>
      <c r="V861" s="60">
        <v>0.2</v>
      </c>
      <c r="W861" s="6"/>
      <c r="X861" s="6"/>
      <c r="Y861" s="163" t="s">
        <v>754</v>
      </c>
      <c r="Z861" s="60">
        <v>18.3</v>
      </c>
      <c r="AA861" s="60"/>
      <c r="AB861" s="60">
        <v>12.57</v>
      </c>
      <c r="AC861" s="60">
        <v>0.022</v>
      </c>
      <c r="AD861" s="60">
        <v>11.518</v>
      </c>
      <c r="AE861" s="60">
        <v>0.026</v>
      </c>
      <c r="AF861" s="60">
        <v>10.918</v>
      </c>
      <c r="AG861" s="60">
        <v>0.023</v>
      </c>
      <c r="AH861" s="132"/>
      <c r="AI861" s="6"/>
      <c r="AJ861" s="164" t="s">
        <v>754</v>
      </c>
      <c r="AK861" s="64" t="s">
        <v>610</v>
      </c>
      <c r="AL861" s="97">
        <v>2010.0</v>
      </c>
      <c r="AM861" s="64">
        <v>3.5</v>
      </c>
      <c r="AN861" s="77">
        <v>125.0</v>
      </c>
      <c r="AO861" s="7"/>
      <c r="AP861" s="13" t="s">
        <v>345</v>
      </c>
      <c r="AQ861" s="13"/>
      <c r="AR861" s="78">
        <v>2900.0</v>
      </c>
      <c r="AS861" s="81">
        <v>75.0</v>
      </c>
      <c r="AT861" s="67">
        <v>0.1</v>
      </c>
      <c r="AU861" s="71">
        <v>0.001</v>
      </c>
      <c r="AV861" s="114">
        <v>0.067</v>
      </c>
      <c r="AW861" s="114">
        <v>0.003</v>
      </c>
      <c r="AX861" s="71">
        <v>1.03</v>
      </c>
      <c r="AY861" s="70">
        <v>0.04</v>
      </c>
      <c r="AZ861" s="69" t="s">
        <v>162</v>
      </c>
      <c r="BA861" s="111" t="s">
        <v>1754</v>
      </c>
      <c r="BB861" s="80">
        <v>-85.23</v>
      </c>
      <c r="BC861" s="80">
        <v>1.62</v>
      </c>
      <c r="BD861" s="80">
        <v>1.82E-13</v>
      </c>
      <c r="BE861" s="80">
        <v>3.0E-15</v>
      </c>
      <c r="BF861" s="68">
        <v>-33.03</v>
      </c>
      <c r="BG861" s="68">
        <v>9.72</v>
      </c>
      <c r="BH861" s="80">
        <v>1.2E-14</v>
      </c>
      <c r="BI861" s="80">
        <v>3.0E-15</v>
      </c>
      <c r="BJ861" s="12"/>
      <c r="BK861" s="12"/>
      <c r="BL861" s="80">
        <v>7.0E-15</v>
      </c>
      <c r="BM861" s="80"/>
      <c r="BN861" s="69"/>
      <c r="BO861" s="69"/>
      <c r="BP861" s="80">
        <v>9.0E-15</v>
      </c>
      <c r="BQ861" s="80"/>
      <c r="BR861" s="69"/>
      <c r="BS861" s="69"/>
      <c r="BT861" s="69"/>
      <c r="BU861" s="69"/>
      <c r="BV861" s="69"/>
      <c r="BW861" s="69"/>
      <c r="BX861" s="69"/>
      <c r="BY861" s="69"/>
      <c r="BZ861" s="68">
        <v>-0.33</v>
      </c>
      <c r="CA861" s="68">
        <v>0.23</v>
      </c>
      <c r="CB861" s="80">
        <v>4.0E-15</v>
      </c>
      <c r="CC861" s="80">
        <v>2.0E-15</v>
      </c>
      <c r="CD861" s="68">
        <v>-0.51</v>
      </c>
      <c r="CE861" s="68">
        <v>0.22</v>
      </c>
      <c r="CF861" s="80">
        <v>6.0E-15</v>
      </c>
      <c r="CG861" s="80">
        <v>3.0E-15</v>
      </c>
      <c r="CH861" s="68">
        <v>-1.07</v>
      </c>
      <c r="CI861" s="80">
        <v>0.49</v>
      </c>
      <c r="CJ861" s="80">
        <v>1.1E-14</v>
      </c>
      <c r="CK861" s="80">
        <v>5.0E-15</v>
      </c>
      <c r="CL861" s="68"/>
      <c r="CM861" s="68"/>
      <c r="CN861" s="80">
        <v>1.0E-15</v>
      </c>
      <c r="CO861" s="80"/>
      <c r="CP861" s="80"/>
      <c r="CQ861" s="80"/>
      <c r="CR861" s="80"/>
      <c r="CS861" s="80"/>
      <c r="CT861" s="80">
        <v>-4.32</v>
      </c>
      <c r="CU861" s="80">
        <v>1.9</v>
      </c>
      <c r="CV861" s="80">
        <v>3.0E-15</v>
      </c>
      <c r="CW861" s="80">
        <v>1.0E-15</v>
      </c>
      <c r="CX861" s="68">
        <v>-1.41</v>
      </c>
      <c r="CY861" s="80">
        <v>0.5</v>
      </c>
      <c r="CZ861" s="80">
        <v>2.0E-15</v>
      </c>
      <c r="DA861" s="80">
        <v>1.0E-15</v>
      </c>
      <c r="DB861" s="69"/>
      <c r="DC861" s="69"/>
      <c r="DD861" s="69"/>
      <c r="DE861" s="69"/>
      <c r="DF861" s="80"/>
      <c r="DG861" s="80"/>
      <c r="DH861" s="80">
        <v>7.0E-15</v>
      </c>
      <c r="DI861" s="80"/>
      <c r="DJ861" s="69"/>
      <c r="DK861" s="69"/>
      <c r="DL861" s="69"/>
      <c r="DM861" s="69"/>
      <c r="DN861" s="69"/>
      <c r="DO861" s="69"/>
      <c r="DP861" s="69"/>
      <c r="DQ861" s="69"/>
      <c r="DR861" s="69"/>
      <c r="DS861" s="69"/>
      <c r="DT861" s="69"/>
      <c r="DU861" s="69"/>
      <c r="DV861" s="97">
        <v>-3.51</v>
      </c>
      <c r="DW861" s="10"/>
      <c r="DX861" s="81">
        <v>1.41E-10</v>
      </c>
      <c r="DY861" s="7"/>
      <c r="DZ861" s="64" t="s">
        <v>755</v>
      </c>
      <c r="EA861" s="64" t="s">
        <v>756</v>
      </c>
      <c r="EB861" s="7"/>
    </row>
    <row r="862">
      <c r="A862" s="55" t="s">
        <v>1324</v>
      </c>
      <c r="B862" s="55" t="s">
        <v>1324</v>
      </c>
      <c r="C862" s="4"/>
      <c r="D862" s="4"/>
      <c r="E862" s="4"/>
      <c r="F862" s="57" t="s">
        <v>168</v>
      </c>
      <c r="G862" s="58">
        <v>247.0530155</v>
      </c>
      <c r="H862" s="58">
        <v>-24.1932566</v>
      </c>
      <c r="I862" s="6" t="s">
        <v>158</v>
      </c>
      <c r="J862" s="6" t="s">
        <v>169</v>
      </c>
      <c r="K862" s="58">
        <v>1.0</v>
      </c>
      <c r="L862" s="5"/>
      <c r="M862" s="60">
        <v>2.0</v>
      </c>
      <c r="N862" s="61">
        <v>151.742765663647</v>
      </c>
      <c r="O862" s="61">
        <v>-6.087</v>
      </c>
      <c r="P862" s="61">
        <v>1.051</v>
      </c>
      <c r="Q862" s="61">
        <v>-26.409</v>
      </c>
      <c r="R862" s="61">
        <v>0.76</v>
      </c>
      <c r="S862" s="60"/>
      <c r="T862" s="60"/>
      <c r="U862" s="60">
        <v>7.4</v>
      </c>
      <c r="V862" s="60">
        <v>0.2</v>
      </c>
      <c r="W862" s="5"/>
      <c r="X862" s="5"/>
      <c r="Y862" s="163" t="s">
        <v>754</v>
      </c>
      <c r="Z862" s="60"/>
      <c r="AA862" s="60"/>
      <c r="AB862" s="60">
        <v>13.611</v>
      </c>
      <c r="AC862" s="60">
        <v>0.026</v>
      </c>
      <c r="AD862" s="60">
        <v>12.018</v>
      </c>
      <c r="AE862" s="60">
        <v>0.024</v>
      </c>
      <c r="AF862" s="60">
        <v>11.086</v>
      </c>
      <c r="AG862" s="60">
        <v>0.024</v>
      </c>
      <c r="AH862" s="6"/>
      <c r="AI862" s="6"/>
      <c r="AJ862" s="164" t="s">
        <v>754</v>
      </c>
      <c r="AK862" s="64" t="s">
        <v>610</v>
      </c>
      <c r="AL862" s="97">
        <v>2010.0</v>
      </c>
      <c r="AM862" s="64">
        <v>3.5</v>
      </c>
      <c r="AN862" s="77">
        <v>125.0</v>
      </c>
      <c r="AO862" s="13"/>
      <c r="AP862" s="13" t="s">
        <v>353</v>
      </c>
      <c r="AQ862" s="13"/>
      <c r="AR862" s="78">
        <v>3000.0</v>
      </c>
      <c r="AS862" s="73">
        <v>50.0</v>
      </c>
      <c r="AT862" s="79">
        <v>0.11</v>
      </c>
      <c r="AU862" s="64">
        <v>0.01</v>
      </c>
      <c r="AV862" s="64">
        <v>0.072</v>
      </c>
      <c r="AW862" s="64">
        <v>0.003</v>
      </c>
      <c r="AX862" s="73">
        <v>1.0</v>
      </c>
      <c r="AY862" s="73">
        <v>0.07</v>
      </c>
      <c r="AZ862" s="11" t="s">
        <v>162</v>
      </c>
      <c r="BA862" s="111" t="s">
        <v>1754</v>
      </c>
      <c r="BB862" s="68">
        <v>-98.36</v>
      </c>
      <c r="BC862" s="68">
        <v>5.92</v>
      </c>
      <c r="BD862" s="80">
        <v>4.37E-13</v>
      </c>
      <c r="BE862" s="80">
        <v>2.6E-14</v>
      </c>
      <c r="BF862" s="68"/>
      <c r="BG862" s="68"/>
      <c r="BH862" s="68"/>
      <c r="BI862" s="80"/>
      <c r="BJ862" s="11"/>
      <c r="BK862" s="11"/>
      <c r="BL862" s="68"/>
      <c r="BM862" s="80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68">
        <v>-1.38</v>
      </c>
      <c r="CA862" s="68">
        <v>0.48</v>
      </c>
      <c r="CB862" s="80">
        <v>1.6E-14</v>
      </c>
      <c r="CC862" s="80">
        <v>6.0E-15</v>
      </c>
      <c r="CD862" s="68">
        <v>-0.76</v>
      </c>
      <c r="CE862" s="68">
        <v>0.37</v>
      </c>
      <c r="CF862" s="80">
        <v>1.0E-14</v>
      </c>
      <c r="CG862" s="80">
        <v>5.0E-15</v>
      </c>
      <c r="CH862" s="68"/>
      <c r="CI862" s="68"/>
      <c r="CJ862" s="80">
        <v>2.9E-14</v>
      </c>
      <c r="CK862" s="80"/>
      <c r="CL862" s="68"/>
      <c r="CM862" s="68"/>
      <c r="CN862" s="80">
        <v>1.0E-15</v>
      </c>
      <c r="CO862" s="80"/>
      <c r="CP862" s="80"/>
      <c r="CQ862" s="80"/>
      <c r="CR862" s="80"/>
      <c r="CS862" s="80"/>
      <c r="CT862" s="68"/>
      <c r="CU862" s="68"/>
      <c r="CV862" s="80">
        <v>6.9E-14</v>
      </c>
      <c r="CW862" s="80"/>
      <c r="CX862" s="68"/>
      <c r="CY862" s="68"/>
      <c r="CZ862" s="80">
        <v>2.3E-14</v>
      </c>
      <c r="DA862" s="80"/>
      <c r="DB862" s="11"/>
      <c r="DC862" s="11"/>
      <c r="DD862" s="11"/>
      <c r="DE862" s="11"/>
      <c r="DF862" s="68"/>
      <c r="DG862" s="68"/>
      <c r="DH862" s="68"/>
      <c r="DI862" s="80"/>
      <c r="DJ862" s="12"/>
      <c r="DK862" s="12"/>
      <c r="DL862" s="12"/>
      <c r="DM862" s="69"/>
      <c r="DN862" s="69"/>
      <c r="DO862" s="69"/>
      <c r="DP862" s="69"/>
      <c r="DQ862" s="11"/>
      <c r="DR862" s="69"/>
      <c r="DS862" s="69"/>
      <c r="DT862" s="69"/>
      <c r="DU862" s="69"/>
      <c r="DV862" s="73">
        <v>-2.86</v>
      </c>
      <c r="DW862" s="10"/>
      <c r="DX862" s="81">
        <v>5.01E-10</v>
      </c>
      <c r="DY862" s="7"/>
      <c r="DZ862" s="64" t="s">
        <v>755</v>
      </c>
      <c r="EA862" s="64" t="s">
        <v>756</v>
      </c>
      <c r="EB862" s="13"/>
    </row>
    <row r="863">
      <c r="A863" s="55" t="s">
        <v>659</v>
      </c>
      <c r="B863" s="171" t="s">
        <v>659</v>
      </c>
      <c r="C863" s="125"/>
      <c r="D863" s="125"/>
      <c r="E863" s="125"/>
      <c r="F863" s="57" t="s">
        <v>168</v>
      </c>
      <c r="G863" s="58">
        <v>246.7774686</v>
      </c>
      <c r="H863" s="58">
        <v>-24.69691214</v>
      </c>
      <c r="I863" s="6" t="s">
        <v>158</v>
      </c>
      <c r="J863" s="6" t="s">
        <v>169</v>
      </c>
      <c r="K863" s="58">
        <v>1.0</v>
      </c>
      <c r="L863" s="59"/>
      <c r="M863" s="60">
        <v>2.0</v>
      </c>
      <c r="N863" s="61">
        <v>142.122168215798</v>
      </c>
      <c r="O863" s="61">
        <v>-5.694</v>
      </c>
      <c r="P863" s="61">
        <v>0.291</v>
      </c>
      <c r="Q863" s="61">
        <v>-25.03</v>
      </c>
      <c r="R863" s="61">
        <v>0.197</v>
      </c>
      <c r="S863" s="60"/>
      <c r="T863" s="60"/>
      <c r="U863" s="61">
        <v>2.2</v>
      </c>
      <c r="V863" s="60">
        <v>0.1</v>
      </c>
      <c r="W863" s="5"/>
      <c r="X863" s="5"/>
      <c r="Y863" s="163" t="s">
        <v>754</v>
      </c>
      <c r="Z863" s="60">
        <v>17.57</v>
      </c>
      <c r="AA863" s="60"/>
      <c r="AB863" s="60">
        <v>12.433</v>
      </c>
      <c r="AC863" s="60">
        <v>0.024</v>
      </c>
      <c r="AD863" s="60">
        <v>11.397</v>
      </c>
      <c r="AE863" s="60">
        <v>0.024</v>
      </c>
      <c r="AF863" s="60">
        <v>10.766</v>
      </c>
      <c r="AG863" s="60">
        <v>0.021</v>
      </c>
      <c r="AH863" s="6"/>
      <c r="AI863" s="6"/>
      <c r="AJ863" s="164" t="s">
        <v>754</v>
      </c>
      <c r="AK863" s="64" t="s">
        <v>610</v>
      </c>
      <c r="AL863" s="64">
        <v>2010.0</v>
      </c>
      <c r="AM863" s="64">
        <v>3.5</v>
      </c>
      <c r="AN863" s="77">
        <v>125.0</v>
      </c>
      <c r="AO863" s="13"/>
      <c r="AP863" s="13" t="s">
        <v>371</v>
      </c>
      <c r="AQ863" s="131"/>
      <c r="AR863" s="78">
        <v>3125.0</v>
      </c>
      <c r="AS863" s="97">
        <v>50.0</v>
      </c>
      <c r="AT863" s="79">
        <v>0.15</v>
      </c>
      <c r="AU863" s="199">
        <v>0.01</v>
      </c>
      <c r="AV863" s="71">
        <v>0.047</v>
      </c>
      <c r="AW863" s="71">
        <v>0.0</v>
      </c>
      <c r="AX863" s="81">
        <v>0.74</v>
      </c>
      <c r="AY863" s="81">
        <v>0.02</v>
      </c>
      <c r="AZ863" s="11" t="s">
        <v>162</v>
      </c>
      <c r="BA863" s="11" t="s">
        <v>1754</v>
      </c>
      <c r="BB863" s="91">
        <v>-47.6</v>
      </c>
      <c r="BC863" s="80">
        <v>1.46</v>
      </c>
      <c r="BD863" s="95">
        <v>8.8E-14</v>
      </c>
      <c r="BE863" s="80">
        <v>3.0E-15</v>
      </c>
      <c r="BF863" s="68">
        <v>-24.0</v>
      </c>
      <c r="BG863" s="68">
        <v>6.21</v>
      </c>
      <c r="BH863" s="80">
        <v>6.0E-15</v>
      </c>
      <c r="BI863" s="80">
        <v>2.0E-15</v>
      </c>
      <c r="BJ863" s="68">
        <v>-37.69</v>
      </c>
      <c r="BK863" s="68">
        <v>12.73</v>
      </c>
      <c r="BL863" s="80">
        <v>8.0E-15</v>
      </c>
      <c r="BM863" s="80">
        <v>3.0E-15</v>
      </c>
      <c r="BN863" s="80">
        <v>-20.54</v>
      </c>
      <c r="BO863" s="80">
        <v>8.34</v>
      </c>
      <c r="BP863" s="80">
        <v>7.0E-15</v>
      </c>
      <c r="BQ863" s="80">
        <v>3.0E-15</v>
      </c>
      <c r="BR863" s="69"/>
      <c r="BS863" s="69"/>
      <c r="BT863" s="69"/>
      <c r="BU863" s="69"/>
      <c r="BV863" s="69"/>
      <c r="BW863" s="69"/>
      <c r="BX863" s="69"/>
      <c r="BY863" s="69"/>
      <c r="BZ863" s="174"/>
      <c r="CA863" s="174"/>
      <c r="CB863" s="174">
        <v>2.0E-15</v>
      </c>
      <c r="CC863" s="80"/>
      <c r="CD863" s="68">
        <v>-0.44</v>
      </c>
      <c r="CE863" s="68">
        <v>0.21</v>
      </c>
      <c r="CF863" s="80">
        <v>4.0E-15</v>
      </c>
      <c r="CG863" s="80">
        <v>2.0E-15</v>
      </c>
      <c r="CH863" s="68"/>
      <c r="CI863" s="68"/>
      <c r="CJ863" s="80">
        <v>3.0E-15</v>
      </c>
      <c r="CK863" s="80"/>
      <c r="CL863" s="200"/>
      <c r="CM863" s="80"/>
      <c r="CN863" s="80">
        <v>1.0E-15</v>
      </c>
      <c r="CO863" s="80"/>
      <c r="CP863" s="80"/>
      <c r="CQ863" s="80"/>
      <c r="CR863" s="80"/>
      <c r="CS863" s="80"/>
      <c r="CT863" s="68">
        <v>-8.75</v>
      </c>
      <c r="CU863" s="68">
        <v>1.9</v>
      </c>
      <c r="CV863" s="80">
        <v>6.0E-15</v>
      </c>
      <c r="CW863" s="80">
        <v>1.0E-15</v>
      </c>
      <c r="CX863" s="80">
        <v>-2.34</v>
      </c>
      <c r="CY863" s="80">
        <v>0.38</v>
      </c>
      <c r="CZ863" s="80">
        <v>3.0E-15</v>
      </c>
      <c r="DA863" s="80"/>
      <c r="DB863" s="69"/>
      <c r="DC863" s="69"/>
      <c r="DD863" s="69"/>
      <c r="DE863" s="69"/>
      <c r="DF863" s="80">
        <v>-36.02</v>
      </c>
      <c r="DG863" s="80">
        <v>14.7</v>
      </c>
      <c r="DH863" s="80">
        <v>7.0E-15</v>
      </c>
      <c r="DI863" s="80">
        <v>3.0E-15</v>
      </c>
      <c r="DJ863" s="129"/>
      <c r="DK863" s="129"/>
      <c r="DL863" s="129"/>
      <c r="DM863" s="69"/>
      <c r="DN863" s="69"/>
      <c r="DO863" s="69"/>
      <c r="DP863" s="69"/>
      <c r="DQ863" s="11"/>
      <c r="DR863" s="69"/>
      <c r="DS863" s="69"/>
      <c r="DT863" s="69"/>
      <c r="DU863" s="69"/>
      <c r="DV863" s="81">
        <v>-3.27</v>
      </c>
      <c r="DW863" s="10"/>
      <c r="DX863" s="81">
        <v>1.05E-10</v>
      </c>
      <c r="DY863" s="130"/>
      <c r="DZ863" s="64" t="s">
        <v>755</v>
      </c>
      <c r="EA863" s="64" t="s">
        <v>756</v>
      </c>
      <c r="EB863" s="130"/>
    </row>
    <row r="864">
      <c r="A864" s="55" t="s">
        <v>1351</v>
      </c>
      <c r="B864" s="55" t="s">
        <v>1351</v>
      </c>
      <c r="C864" s="4"/>
      <c r="D864" s="4"/>
      <c r="E864" s="4"/>
      <c r="F864" s="57" t="s">
        <v>168</v>
      </c>
      <c r="G864" s="58">
        <v>246.7040839</v>
      </c>
      <c r="H864" s="58">
        <v>-24.64031962</v>
      </c>
      <c r="I864" s="6" t="s">
        <v>158</v>
      </c>
      <c r="J864" s="6" t="s">
        <v>169</v>
      </c>
      <c r="K864" s="58">
        <v>1.0</v>
      </c>
      <c r="L864" s="5"/>
      <c r="M864" s="60">
        <v>2.0</v>
      </c>
      <c r="N864" s="61">
        <v>132.569731678863</v>
      </c>
      <c r="O864" s="61">
        <v>-4.118</v>
      </c>
      <c r="P864" s="61">
        <v>1.311</v>
      </c>
      <c r="Q864" s="61">
        <v>-25.417</v>
      </c>
      <c r="R864" s="61">
        <v>0.849</v>
      </c>
      <c r="S864" s="60"/>
      <c r="T864" s="60"/>
      <c r="U864" s="60">
        <v>8.2</v>
      </c>
      <c r="V864" s="60">
        <v>0.2</v>
      </c>
      <c r="W864" s="5"/>
      <c r="X864" s="5"/>
      <c r="Y864" s="163" t="s">
        <v>754</v>
      </c>
      <c r="Z864" s="60">
        <v>19.33</v>
      </c>
      <c r="AA864" s="60"/>
      <c r="AB864" s="60">
        <v>13.5</v>
      </c>
      <c r="AC864" s="60">
        <v>0.036</v>
      </c>
      <c r="AD864" s="60">
        <v>11.44</v>
      </c>
      <c r="AE864" s="60">
        <v>0.04</v>
      </c>
      <c r="AF864" s="60">
        <v>9.977</v>
      </c>
      <c r="AG864" s="60">
        <v>0.03</v>
      </c>
      <c r="AH864" s="6"/>
      <c r="AI864" s="6"/>
      <c r="AJ864" s="164" t="s">
        <v>754</v>
      </c>
      <c r="AK864" s="64" t="s">
        <v>610</v>
      </c>
      <c r="AL864" s="97">
        <v>2010.0</v>
      </c>
      <c r="AM864" s="64">
        <v>3.5</v>
      </c>
      <c r="AN864" s="77">
        <v>125.0</v>
      </c>
      <c r="AO864" s="13"/>
      <c r="AP864" s="13" t="s">
        <v>422</v>
      </c>
      <c r="AQ864" s="13"/>
      <c r="AR864" s="78">
        <v>3340.0</v>
      </c>
      <c r="AS864" s="97">
        <v>50.0</v>
      </c>
      <c r="AT864" s="79">
        <v>0.3</v>
      </c>
      <c r="AU864" s="70">
        <v>0.01</v>
      </c>
      <c r="AV864" s="64">
        <v>0.106</v>
      </c>
      <c r="AW864" s="64">
        <v>0.005</v>
      </c>
      <c r="AX864" s="70">
        <v>0.97</v>
      </c>
      <c r="AY864" s="73">
        <v>0.04</v>
      </c>
      <c r="AZ864" s="11" t="s">
        <v>162</v>
      </c>
      <c r="BA864" s="111" t="s">
        <v>1754</v>
      </c>
      <c r="BB864" s="68">
        <v>-142.48</v>
      </c>
      <c r="BC864" s="68">
        <v>3.79</v>
      </c>
      <c r="BD864" s="80">
        <v>2.34E-12</v>
      </c>
      <c r="BE864" s="80">
        <v>6.2E-14</v>
      </c>
      <c r="BF864" s="68">
        <v>-22.97</v>
      </c>
      <c r="BG864" s="68">
        <v>7.04</v>
      </c>
      <c r="BH864" s="80">
        <v>4.56E-13</v>
      </c>
      <c r="BI864" s="80">
        <v>1.4E-13</v>
      </c>
      <c r="BJ864" s="68"/>
      <c r="BK864" s="11"/>
      <c r="BL864" s="80">
        <v>4.52E-13</v>
      </c>
      <c r="BM864" s="80"/>
      <c r="BN864" s="68"/>
      <c r="BO864" s="11"/>
      <c r="BP864" s="80">
        <v>7.23E-13</v>
      </c>
      <c r="BQ864" s="80"/>
      <c r="BR864" s="11"/>
      <c r="BS864" s="11"/>
      <c r="BT864" s="11"/>
      <c r="BU864" s="11"/>
      <c r="BV864" s="11"/>
      <c r="BW864" s="11"/>
      <c r="BX864" s="11"/>
      <c r="BY864" s="11"/>
      <c r="BZ864" s="68">
        <v>-24.55</v>
      </c>
      <c r="CA864" s="68">
        <v>0.52</v>
      </c>
      <c r="CB864" s="80">
        <v>3.95E-13</v>
      </c>
      <c r="CC864" s="80">
        <v>8.0E-15</v>
      </c>
      <c r="CD864" s="68">
        <v>-20.88</v>
      </c>
      <c r="CE864" s="68">
        <v>0.63</v>
      </c>
      <c r="CF864" s="80">
        <v>3.65E-13</v>
      </c>
      <c r="CG864" s="80">
        <v>1.1E-14</v>
      </c>
      <c r="CH864" s="68">
        <v>-14.85</v>
      </c>
      <c r="CI864" s="68">
        <v>1.66</v>
      </c>
      <c r="CJ864" s="80">
        <v>2.17E-13</v>
      </c>
      <c r="CK864" s="80">
        <v>2.4E-14</v>
      </c>
      <c r="CL864" s="68">
        <v>-9.46</v>
      </c>
      <c r="CM864" s="68">
        <v>0.22</v>
      </c>
      <c r="CN864" s="80">
        <v>1.41E-13</v>
      </c>
      <c r="CO864" s="80">
        <v>3.0E-15</v>
      </c>
      <c r="CP864" s="80"/>
      <c r="CQ864" s="80"/>
      <c r="CR864" s="80"/>
      <c r="CS864" s="80"/>
      <c r="CT864" s="68"/>
      <c r="CU864" s="68"/>
      <c r="CV864" s="80">
        <v>1.1E-13</v>
      </c>
      <c r="CW864" s="80"/>
      <c r="CX864" s="68"/>
      <c r="CY864" s="68"/>
      <c r="CZ864" s="80">
        <v>3.4E-14</v>
      </c>
      <c r="DA864" s="80"/>
      <c r="DB864" s="11"/>
      <c r="DC864" s="11"/>
      <c r="DD864" s="11"/>
      <c r="DE864" s="11"/>
      <c r="DF864" s="68"/>
      <c r="DG864" s="68"/>
      <c r="DH864" s="80">
        <v>9.97E-13</v>
      </c>
      <c r="DI864" s="80"/>
      <c r="DJ864" s="12"/>
      <c r="DK864" s="12"/>
      <c r="DL864" s="12"/>
      <c r="DM864" s="69"/>
      <c r="DN864" s="69"/>
      <c r="DO864" s="69"/>
      <c r="DP864" s="69"/>
      <c r="DQ864" s="11"/>
      <c r="DR864" s="69"/>
      <c r="DS864" s="69"/>
      <c r="DT864" s="69"/>
      <c r="DU864" s="69"/>
      <c r="DV864" s="73">
        <v>-1.47</v>
      </c>
      <c r="DW864" s="10"/>
      <c r="DX864" s="81">
        <v>4.37E-9</v>
      </c>
      <c r="DY864" s="7"/>
      <c r="DZ864" s="64" t="s">
        <v>755</v>
      </c>
      <c r="EA864" s="64" t="s">
        <v>756</v>
      </c>
      <c r="EB864" s="13"/>
    </row>
    <row r="865">
      <c r="A865" s="55" t="s">
        <v>1372</v>
      </c>
      <c r="B865" s="55" t="s">
        <v>1372</v>
      </c>
      <c r="C865" s="4"/>
      <c r="D865" s="4"/>
      <c r="E865" s="4"/>
      <c r="F865" s="57" t="s">
        <v>168</v>
      </c>
      <c r="G865" s="58">
        <v>246.8075869</v>
      </c>
      <c r="H865" s="58">
        <v>-24.72545783</v>
      </c>
      <c r="I865" s="6" t="s">
        <v>158</v>
      </c>
      <c r="J865" s="6" t="s">
        <v>169</v>
      </c>
      <c r="K865" s="58">
        <v>1.0</v>
      </c>
      <c r="L865" s="5"/>
      <c r="M865" s="60">
        <v>2.0</v>
      </c>
      <c r="N865" s="61">
        <v>145.450314172678</v>
      </c>
      <c r="O865" s="61">
        <v>-6.64</v>
      </c>
      <c r="P865" s="61">
        <v>0.987</v>
      </c>
      <c r="Q865" s="61">
        <v>-24.157</v>
      </c>
      <c r="R865" s="61">
        <v>0.665</v>
      </c>
      <c r="S865" s="60">
        <v>-5.4</v>
      </c>
      <c r="T865" s="60">
        <v>1.2</v>
      </c>
      <c r="U865" s="60">
        <v>9.1</v>
      </c>
      <c r="V865" s="60">
        <v>0.1</v>
      </c>
      <c r="W865" s="5"/>
      <c r="X865" s="5"/>
      <c r="Y865" s="163" t="s">
        <v>754</v>
      </c>
      <c r="Z865" s="60"/>
      <c r="AA865" s="60"/>
      <c r="AB865" s="60">
        <v>13.325</v>
      </c>
      <c r="AC865" s="60">
        <v>0.026</v>
      </c>
      <c r="AD865" s="60">
        <v>11.23</v>
      </c>
      <c r="AE865" s="60">
        <v>0.026</v>
      </c>
      <c r="AF865" s="60">
        <v>9.978</v>
      </c>
      <c r="AG865" s="60">
        <v>0.019</v>
      </c>
      <c r="AH865" s="6"/>
      <c r="AI865" s="6"/>
      <c r="AJ865" s="164" t="s">
        <v>754</v>
      </c>
      <c r="AK865" s="64" t="s">
        <v>610</v>
      </c>
      <c r="AL865" s="97">
        <v>2010.0</v>
      </c>
      <c r="AM865" s="64">
        <v>3.5</v>
      </c>
      <c r="AN865" s="77">
        <v>125.0</v>
      </c>
      <c r="AO865" s="13"/>
      <c r="AP865" s="13" t="s">
        <v>422</v>
      </c>
      <c r="AQ865" s="13"/>
      <c r="AR865" s="78">
        <v>3340.0</v>
      </c>
      <c r="AS865" s="97">
        <v>50.0</v>
      </c>
      <c r="AT865" s="79">
        <v>0.33</v>
      </c>
      <c r="AU865" s="70">
        <v>0.01</v>
      </c>
      <c r="AV865" s="64">
        <v>0.221</v>
      </c>
      <c r="AW865" s="64">
        <v>0.0</v>
      </c>
      <c r="AX865" s="73">
        <v>1.41</v>
      </c>
      <c r="AY865" s="73">
        <v>0.04</v>
      </c>
      <c r="AZ865" s="11" t="s">
        <v>162</v>
      </c>
      <c r="BA865" s="111" t="s">
        <v>1754</v>
      </c>
      <c r="BB865" s="68">
        <v>-44.68</v>
      </c>
      <c r="BC865" s="68">
        <v>4.72</v>
      </c>
      <c r="BD865" s="80">
        <v>7.59E-13</v>
      </c>
      <c r="BE865" s="80">
        <v>8.0E-14</v>
      </c>
      <c r="BF865" s="68"/>
      <c r="BG865" s="68"/>
      <c r="BH865" s="80">
        <v>4.28E-13</v>
      </c>
      <c r="BI865" s="80"/>
      <c r="BJ865" s="68"/>
      <c r="BK865" s="11"/>
      <c r="BL865" s="80">
        <v>1.84E-12</v>
      </c>
      <c r="BM865" s="80"/>
      <c r="BN865" s="68"/>
      <c r="BO865" s="11"/>
      <c r="BP865" s="80">
        <v>1.46E-12</v>
      </c>
      <c r="BQ865" s="80"/>
      <c r="BR865" s="11"/>
      <c r="BS865" s="11"/>
      <c r="BT865" s="11"/>
      <c r="BU865" s="11"/>
      <c r="BV865" s="11"/>
      <c r="BW865" s="11"/>
      <c r="BX865" s="11"/>
      <c r="BY865" s="11"/>
      <c r="BZ865" s="68">
        <v>-0.3</v>
      </c>
      <c r="CA865" s="68">
        <v>0.28</v>
      </c>
      <c r="CB865" s="80">
        <v>9.0E-15</v>
      </c>
      <c r="CC865" s="80">
        <v>8.0E-15</v>
      </c>
      <c r="CD865" s="68">
        <v>-0.31</v>
      </c>
      <c r="CE865" s="68">
        <v>0.31</v>
      </c>
      <c r="CF865" s="80">
        <v>9.0E-15</v>
      </c>
      <c r="CG865" s="80">
        <v>9.0E-15</v>
      </c>
      <c r="CH865" s="68"/>
      <c r="CI865" s="68"/>
      <c r="CJ865" s="80">
        <v>2.3E-14</v>
      </c>
      <c r="CK865" s="80"/>
      <c r="CL865" s="68"/>
      <c r="CM865" s="68"/>
      <c r="CN865" s="80">
        <v>4.0E-15</v>
      </c>
      <c r="CO865" s="80"/>
      <c r="CP865" s="80"/>
      <c r="CQ865" s="80"/>
      <c r="CR865" s="80"/>
      <c r="CS865" s="80"/>
      <c r="CT865" s="68"/>
      <c r="CU865" s="68"/>
      <c r="CV865" s="80">
        <v>2.71E-13</v>
      </c>
      <c r="CW865" s="80"/>
      <c r="CX865" s="68"/>
      <c r="CY865" s="68"/>
      <c r="CZ865" s="80">
        <v>9.7E-14</v>
      </c>
      <c r="DA865" s="80"/>
      <c r="DB865" s="11"/>
      <c r="DC865" s="11"/>
      <c r="DD865" s="11"/>
      <c r="DE865" s="11"/>
      <c r="DF865" s="68"/>
      <c r="DG865" s="68"/>
      <c r="DH865" s="80">
        <v>1.92E-12</v>
      </c>
      <c r="DI865" s="80"/>
      <c r="DJ865" s="12"/>
      <c r="DK865" s="12"/>
      <c r="DL865" s="12"/>
      <c r="DM865" s="69"/>
      <c r="DN865" s="69"/>
      <c r="DO865" s="69"/>
      <c r="DP865" s="69"/>
      <c r="DQ865" s="11"/>
      <c r="DR865" s="69"/>
      <c r="DS865" s="69"/>
      <c r="DT865" s="69"/>
      <c r="DU865" s="69"/>
      <c r="DV865" s="73">
        <v>-2.87</v>
      </c>
      <c r="DW865" s="10"/>
      <c r="DX865" s="81">
        <v>2.29E-10</v>
      </c>
      <c r="DY865" s="7"/>
      <c r="DZ865" s="64" t="s">
        <v>755</v>
      </c>
      <c r="EA865" s="64" t="s">
        <v>756</v>
      </c>
      <c r="EB865" s="7"/>
    </row>
    <row r="866">
      <c r="A866" s="55" t="s">
        <v>1326</v>
      </c>
      <c r="B866" s="55" t="s">
        <v>1326</v>
      </c>
      <c r="C866" s="4"/>
      <c r="D866" s="4"/>
      <c r="E866" s="4"/>
      <c r="F866" s="57" t="s">
        <v>168</v>
      </c>
      <c r="G866" s="58">
        <v>246.912269</v>
      </c>
      <c r="H866" s="58">
        <v>-24.672409</v>
      </c>
      <c r="I866" s="6" t="s">
        <v>158</v>
      </c>
      <c r="J866" s="6" t="s">
        <v>169</v>
      </c>
      <c r="K866" s="58">
        <v>1.0</v>
      </c>
      <c r="L866" s="5"/>
      <c r="M866" s="60"/>
      <c r="N866" s="60"/>
      <c r="O866" s="60">
        <v>-2.5</v>
      </c>
      <c r="P866" s="60">
        <v>0.6</v>
      </c>
      <c r="Q866" s="60">
        <v>-16.7</v>
      </c>
      <c r="R866" s="60">
        <v>0.6</v>
      </c>
      <c r="S866" s="60"/>
      <c r="T866" s="60"/>
      <c r="U866" s="60">
        <v>12.1</v>
      </c>
      <c r="V866" s="60">
        <v>0.6</v>
      </c>
      <c r="W866" s="5"/>
      <c r="X866" s="5"/>
      <c r="Y866" s="163" t="s">
        <v>754</v>
      </c>
      <c r="Z866" s="60"/>
      <c r="AA866" s="60"/>
      <c r="AB866" s="60">
        <v>16.541</v>
      </c>
      <c r="AC866" s="60">
        <v>0.127</v>
      </c>
      <c r="AD866" s="60">
        <v>13.907</v>
      </c>
      <c r="AE866" s="60">
        <v>0.043</v>
      </c>
      <c r="AF866" s="60">
        <v>12.286</v>
      </c>
      <c r="AG866" s="60">
        <v>0.025</v>
      </c>
      <c r="AH866" s="6"/>
      <c r="AI866" s="6"/>
      <c r="AJ866" s="164" t="s">
        <v>754</v>
      </c>
      <c r="AK866" s="64" t="s">
        <v>610</v>
      </c>
      <c r="AL866" s="97">
        <v>2010.0</v>
      </c>
      <c r="AM866" s="64">
        <v>3.5</v>
      </c>
      <c r="AN866" s="77">
        <v>125.0</v>
      </c>
      <c r="AO866" s="13"/>
      <c r="AP866" s="13" t="s">
        <v>1285</v>
      </c>
      <c r="AQ866" s="13"/>
      <c r="AR866" s="78">
        <v>3500.0</v>
      </c>
      <c r="AS866" s="97">
        <v>150.0</v>
      </c>
      <c r="AT866" s="79">
        <v>0.4</v>
      </c>
      <c r="AU866" s="70">
        <v>0.08</v>
      </c>
      <c r="AV866" s="64">
        <v>0.034</v>
      </c>
      <c r="AW866" s="64">
        <v>0.011</v>
      </c>
      <c r="AX866" s="73">
        <v>0.5</v>
      </c>
      <c r="AY866" s="73">
        <v>0.1</v>
      </c>
      <c r="AZ866" s="11" t="s">
        <v>162</v>
      </c>
      <c r="BA866" s="111" t="s">
        <v>1754</v>
      </c>
      <c r="BB866" s="68">
        <v>-64.84</v>
      </c>
      <c r="BC866" s="68">
        <v>39.66</v>
      </c>
      <c r="BD866" s="80">
        <v>3.6E-13</v>
      </c>
      <c r="BE866" s="80">
        <v>2.2E-13</v>
      </c>
      <c r="BF866" s="68"/>
      <c r="BG866" s="68"/>
      <c r="BH866" s="80">
        <v>1.13E-11</v>
      </c>
      <c r="BI866" s="80"/>
      <c r="BJ866" s="11"/>
      <c r="BK866" s="11"/>
      <c r="BL866" s="80">
        <v>2.86E-11</v>
      </c>
      <c r="BM866" s="80"/>
      <c r="BN866" s="11"/>
      <c r="BO866" s="11"/>
      <c r="BP866" s="80">
        <v>5.17E-11</v>
      </c>
      <c r="BQ866" s="80"/>
      <c r="BR866" s="11"/>
      <c r="BS866" s="11"/>
      <c r="BT866" s="11"/>
      <c r="BU866" s="11"/>
      <c r="BV866" s="11"/>
      <c r="BW866" s="11"/>
      <c r="BX866" s="11"/>
      <c r="BY866" s="11"/>
      <c r="BZ866" s="68">
        <v>-1.16</v>
      </c>
      <c r="CA866" s="68">
        <v>0.69</v>
      </c>
      <c r="CB866" s="80">
        <v>5.0E-15</v>
      </c>
      <c r="CC866" s="80">
        <v>3.0E-15</v>
      </c>
      <c r="CD866" s="68"/>
      <c r="CE866" s="68"/>
      <c r="CF866" s="80">
        <v>6.0E-15</v>
      </c>
      <c r="CG866" s="80"/>
      <c r="CH866" s="68"/>
      <c r="CI866" s="68"/>
      <c r="CJ866" s="80">
        <v>9.0E-14</v>
      </c>
      <c r="CK866" s="80"/>
      <c r="CL866" s="68"/>
      <c r="CM866" s="68"/>
      <c r="CN866" s="80">
        <v>1.0E-15</v>
      </c>
      <c r="CO866" s="80"/>
      <c r="CP866" s="80"/>
      <c r="CQ866" s="80"/>
      <c r="CR866" s="80"/>
      <c r="CS866" s="80"/>
      <c r="CT866" s="68"/>
      <c r="CU866" s="68"/>
      <c r="CV866" s="80">
        <v>5.69E-12</v>
      </c>
      <c r="CW866" s="80"/>
      <c r="CX866" s="68"/>
      <c r="CY866" s="68"/>
      <c r="CZ866" s="80">
        <v>6.62E-13</v>
      </c>
      <c r="DA866" s="80"/>
      <c r="DB866" s="11"/>
      <c r="DC866" s="11"/>
      <c r="DD866" s="11"/>
      <c r="DE866" s="11"/>
      <c r="DF866" s="68"/>
      <c r="DG866" s="68"/>
      <c r="DH866" s="80">
        <v>6.96E-11</v>
      </c>
      <c r="DI866" s="80"/>
      <c r="DJ866" s="12"/>
      <c r="DK866" s="12"/>
      <c r="DL866" s="12"/>
      <c r="DM866" s="69"/>
      <c r="DN866" s="69"/>
      <c r="DO866" s="69"/>
      <c r="DP866" s="69"/>
      <c r="DQ866" s="11"/>
      <c r="DR866" s="69"/>
      <c r="DS866" s="69"/>
      <c r="DT866" s="69"/>
      <c r="DU866" s="69"/>
      <c r="DV866" s="73">
        <v>-3.04</v>
      </c>
      <c r="DW866" s="10"/>
      <c r="DX866" s="81">
        <v>4.57E-11</v>
      </c>
      <c r="DY866" s="7"/>
      <c r="DZ866" s="64" t="s">
        <v>755</v>
      </c>
      <c r="EA866" s="64" t="s">
        <v>756</v>
      </c>
      <c r="EB866" s="7"/>
    </row>
    <row r="867">
      <c r="A867" s="55" t="s">
        <v>1316</v>
      </c>
      <c r="B867" s="55" t="s">
        <v>1316</v>
      </c>
      <c r="C867" s="4"/>
      <c r="D867" s="4"/>
      <c r="E867" s="4"/>
      <c r="F867" s="57" t="s">
        <v>168</v>
      </c>
      <c r="G867" s="58">
        <v>246.764962</v>
      </c>
      <c r="H867" s="58">
        <v>-24.334846</v>
      </c>
      <c r="I867" s="6" t="s">
        <v>158</v>
      </c>
      <c r="J867" s="6" t="s">
        <v>169</v>
      </c>
      <c r="K867" s="58">
        <v>1.0</v>
      </c>
      <c r="L867" s="5"/>
      <c r="M867" s="60"/>
      <c r="N867" s="60"/>
      <c r="O867" s="60"/>
      <c r="P867" s="60"/>
      <c r="Q867" s="60"/>
      <c r="R867" s="60"/>
      <c r="S867" s="60"/>
      <c r="T867" s="60"/>
      <c r="U867" s="60">
        <v>10.0</v>
      </c>
      <c r="V867" s="60">
        <v>0.8</v>
      </c>
      <c r="W867" s="5"/>
      <c r="X867" s="5"/>
      <c r="Y867" s="163" t="s">
        <v>754</v>
      </c>
      <c r="Z867" s="60"/>
      <c r="AA867" s="60"/>
      <c r="AB867" s="60">
        <v>17.244</v>
      </c>
      <c r="AC867" s="60">
        <v>0.238</v>
      </c>
      <c r="AD867" s="60">
        <v>14.914</v>
      </c>
      <c r="AE867" s="60">
        <v>0.058</v>
      </c>
      <c r="AF867" s="60">
        <v>13.559</v>
      </c>
      <c r="AG867" s="60">
        <v>0.043</v>
      </c>
      <c r="AH867" s="6"/>
      <c r="AI867" s="6"/>
      <c r="AJ867" s="164" t="s">
        <v>754</v>
      </c>
      <c r="AK867" s="64" t="s">
        <v>610</v>
      </c>
      <c r="AL867" s="97">
        <v>2010.0</v>
      </c>
      <c r="AM867" s="64">
        <v>3.5</v>
      </c>
      <c r="AN867" s="77">
        <v>125.0</v>
      </c>
      <c r="AO867" s="13"/>
      <c r="AP867" s="13" t="s">
        <v>558</v>
      </c>
      <c r="AQ867" s="13"/>
      <c r="AR867" s="78">
        <v>3600.0</v>
      </c>
      <c r="AS867" s="97">
        <v>235.0</v>
      </c>
      <c r="AT867" s="79">
        <v>0.4</v>
      </c>
      <c r="AU867" s="73"/>
      <c r="AV867" s="64">
        <v>0.009</v>
      </c>
      <c r="AW867" s="64">
        <v>0.001</v>
      </c>
      <c r="AX867" s="70">
        <v>0.25</v>
      </c>
      <c r="AY867" s="73">
        <v>0.06</v>
      </c>
      <c r="AZ867" s="11" t="s">
        <v>162</v>
      </c>
      <c r="BA867" s="111" t="s">
        <v>1754</v>
      </c>
      <c r="BB867" s="68"/>
      <c r="BC867" s="68"/>
      <c r="BD867" s="80">
        <f>9.2*1E-14</f>
        <v>0</v>
      </c>
      <c r="BE867" s="80"/>
      <c r="BF867" s="68"/>
      <c r="BG867" s="68"/>
      <c r="BH867" s="80">
        <v>1.16E-12</v>
      </c>
      <c r="BI867" s="80"/>
      <c r="BJ867" s="68"/>
      <c r="BK867" s="11"/>
      <c r="BL867" s="80">
        <v>1.68E-12</v>
      </c>
      <c r="BM867" s="80"/>
      <c r="BN867" s="68"/>
      <c r="BO867" s="11"/>
      <c r="BP867" s="80">
        <v>2.26E-12</v>
      </c>
      <c r="BQ867" s="80"/>
      <c r="BR867" s="11"/>
      <c r="BS867" s="11"/>
      <c r="BT867" s="11"/>
      <c r="BU867" s="11"/>
      <c r="BV867" s="11"/>
      <c r="BW867" s="11"/>
      <c r="BX867" s="11"/>
      <c r="BY867" s="11"/>
      <c r="BZ867" s="68">
        <v>-2.07</v>
      </c>
      <c r="CA867" s="68">
        <v>1.22</v>
      </c>
      <c r="CB867" s="80">
        <v>2.0E-15</v>
      </c>
      <c r="CC867" s="80">
        <v>1.0E-15</v>
      </c>
      <c r="CD867" s="68"/>
      <c r="CE867" s="68"/>
      <c r="CF867" s="80">
        <v>3.0E-15</v>
      </c>
      <c r="CG867" s="80"/>
      <c r="CH867" s="68"/>
      <c r="CI867" s="68"/>
      <c r="CJ867" s="80">
        <v>2.8E-14</v>
      </c>
      <c r="CK867" s="80"/>
      <c r="CL867" s="68"/>
      <c r="CM867" s="68"/>
      <c r="CN867" s="80"/>
      <c r="CO867" s="80"/>
      <c r="CP867" s="80"/>
      <c r="CQ867" s="80"/>
      <c r="CR867" s="80"/>
      <c r="CS867" s="80"/>
      <c r="CT867" s="68"/>
      <c r="CU867" s="68"/>
      <c r="CV867" s="80">
        <v>1.04E-12</v>
      </c>
      <c r="CW867" s="80"/>
      <c r="CX867" s="68"/>
      <c r="CY867" s="68"/>
      <c r="CZ867" s="80">
        <v>9.3E-14</v>
      </c>
      <c r="DA867" s="80"/>
      <c r="DB867" s="11"/>
      <c r="DC867" s="11"/>
      <c r="DD867" s="11"/>
      <c r="DE867" s="11"/>
      <c r="DF867" s="68"/>
      <c r="DG867" s="68"/>
      <c r="DH867" s="80">
        <v>2.4E-12</v>
      </c>
      <c r="DI867" s="80"/>
      <c r="DJ867" s="12"/>
      <c r="DK867" s="12"/>
      <c r="DL867" s="12"/>
      <c r="DM867" s="69"/>
      <c r="DN867" s="69"/>
      <c r="DO867" s="69"/>
      <c r="DP867" s="69"/>
      <c r="DQ867" s="11"/>
      <c r="DR867" s="69"/>
      <c r="DS867" s="69"/>
      <c r="DT867" s="69"/>
      <c r="DU867" s="69"/>
      <c r="DV867" s="73">
        <v>-3.71</v>
      </c>
      <c r="DW867" s="10"/>
      <c r="DX867" s="81">
        <v>4.79E-12</v>
      </c>
      <c r="DY867" s="7"/>
      <c r="DZ867" s="64" t="s">
        <v>755</v>
      </c>
      <c r="EA867" s="64" t="s">
        <v>756</v>
      </c>
      <c r="EB867" s="7"/>
    </row>
    <row r="868">
      <c r="A868" s="55" t="s">
        <v>1333</v>
      </c>
      <c r="B868" s="55" t="s">
        <v>1333</v>
      </c>
      <c r="C868" s="4"/>
      <c r="D868" s="4"/>
      <c r="E868" s="4"/>
      <c r="F868" s="57" t="s">
        <v>168</v>
      </c>
      <c r="G868" s="58">
        <v>246.800547</v>
      </c>
      <c r="H868" s="58">
        <v>-24.580317</v>
      </c>
      <c r="I868" s="6" t="s">
        <v>158</v>
      </c>
      <c r="J868" s="6" t="s">
        <v>169</v>
      </c>
      <c r="K868" s="58">
        <v>1.0</v>
      </c>
      <c r="L868" s="5"/>
      <c r="M868" s="60"/>
      <c r="N868" s="60"/>
      <c r="O868" s="60"/>
      <c r="P868" s="60"/>
      <c r="Q868" s="60"/>
      <c r="R868" s="60"/>
      <c r="S868" s="60"/>
      <c r="T868" s="60"/>
      <c r="U868" s="60">
        <v>15.1</v>
      </c>
      <c r="V868" s="60">
        <v>0.7</v>
      </c>
      <c r="W868" s="5"/>
      <c r="X868" s="5"/>
      <c r="Y868" s="163" t="s">
        <v>754</v>
      </c>
      <c r="Z868" s="60"/>
      <c r="AA868" s="60"/>
      <c r="AB868" s="60">
        <v>15.616</v>
      </c>
      <c r="AC868" s="60">
        <v>0.06</v>
      </c>
      <c r="AD868" s="60">
        <v>13.111</v>
      </c>
      <c r="AE868" s="60">
        <v>0.022</v>
      </c>
      <c r="AF868" s="60">
        <v>11.486</v>
      </c>
      <c r="AG868" s="60">
        <v>0.019</v>
      </c>
      <c r="AH868" s="6"/>
      <c r="AI868" s="6"/>
      <c r="AJ868" s="164" t="s">
        <v>754</v>
      </c>
      <c r="AK868" s="64" t="s">
        <v>610</v>
      </c>
      <c r="AL868" s="97">
        <v>2010.0</v>
      </c>
      <c r="AM868" s="64">
        <v>3.5</v>
      </c>
      <c r="AN868" s="77">
        <v>125.0</v>
      </c>
      <c r="AO868" s="13"/>
      <c r="AP868" s="13" t="s">
        <v>415</v>
      </c>
      <c r="AQ868" s="13"/>
      <c r="AR868" s="78">
        <v>3560.0</v>
      </c>
      <c r="AS868" s="97">
        <v>110.0</v>
      </c>
      <c r="AT868" s="79">
        <v>0.51</v>
      </c>
      <c r="AU868" s="70">
        <v>0.07</v>
      </c>
      <c r="AV868" s="64">
        <v>0.145</v>
      </c>
      <c r="AW868" s="64">
        <v>0.035</v>
      </c>
      <c r="AX868" s="73">
        <v>1.0</v>
      </c>
      <c r="AY868" s="73">
        <v>0.14</v>
      </c>
      <c r="AZ868" s="11" t="s">
        <v>162</v>
      </c>
      <c r="BA868" s="111" t="s">
        <v>1754</v>
      </c>
      <c r="BB868" s="68"/>
      <c r="BC868" s="68"/>
      <c r="BD868" s="80">
        <f>408*1E-14</f>
        <v>0</v>
      </c>
      <c r="BE868" s="80"/>
      <c r="BF868" s="68"/>
      <c r="BG868" s="68"/>
      <c r="BH868" s="80">
        <v>1.42E-10</v>
      </c>
      <c r="BI868" s="80"/>
      <c r="BJ868" s="68"/>
      <c r="BK868" s="11"/>
      <c r="BL868" s="80">
        <v>4.76E-10</v>
      </c>
      <c r="BM868" s="80"/>
      <c r="BN868" s="68"/>
      <c r="BO868" s="11"/>
      <c r="BP868" s="80">
        <v>9.27E-10</v>
      </c>
      <c r="BQ868" s="80"/>
      <c r="BR868" s="11"/>
      <c r="BS868" s="11"/>
      <c r="BT868" s="11"/>
      <c r="BU868" s="11"/>
      <c r="BV868" s="11"/>
      <c r="BW868" s="11"/>
      <c r="BX868" s="11"/>
      <c r="BY868" s="11"/>
      <c r="BZ868" s="68">
        <v>-1.44</v>
      </c>
      <c r="CA868" s="68">
        <v>0.58</v>
      </c>
      <c r="CB868" s="80">
        <v>3.0E-14</v>
      </c>
      <c r="CC868" s="80">
        <v>1.2E-14</v>
      </c>
      <c r="CD868" s="68"/>
      <c r="CE868" s="68"/>
      <c r="CF868" s="80">
        <v>2.0E-14</v>
      </c>
      <c r="CG868" s="80"/>
      <c r="CH868" s="68"/>
      <c r="CI868" s="68"/>
      <c r="CJ868" s="80">
        <v>2.08E-13</v>
      </c>
      <c r="CK868" s="80"/>
      <c r="CL868" s="68"/>
      <c r="CM868" s="68"/>
      <c r="CN868" s="80">
        <v>6.0E-15</v>
      </c>
      <c r="CO868" s="80"/>
      <c r="CP868" s="80"/>
      <c r="CQ868" s="80"/>
      <c r="CR868" s="80"/>
      <c r="CS868" s="80"/>
      <c r="CT868" s="68"/>
      <c r="CU868" s="68"/>
      <c r="CV868" s="80">
        <v>2.38E-11</v>
      </c>
      <c r="CW868" s="80"/>
      <c r="CX868" s="68"/>
      <c r="CY868" s="68"/>
      <c r="CZ868" s="80">
        <v>5.5E-12</v>
      </c>
      <c r="DA868" s="80"/>
      <c r="DB868" s="11"/>
      <c r="DC868" s="11"/>
      <c r="DD868" s="11"/>
      <c r="DE868" s="11"/>
      <c r="DF868" s="68"/>
      <c r="DG868" s="68"/>
      <c r="DH868" s="80">
        <v>1.27E-9</v>
      </c>
      <c r="DI868" s="80"/>
      <c r="DJ868" s="12"/>
      <c r="DK868" s="12"/>
      <c r="DL868" s="12"/>
      <c r="DM868" s="69"/>
      <c r="DN868" s="69"/>
      <c r="DO868" s="69"/>
      <c r="DP868" s="69"/>
      <c r="DQ868" s="11"/>
      <c r="DR868" s="69"/>
      <c r="DS868" s="69"/>
      <c r="DT868" s="69"/>
      <c r="DU868" s="69"/>
      <c r="DV868" s="73">
        <v>-2.58</v>
      </c>
      <c r="DW868" s="10"/>
      <c r="DX868" s="81">
        <v>2.04E-10</v>
      </c>
      <c r="DY868" s="7"/>
      <c r="DZ868" s="64" t="s">
        <v>755</v>
      </c>
      <c r="EA868" s="64" t="s">
        <v>756</v>
      </c>
      <c r="EB868" s="13"/>
    </row>
    <row r="869">
      <c r="A869" s="55" t="s">
        <v>1331</v>
      </c>
      <c r="B869" s="55" t="s">
        <v>1331</v>
      </c>
      <c r="C869" s="4"/>
      <c r="D869" s="4"/>
      <c r="E869" s="4"/>
      <c r="F869" s="57" t="s">
        <v>168</v>
      </c>
      <c r="G869" s="58">
        <v>246.8232784</v>
      </c>
      <c r="H869" s="58">
        <v>-24.08713892</v>
      </c>
      <c r="I869" s="6" t="s">
        <v>158</v>
      </c>
      <c r="J869" s="6" t="s">
        <v>169</v>
      </c>
      <c r="K869" s="58">
        <v>1.0</v>
      </c>
      <c r="L869" s="5"/>
      <c r="M869" s="60">
        <v>2.0</v>
      </c>
      <c r="N869" s="61">
        <v>136.584033326504</v>
      </c>
      <c r="O869" s="61">
        <v>-8.009</v>
      </c>
      <c r="P869" s="61">
        <v>0.321</v>
      </c>
      <c r="Q869" s="61">
        <v>-26.722</v>
      </c>
      <c r="R869" s="61">
        <v>0.2</v>
      </c>
      <c r="S869" s="60"/>
      <c r="T869" s="60"/>
      <c r="U869" s="60">
        <v>4.3</v>
      </c>
      <c r="V869" s="5"/>
      <c r="W869" s="5"/>
      <c r="X869" s="5"/>
      <c r="Y869" s="163" t="s">
        <v>754</v>
      </c>
      <c r="Z869" s="60">
        <v>17.67</v>
      </c>
      <c r="AA869" s="60"/>
      <c r="AB869" s="60">
        <v>12.728</v>
      </c>
      <c r="AC869" s="60">
        <v>0.023</v>
      </c>
      <c r="AD869" s="60">
        <v>11.492</v>
      </c>
      <c r="AE869" s="60">
        <v>0.022</v>
      </c>
      <c r="AF869" s="60">
        <v>10.727</v>
      </c>
      <c r="AG869" s="60">
        <v>0.021</v>
      </c>
      <c r="AH869" s="6"/>
      <c r="AI869" s="6"/>
      <c r="AJ869" s="164" t="s">
        <v>754</v>
      </c>
      <c r="AK869" s="64" t="s">
        <v>610</v>
      </c>
      <c r="AL869" s="97">
        <v>2010.0</v>
      </c>
      <c r="AM869" s="64">
        <v>3.5</v>
      </c>
      <c r="AN869" s="77">
        <v>125.0</v>
      </c>
      <c r="AO869" s="13"/>
      <c r="AP869" s="13" t="s">
        <v>434</v>
      </c>
      <c r="AQ869" s="13"/>
      <c r="AR869" s="78">
        <v>4060.0</v>
      </c>
      <c r="AS869" s="13"/>
      <c r="AT869" s="79">
        <v>0.62</v>
      </c>
      <c r="AU869" s="73"/>
      <c r="AV869" s="64">
        <v>0.078</v>
      </c>
      <c r="AW869" s="13"/>
      <c r="AX869" s="70">
        <v>0.56</v>
      </c>
      <c r="AY869" s="7"/>
      <c r="AZ869" s="11" t="s">
        <v>162</v>
      </c>
      <c r="BA869" s="111" t="s">
        <v>1754</v>
      </c>
      <c r="BB869" s="68">
        <v>-60.68</v>
      </c>
      <c r="BC869" s="68">
        <v>0.66</v>
      </c>
      <c r="BD869" s="80">
        <v>8.16E-13</v>
      </c>
      <c r="BE869" s="80">
        <v>9.0E-15</v>
      </c>
      <c r="BF869" s="68">
        <v>-12.32</v>
      </c>
      <c r="BG869" s="68">
        <v>0.8</v>
      </c>
      <c r="BH869" s="80">
        <v>1.2E-13</v>
      </c>
      <c r="BI869" s="80">
        <v>8.0E-15</v>
      </c>
      <c r="BJ869" s="68">
        <v>-5.53</v>
      </c>
      <c r="BK869" s="68">
        <v>1.19</v>
      </c>
      <c r="BL869" s="80">
        <v>4.9E-14</v>
      </c>
      <c r="BM869" s="80">
        <v>1.1E-14</v>
      </c>
      <c r="BN869" s="68">
        <v>-3.77</v>
      </c>
      <c r="BO869" s="68">
        <v>0.75</v>
      </c>
      <c r="BP869" s="80">
        <v>3.0E-14</v>
      </c>
      <c r="BQ869" s="80">
        <v>6.0E-15</v>
      </c>
      <c r="BR869" s="11"/>
      <c r="BS869" s="11"/>
      <c r="BT869" s="11"/>
      <c r="BU869" s="11"/>
      <c r="BV869" s="11"/>
      <c r="BW869" s="11"/>
      <c r="BX869" s="11"/>
      <c r="BY869" s="11"/>
      <c r="BZ869" s="68">
        <v>-9.8</v>
      </c>
      <c r="CA869" s="68">
        <v>0.2</v>
      </c>
      <c r="CB869" s="80">
        <v>9.0E-14</v>
      </c>
      <c r="CC869" s="80">
        <v>2.0E-15</v>
      </c>
      <c r="CD869" s="68">
        <v>-7.01</v>
      </c>
      <c r="CE869" s="68">
        <v>0.4</v>
      </c>
      <c r="CF869" s="80">
        <v>7.7E-14</v>
      </c>
      <c r="CG869" s="80">
        <v>4.0E-15</v>
      </c>
      <c r="CH869" s="68">
        <v>-6.6</v>
      </c>
      <c r="CI869" s="68">
        <v>0.55</v>
      </c>
      <c r="CJ869" s="80">
        <v>7.7E-14</v>
      </c>
      <c r="CK869" s="80">
        <v>6.0E-15</v>
      </c>
      <c r="CL869" s="68">
        <v>-4.16</v>
      </c>
      <c r="CM869" s="68">
        <v>0.18</v>
      </c>
      <c r="CN869" s="80">
        <v>2.1E-14</v>
      </c>
      <c r="CO869" s="80">
        <v>1.0E-15</v>
      </c>
      <c r="CP869" s="80"/>
      <c r="CQ869" s="80"/>
      <c r="CR869" s="80"/>
      <c r="CS869" s="80"/>
      <c r="CT869" s="68">
        <v>-4.72</v>
      </c>
      <c r="CU869" s="68">
        <v>0.25</v>
      </c>
      <c r="CV869" s="80">
        <v>5.4E-14</v>
      </c>
      <c r="CW869" s="80">
        <v>3.0E-15</v>
      </c>
      <c r="CX869" s="68">
        <v>-1.94</v>
      </c>
      <c r="CY869" s="68">
        <v>0.14</v>
      </c>
      <c r="CZ869" s="80">
        <v>2.0E-14</v>
      </c>
      <c r="DA869" s="80">
        <v>1.0E-15</v>
      </c>
      <c r="DB869" s="11"/>
      <c r="DC869" s="11"/>
      <c r="DD869" s="11"/>
      <c r="DE869" s="11"/>
      <c r="DF869" s="68">
        <v>-18.72</v>
      </c>
      <c r="DG869" s="68">
        <v>0.85</v>
      </c>
      <c r="DH869" s="80">
        <v>1.56E-13</v>
      </c>
      <c r="DI869" s="80">
        <v>7.0E-15</v>
      </c>
      <c r="DJ869" s="12"/>
      <c r="DK869" s="12"/>
      <c r="DL869" s="12"/>
      <c r="DM869" s="69"/>
      <c r="DN869" s="69"/>
      <c r="DO869" s="69"/>
      <c r="DP869" s="69"/>
      <c r="DQ869" s="11"/>
      <c r="DR869" s="69"/>
      <c r="DS869" s="69"/>
      <c r="DT869" s="69"/>
      <c r="DU869" s="69"/>
      <c r="DV869" s="73">
        <v>-2.12</v>
      </c>
      <c r="DW869" s="10"/>
      <c r="DX869" s="81">
        <v>2.75E-10</v>
      </c>
      <c r="DY869" s="7"/>
      <c r="DZ869" s="64" t="s">
        <v>755</v>
      </c>
      <c r="EA869" s="64" t="s">
        <v>756</v>
      </c>
      <c r="EB869" s="7"/>
    </row>
    <row r="870">
      <c r="A870" s="55" t="s">
        <v>1350</v>
      </c>
      <c r="B870" s="55" t="s">
        <v>1350</v>
      </c>
      <c r="C870" s="4"/>
      <c r="D870" s="4"/>
      <c r="E870" s="4"/>
      <c r="F870" s="57" t="s">
        <v>168</v>
      </c>
      <c r="G870" s="58">
        <v>246.598249</v>
      </c>
      <c r="H870" s="58">
        <v>-24.410971</v>
      </c>
      <c r="I870" s="6" t="s">
        <v>158</v>
      </c>
      <c r="J870" s="6" t="s">
        <v>169</v>
      </c>
      <c r="K870" s="58">
        <v>1.0</v>
      </c>
      <c r="L870" s="5"/>
      <c r="M870" s="60"/>
      <c r="N870" s="60"/>
      <c r="O870" s="60"/>
      <c r="P870" s="60"/>
      <c r="Q870" s="60"/>
      <c r="R870" s="60"/>
      <c r="S870" s="60">
        <v>-7.9</v>
      </c>
      <c r="T870" s="60">
        <v>1.5</v>
      </c>
      <c r="U870" s="60">
        <v>16.1</v>
      </c>
      <c r="V870" s="60">
        <v>0.2</v>
      </c>
      <c r="W870" s="5"/>
      <c r="X870" s="5"/>
      <c r="Y870" s="163" t="s">
        <v>754</v>
      </c>
      <c r="Z870" s="60"/>
      <c r="AA870" s="60"/>
      <c r="AB870" s="60">
        <v>15.052</v>
      </c>
      <c r="AC870" s="60">
        <v>0.06</v>
      </c>
      <c r="AD870" s="60">
        <v>12.253</v>
      </c>
      <c r="AE870" s="60">
        <v>0.043</v>
      </c>
      <c r="AF870" s="60">
        <v>10.224</v>
      </c>
      <c r="AG870" s="60">
        <v>0.03</v>
      </c>
      <c r="AH870" s="6"/>
      <c r="AI870" s="6"/>
      <c r="AJ870" s="164" t="s">
        <v>754</v>
      </c>
      <c r="AK870" s="64" t="s">
        <v>610</v>
      </c>
      <c r="AL870" s="97">
        <v>2010.0</v>
      </c>
      <c r="AM870" s="64">
        <v>3.5</v>
      </c>
      <c r="AN870" s="77">
        <v>125.0</v>
      </c>
      <c r="AO870" s="13"/>
      <c r="AP870" s="13" t="s">
        <v>434</v>
      </c>
      <c r="AQ870" s="13"/>
      <c r="AR870" s="78">
        <v>4060.0</v>
      </c>
      <c r="AS870" s="97">
        <v>50.0</v>
      </c>
      <c r="AT870" s="79">
        <v>1.02</v>
      </c>
      <c r="AU870" s="70">
        <v>0.01</v>
      </c>
      <c r="AV870" s="64">
        <v>0.415</v>
      </c>
      <c r="AW870" s="64">
        <v>0.017</v>
      </c>
      <c r="AX870" s="73">
        <v>1.31</v>
      </c>
      <c r="AY870" s="73">
        <v>0.21</v>
      </c>
      <c r="AZ870" s="11" t="s">
        <v>162</v>
      </c>
      <c r="BA870" s="111" t="s">
        <v>1754</v>
      </c>
      <c r="BB870" s="68">
        <v>-45.34</v>
      </c>
      <c r="BC870" s="68">
        <v>10.52</v>
      </c>
      <c r="BD870" s="80">
        <v>3.43E-11</v>
      </c>
      <c r="BE870" s="80">
        <v>7.95E-12</v>
      </c>
      <c r="BF870" s="68"/>
      <c r="BG870" s="68"/>
      <c r="BH870" s="68"/>
      <c r="BI870" s="80"/>
      <c r="BJ870" s="68"/>
      <c r="BK870" s="11"/>
      <c r="BL870" s="68"/>
      <c r="BM870" s="80"/>
      <c r="BN870" s="68"/>
      <c r="BO870" s="11"/>
      <c r="BP870" s="68"/>
      <c r="BQ870" s="80"/>
      <c r="BR870" s="11"/>
      <c r="BS870" s="11"/>
      <c r="BT870" s="11"/>
      <c r="BU870" s="11"/>
      <c r="BV870" s="11"/>
      <c r="BW870" s="11"/>
      <c r="BX870" s="11"/>
      <c r="BY870" s="11"/>
      <c r="BZ870" s="68">
        <v>-6.14</v>
      </c>
      <c r="CA870" s="68">
        <v>0.49</v>
      </c>
      <c r="CB870" s="80">
        <v>2.45E-13</v>
      </c>
      <c r="CC870" s="80">
        <v>2.0E-14</v>
      </c>
      <c r="CD870" s="68">
        <v>-4.68</v>
      </c>
      <c r="CE870" s="68">
        <v>0.75</v>
      </c>
      <c r="CF870" s="80">
        <v>2.36E-13</v>
      </c>
      <c r="CG870" s="80">
        <v>3.8E-14</v>
      </c>
      <c r="CH870" s="68"/>
      <c r="CI870" s="68"/>
      <c r="CJ870" s="80">
        <v>3.87E-13</v>
      </c>
      <c r="CK870" s="80"/>
      <c r="CL870" s="68"/>
      <c r="CM870" s="68"/>
      <c r="CN870" s="80">
        <v>1.1E-14</v>
      </c>
      <c r="CO870" s="80"/>
      <c r="CP870" s="80"/>
      <c r="CQ870" s="80"/>
      <c r="CR870" s="80"/>
      <c r="CS870" s="80"/>
      <c r="CT870" s="68"/>
      <c r="CU870" s="68"/>
      <c r="CV870" s="80">
        <v>8.5E-11</v>
      </c>
      <c r="CW870" s="80"/>
      <c r="CX870" s="68"/>
      <c r="CY870" s="68"/>
      <c r="CZ870" s="80">
        <v>1.39E-11</v>
      </c>
      <c r="DA870" s="80"/>
      <c r="DB870" s="11"/>
      <c r="DC870" s="11"/>
      <c r="DD870" s="11"/>
      <c r="DE870" s="11"/>
      <c r="DF870" s="68"/>
      <c r="DG870" s="68"/>
      <c r="DH870" s="68"/>
      <c r="DI870" s="80"/>
      <c r="DJ870" s="12"/>
      <c r="DK870" s="12"/>
      <c r="DL870" s="12"/>
      <c r="DM870" s="69"/>
      <c r="DN870" s="69"/>
      <c r="DO870" s="69"/>
      <c r="DP870" s="69"/>
      <c r="DQ870" s="11"/>
      <c r="DR870" s="69"/>
      <c r="DS870" s="69"/>
      <c r="DT870" s="69"/>
      <c r="DU870" s="69"/>
      <c r="DV870" s="73">
        <v>-1.2</v>
      </c>
      <c r="DW870" s="10"/>
      <c r="DX870" s="81">
        <v>3.24E-9</v>
      </c>
      <c r="DY870" s="7"/>
      <c r="DZ870" s="64" t="s">
        <v>755</v>
      </c>
      <c r="EA870" s="64" t="s">
        <v>756</v>
      </c>
      <c r="EB870" s="13"/>
    </row>
    <row r="871">
      <c r="A871" s="201" t="s">
        <v>1757</v>
      </c>
      <c r="B871" s="201" t="s">
        <v>1758</v>
      </c>
      <c r="C871" s="202" t="s">
        <v>1758</v>
      </c>
      <c r="D871" s="202" t="s">
        <v>1758</v>
      </c>
      <c r="E871" s="4"/>
      <c r="F871" s="57"/>
      <c r="G871" s="58"/>
      <c r="H871" s="58"/>
      <c r="I871" s="6"/>
      <c r="J871" s="6"/>
      <c r="K871" s="58"/>
      <c r="L871" s="5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5"/>
      <c r="X871" s="5"/>
      <c r="Y871" s="203"/>
      <c r="Z871" s="60"/>
      <c r="AA871" s="60"/>
      <c r="AB871" s="60"/>
      <c r="AC871" s="60"/>
      <c r="AD871" s="60"/>
      <c r="AE871" s="60"/>
      <c r="AF871" s="60"/>
      <c r="AG871" s="60"/>
      <c r="AH871" s="6"/>
      <c r="AI871" s="6"/>
      <c r="AJ871" s="204"/>
      <c r="AK871" s="64"/>
      <c r="AL871" s="97"/>
      <c r="AM871" s="64"/>
      <c r="AN871" s="77"/>
      <c r="AO871" s="13"/>
      <c r="AP871" s="13"/>
      <c r="AQ871" s="13"/>
      <c r="AR871" s="78"/>
      <c r="AS871" s="97"/>
      <c r="AT871" s="79"/>
      <c r="AU871" s="70"/>
      <c r="AV871" s="64"/>
      <c r="AW871" s="64"/>
      <c r="AX871" s="73"/>
      <c r="AY871" s="73"/>
      <c r="AZ871" s="11"/>
      <c r="BA871" s="111"/>
      <c r="BB871" s="68"/>
      <c r="BC871" s="68"/>
      <c r="BD871" s="80"/>
      <c r="BE871" s="80"/>
      <c r="BF871" s="68"/>
      <c r="BG871" s="68"/>
      <c r="BH871" s="68"/>
      <c r="BI871" s="80"/>
      <c r="BJ871" s="68"/>
      <c r="BK871" s="11"/>
      <c r="BL871" s="68"/>
      <c r="BM871" s="80"/>
      <c r="BN871" s="68"/>
      <c r="BO871" s="11"/>
      <c r="BP871" s="68"/>
      <c r="BQ871" s="80"/>
      <c r="BR871" s="11"/>
      <c r="BS871" s="11"/>
      <c r="BT871" s="11"/>
      <c r="BU871" s="11"/>
      <c r="BV871" s="11"/>
      <c r="BW871" s="11"/>
      <c r="BX871" s="11"/>
      <c r="BY871" s="11"/>
      <c r="BZ871" s="68"/>
      <c r="CA871" s="68"/>
      <c r="CB871" s="80"/>
      <c r="CC871" s="80"/>
      <c r="CD871" s="68"/>
      <c r="CE871" s="68"/>
      <c r="CF871" s="80"/>
      <c r="CG871" s="80"/>
      <c r="CH871" s="68"/>
      <c r="CI871" s="68"/>
      <c r="CJ871" s="80"/>
      <c r="CK871" s="80"/>
      <c r="CL871" s="68"/>
      <c r="CM871" s="68"/>
      <c r="CN871" s="80"/>
      <c r="CO871" s="80"/>
      <c r="CP871" s="80"/>
      <c r="CQ871" s="80"/>
      <c r="CR871" s="80"/>
      <c r="CS871" s="80"/>
      <c r="CT871" s="68"/>
      <c r="CU871" s="68"/>
      <c r="CV871" s="80"/>
      <c r="CW871" s="80"/>
      <c r="CX871" s="68"/>
      <c r="CY871" s="68"/>
      <c r="CZ871" s="80"/>
      <c r="DA871" s="80"/>
      <c r="DB871" s="11"/>
      <c r="DC871" s="11"/>
      <c r="DD871" s="11"/>
      <c r="DE871" s="11"/>
      <c r="DF871" s="68"/>
      <c r="DG871" s="68"/>
      <c r="DH871" s="68"/>
      <c r="DI871" s="80"/>
      <c r="DJ871" s="12"/>
      <c r="DK871" s="12"/>
      <c r="DL871" s="12"/>
      <c r="DM871" s="69"/>
      <c r="DN871" s="69"/>
      <c r="DO871" s="69"/>
      <c r="DP871" s="69"/>
      <c r="DQ871" s="11"/>
      <c r="DR871" s="69"/>
      <c r="DS871" s="69"/>
      <c r="DT871" s="69"/>
      <c r="DU871" s="69"/>
      <c r="DV871" s="73"/>
      <c r="DW871" s="10"/>
      <c r="DX871" s="81"/>
      <c r="DY871" s="7"/>
      <c r="DZ871" s="64"/>
      <c r="EA871" s="64"/>
      <c r="EB871" s="13"/>
    </row>
  </sheetData>
  <hyperlinks>
    <hyperlink r:id="rId1" ref="Y4"/>
    <hyperlink r:id="rId2" ref="AJ4"/>
    <hyperlink r:id="rId3" ref="Y5"/>
    <hyperlink r:id="rId4" ref="AJ5"/>
    <hyperlink r:id="rId5" ref="Y6"/>
    <hyperlink r:id="rId6" ref="AJ6"/>
    <hyperlink r:id="rId7" ref="Y7"/>
    <hyperlink r:id="rId8" ref="AJ7"/>
    <hyperlink r:id="rId9" ref="Y8"/>
    <hyperlink r:id="rId10" ref="AJ8"/>
    <hyperlink r:id="rId11" ref="Y9"/>
    <hyperlink r:id="rId12" ref="AJ9"/>
    <hyperlink r:id="rId13" ref="Y10"/>
    <hyperlink r:id="rId14" ref="AJ10"/>
    <hyperlink r:id="rId15" ref="Y11"/>
    <hyperlink r:id="rId16" ref="AJ11"/>
    <hyperlink r:id="rId17" ref="Y12"/>
    <hyperlink r:id="rId18" ref="AJ12"/>
    <hyperlink r:id="rId19" ref="Y13"/>
    <hyperlink r:id="rId20" ref="AJ13"/>
    <hyperlink r:id="rId21" ref="Y14"/>
    <hyperlink r:id="rId22" ref="AJ14"/>
    <hyperlink r:id="rId23" ref="Y15"/>
    <hyperlink r:id="rId24" ref="AJ15"/>
    <hyperlink r:id="rId25" ref="Y16"/>
    <hyperlink r:id="rId26" ref="AJ16"/>
    <hyperlink r:id="rId27" ref="Y17"/>
    <hyperlink r:id="rId28" ref="AJ17"/>
    <hyperlink r:id="rId29" ref="Y18"/>
    <hyperlink r:id="rId30" ref="AJ18"/>
    <hyperlink r:id="rId31" ref="Y19"/>
    <hyperlink r:id="rId32" ref="AJ19"/>
    <hyperlink r:id="rId33" ref="Y20"/>
    <hyperlink r:id="rId34" ref="AJ20"/>
    <hyperlink r:id="rId35" ref="Y21"/>
    <hyperlink r:id="rId36" ref="AJ21"/>
    <hyperlink r:id="rId37" ref="Y22"/>
    <hyperlink r:id="rId38" ref="AJ22"/>
    <hyperlink r:id="rId39" ref="Y23"/>
    <hyperlink r:id="rId40" ref="AJ23"/>
    <hyperlink r:id="rId41" ref="Y24"/>
    <hyperlink r:id="rId42" ref="AJ24"/>
    <hyperlink r:id="rId43" ref="Y25"/>
    <hyperlink r:id="rId44" ref="AJ25"/>
    <hyperlink r:id="rId45" ref="Y26"/>
    <hyperlink r:id="rId46" ref="AJ26"/>
    <hyperlink r:id="rId47" ref="Y27"/>
    <hyperlink r:id="rId48" ref="AJ27"/>
    <hyperlink r:id="rId49" ref="Y28"/>
    <hyperlink r:id="rId50" ref="AJ28"/>
    <hyperlink r:id="rId51" ref="Y29"/>
    <hyperlink r:id="rId52" ref="AJ29"/>
    <hyperlink r:id="rId53" ref="Y30"/>
    <hyperlink r:id="rId54" ref="AJ30"/>
    <hyperlink r:id="rId55" ref="Y31"/>
    <hyperlink r:id="rId56" ref="AJ31"/>
    <hyperlink r:id="rId57" ref="Y32"/>
    <hyperlink r:id="rId58" ref="AJ32"/>
    <hyperlink r:id="rId59" ref="Y33"/>
    <hyperlink r:id="rId60" ref="AJ33"/>
    <hyperlink r:id="rId61" ref="Y34"/>
    <hyperlink r:id="rId62" ref="AJ34"/>
    <hyperlink r:id="rId63" ref="Y35"/>
    <hyperlink r:id="rId64" ref="AJ35"/>
    <hyperlink r:id="rId65" ref="Y36"/>
    <hyperlink r:id="rId66" ref="AJ36"/>
    <hyperlink r:id="rId67" ref="Y37"/>
    <hyperlink r:id="rId68" ref="AJ37"/>
    <hyperlink r:id="rId69" ref="AJ38"/>
    <hyperlink r:id="rId70" ref="AJ39"/>
    <hyperlink r:id="rId71" ref="Y40"/>
    <hyperlink r:id="rId72" ref="AJ40"/>
    <hyperlink r:id="rId73" ref="Y41"/>
    <hyperlink r:id="rId74" ref="AJ41"/>
    <hyperlink r:id="rId75" ref="Y42"/>
    <hyperlink r:id="rId76" ref="AJ42"/>
    <hyperlink r:id="rId77" ref="Y43"/>
    <hyperlink r:id="rId78" ref="AJ43"/>
    <hyperlink r:id="rId79" ref="Y44"/>
    <hyperlink r:id="rId80" ref="AJ44"/>
    <hyperlink r:id="rId81" ref="Y45"/>
    <hyperlink r:id="rId82" ref="AJ45"/>
    <hyperlink r:id="rId83" ref="Y46"/>
    <hyperlink r:id="rId84" ref="AJ46"/>
    <hyperlink r:id="rId85" ref="Y47"/>
    <hyperlink r:id="rId86" ref="AJ47"/>
    <hyperlink r:id="rId87" ref="Y48"/>
    <hyperlink r:id="rId88" ref="AJ48"/>
    <hyperlink r:id="rId89" ref="Y49"/>
    <hyperlink r:id="rId90" ref="AJ49"/>
    <hyperlink r:id="rId91" ref="Y50"/>
    <hyperlink r:id="rId92" ref="AJ50"/>
    <hyperlink r:id="rId93" ref="Y51"/>
    <hyperlink r:id="rId94" ref="AJ51"/>
    <hyperlink r:id="rId95" ref="Y52"/>
    <hyperlink r:id="rId96" ref="AJ52"/>
    <hyperlink r:id="rId97" ref="Y53"/>
    <hyperlink r:id="rId98" ref="AJ53"/>
    <hyperlink r:id="rId99" ref="Y54"/>
    <hyperlink r:id="rId100" ref="AJ54"/>
    <hyperlink r:id="rId101" ref="Y55"/>
    <hyperlink r:id="rId102" ref="AJ55"/>
    <hyperlink r:id="rId103" ref="Y56"/>
    <hyperlink r:id="rId104" ref="AJ56"/>
    <hyperlink r:id="rId105" ref="Y57"/>
    <hyperlink r:id="rId106" ref="AJ57"/>
    <hyperlink r:id="rId107" ref="Y58"/>
    <hyperlink r:id="rId108" ref="AJ58"/>
    <hyperlink r:id="rId109" ref="Y59"/>
    <hyperlink r:id="rId110" ref="AJ59"/>
    <hyperlink r:id="rId111" ref="Y60"/>
    <hyperlink r:id="rId112" ref="AJ60"/>
    <hyperlink r:id="rId113" ref="Y61"/>
    <hyperlink r:id="rId114" ref="AJ61"/>
    <hyperlink r:id="rId115" ref="Y62"/>
    <hyperlink r:id="rId116" ref="AJ62"/>
    <hyperlink r:id="rId117" ref="Y63"/>
    <hyperlink r:id="rId118" ref="AJ63"/>
    <hyperlink r:id="rId119" ref="Y64"/>
    <hyperlink r:id="rId120" ref="AJ64"/>
    <hyperlink r:id="rId121" ref="A65"/>
    <hyperlink r:id="rId122" ref="Y65"/>
    <hyperlink r:id="rId123" ref="AJ65"/>
    <hyperlink r:id="rId124" ref="Y66"/>
    <hyperlink r:id="rId125" ref="AJ66"/>
    <hyperlink r:id="rId126" ref="Y67"/>
    <hyperlink r:id="rId127" ref="AJ67"/>
    <hyperlink r:id="rId128" ref="Y68"/>
    <hyperlink r:id="rId129" ref="AJ68"/>
    <hyperlink r:id="rId130" ref="Y69"/>
    <hyperlink r:id="rId131" ref="AJ69"/>
    <hyperlink r:id="rId132" ref="A70"/>
    <hyperlink r:id="rId133" ref="Y70"/>
    <hyperlink r:id="rId134" ref="AJ70"/>
    <hyperlink r:id="rId135" ref="Y71"/>
    <hyperlink r:id="rId136" ref="AJ71"/>
    <hyperlink r:id="rId137" ref="Y72"/>
    <hyperlink r:id="rId138" ref="AJ72"/>
    <hyperlink r:id="rId139" ref="Y73"/>
    <hyperlink r:id="rId140" ref="AJ73"/>
    <hyperlink r:id="rId141" ref="Y74"/>
    <hyperlink r:id="rId142" ref="AJ74"/>
    <hyperlink r:id="rId143" ref="Y75"/>
    <hyperlink r:id="rId144" ref="AJ75"/>
    <hyperlink r:id="rId145" ref="Y76"/>
    <hyperlink r:id="rId146" ref="AJ76"/>
    <hyperlink r:id="rId147" ref="Y77"/>
    <hyperlink r:id="rId148" ref="AJ77"/>
    <hyperlink r:id="rId149" ref="Y78"/>
    <hyperlink r:id="rId150" ref="AJ78"/>
    <hyperlink r:id="rId151" ref="Y79"/>
    <hyperlink r:id="rId152" ref="AJ79"/>
    <hyperlink r:id="rId153" ref="Y80"/>
    <hyperlink r:id="rId154" ref="AJ80"/>
    <hyperlink r:id="rId155" ref="Y81"/>
    <hyperlink r:id="rId156" ref="AJ81"/>
    <hyperlink r:id="rId157" ref="Y82"/>
    <hyperlink r:id="rId158" ref="AJ82"/>
    <hyperlink r:id="rId159" ref="Y83"/>
    <hyperlink r:id="rId160" ref="AJ83"/>
    <hyperlink r:id="rId161" ref="Y84"/>
    <hyperlink r:id="rId162" ref="AJ84"/>
    <hyperlink r:id="rId163" ref="Y85"/>
    <hyperlink r:id="rId164" ref="AJ85"/>
    <hyperlink r:id="rId165" ref="B86"/>
    <hyperlink r:id="rId166" ref="Y86"/>
    <hyperlink r:id="rId167" ref="AJ86"/>
    <hyperlink r:id="rId168" ref="Y87"/>
    <hyperlink r:id="rId169" ref="AJ87"/>
    <hyperlink r:id="rId170" ref="Y88"/>
    <hyperlink r:id="rId171" ref="AJ88"/>
    <hyperlink r:id="rId172" ref="Y89"/>
    <hyperlink r:id="rId173" ref="AJ89"/>
    <hyperlink r:id="rId174" ref="Y90"/>
    <hyperlink r:id="rId175" ref="AJ90"/>
    <hyperlink r:id="rId176" ref="Y91"/>
    <hyperlink r:id="rId177" ref="AJ91"/>
    <hyperlink r:id="rId178" ref="Y92"/>
    <hyperlink r:id="rId179" ref="AJ92"/>
    <hyperlink r:id="rId180" ref="Y93"/>
    <hyperlink r:id="rId181" ref="AJ93"/>
    <hyperlink r:id="rId182" ref="Y94"/>
    <hyperlink r:id="rId183" ref="AJ94"/>
    <hyperlink r:id="rId184" ref="Y95"/>
    <hyperlink r:id="rId185" ref="AJ95"/>
    <hyperlink r:id="rId186" ref="Y96"/>
    <hyperlink r:id="rId187" ref="AJ96"/>
    <hyperlink r:id="rId188" ref="Y97"/>
    <hyperlink r:id="rId189" ref="AJ97"/>
    <hyperlink r:id="rId190" ref="Y98"/>
    <hyperlink r:id="rId191" ref="AJ98"/>
    <hyperlink r:id="rId192" ref="Y99"/>
    <hyperlink r:id="rId193" ref="AJ99"/>
    <hyperlink r:id="rId194" ref="Y100"/>
    <hyperlink r:id="rId195" ref="AJ100"/>
    <hyperlink r:id="rId196" ref="Y101"/>
    <hyperlink r:id="rId197" ref="AJ101"/>
    <hyperlink r:id="rId198" ref="Y102"/>
    <hyperlink r:id="rId199" ref="AJ102"/>
    <hyperlink r:id="rId200" ref="Y103"/>
    <hyperlink r:id="rId201" ref="AJ103"/>
    <hyperlink r:id="rId202" ref="Y104"/>
    <hyperlink r:id="rId203" ref="AJ104"/>
    <hyperlink r:id="rId204" ref="Y105"/>
    <hyperlink r:id="rId205" ref="AJ105"/>
    <hyperlink r:id="rId206" ref="Y106"/>
    <hyperlink r:id="rId207" ref="AJ106"/>
    <hyperlink r:id="rId208" ref="Y107"/>
    <hyperlink r:id="rId209" ref="AJ107"/>
    <hyperlink r:id="rId210" ref="Y108"/>
    <hyperlink r:id="rId211" ref="AJ108"/>
    <hyperlink r:id="rId212" ref="Y109"/>
    <hyperlink r:id="rId213" ref="AJ109"/>
    <hyperlink r:id="rId214" ref="Y110"/>
    <hyperlink r:id="rId215" ref="AJ110"/>
    <hyperlink r:id="rId216" ref="Y111"/>
    <hyperlink r:id="rId217" ref="AJ111"/>
    <hyperlink r:id="rId218" ref="Y112"/>
    <hyperlink r:id="rId219" ref="AJ112"/>
    <hyperlink r:id="rId220" ref="Y113"/>
    <hyperlink r:id="rId221" ref="AJ113"/>
    <hyperlink r:id="rId222" ref="Y114"/>
    <hyperlink r:id="rId223" ref="AJ114"/>
    <hyperlink r:id="rId224" ref="Y115"/>
    <hyperlink r:id="rId225" ref="AJ115"/>
    <hyperlink r:id="rId226" ref="Y116"/>
    <hyperlink r:id="rId227" ref="AJ116"/>
    <hyperlink r:id="rId228" ref="Y117"/>
    <hyperlink r:id="rId229" ref="AJ117"/>
    <hyperlink r:id="rId230" ref="Y118"/>
    <hyperlink r:id="rId231" ref="AJ118"/>
    <hyperlink r:id="rId232" ref="Y119"/>
    <hyperlink r:id="rId233" ref="AJ119"/>
    <hyperlink r:id="rId234" ref="Y120"/>
    <hyperlink r:id="rId235" ref="AJ120"/>
    <hyperlink r:id="rId236" ref="Y121"/>
    <hyperlink r:id="rId237" ref="AJ121"/>
    <hyperlink r:id="rId238" ref="Y122"/>
    <hyperlink r:id="rId239" ref="AJ122"/>
    <hyperlink r:id="rId240" ref="Y123"/>
    <hyperlink r:id="rId241" ref="AJ123"/>
    <hyperlink r:id="rId242" ref="Y124"/>
    <hyperlink r:id="rId243" ref="AJ124"/>
    <hyperlink r:id="rId244" ref="Y125"/>
    <hyperlink r:id="rId245" ref="AJ125"/>
    <hyperlink r:id="rId246" ref="Y126"/>
    <hyperlink r:id="rId247" ref="AJ126"/>
    <hyperlink r:id="rId248" ref="Y127"/>
    <hyperlink r:id="rId249" ref="AJ127"/>
    <hyperlink r:id="rId250" ref="Y128"/>
    <hyperlink r:id="rId251" ref="AJ128"/>
    <hyperlink r:id="rId252" ref="Y129"/>
    <hyperlink r:id="rId253" ref="AJ129"/>
    <hyperlink r:id="rId254" ref="Y130"/>
    <hyperlink r:id="rId255" ref="AJ130"/>
    <hyperlink r:id="rId256" ref="Y131"/>
    <hyperlink r:id="rId257" ref="AJ131"/>
    <hyperlink r:id="rId258" ref="Y132"/>
    <hyperlink r:id="rId259" ref="AJ132"/>
    <hyperlink r:id="rId260" ref="Y133"/>
    <hyperlink r:id="rId261" ref="AJ133"/>
    <hyperlink r:id="rId262" ref="Y134"/>
    <hyperlink r:id="rId263" ref="AJ134"/>
    <hyperlink r:id="rId264" ref="Y135"/>
    <hyperlink r:id="rId265" ref="AJ135"/>
    <hyperlink r:id="rId266" ref="Y136"/>
    <hyperlink r:id="rId267" ref="AJ136"/>
    <hyperlink r:id="rId268" ref="Y137"/>
    <hyperlink r:id="rId269" ref="AJ137"/>
    <hyperlink r:id="rId270" ref="Y138"/>
    <hyperlink r:id="rId271" ref="AJ138"/>
    <hyperlink r:id="rId272" ref="Y139"/>
    <hyperlink r:id="rId273" ref="AJ139"/>
    <hyperlink r:id="rId274" ref="Y140"/>
    <hyperlink r:id="rId275" ref="AJ140"/>
    <hyperlink r:id="rId276" ref="Y141"/>
    <hyperlink r:id="rId277" ref="AJ141"/>
    <hyperlink r:id="rId278" ref="Y142"/>
    <hyperlink r:id="rId279" ref="AJ142"/>
    <hyperlink r:id="rId280" ref="Y143"/>
    <hyperlink r:id="rId281" ref="AJ143"/>
    <hyperlink r:id="rId282" ref="Y144"/>
    <hyperlink r:id="rId283" ref="AJ144"/>
    <hyperlink r:id="rId284" ref="Y145"/>
    <hyperlink r:id="rId285" ref="AJ145"/>
    <hyperlink r:id="rId286" ref="Y146"/>
    <hyperlink r:id="rId287" ref="AJ146"/>
    <hyperlink r:id="rId288" ref="Y147"/>
    <hyperlink r:id="rId289" ref="AJ147"/>
    <hyperlink r:id="rId290" ref="Y148"/>
    <hyperlink r:id="rId291" ref="AJ148"/>
    <hyperlink r:id="rId292" ref="Y149"/>
    <hyperlink r:id="rId293" ref="AJ149"/>
    <hyperlink r:id="rId294" ref="Y150"/>
    <hyperlink r:id="rId295" ref="AJ150"/>
    <hyperlink r:id="rId296" ref="Y151"/>
    <hyperlink r:id="rId297" ref="AJ151"/>
    <hyperlink r:id="rId298" ref="Y152"/>
    <hyperlink r:id="rId299" ref="AJ152"/>
    <hyperlink r:id="rId300" ref="Y153"/>
    <hyperlink r:id="rId301" ref="AJ153"/>
    <hyperlink r:id="rId302" ref="Y154"/>
    <hyperlink r:id="rId303" ref="AJ154"/>
    <hyperlink r:id="rId304" ref="Y155"/>
    <hyperlink r:id="rId305" ref="AJ155"/>
    <hyperlink r:id="rId306" ref="Y156"/>
    <hyperlink r:id="rId307" ref="AJ156"/>
    <hyperlink r:id="rId308" ref="Y157"/>
    <hyperlink r:id="rId309" ref="AJ157"/>
    <hyperlink r:id="rId310" ref="Y158"/>
    <hyperlink r:id="rId311" ref="AJ158"/>
    <hyperlink r:id="rId312" ref="Y159"/>
    <hyperlink r:id="rId313" ref="AJ159"/>
    <hyperlink r:id="rId314" ref="Y160"/>
    <hyperlink r:id="rId315" ref="AJ160"/>
    <hyperlink r:id="rId316" ref="Y161"/>
    <hyperlink r:id="rId317" ref="AJ161"/>
    <hyperlink r:id="rId318" ref="Y162"/>
    <hyperlink r:id="rId319" ref="AJ162"/>
    <hyperlink r:id="rId320" ref="Y163"/>
    <hyperlink r:id="rId321" ref="AJ163"/>
    <hyperlink r:id="rId322" ref="Y164"/>
    <hyperlink r:id="rId323" ref="AJ164"/>
    <hyperlink r:id="rId324" ref="Y165"/>
    <hyperlink r:id="rId325" ref="AJ165"/>
    <hyperlink r:id="rId326" ref="Y166"/>
    <hyperlink r:id="rId327" ref="AJ166"/>
    <hyperlink r:id="rId328" ref="Y167"/>
    <hyperlink r:id="rId329" ref="AJ167"/>
    <hyperlink r:id="rId330" ref="Y168"/>
    <hyperlink r:id="rId331" ref="AJ168"/>
    <hyperlink r:id="rId332" ref="Y169"/>
    <hyperlink r:id="rId333" ref="AJ169"/>
    <hyperlink r:id="rId334" ref="Y170"/>
    <hyperlink r:id="rId335" ref="AJ170"/>
    <hyperlink r:id="rId336" ref="Y171"/>
    <hyperlink r:id="rId337" ref="AJ171"/>
    <hyperlink r:id="rId338" ref="Y172"/>
    <hyperlink r:id="rId339" ref="AJ172"/>
    <hyperlink r:id="rId340" ref="Y173"/>
    <hyperlink r:id="rId341" ref="AJ173"/>
    <hyperlink r:id="rId342" ref="Y174"/>
    <hyperlink r:id="rId343" ref="AJ174"/>
    <hyperlink r:id="rId344" ref="Y175"/>
    <hyperlink r:id="rId345" ref="AJ175"/>
    <hyperlink r:id="rId346" ref="Y176"/>
    <hyperlink r:id="rId347" ref="AJ176"/>
    <hyperlink r:id="rId348" ref="Y177"/>
    <hyperlink r:id="rId349" ref="AJ177"/>
    <hyperlink r:id="rId350" ref="Y178"/>
    <hyperlink r:id="rId351" ref="AJ178"/>
    <hyperlink r:id="rId352" ref="Y179"/>
    <hyperlink r:id="rId353" ref="AJ179"/>
    <hyperlink r:id="rId354" ref="Y180"/>
    <hyperlink r:id="rId355" ref="AJ180"/>
    <hyperlink r:id="rId356" ref="Y181"/>
    <hyperlink r:id="rId357" ref="AJ181"/>
    <hyperlink r:id="rId358" ref="Y182"/>
    <hyperlink r:id="rId359" ref="AJ182"/>
    <hyperlink r:id="rId360" ref="Y183"/>
    <hyperlink r:id="rId361" ref="AJ183"/>
    <hyperlink r:id="rId362" ref="Y184"/>
    <hyperlink r:id="rId363" ref="AJ184"/>
    <hyperlink r:id="rId364" ref="Y185"/>
    <hyperlink r:id="rId365" ref="AJ185"/>
    <hyperlink r:id="rId366" ref="Y186"/>
    <hyperlink r:id="rId367" ref="AJ186"/>
    <hyperlink r:id="rId368" ref="Y187"/>
    <hyperlink r:id="rId369" ref="AJ187"/>
    <hyperlink r:id="rId370" ref="Y188"/>
    <hyperlink r:id="rId371" ref="AJ188"/>
    <hyperlink r:id="rId372" ref="Y189"/>
    <hyperlink r:id="rId373" ref="AJ189"/>
    <hyperlink r:id="rId374" ref="Y190"/>
    <hyperlink r:id="rId375" ref="AJ190"/>
    <hyperlink r:id="rId376" ref="Y191"/>
    <hyperlink r:id="rId377" ref="AJ191"/>
    <hyperlink r:id="rId378" ref="Y192"/>
    <hyperlink r:id="rId379" ref="AJ192"/>
    <hyperlink r:id="rId380" ref="Y193"/>
    <hyperlink r:id="rId381" ref="AJ193"/>
    <hyperlink r:id="rId382" ref="Y194"/>
    <hyperlink r:id="rId383" ref="AJ194"/>
    <hyperlink r:id="rId384" ref="Y195"/>
    <hyperlink r:id="rId385" ref="AJ195"/>
    <hyperlink r:id="rId386" ref="Y196"/>
    <hyperlink r:id="rId387" ref="AJ196"/>
    <hyperlink r:id="rId388" ref="Y197"/>
    <hyperlink r:id="rId389" ref="AJ197"/>
    <hyperlink r:id="rId390" ref="Y198"/>
    <hyperlink r:id="rId391" ref="AJ198"/>
    <hyperlink r:id="rId392" ref="Y199"/>
    <hyperlink r:id="rId393" ref="AJ199"/>
    <hyperlink r:id="rId394" ref="Y200"/>
    <hyperlink r:id="rId395" ref="AJ200"/>
    <hyperlink r:id="rId396" ref="Y201"/>
    <hyperlink r:id="rId397" ref="AJ201"/>
    <hyperlink r:id="rId398" ref="Y202"/>
    <hyperlink r:id="rId399" ref="AJ202"/>
    <hyperlink r:id="rId400" ref="Y203"/>
    <hyperlink r:id="rId401" ref="AJ203"/>
    <hyperlink r:id="rId402" ref="Y204"/>
    <hyperlink r:id="rId403" ref="AJ204"/>
    <hyperlink r:id="rId404" ref="Y205"/>
    <hyperlink r:id="rId405" ref="AJ205"/>
    <hyperlink r:id="rId406" ref="Y206"/>
    <hyperlink r:id="rId407" ref="AJ206"/>
    <hyperlink r:id="rId408" ref="Y207"/>
    <hyperlink r:id="rId409" ref="AJ207"/>
    <hyperlink r:id="rId410" ref="Y208"/>
    <hyperlink r:id="rId411" ref="AJ208"/>
    <hyperlink r:id="rId412" ref="Y209"/>
    <hyperlink r:id="rId413" ref="AJ209"/>
    <hyperlink r:id="rId414" ref="AJ210"/>
    <hyperlink r:id="rId415" ref="Y211"/>
    <hyperlink r:id="rId416" ref="AJ211"/>
    <hyperlink r:id="rId417" ref="AJ212"/>
    <hyperlink r:id="rId418" ref="Y213"/>
    <hyperlink r:id="rId419" ref="AJ213"/>
    <hyperlink r:id="rId420" ref="Y214"/>
    <hyperlink r:id="rId421" ref="AJ214"/>
    <hyperlink r:id="rId422" ref="Y215"/>
    <hyperlink r:id="rId423" ref="AJ215"/>
    <hyperlink r:id="rId424" ref="Y216"/>
    <hyperlink r:id="rId425" ref="AJ216"/>
    <hyperlink r:id="rId426" ref="Y217"/>
    <hyperlink r:id="rId427" ref="AJ217"/>
    <hyperlink r:id="rId428" ref="Y218"/>
    <hyperlink r:id="rId429" ref="AJ218"/>
    <hyperlink r:id="rId430" ref="Y219"/>
    <hyperlink r:id="rId431" ref="AJ219"/>
    <hyperlink r:id="rId432" ref="Y220"/>
    <hyperlink r:id="rId433" ref="AJ220"/>
    <hyperlink r:id="rId434" ref="Y221"/>
    <hyperlink r:id="rId435" ref="AJ221"/>
    <hyperlink r:id="rId436" ref="Y222"/>
    <hyperlink r:id="rId437" ref="AJ222"/>
    <hyperlink r:id="rId438" ref="Y223"/>
    <hyperlink r:id="rId439" ref="AJ223"/>
    <hyperlink r:id="rId440" ref="Y224"/>
    <hyperlink r:id="rId441" ref="AJ224"/>
    <hyperlink r:id="rId442" ref="Y225"/>
    <hyperlink r:id="rId443" ref="AJ225"/>
    <hyperlink r:id="rId444" ref="Y226"/>
    <hyperlink r:id="rId445" ref="AJ226"/>
    <hyperlink r:id="rId446" ref="Y227"/>
    <hyperlink r:id="rId447" ref="AJ227"/>
    <hyperlink r:id="rId448" ref="Y228"/>
    <hyperlink r:id="rId449" ref="AJ228"/>
    <hyperlink r:id="rId450" ref="Y229"/>
    <hyperlink r:id="rId451" ref="AJ229"/>
    <hyperlink r:id="rId452" ref="Y230"/>
    <hyperlink r:id="rId453" ref="AJ230"/>
    <hyperlink r:id="rId454" ref="Y231"/>
    <hyperlink r:id="rId455" ref="AJ231"/>
    <hyperlink r:id="rId456" ref="Y232"/>
    <hyperlink r:id="rId457" ref="AJ232"/>
    <hyperlink r:id="rId458" ref="AJ233"/>
    <hyperlink r:id="rId459" ref="AJ234"/>
    <hyperlink r:id="rId460" ref="AJ235"/>
    <hyperlink r:id="rId461" ref="AJ236"/>
    <hyperlink r:id="rId462" ref="AJ237"/>
    <hyperlink r:id="rId463" ref="Y238"/>
    <hyperlink r:id="rId464" ref="AJ238"/>
    <hyperlink r:id="rId465" ref="Y239"/>
    <hyperlink r:id="rId466" ref="AJ239"/>
    <hyperlink r:id="rId467" ref="Y240"/>
    <hyperlink r:id="rId468" ref="AJ240"/>
    <hyperlink r:id="rId469" ref="Y241"/>
    <hyperlink r:id="rId470" ref="AJ241"/>
    <hyperlink r:id="rId471" ref="Y242"/>
    <hyperlink r:id="rId472" ref="AJ242"/>
    <hyperlink r:id="rId473" ref="Y243"/>
    <hyperlink r:id="rId474" ref="AJ243"/>
    <hyperlink r:id="rId475" ref="Y244"/>
    <hyperlink r:id="rId476" ref="AJ244"/>
    <hyperlink r:id="rId477" ref="Y245"/>
    <hyperlink r:id="rId478" ref="AJ245"/>
    <hyperlink r:id="rId479" ref="Y246"/>
    <hyperlink r:id="rId480" ref="AJ246"/>
    <hyperlink r:id="rId481" ref="Y247"/>
    <hyperlink r:id="rId482" ref="AJ247"/>
    <hyperlink r:id="rId483" ref="Y248"/>
    <hyperlink r:id="rId484" ref="AJ248"/>
    <hyperlink r:id="rId485" ref="Y249"/>
    <hyperlink r:id="rId486" ref="AJ249"/>
    <hyperlink r:id="rId487" ref="Y250"/>
    <hyperlink r:id="rId488" ref="AJ250"/>
    <hyperlink r:id="rId489" ref="Y251"/>
    <hyperlink r:id="rId490" ref="AJ251"/>
    <hyperlink r:id="rId491" ref="Y252"/>
    <hyperlink r:id="rId492" ref="AJ252"/>
    <hyperlink r:id="rId493" ref="Y253"/>
    <hyperlink r:id="rId494" ref="AJ253"/>
    <hyperlink r:id="rId495" ref="Y254"/>
    <hyperlink r:id="rId496" ref="AJ254"/>
    <hyperlink r:id="rId497" ref="Y255"/>
    <hyperlink r:id="rId498" ref="AJ255"/>
    <hyperlink r:id="rId499" ref="Y256"/>
    <hyperlink r:id="rId500" ref="AJ256"/>
    <hyperlink r:id="rId501" ref="Y257"/>
    <hyperlink r:id="rId502" ref="AJ257"/>
    <hyperlink r:id="rId503" ref="Y258"/>
    <hyperlink r:id="rId504" ref="AJ258"/>
    <hyperlink r:id="rId505" ref="Y259"/>
    <hyperlink r:id="rId506" ref="AJ259"/>
    <hyperlink r:id="rId507" ref="Y260"/>
    <hyperlink r:id="rId508" ref="AJ260"/>
    <hyperlink r:id="rId509" ref="Y261"/>
    <hyperlink r:id="rId510" ref="AJ261"/>
    <hyperlink r:id="rId511" ref="Y262"/>
    <hyperlink r:id="rId512" ref="AJ262"/>
    <hyperlink r:id="rId513" ref="Y263"/>
    <hyperlink r:id="rId514" ref="AJ263"/>
    <hyperlink r:id="rId515" ref="Y264"/>
    <hyperlink r:id="rId516" ref="AJ264"/>
    <hyperlink r:id="rId517" ref="Y265"/>
    <hyperlink r:id="rId518" ref="AJ265"/>
    <hyperlink r:id="rId519" ref="Y266"/>
    <hyperlink r:id="rId520" ref="AJ266"/>
    <hyperlink r:id="rId521" ref="Y267"/>
    <hyperlink r:id="rId522" ref="AJ267"/>
    <hyperlink r:id="rId523" ref="Y268"/>
    <hyperlink r:id="rId524" ref="AJ268"/>
    <hyperlink r:id="rId525" ref="Y269"/>
    <hyperlink r:id="rId526" ref="AJ269"/>
    <hyperlink r:id="rId527" ref="Y270"/>
    <hyperlink r:id="rId528" ref="AJ270"/>
    <hyperlink r:id="rId529" ref="Y271"/>
    <hyperlink r:id="rId530" ref="AJ271"/>
    <hyperlink r:id="rId531" ref="Y272"/>
    <hyperlink r:id="rId532" ref="AJ272"/>
    <hyperlink r:id="rId533" ref="Y273"/>
    <hyperlink r:id="rId534" ref="AJ273"/>
    <hyperlink r:id="rId535" ref="Y274"/>
    <hyperlink r:id="rId536" ref="AJ274"/>
    <hyperlink r:id="rId537" ref="Y275"/>
    <hyperlink r:id="rId538" ref="AJ275"/>
    <hyperlink r:id="rId539" ref="Y276"/>
    <hyperlink r:id="rId540" ref="AJ276"/>
    <hyperlink r:id="rId541" ref="Y277"/>
    <hyperlink r:id="rId542" ref="AJ277"/>
    <hyperlink r:id="rId543" ref="Y278"/>
    <hyperlink r:id="rId544" ref="AJ278"/>
    <hyperlink r:id="rId545" ref="Y279"/>
    <hyperlink r:id="rId546" ref="AJ279"/>
    <hyperlink r:id="rId547" ref="Y280"/>
    <hyperlink r:id="rId548" ref="AJ280"/>
    <hyperlink r:id="rId549" ref="Y281"/>
    <hyperlink r:id="rId550" ref="AJ281"/>
    <hyperlink r:id="rId551" ref="Y282"/>
    <hyperlink r:id="rId552" ref="AJ282"/>
    <hyperlink r:id="rId553" ref="Y283"/>
    <hyperlink r:id="rId554" ref="AJ283"/>
    <hyperlink r:id="rId555" ref="Y284"/>
    <hyperlink r:id="rId556" ref="AJ284"/>
    <hyperlink r:id="rId557" ref="Y285"/>
    <hyperlink r:id="rId558" ref="AJ285"/>
    <hyperlink r:id="rId559" ref="Y286"/>
    <hyperlink r:id="rId560" ref="AJ286"/>
    <hyperlink r:id="rId561" ref="Y287"/>
    <hyperlink r:id="rId562" ref="AJ287"/>
    <hyperlink r:id="rId563" ref="Y288"/>
    <hyperlink r:id="rId564" ref="AJ288"/>
    <hyperlink r:id="rId565" ref="Y289"/>
    <hyperlink r:id="rId566" ref="AJ289"/>
    <hyperlink r:id="rId567" ref="Y290"/>
    <hyperlink r:id="rId568" ref="AJ290"/>
    <hyperlink r:id="rId569" ref="Y291"/>
    <hyperlink r:id="rId570" ref="AJ291"/>
    <hyperlink r:id="rId571" ref="Y292"/>
    <hyperlink r:id="rId572" ref="AJ292"/>
    <hyperlink r:id="rId573" ref="Y293"/>
    <hyperlink r:id="rId574" ref="AJ293"/>
    <hyperlink r:id="rId575" ref="Y294"/>
    <hyperlink r:id="rId576" ref="AJ294"/>
    <hyperlink r:id="rId577" ref="Y295"/>
    <hyperlink r:id="rId578" ref="AJ295"/>
    <hyperlink r:id="rId579" ref="Y296"/>
    <hyperlink r:id="rId580" ref="AJ296"/>
    <hyperlink r:id="rId581" ref="Y297"/>
    <hyperlink r:id="rId582" ref="AJ297"/>
    <hyperlink r:id="rId583" ref="Y298"/>
    <hyperlink r:id="rId584" ref="AJ298"/>
    <hyperlink r:id="rId585" ref="Y299"/>
    <hyperlink r:id="rId586" ref="AJ299"/>
    <hyperlink r:id="rId587" ref="Y300"/>
    <hyperlink r:id="rId588" ref="AJ300"/>
    <hyperlink r:id="rId589" ref="Y301"/>
    <hyperlink r:id="rId590" ref="AJ301"/>
    <hyperlink r:id="rId591" ref="Y302"/>
    <hyperlink r:id="rId592" ref="AJ302"/>
    <hyperlink r:id="rId593" ref="Y303"/>
    <hyperlink r:id="rId594" ref="AJ303"/>
    <hyperlink r:id="rId595" ref="Y304"/>
    <hyperlink r:id="rId596" ref="AJ304"/>
    <hyperlink r:id="rId597" ref="Y305"/>
    <hyperlink r:id="rId598" ref="AJ305"/>
    <hyperlink r:id="rId599" ref="Y306"/>
    <hyperlink r:id="rId600" ref="AJ306"/>
    <hyperlink r:id="rId601" ref="Y307"/>
    <hyperlink r:id="rId602" ref="AJ307"/>
    <hyperlink r:id="rId603" ref="Y308"/>
    <hyperlink r:id="rId604" ref="AJ308"/>
    <hyperlink r:id="rId605" ref="Y309"/>
    <hyperlink r:id="rId606" ref="AJ309"/>
    <hyperlink r:id="rId607" ref="Y310"/>
    <hyperlink r:id="rId608" ref="AJ310"/>
    <hyperlink r:id="rId609" ref="Y311"/>
    <hyperlink r:id="rId610" ref="AJ311"/>
    <hyperlink r:id="rId611" ref="Y312"/>
    <hyperlink r:id="rId612" ref="AJ312"/>
    <hyperlink r:id="rId613" ref="Y313"/>
    <hyperlink r:id="rId614" ref="AJ313"/>
    <hyperlink r:id="rId615" ref="Y314"/>
    <hyperlink r:id="rId616" ref="AJ314"/>
    <hyperlink r:id="rId617" ref="Y315"/>
    <hyperlink r:id="rId618" ref="AJ315"/>
    <hyperlink r:id="rId619" ref="Y316"/>
    <hyperlink r:id="rId620" ref="AJ316"/>
    <hyperlink r:id="rId621" ref="Y317"/>
    <hyperlink r:id="rId622" ref="AJ317"/>
    <hyperlink r:id="rId623" ref="Y318"/>
    <hyperlink r:id="rId624" ref="AJ318"/>
    <hyperlink r:id="rId625" ref="Y319"/>
    <hyperlink r:id="rId626" ref="AJ319"/>
    <hyperlink r:id="rId627" ref="Y320"/>
    <hyperlink r:id="rId628" ref="AJ320"/>
    <hyperlink r:id="rId629" ref="Y321"/>
    <hyperlink r:id="rId630" ref="AJ321"/>
    <hyperlink r:id="rId631" ref="Y322"/>
    <hyperlink r:id="rId632" ref="AJ322"/>
    <hyperlink r:id="rId633" ref="Y323"/>
    <hyperlink r:id="rId634" ref="AJ323"/>
    <hyperlink r:id="rId635" ref="Y324"/>
    <hyperlink r:id="rId636" ref="AJ324"/>
    <hyperlink r:id="rId637" ref="Y325"/>
    <hyperlink r:id="rId638" ref="AJ325"/>
    <hyperlink r:id="rId639" ref="Y326"/>
    <hyperlink r:id="rId640" ref="AJ326"/>
    <hyperlink r:id="rId641" ref="Y327"/>
    <hyperlink r:id="rId642" ref="AJ327"/>
    <hyperlink r:id="rId643" ref="AJ328"/>
    <hyperlink r:id="rId644" ref="AJ329"/>
    <hyperlink r:id="rId645" ref="AJ330"/>
    <hyperlink r:id="rId646" ref="AJ331"/>
    <hyperlink r:id="rId647" ref="AJ332"/>
    <hyperlink r:id="rId648" ref="AJ333"/>
    <hyperlink r:id="rId649" ref="AJ334"/>
    <hyperlink r:id="rId650" ref="AJ335"/>
    <hyperlink r:id="rId651" ref="AJ336"/>
    <hyperlink r:id="rId652" ref="AJ337"/>
    <hyperlink r:id="rId653" ref="AJ338"/>
    <hyperlink r:id="rId654" ref="AJ339"/>
    <hyperlink r:id="rId655" ref="AJ340"/>
    <hyperlink r:id="rId656" ref="AJ341"/>
    <hyperlink r:id="rId657" ref="AJ342"/>
    <hyperlink r:id="rId658" ref="AJ343"/>
    <hyperlink r:id="rId659" ref="AJ344"/>
    <hyperlink r:id="rId660" ref="AJ345"/>
    <hyperlink r:id="rId661" ref="AJ346"/>
    <hyperlink r:id="rId662" ref="AJ347"/>
    <hyperlink r:id="rId663" ref="AJ348"/>
    <hyperlink r:id="rId664" ref="AJ349"/>
    <hyperlink r:id="rId665" ref="AJ350"/>
    <hyperlink r:id="rId666" ref="AJ351"/>
    <hyperlink r:id="rId667" ref="AJ352"/>
    <hyperlink r:id="rId668" ref="AJ353"/>
    <hyperlink r:id="rId669" ref="AJ354"/>
    <hyperlink r:id="rId670" ref="AJ355"/>
    <hyperlink r:id="rId671" ref="AJ356"/>
    <hyperlink r:id="rId672" ref="AJ357"/>
    <hyperlink r:id="rId673" ref="AJ358"/>
    <hyperlink r:id="rId674" ref="AJ359"/>
    <hyperlink r:id="rId675" ref="AJ360"/>
    <hyperlink r:id="rId676" ref="AJ361"/>
    <hyperlink r:id="rId677" ref="AJ362"/>
    <hyperlink r:id="rId678" ref="AJ363"/>
    <hyperlink r:id="rId679" ref="AJ364"/>
    <hyperlink r:id="rId680" ref="AJ365"/>
    <hyperlink r:id="rId681" ref="AJ366"/>
    <hyperlink r:id="rId682" ref="AJ367"/>
    <hyperlink r:id="rId683" ref="AJ368"/>
    <hyperlink r:id="rId684" ref="AJ369"/>
    <hyperlink r:id="rId685" ref="AJ370"/>
    <hyperlink r:id="rId686" ref="AJ371"/>
    <hyperlink r:id="rId687" ref="AJ372"/>
    <hyperlink r:id="rId688" ref="AJ373"/>
    <hyperlink r:id="rId689" ref="AJ374"/>
    <hyperlink r:id="rId690" ref="AJ375"/>
    <hyperlink r:id="rId691" ref="AJ376"/>
    <hyperlink r:id="rId692" ref="AJ377"/>
    <hyperlink r:id="rId693" ref="AJ378"/>
    <hyperlink r:id="rId694" ref="AJ379"/>
    <hyperlink r:id="rId695" ref="AJ380"/>
    <hyperlink r:id="rId696" ref="AJ381"/>
    <hyperlink r:id="rId697" ref="AJ382"/>
    <hyperlink r:id="rId698" ref="AJ383"/>
    <hyperlink r:id="rId699" ref="AJ384"/>
    <hyperlink r:id="rId700" ref="AJ385"/>
    <hyperlink r:id="rId701" ref="AJ386"/>
    <hyperlink r:id="rId702" ref="AJ387"/>
    <hyperlink r:id="rId703" ref="AJ388"/>
    <hyperlink r:id="rId704" ref="AJ389"/>
    <hyperlink r:id="rId705" ref="AJ390"/>
    <hyperlink r:id="rId706" ref="AJ391"/>
    <hyperlink r:id="rId707" ref="AJ392"/>
    <hyperlink r:id="rId708" ref="AJ393"/>
    <hyperlink r:id="rId709" ref="AJ394"/>
    <hyperlink r:id="rId710" ref="AJ395"/>
    <hyperlink r:id="rId711" ref="AJ396"/>
    <hyperlink r:id="rId712" ref="AJ397"/>
    <hyperlink r:id="rId713" ref="AJ398"/>
    <hyperlink r:id="rId714" ref="AJ399"/>
    <hyperlink r:id="rId715" ref="AJ400"/>
    <hyperlink r:id="rId716" ref="AJ401"/>
    <hyperlink r:id="rId717" ref="AJ402"/>
    <hyperlink r:id="rId718" ref="AJ403"/>
    <hyperlink r:id="rId719" ref="AJ404"/>
    <hyperlink r:id="rId720" ref="AJ405"/>
    <hyperlink r:id="rId721" ref="AJ406"/>
    <hyperlink r:id="rId722" ref="AJ407"/>
    <hyperlink r:id="rId723" ref="AJ408"/>
    <hyperlink r:id="rId724" ref="AJ409"/>
    <hyperlink r:id="rId725" ref="AJ410"/>
    <hyperlink r:id="rId726" ref="AJ411"/>
    <hyperlink r:id="rId727" ref="AJ412"/>
    <hyperlink r:id="rId728" ref="AJ413"/>
    <hyperlink r:id="rId729" ref="AJ414"/>
    <hyperlink r:id="rId730" ref="AJ415"/>
    <hyperlink r:id="rId731" ref="AJ416"/>
    <hyperlink r:id="rId732" ref="AJ417"/>
    <hyperlink r:id="rId733" ref="AJ418"/>
    <hyperlink r:id="rId734" ref="AJ419"/>
    <hyperlink r:id="rId735" ref="AJ420"/>
    <hyperlink r:id="rId736" ref="AJ421"/>
    <hyperlink r:id="rId737" ref="AJ422"/>
    <hyperlink r:id="rId738" ref="AJ423"/>
    <hyperlink r:id="rId739" ref="AJ424"/>
    <hyperlink r:id="rId740" ref="AJ425"/>
    <hyperlink r:id="rId741" ref="AJ426"/>
    <hyperlink r:id="rId742" ref="AJ427"/>
    <hyperlink r:id="rId743" ref="AJ428"/>
    <hyperlink r:id="rId744" ref="AJ429"/>
    <hyperlink r:id="rId745" ref="AJ430"/>
    <hyperlink r:id="rId746" ref="AJ431"/>
    <hyperlink r:id="rId747" ref="AJ432"/>
    <hyperlink r:id="rId748" ref="AJ433"/>
    <hyperlink r:id="rId749" ref="AJ434"/>
    <hyperlink r:id="rId750" ref="AJ435"/>
    <hyperlink r:id="rId751" ref="AJ436"/>
    <hyperlink r:id="rId752" ref="AJ437"/>
    <hyperlink r:id="rId753" ref="AJ438"/>
    <hyperlink r:id="rId754" ref="AJ439"/>
    <hyperlink r:id="rId755" ref="AJ440"/>
    <hyperlink r:id="rId756" ref="AJ441"/>
    <hyperlink r:id="rId757" ref="AJ442"/>
    <hyperlink r:id="rId758" ref="AJ443"/>
    <hyperlink r:id="rId759" ref="AJ444"/>
    <hyperlink r:id="rId760" ref="AJ445"/>
    <hyperlink r:id="rId761" ref="AJ446"/>
    <hyperlink r:id="rId762" ref="AJ447"/>
    <hyperlink r:id="rId763" ref="AJ448"/>
    <hyperlink r:id="rId764" ref="AJ449"/>
    <hyperlink r:id="rId765" ref="AJ450"/>
    <hyperlink r:id="rId766" ref="AJ451"/>
    <hyperlink r:id="rId767" ref="AJ452"/>
    <hyperlink r:id="rId768" ref="AJ453"/>
    <hyperlink r:id="rId769" ref="AJ454"/>
    <hyperlink r:id="rId770" ref="AJ455"/>
    <hyperlink r:id="rId771" ref="AJ456"/>
    <hyperlink r:id="rId772" ref="AJ457"/>
    <hyperlink r:id="rId773" ref="AJ458"/>
    <hyperlink r:id="rId774" ref="AJ459"/>
    <hyperlink r:id="rId775" ref="AJ460"/>
    <hyperlink r:id="rId776" ref="AJ461"/>
    <hyperlink r:id="rId777" ref="AJ462"/>
    <hyperlink r:id="rId778" ref="AJ463"/>
    <hyperlink r:id="rId779" ref="AJ464"/>
    <hyperlink r:id="rId780" ref="AJ465"/>
    <hyperlink r:id="rId781" ref="AJ466"/>
    <hyperlink r:id="rId782" ref="AJ467"/>
    <hyperlink r:id="rId783" ref="AJ468"/>
    <hyperlink r:id="rId784" ref="AJ469"/>
    <hyperlink r:id="rId785" ref="AJ470"/>
    <hyperlink r:id="rId786" ref="AJ471"/>
    <hyperlink r:id="rId787" ref="AJ472"/>
    <hyperlink r:id="rId788" ref="AJ473"/>
    <hyperlink r:id="rId789" ref="AJ474"/>
    <hyperlink r:id="rId790" ref="AJ475"/>
    <hyperlink r:id="rId791" ref="AJ476"/>
    <hyperlink r:id="rId792" ref="AJ477"/>
    <hyperlink r:id="rId793" ref="AJ478"/>
    <hyperlink r:id="rId794" ref="AJ479"/>
    <hyperlink r:id="rId795" ref="AJ480"/>
    <hyperlink r:id="rId796" ref="AJ481"/>
    <hyperlink r:id="rId797" ref="AJ482"/>
    <hyperlink r:id="rId798" ref="AJ483"/>
    <hyperlink r:id="rId799" ref="AJ484"/>
    <hyperlink r:id="rId800" ref="AJ485"/>
    <hyperlink r:id="rId801" ref="AJ486"/>
    <hyperlink r:id="rId802" ref="AJ487"/>
    <hyperlink r:id="rId803" ref="AJ488"/>
    <hyperlink r:id="rId804" ref="AJ489"/>
    <hyperlink r:id="rId805" ref="AJ490"/>
    <hyperlink r:id="rId806" ref="AJ491"/>
    <hyperlink r:id="rId807" ref="AJ492"/>
    <hyperlink r:id="rId808" ref="AJ493"/>
    <hyperlink r:id="rId809" ref="AJ494"/>
    <hyperlink r:id="rId810" ref="AJ495"/>
    <hyperlink r:id="rId811" ref="AJ496"/>
    <hyperlink r:id="rId812" ref="AJ497"/>
    <hyperlink r:id="rId813" ref="AJ498"/>
    <hyperlink r:id="rId814" ref="AJ499"/>
    <hyperlink r:id="rId815" ref="AJ500"/>
    <hyperlink r:id="rId816" ref="AJ501"/>
    <hyperlink r:id="rId817" ref="AJ502"/>
    <hyperlink r:id="rId818" ref="AJ503"/>
    <hyperlink r:id="rId819" ref="AJ504"/>
    <hyperlink r:id="rId820" ref="AJ505"/>
    <hyperlink r:id="rId821" ref="AJ506"/>
    <hyperlink r:id="rId822" ref="AJ507"/>
    <hyperlink r:id="rId823" ref="AJ508"/>
    <hyperlink r:id="rId824" ref="AJ509"/>
    <hyperlink r:id="rId825" ref="AJ510"/>
    <hyperlink r:id="rId826" ref="AJ511"/>
    <hyperlink r:id="rId827" ref="AJ512"/>
    <hyperlink r:id="rId828" ref="AJ513"/>
    <hyperlink r:id="rId829" ref="AJ514"/>
    <hyperlink r:id="rId830" ref="AJ515"/>
    <hyperlink r:id="rId831" ref="AJ516"/>
    <hyperlink r:id="rId832" ref="AJ517"/>
    <hyperlink r:id="rId833" ref="AJ518"/>
    <hyperlink r:id="rId834" ref="AJ519"/>
    <hyperlink r:id="rId835" ref="AJ520"/>
    <hyperlink r:id="rId836" ref="AJ521"/>
    <hyperlink r:id="rId837" ref="AJ522"/>
    <hyperlink r:id="rId838" ref="AJ523"/>
    <hyperlink r:id="rId839" ref="AJ524"/>
    <hyperlink r:id="rId840" ref="AJ525"/>
    <hyperlink r:id="rId841" ref="AJ526"/>
    <hyperlink r:id="rId842" ref="AJ527"/>
    <hyperlink r:id="rId843" ref="AJ528"/>
    <hyperlink r:id="rId844" ref="AJ529"/>
    <hyperlink r:id="rId845" ref="AJ530"/>
    <hyperlink r:id="rId846" ref="AJ531"/>
    <hyperlink r:id="rId847" ref="AJ532"/>
    <hyperlink r:id="rId848" ref="AJ533"/>
    <hyperlink r:id="rId849" ref="AJ534"/>
    <hyperlink r:id="rId850" ref="AJ535"/>
    <hyperlink r:id="rId851" ref="AJ536"/>
    <hyperlink r:id="rId852" ref="AJ537"/>
    <hyperlink r:id="rId853" ref="AJ538"/>
    <hyperlink r:id="rId854" ref="AJ539"/>
    <hyperlink r:id="rId855" ref="AJ540"/>
    <hyperlink r:id="rId856" ref="AJ541"/>
    <hyperlink r:id="rId857" ref="AJ542"/>
    <hyperlink r:id="rId858" ref="AJ543"/>
    <hyperlink r:id="rId859" ref="AJ544"/>
    <hyperlink r:id="rId860" ref="AJ545"/>
    <hyperlink r:id="rId861" ref="AJ546"/>
    <hyperlink r:id="rId862" ref="AJ547"/>
    <hyperlink r:id="rId863" ref="AJ548"/>
    <hyperlink r:id="rId864" ref="AJ549"/>
    <hyperlink r:id="rId865" ref="AJ550"/>
    <hyperlink r:id="rId866" ref="AJ551"/>
    <hyperlink r:id="rId867" ref="AJ552"/>
    <hyperlink r:id="rId868" ref="AJ553"/>
    <hyperlink r:id="rId869" ref="AJ554"/>
    <hyperlink r:id="rId870" ref="AJ555"/>
    <hyperlink r:id="rId871" ref="AJ556"/>
    <hyperlink r:id="rId872" ref="AJ557"/>
    <hyperlink r:id="rId873" ref="AJ558"/>
    <hyperlink r:id="rId874" ref="AJ559"/>
    <hyperlink r:id="rId875" ref="AJ560"/>
    <hyperlink r:id="rId876" ref="AJ561"/>
    <hyperlink r:id="rId877" ref="AJ562"/>
    <hyperlink r:id="rId878" ref="AJ563"/>
    <hyperlink r:id="rId879" ref="AJ564"/>
    <hyperlink r:id="rId880" ref="Y565"/>
    <hyperlink r:id="rId881" ref="AJ565"/>
    <hyperlink r:id="rId882" ref="Y566"/>
    <hyperlink r:id="rId883" ref="AJ566"/>
    <hyperlink r:id="rId884" ref="Y567"/>
    <hyperlink r:id="rId885" ref="AJ567"/>
    <hyperlink r:id="rId886" ref="Y568"/>
    <hyperlink r:id="rId887" ref="AJ568"/>
    <hyperlink r:id="rId888" ref="AJ569"/>
    <hyperlink r:id="rId889" ref="Y570"/>
    <hyperlink r:id="rId890" ref="AJ570"/>
    <hyperlink r:id="rId891" ref="Y571"/>
    <hyperlink r:id="rId892" ref="AJ571"/>
    <hyperlink r:id="rId893" ref="Y572"/>
    <hyperlink r:id="rId894" ref="AJ572"/>
    <hyperlink r:id="rId895" ref="Y573"/>
    <hyperlink r:id="rId896" ref="AJ573"/>
    <hyperlink r:id="rId897" ref="Y574"/>
    <hyperlink r:id="rId898" ref="AJ574"/>
    <hyperlink r:id="rId899" ref="Y575"/>
    <hyperlink r:id="rId900" ref="AJ575"/>
    <hyperlink r:id="rId901" ref="Y576"/>
    <hyperlink r:id="rId902" ref="AJ576"/>
    <hyperlink r:id="rId903" ref="Y577"/>
    <hyperlink r:id="rId904" ref="AJ577"/>
    <hyperlink r:id="rId905" ref="Y578"/>
    <hyperlink r:id="rId906" ref="AJ578"/>
    <hyperlink r:id="rId907" ref="Y579"/>
    <hyperlink r:id="rId908" ref="AJ579"/>
    <hyperlink r:id="rId909" ref="Y580"/>
    <hyperlink r:id="rId910" ref="AJ580"/>
    <hyperlink r:id="rId911" ref="Y581"/>
    <hyperlink r:id="rId912" ref="AJ581"/>
    <hyperlink r:id="rId913" ref="Y582"/>
    <hyperlink r:id="rId914" ref="AJ582"/>
    <hyperlink r:id="rId915" ref="Y583"/>
    <hyperlink r:id="rId916" ref="AJ583"/>
    <hyperlink r:id="rId917" ref="Y584"/>
    <hyperlink r:id="rId918" ref="AJ584"/>
    <hyperlink r:id="rId919" ref="Y585"/>
    <hyperlink r:id="rId920" ref="AJ585"/>
    <hyperlink r:id="rId921" ref="Y586"/>
    <hyperlink r:id="rId922" ref="AJ586"/>
    <hyperlink r:id="rId923" ref="Y587"/>
    <hyperlink r:id="rId924" ref="AJ587"/>
    <hyperlink r:id="rId925" ref="Y588"/>
    <hyperlink r:id="rId926" ref="AJ588"/>
    <hyperlink r:id="rId927" ref="Y589"/>
    <hyperlink r:id="rId928" ref="AJ589"/>
    <hyperlink r:id="rId929" ref="Y590"/>
    <hyperlink r:id="rId930" ref="AJ590"/>
    <hyperlink r:id="rId931" ref="Y591"/>
    <hyperlink r:id="rId932" ref="AJ591"/>
    <hyperlink r:id="rId933" ref="Y592"/>
    <hyperlink r:id="rId934" ref="AJ592"/>
    <hyperlink r:id="rId935" ref="Y593"/>
    <hyperlink r:id="rId936" ref="AJ593"/>
    <hyperlink r:id="rId937" ref="Y594"/>
    <hyperlink r:id="rId938" ref="AJ594"/>
    <hyperlink r:id="rId939" ref="Y595"/>
    <hyperlink r:id="rId940" ref="AJ595"/>
    <hyperlink r:id="rId941" ref="Y596"/>
    <hyperlink r:id="rId942" ref="AJ596"/>
    <hyperlink r:id="rId943" ref="Y597"/>
    <hyperlink r:id="rId944" ref="AJ597"/>
    <hyperlink r:id="rId945" ref="Y598"/>
    <hyperlink r:id="rId946" ref="AJ598"/>
    <hyperlink r:id="rId947" ref="Y599"/>
    <hyperlink r:id="rId948" ref="AJ599"/>
    <hyperlink r:id="rId949" ref="Y600"/>
    <hyperlink r:id="rId950" ref="AJ600"/>
    <hyperlink r:id="rId951" ref="Y601"/>
    <hyperlink r:id="rId952" ref="AJ601"/>
    <hyperlink r:id="rId953" ref="Y602"/>
    <hyperlink r:id="rId954" ref="AJ602"/>
    <hyperlink r:id="rId955" ref="Y603"/>
    <hyperlink r:id="rId956" ref="AJ603"/>
    <hyperlink r:id="rId957" ref="Y604"/>
    <hyperlink r:id="rId958" ref="AJ604"/>
    <hyperlink r:id="rId959" ref="Y605"/>
    <hyperlink r:id="rId960" ref="AJ605"/>
    <hyperlink r:id="rId961" ref="Y606"/>
    <hyperlink r:id="rId962" ref="AJ606"/>
    <hyperlink r:id="rId963" ref="Y607"/>
    <hyperlink r:id="rId964" ref="AJ607"/>
    <hyperlink r:id="rId965" ref="Y608"/>
    <hyperlink r:id="rId966" ref="AJ608"/>
    <hyperlink r:id="rId967" ref="Y609"/>
    <hyperlink r:id="rId968" ref="AJ609"/>
    <hyperlink r:id="rId969" ref="Y610"/>
    <hyperlink r:id="rId970" ref="AJ610"/>
    <hyperlink r:id="rId971" ref="Y611"/>
    <hyperlink r:id="rId972" ref="AJ611"/>
    <hyperlink r:id="rId973" ref="Y612"/>
    <hyperlink r:id="rId974" ref="AJ612"/>
    <hyperlink r:id="rId975" ref="Y613"/>
    <hyperlink r:id="rId976" ref="AJ613"/>
    <hyperlink r:id="rId977" ref="Y614"/>
    <hyperlink r:id="rId978" ref="AJ614"/>
    <hyperlink r:id="rId979" ref="Y615"/>
    <hyperlink r:id="rId980" ref="AJ615"/>
    <hyperlink r:id="rId981" ref="Y616"/>
    <hyperlink r:id="rId982" ref="AJ616"/>
    <hyperlink r:id="rId983" ref="Y617"/>
    <hyperlink r:id="rId984" ref="AJ617"/>
    <hyperlink r:id="rId985" ref="Y618"/>
    <hyperlink r:id="rId986" ref="AJ618"/>
    <hyperlink r:id="rId987" ref="Y619"/>
    <hyperlink r:id="rId988" ref="AJ619"/>
    <hyperlink r:id="rId989" ref="Y620"/>
    <hyperlink r:id="rId990" ref="AJ620"/>
    <hyperlink r:id="rId991" ref="Y621"/>
    <hyperlink r:id="rId992" ref="AJ621"/>
    <hyperlink r:id="rId993" ref="Y622"/>
    <hyperlink r:id="rId994" ref="AJ622"/>
    <hyperlink r:id="rId995" ref="Y623"/>
    <hyperlink r:id="rId996" ref="AJ623"/>
    <hyperlink r:id="rId997" ref="Y624"/>
    <hyperlink r:id="rId998" ref="AJ624"/>
    <hyperlink r:id="rId999" ref="Y625"/>
    <hyperlink r:id="rId1000" ref="AJ625"/>
    <hyperlink r:id="rId1001" ref="Y626"/>
    <hyperlink r:id="rId1002" ref="AJ626"/>
    <hyperlink r:id="rId1003" ref="Y627"/>
    <hyperlink r:id="rId1004" ref="AJ627"/>
    <hyperlink r:id="rId1005" ref="Y628"/>
    <hyperlink r:id="rId1006" ref="AJ628"/>
    <hyperlink r:id="rId1007" ref="Y629"/>
    <hyperlink r:id="rId1008" ref="AJ629"/>
    <hyperlink r:id="rId1009" ref="Y630"/>
    <hyperlink r:id="rId1010" ref="AJ630"/>
    <hyperlink r:id="rId1011" ref="Y631"/>
    <hyperlink r:id="rId1012" ref="AJ631"/>
    <hyperlink r:id="rId1013" ref="Y632"/>
    <hyperlink r:id="rId1014" ref="AJ632"/>
    <hyperlink r:id="rId1015" ref="Y633"/>
    <hyperlink r:id="rId1016" ref="AJ633"/>
    <hyperlink r:id="rId1017" ref="Y634"/>
    <hyperlink r:id="rId1018" ref="AJ634"/>
    <hyperlink r:id="rId1019" ref="Y635"/>
    <hyperlink r:id="rId1020" ref="AJ635"/>
    <hyperlink r:id="rId1021" ref="Y636"/>
    <hyperlink r:id="rId1022" ref="AJ636"/>
    <hyperlink r:id="rId1023" ref="Y637"/>
    <hyperlink r:id="rId1024" ref="AJ637"/>
    <hyperlink r:id="rId1025" ref="Y638"/>
    <hyperlink r:id="rId1026" ref="AJ638"/>
    <hyperlink r:id="rId1027" ref="Y639"/>
    <hyperlink r:id="rId1028" ref="AJ639"/>
    <hyperlink r:id="rId1029" ref="Y640"/>
    <hyperlink r:id="rId1030" ref="AJ640"/>
    <hyperlink r:id="rId1031" ref="Y641"/>
    <hyperlink r:id="rId1032" ref="AJ641"/>
    <hyperlink r:id="rId1033" ref="Y642"/>
    <hyperlink r:id="rId1034" ref="AJ642"/>
    <hyperlink r:id="rId1035" ref="Y643"/>
    <hyperlink r:id="rId1036" ref="AJ643"/>
    <hyperlink r:id="rId1037" ref="Y644"/>
    <hyperlink r:id="rId1038" ref="AJ644"/>
    <hyperlink r:id="rId1039" ref="Y645"/>
    <hyperlink r:id="rId1040" ref="AJ645"/>
    <hyperlink r:id="rId1041" ref="Y646"/>
    <hyperlink r:id="rId1042" ref="AJ646"/>
    <hyperlink r:id="rId1043" ref="Y647"/>
    <hyperlink r:id="rId1044" ref="AJ647"/>
    <hyperlink r:id="rId1045" ref="Y648"/>
    <hyperlink r:id="rId1046" ref="AJ648"/>
    <hyperlink r:id="rId1047" ref="Y649"/>
    <hyperlink r:id="rId1048" ref="AJ649"/>
    <hyperlink r:id="rId1049" ref="Y650"/>
    <hyperlink r:id="rId1050" ref="AJ650"/>
    <hyperlink r:id="rId1051" ref="Y651"/>
    <hyperlink r:id="rId1052" ref="AJ651"/>
    <hyperlink r:id="rId1053" ref="Y652"/>
    <hyperlink r:id="rId1054" ref="AJ652"/>
    <hyperlink r:id="rId1055" ref="Y653"/>
    <hyperlink r:id="rId1056" ref="AJ653"/>
    <hyperlink r:id="rId1057" ref="Y654"/>
    <hyperlink r:id="rId1058" ref="AJ654"/>
    <hyperlink r:id="rId1059" ref="Y655"/>
    <hyperlink r:id="rId1060" ref="AJ655"/>
    <hyperlink r:id="rId1061" ref="Y656"/>
    <hyperlink r:id="rId1062" ref="AJ656"/>
    <hyperlink r:id="rId1063" ref="Y657"/>
    <hyperlink r:id="rId1064" ref="AJ657"/>
    <hyperlink r:id="rId1065" ref="Y658"/>
    <hyperlink r:id="rId1066" ref="AJ658"/>
    <hyperlink r:id="rId1067" ref="Y659"/>
    <hyperlink r:id="rId1068" ref="AJ659"/>
    <hyperlink r:id="rId1069" ref="Y660"/>
    <hyperlink r:id="rId1070" ref="AJ660"/>
    <hyperlink r:id="rId1071" ref="Y661"/>
    <hyperlink r:id="rId1072" ref="AJ661"/>
    <hyperlink r:id="rId1073" ref="Y662"/>
    <hyperlink r:id="rId1074" ref="AJ662"/>
    <hyperlink r:id="rId1075" ref="Y663"/>
    <hyperlink r:id="rId1076" ref="AJ663"/>
    <hyperlink r:id="rId1077" ref="Y664"/>
    <hyperlink r:id="rId1078" ref="AJ664"/>
    <hyperlink r:id="rId1079" ref="Y665"/>
    <hyperlink r:id="rId1080" ref="AJ665"/>
    <hyperlink r:id="rId1081" ref="Y666"/>
    <hyperlink r:id="rId1082" ref="AJ666"/>
    <hyperlink r:id="rId1083" ref="Y667"/>
    <hyperlink r:id="rId1084" ref="AJ667"/>
    <hyperlink r:id="rId1085" ref="Y668"/>
    <hyperlink r:id="rId1086" ref="AJ668"/>
    <hyperlink r:id="rId1087" ref="Y669"/>
    <hyperlink r:id="rId1088" ref="AJ669"/>
    <hyperlink r:id="rId1089" ref="Y670"/>
    <hyperlink r:id="rId1090" ref="AJ670"/>
    <hyperlink r:id="rId1091" ref="Y671"/>
    <hyperlink r:id="rId1092" ref="AJ671"/>
    <hyperlink r:id="rId1093" ref="Y672"/>
    <hyperlink r:id="rId1094" ref="AJ672"/>
    <hyperlink r:id="rId1095" ref="Y673"/>
    <hyperlink r:id="rId1096" ref="AJ673"/>
    <hyperlink r:id="rId1097" ref="Y674"/>
    <hyperlink r:id="rId1098" ref="AJ674"/>
    <hyperlink r:id="rId1099" ref="Y675"/>
    <hyperlink r:id="rId1100" ref="AJ675"/>
    <hyperlink r:id="rId1101" ref="Y676"/>
    <hyperlink r:id="rId1102" ref="AJ676"/>
    <hyperlink r:id="rId1103" ref="Y677"/>
    <hyperlink r:id="rId1104" ref="AJ677"/>
    <hyperlink r:id="rId1105" ref="Y678"/>
    <hyperlink r:id="rId1106" ref="AJ678"/>
    <hyperlink r:id="rId1107" ref="Y679"/>
    <hyperlink r:id="rId1108" ref="AJ679"/>
    <hyperlink r:id="rId1109" ref="Y680"/>
    <hyperlink r:id="rId1110" ref="AJ680"/>
    <hyperlink r:id="rId1111" ref="Y681"/>
    <hyperlink r:id="rId1112" ref="AJ681"/>
    <hyperlink r:id="rId1113" ref="Y682"/>
    <hyperlink r:id="rId1114" ref="AJ682"/>
    <hyperlink r:id="rId1115" ref="Y683"/>
    <hyperlink r:id="rId1116" ref="AJ683"/>
    <hyperlink r:id="rId1117" ref="Y684"/>
    <hyperlink r:id="rId1118" ref="AJ684"/>
    <hyperlink r:id="rId1119" ref="Y685"/>
    <hyperlink r:id="rId1120" ref="AJ685"/>
    <hyperlink r:id="rId1121" ref="Y686"/>
    <hyperlink r:id="rId1122" ref="AJ686"/>
    <hyperlink r:id="rId1123" ref="Y687"/>
    <hyperlink r:id="rId1124" ref="AJ687"/>
    <hyperlink r:id="rId1125" ref="Y688"/>
    <hyperlink r:id="rId1126" ref="AJ688"/>
    <hyperlink r:id="rId1127" ref="Y689"/>
    <hyperlink r:id="rId1128" ref="AJ689"/>
    <hyperlink r:id="rId1129" ref="Y690"/>
    <hyperlink r:id="rId1130" ref="AJ690"/>
    <hyperlink r:id="rId1131" ref="Y691"/>
    <hyperlink r:id="rId1132" ref="AJ691"/>
    <hyperlink r:id="rId1133" ref="Y692"/>
    <hyperlink r:id="rId1134" ref="AJ692"/>
    <hyperlink r:id="rId1135" ref="Y693"/>
    <hyperlink r:id="rId1136" ref="AJ693"/>
    <hyperlink r:id="rId1137" ref="Y694"/>
    <hyperlink r:id="rId1138" ref="AJ694"/>
    <hyperlink r:id="rId1139" ref="Y695"/>
    <hyperlink r:id="rId1140" ref="AJ695"/>
    <hyperlink r:id="rId1141" ref="Y696"/>
    <hyperlink r:id="rId1142" ref="AJ696"/>
    <hyperlink r:id="rId1143" ref="Y697"/>
    <hyperlink r:id="rId1144" ref="AJ697"/>
    <hyperlink r:id="rId1145" ref="Y698"/>
    <hyperlink r:id="rId1146" ref="AJ698"/>
    <hyperlink r:id="rId1147" ref="Y699"/>
    <hyperlink r:id="rId1148" ref="AJ699"/>
    <hyperlink r:id="rId1149" ref="Y700"/>
    <hyperlink r:id="rId1150" ref="AJ700"/>
    <hyperlink r:id="rId1151" ref="Y701"/>
    <hyperlink r:id="rId1152" ref="AJ701"/>
    <hyperlink r:id="rId1153" ref="Y702"/>
    <hyperlink r:id="rId1154" ref="AJ702"/>
    <hyperlink r:id="rId1155" ref="Y703"/>
    <hyperlink r:id="rId1156" ref="AJ703"/>
    <hyperlink r:id="rId1157" ref="Y704"/>
    <hyperlink r:id="rId1158" ref="AJ704"/>
    <hyperlink r:id="rId1159" ref="Y705"/>
    <hyperlink r:id="rId1160" ref="AJ705"/>
    <hyperlink r:id="rId1161" ref="Y706"/>
    <hyperlink r:id="rId1162" ref="AJ706"/>
    <hyperlink r:id="rId1163" ref="Y707"/>
    <hyperlink r:id="rId1164" ref="AJ707"/>
    <hyperlink r:id="rId1165" ref="Y708"/>
    <hyperlink r:id="rId1166" ref="AJ708"/>
    <hyperlink r:id="rId1167" ref="Y709"/>
    <hyperlink r:id="rId1168" ref="AJ709"/>
    <hyperlink r:id="rId1169" ref="Y710"/>
    <hyperlink r:id="rId1170" ref="AJ710"/>
    <hyperlink r:id="rId1171" ref="Y711"/>
    <hyperlink r:id="rId1172" ref="AJ711"/>
    <hyperlink r:id="rId1173" ref="Y712"/>
    <hyperlink r:id="rId1174" ref="AJ712"/>
    <hyperlink r:id="rId1175" ref="Y713"/>
    <hyperlink r:id="rId1176" ref="AJ713"/>
    <hyperlink r:id="rId1177" ref="Y714"/>
    <hyperlink r:id="rId1178" ref="AJ714"/>
    <hyperlink r:id="rId1179" ref="Y715"/>
    <hyperlink r:id="rId1180" ref="AJ715"/>
    <hyperlink r:id="rId1181" ref="Y716"/>
    <hyperlink r:id="rId1182" ref="AJ716"/>
    <hyperlink r:id="rId1183" ref="Y717"/>
    <hyperlink r:id="rId1184" ref="AJ717"/>
    <hyperlink r:id="rId1185" ref="Y718"/>
    <hyperlink r:id="rId1186" ref="AJ718"/>
    <hyperlink r:id="rId1187" ref="Y719"/>
    <hyperlink r:id="rId1188" ref="AJ719"/>
    <hyperlink r:id="rId1189" ref="Y720"/>
    <hyperlink r:id="rId1190" ref="AJ720"/>
    <hyperlink r:id="rId1191" ref="Y721"/>
    <hyperlink r:id="rId1192" ref="AJ721"/>
    <hyperlink r:id="rId1193" ref="Y722"/>
    <hyperlink r:id="rId1194" ref="AJ722"/>
    <hyperlink r:id="rId1195" ref="Y723"/>
    <hyperlink r:id="rId1196" ref="AJ723"/>
    <hyperlink r:id="rId1197" ref="Y724"/>
    <hyperlink r:id="rId1198" ref="AJ724"/>
    <hyperlink r:id="rId1199" ref="Y725"/>
    <hyperlink r:id="rId1200" ref="AJ725"/>
    <hyperlink r:id="rId1201" ref="Y726"/>
    <hyperlink r:id="rId1202" ref="AJ726"/>
    <hyperlink r:id="rId1203" ref="Y727"/>
    <hyperlink r:id="rId1204" ref="AJ727"/>
    <hyperlink r:id="rId1205" ref="Y728"/>
    <hyperlink r:id="rId1206" ref="AJ728"/>
    <hyperlink r:id="rId1207" ref="Y729"/>
    <hyperlink r:id="rId1208" ref="AJ729"/>
    <hyperlink r:id="rId1209" ref="Y730"/>
    <hyperlink r:id="rId1210" ref="AJ730"/>
    <hyperlink r:id="rId1211" ref="Y731"/>
    <hyperlink r:id="rId1212" ref="AJ731"/>
    <hyperlink r:id="rId1213" ref="Y732"/>
    <hyperlink r:id="rId1214" ref="AJ732"/>
    <hyperlink r:id="rId1215" ref="Y733"/>
    <hyperlink r:id="rId1216" ref="AJ733"/>
    <hyperlink r:id="rId1217" ref="Y734"/>
    <hyperlink r:id="rId1218" ref="AJ734"/>
    <hyperlink r:id="rId1219" ref="Y735"/>
    <hyperlink r:id="rId1220" ref="AJ735"/>
    <hyperlink r:id="rId1221" ref="Y736"/>
    <hyperlink r:id="rId1222" ref="AJ736"/>
    <hyperlink r:id="rId1223" ref="Y737"/>
    <hyperlink r:id="rId1224" ref="AJ737"/>
    <hyperlink r:id="rId1225" ref="Y738"/>
    <hyperlink r:id="rId1226" ref="AJ738"/>
    <hyperlink r:id="rId1227" ref="Y739"/>
    <hyperlink r:id="rId1228" ref="AJ739"/>
    <hyperlink r:id="rId1229" ref="Y740"/>
    <hyperlink r:id="rId1230" ref="AJ740"/>
    <hyperlink r:id="rId1231" ref="Y741"/>
    <hyperlink r:id="rId1232" ref="AJ741"/>
    <hyperlink r:id="rId1233" ref="Y742"/>
    <hyperlink r:id="rId1234" ref="AJ742"/>
    <hyperlink r:id="rId1235" ref="Y743"/>
    <hyperlink r:id="rId1236" ref="AJ743"/>
    <hyperlink r:id="rId1237" ref="Y744"/>
    <hyperlink r:id="rId1238" ref="AJ744"/>
    <hyperlink r:id="rId1239" ref="Y745"/>
    <hyperlink r:id="rId1240" ref="AJ745"/>
    <hyperlink r:id="rId1241" ref="Y746"/>
    <hyperlink r:id="rId1242" ref="AJ746"/>
    <hyperlink r:id="rId1243" ref="Y747"/>
    <hyperlink r:id="rId1244" ref="AJ747"/>
    <hyperlink r:id="rId1245" ref="Y748"/>
    <hyperlink r:id="rId1246" ref="AJ748"/>
    <hyperlink r:id="rId1247" ref="Y749"/>
    <hyperlink r:id="rId1248" ref="AJ749"/>
    <hyperlink r:id="rId1249" ref="Y750"/>
    <hyperlink r:id="rId1250" ref="AJ750"/>
    <hyperlink r:id="rId1251" ref="Y751"/>
    <hyperlink r:id="rId1252" ref="AJ751"/>
    <hyperlink r:id="rId1253" ref="Y752"/>
    <hyperlink r:id="rId1254" ref="AJ752"/>
    <hyperlink r:id="rId1255" ref="Y753"/>
    <hyperlink r:id="rId1256" ref="AJ753"/>
    <hyperlink r:id="rId1257" ref="Y754"/>
    <hyperlink r:id="rId1258" ref="AJ754"/>
    <hyperlink r:id="rId1259" ref="Y755"/>
    <hyperlink r:id="rId1260" ref="AJ755"/>
    <hyperlink r:id="rId1261" ref="Y756"/>
    <hyperlink r:id="rId1262" ref="AJ756"/>
    <hyperlink r:id="rId1263" ref="Y757"/>
    <hyperlink r:id="rId1264" ref="AJ757"/>
    <hyperlink r:id="rId1265" ref="Y758"/>
    <hyperlink r:id="rId1266" ref="AJ758"/>
    <hyperlink r:id="rId1267" ref="Y759"/>
    <hyperlink r:id="rId1268" ref="AJ759"/>
    <hyperlink r:id="rId1269" ref="Y760"/>
    <hyperlink r:id="rId1270" ref="AJ760"/>
    <hyperlink r:id="rId1271" ref="Y761"/>
    <hyperlink r:id="rId1272" ref="AJ761"/>
    <hyperlink r:id="rId1273" ref="Y762"/>
    <hyperlink r:id="rId1274" ref="AJ762"/>
    <hyperlink r:id="rId1275" ref="Y763"/>
    <hyperlink r:id="rId1276" ref="AJ763"/>
    <hyperlink r:id="rId1277" ref="Y764"/>
    <hyperlink r:id="rId1278" ref="AJ764"/>
    <hyperlink r:id="rId1279" ref="Y765"/>
    <hyperlink r:id="rId1280" ref="AJ765"/>
    <hyperlink r:id="rId1281" ref="Y766"/>
    <hyperlink r:id="rId1282" ref="AJ766"/>
    <hyperlink r:id="rId1283" ref="I767"/>
    <hyperlink r:id="rId1284" ref="Y767"/>
    <hyperlink r:id="rId1285" ref="AJ767"/>
    <hyperlink r:id="rId1286" ref="Y768"/>
    <hyperlink r:id="rId1287" ref="AJ768"/>
    <hyperlink r:id="rId1288" ref="I769"/>
    <hyperlink r:id="rId1289" ref="Y769"/>
    <hyperlink r:id="rId1290" ref="AJ769"/>
    <hyperlink r:id="rId1291" ref="Y770"/>
    <hyperlink r:id="rId1292" ref="AJ770"/>
    <hyperlink r:id="rId1293" ref="Y771"/>
    <hyperlink r:id="rId1294" ref="AJ771"/>
    <hyperlink r:id="rId1295" ref="Y772"/>
    <hyperlink r:id="rId1296" ref="AJ772"/>
    <hyperlink r:id="rId1297" ref="Y773"/>
    <hyperlink r:id="rId1298" ref="AJ773"/>
    <hyperlink r:id="rId1299" ref="Y774"/>
    <hyperlink r:id="rId1300" ref="AJ774"/>
    <hyperlink r:id="rId1301" ref="Y775"/>
    <hyperlink r:id="rId1302" ref="AJ775"/>
    <hyperlink r:id="rId1303" ref="Y776"/>
    <hyperlink r:id="rId1304" ref="AJ776"/>
    <hyperlink r:id="rId1305" ref="Y777"/>
    <hyperlink r:id="rId1306" ref="AJ777"/>
    <hyperlink r:id="rId1307" ref="Y778"/>
    <hyperlink r:id="rId1308" ref="AJ778"/>
    <hyperlink r:id="rId1309" ref="Y779"/>
    <hyperlink r:id="rId1310" ref="AJ779"/>
    <hyperlink r:id="rId1311" ref="Y780"/>
    <hyperlink r:id="rId1312" ref="AJ780"/>
    <hyperlink r:id="rId1313" ref="Y781"/>
    <hyperlink r:id="rId1314" ref="AJ781"/>
    <hyperlink r:id="rId1315" ref="I782"/>
    <hyperlink r:id="rId1316" ref="Y782"/>
    <hyperlink r:id="rId1317" ref="AJ782"/>
    <hyperlink r:id="rId1318" ref="Y783"/>
    <hyperlink r:id="rId1319" ref="AJ783"/>
    <hyperlink r:id="rId1320" ref="Y784"/>
    <hyperlink r:id="rId1321" ref="AJ784"/>
    <hyperlink r:id="rId1322" ref="I785"/>
    <hyperlink r:id="rId1323" ref="Y785"/>
    <hyperlink r:id="rId1324" ref="AJ785"/>
    <hyperlink r:id="rId1325" ref="Y786"/>
    <hyperlink r:id="rId1326" ref="AJ786"/>
    <hyperlink r:id="rId1327" ref="Y787"/>
    <hyperlink r:id="rId1328" ref="AJ787"/>
    <hyperlink r:id="rId1329" ref="Y788"/>
    <hyperlink r:id="rId1330" ref="AJ788"/>
    <hyperlink r:id="rId1331" ref="A789"/>
    <hyperlink r:id="rId1332" ref="Y789"/>
    <hyperlink r:id="rId1333" ref="AJ789"/>
    <hyperlink r:id="rId1334" ref="Y790"/>
    <hyperlink r:id="rId1335" ref="AJ790"/>
    <hyperlink r:id="rId1336" ref="Y791"/>
    <hyperlink r:id="rId1337" ref="AJ791"/>
    <hyperlink r:id="rId1338" ref="Y792"/>
    <hyperlink r:id="rId1339" ref="AJ792"/>
    <hyperlink r:id="rId1340" ref="Y793"/>
    <hyperlink r:id="rId1341" ref="AJ793"/>
    <hyperlink r:id="rId1342" ref="Y794"/>
    <hyperlink r:id="rId1343" ref="AJ794"/>
    <hyperlink r:id="rId1344" ref="Y795"/>
    <hyperlink r:id="rId1345" ref="AJ795"/>
    <hyperlink r:id="rId1346" ref="Y796"/>
    <hyperlink r:id="rId1347" ref="AJ796"/>
    <hyperlink r:id="rId1348" ref="Y797"/>
    <hyperlink r:id="rId1349" ref="AJ797"/>
    <hyperlink r:id="rId1350" ref="Y798"/>
    <hyperlink r:id="rId1351" ref="AJ798"/>
    <hyperlink r:id="rId1352" ref="Y799"/>
    <hyperlink r:id="rId1353" ref="AJ799"/>
    <hyperlink r:id="rId1354" ref="Y800"/>
    <hyperlink r:id="rId1355" ref="AJ800"/>
    <hyperlink r:id="rId1356" ref="Y801"/>
    <hyperlink r:id="rId1357" ref="AJ801"/>
    <hyperlink r:id="rId1358" ref="Y802"/>
    <hyperlink r:id="rId1359" ref="AJ802"/>
    <hyperlink r:id="rId1360" ref="Y803"/>
    <hyperlink r:id="rId1361" ref="AJ803"/>
    <hyperlink r:id="rId1362" ref="Y804"/>
    <hyperlink r:id="rId1363" ref="AJ804"/>
    <hyperlink r:id="rId1364" ref="Y805"/>
    <hyperlink r:id="rId1365" ref="AJ805"/>
    <hyperlink r:id="rId1366" ref="Y806"/>
    <hyperlink r:id="rId1367" ref="AJ806"/>
    <hyperlink r:id="rId1368" ref="Y807"/>
    <hyperlink r:id="rId1369" ref="AJ807"/>
    <hyperlink r:id="rId1370" ref="Y808"/>
    <hyperlink r:id="rId1371" ref="AJ808"/>
    <hyperlink r:id="rId1372" ref="Y809"/>
    <hyperlink r:id="rId1373" ref="AJ809"/>
    <hyperlink r:id="rId1374" ref="Y810"/>
    <hyperlink r:id="rId1375" ref="AJ810"/>
    <hyperlink r:id="rId1376" ref="Y811"/>
    <hyperlink r:id="rId1377" ref="AJ811"/>
    <hyperlink r:id="rId1378" ref="Y812"/>
    <hyperlink r:id="rId1379" ref="AJ812"/>
    <hyperlink r:id="rId1380" ref="Y813"/>
    <hyperlink r:id="rId1381" ref="AJ813"/>
    <hyperlink r:id="rId1382" ref="Y814"/>
    <hyperlink r:id="rId1383" ref="AJ814"/>
    <hyperlink r:id="rId1384" ref="Y815"/>
    <hyperlink r:id="rId1385" ref="AJ815"/>
    <hyperlink r:id="rId1386" ref="Y816"/>
    <hyperlink r:id="rId1387" ref="AJ816"/>
    <hyperlink r:id="rId1388" ref="Y817"/>
    <hyperlink r:id="rId1389" ref="AJ817"/>
    <hyperlink r:id="rId1390" ref="Y818"/>
    <hyperlink r:id="rId1391" ref="AJ818"/>
    <hyperlink r:id="rId1392" ref="Y819"/>
    <hyperlink r:id="rId1393" ref="AJ819"/>
    <hyperlink r:id="rId1394" ref="Y820"/>
    <hyperlink r:id="rId1395" ref="AJ820"/>
    <hyperlink r:id="rId1396" ref="Y821"/>
    <hyperlink r:id="rId1397" ref="AJ821"/>
    <hyperlink r:id="rId1398" ref="Y822"/>
    <hyperlink r:id="rId1399" ref="AJ822"/>
    <hyperlink r:id="rId1400" ref="Y823"/>
    <hyperlink r:id="rId1401" ref="AJ823"/>
    <hyperlink r:id="rId1402" ref="Y824"/>
    <hyperlink r:id="rId1403" ref="AJ824"/>
    <hyperlink r:id="rId1404" ref="Y825"/>
    <hyperlink r:id="rId1405" ref="AJ825"/>
    <hyperlink r:id="rId1406" ref="Y826"/>
    <hyperlink r:id="rId1407" ref="AJ826"/>
    <hyperlink r:id="rId1408" ref="Y827"/>
    <hyperlink r:id="rId1409" ref="AJ827"/>
    <hyperlink r:id="rId1410" ref="Y828"/>
    <hyperlink r:id="rId1411" ref="AJ828"/>
    <hyperlink r:id="rId1412" ref="Y829"/>
    <hyperlink r:id="rId1413" ref="AJ829"/>
    <hyperlink r:id="rId1414" ref="Y830"/>
    <hyperlink r:id="rId1415" ref="AJ830"/>
    <hyperlink r:id="rId1416" ref="Y831"/>
    <hyperlink r:id="rId1417" ref="AJ831"/>
    <hyperlink r:id="rId1418" ref="Y832"/>
    <hyperlink r:id="rId1419" ref="AJ832"/>
    <hyperlink r:id="rId1420" ref="Y833"/>
    <hyperlink r:id="rId1421" ref="AJ833"/>
    <hyperlink r:id="rId1422" ref="Y834"/>
    <hyperlink r:id="rId1423" ref="AJ834"/>
    <hyperlink r:id="rId1424" ref="Y835"/>
    <hyperlink r:id="rId1425" ref="AJ835"/>
    <hyperlink r:id="rId1426" ref="Y836"/>
    <hyperlink r:id="rId1427" ref="AJ836"/>
    <hyperlink r:id="rId1428" ref="Y837"/>
    <hyperlink r:id="rId1429" ref="AJ837"/>
    <hyperlink r:id="rId1430" ref="Y838"/>
    <hyperlink r:id="rId1431" ref="AJ838"/>
    <hyperlink r:id="rId1432" ref="Y839"/>
    <hyperlink r:id="rId1433" ref="AJ839"/>
    <hyperlink r:id="rId1434" ref="Y840"/>
    <hyperlink r:id="rId1435" ref="AJ840"/>
    <hyperlink r:id="rId1436" ref="Y841"/>
    <hyperlink r:id="rId1437" ref="AJ841"/>
    <hyperlink r:id="rId1438" ref="Y842"/>
    <hyperlink r:id="rId1439" ref="AJ842"/>
    <hyperlink r:id="rId1440" ref="Y843"/>
    <hyperlink r:id="rId1441" ref="AJ843"/>
    <hyperlink r:id="rId1442" ref="Y844"/>
    <hyperlink r:id="rId1443" ref="AJ844"/>
    <hyperlink r:id="rId1444" ref="Y845"/>
    <hyperlink r:id="rId1445" ref="AJ845"/>
    <hyperlink r:id="rId1446" ref="Y846"/>
    <hyperlink r:id="rId1447" ref="AJ846"/>
    <hyperlink r:id="rId1448" ref="Y847"/>
    <hyperlink r:id="rId1449" ref="AJ847"/>
    <hyperlink r:id="rId1450" ref="Y848"/>
    <hyperlink r:id="rId1451" ref="AJ848"/>
    <hyperlink r:id="rId1452" ref="Y849"/>
    <hyperlink r:id="rId1453" ref="AJ849"/>
    <hyperlink r:id="rId1454" ref="Y850"/>
    <hyperlink r:id="rId1455" ref="AJ850"/>
    <hyperlink r:id="rId1456" ref="Y851"/>
    <hyperlink r:id="rId1457" ref="AJ851"/>
    <hyperlink r:id="rId1458" ref="Y852"/>
    <hyperlink r:id="rId1459" ref="AJ852"/>
    <hyperlink r:id="rId1460" ref="Y853"/>
    <hyperlink r:id="rId1461" ref="AJ853"/>
    <hyperlink r:id="rId1462" ref="Y854"/>
    <hyperlink r:id="rId1463" ref="AJ854"/>
    <hyperlink r:id="rId1464" ref="Y855"/>
    <hyperlink r:id="rId1465" ref="AJ855"/>
    <hyperlink r:id="rId1466" ref="Y856"/>
    <hyperlink r:id="rId1467" ref="AJ856"/>
    <hyperlink r:id="rId1468" ref="Y857"/>
    <hyperlink r:id="rId1469" ref="AJ857"/>
    <hyperlink r:id="rId1470" ref="Y858"/>
    <hyperlink r:id="rId1471" ref="AJ858"/>
    <hyperlink r:id="rId1472" ref="Y859"/>
    <hyperlink r:id="rId1473" ref="AJ859"/>
    <hyperlink r:id="rId1474" ref="Y860"/>
    <hyperlink r:id="rId1475" ref="AJ860"/>
    <hyperlink r:id="rId1476" ref="Y861"/>
    <hyperlink r:id="rId1477" ref="AJ861"/>
    <hyperlink r:id="rId1478" ref="Y862"/>
    <hyperlink r:id="rId1479" ref="AJ862"/>
    <hyperlink r:id="rId1480" ref="Y863"/>
    <hyperlink r:id="rId1481" ref="AJ863"/>
    <hyperlink r:id="rId1482" ref="Y864"/>
    <hyperlink r:id="rId1483" ref="AJ864"/>
    <hyperlink r:id="rId1484" ref="Y865"/>
    <hyperlink r:id="rId1485" ref="AJ865"/>
    <hyperlink r:id="rId1486" ref="Y866"/>
    <hyperlink r:id="rId1487" ref="AJ866"/>
    <hyperlink r:id="rId1488" ref="Y867"/>
    <hyperlink r:id="rId1489" ref="AJ867"/>
    <hyperlink r:id="rId1490" ref="Y868"/>
    <hyperlink r:id="rId1491" ref="AJ868"/>
    <hyperlink r:id="rId1492" ref="Y869"/>
    <hyperlink r:id="rId1493" ref="AJ869"/>
    <hyperlink r:id="rId1494" ref="Y870"/>
    <hyperlink r:id="rId1495" ref="AJ870"/>
  </hyperlinks>
  <drawing r:id="rId149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2" width="18.29"/>
    <col customWidth="1" min="23" max="29" width="11.57"/>
  </cols>
  <sheetData>
    <row r="1">
      <c r="A1" s="419" t="s">
        <v>2</v>
      </c>
      <c r="B1" s="419" t="s">
        <v>2132</v>
      </c>
      <c r="C1" s="420" t="s">
        <v>1917</v>
      </c>
      <c r="D1" s="420" t="s">
        <v>10</v>
      </c>
      <c r="E1" s="421" t="s">
        <v>2133</v>
      </c>
      <c r="F1" s="420" t="s">
        <v>2134</v>
      </c>
      <c r="G1" s="420" t="s">
        <v>11</v>
      </c>
      <c r="H1" s="420" t="s">
        <v>37</v>
      </c>
      <c r="I1" s="420" t="s">
        <v>39</v>
      </c>
      <c r="J1" s="420" t="s">
        <v>2135</v>
      </c>
      <c r="K1" s="420" t="s">
        <v>46</v>
      </c>
      <c r="L1" s="420" t="s">
        <v>43</v>
      </c>
      <c r="M1" s="422" t="s">
        <v>2136</v>
      </c>
      <c r="N1" s="422" t="s">
        <v>2137</v>
      </c>
      <c r="O1" s="422" t="s">
        <v>2138</v>
      </c>
      <c r="P1" s="422" t="s">
        <v>2139</v>
      </c>
      <c r="Q1" s="420" t="s">
        <v>2140</v>
      </c>
      <c r="R1" s="420" t="s">
        <v>2141</v>
      </c>
      <c r="S1" s="420" t="s">
        <v>1925</v>
      </c>
      <c r="T1" s="420" t="s">
        <v>53</v>
      </c>
      <c r="U1" s="420" t="s">
        <v>54</v>
      </c>
      <c r="V1" s="423" t="s">
        <v>2142</v>
      </c>
      <c r="W1" s="424" t="s">
        <v>2143</v>
      </c>
      <c r="X1" s="421" t="s">
        <v>2144</v>
      </c>
      <c r="Y1" s="425" t="s">
        <v>2145</v>
      </c>
      <c r="Z1" s="425" t="s">
        <v>2146</v>
      </c>
      <c r="AA1" s="426" t="s">
        <v>2147</v>
      </c>
      <c r="AB1" s="426" t="s">
        <v>2148</v>
      </c>
      <c r="AC1" s="427" t="s">
        <v>1931</v>
      </c>
      <c r="AD1" s="423" t="s">
        <v>2150</v>
      </c>
      <c r="AE1" s="420" t="s">
        <v>2151</v>
      </c>
      <c r="AF1" s="420" t="s">
        <v>2152</v>
      </c>
      <c r="AG1" s="430" t="s">
        <v>2153</v>
      </c>
      <c r="AH1" s="420" t="s">
        <v>2154</v>
      </c>
      <c r="AI1" s="431" t="s">
        <v>1930</v>
      </c>
      <c r="AJ1" s="420" t="s">
        <v>2155</v>
      </c>
      <c r="AK1" s="420" t="s">
        <v>2156</v>
      </c>
      <c r="AL1" s="420" t="s">
        <v>2157</v>
      </c>
      <c r="AM1" s="420" t="s">
        <v>2158</v>
      </c>
      <c r="AN1" s="420" t="s">
        <v>2159</v>
      </c>
      <c r="AO1" s="421" t="s">
        <v>2160</v>
      </c>
      <c r="AP1" s="420" t="s">
        <v>22</v>
      </c>
      <c r="AQ1" s="420" t="s">
        <v>23</v>
      </c>
      <c r="AR1" s="420" t="s">
        <v>2161</v>
      </c>
      <c r="AS1" s="421" t="s">
        <v>24</v>
      </c>
      <c r="AT1" s="421" t="s">
        <v>6</v>
      </c>
      <c r="AU1" s="420" t="s">
        <v>2162</v>
      </c>
      <c r="AV1" s="420" t="s">
        <v>2163</v>
      </c>
      <c r="AW1" s="434" t="s">
        <v>41</v>
      </c>
    </row>
    <row r="2">
      <c r="A2" s="435" t="s">
        <v>1699</v>
      </c>
      <c r="B2" s="436" t="s">
        <v>1700</v>
      </c>
      <c r="C2" s="436"/>
      <c r="D2" s="436" t="s">
        <v>350</v>
      </c>
      <c r="E2" s="436"/>
      <c r="F2" s="436" t="s">
        <v>2164</v>
      </c>
      <c r="G2" s="437" t="s">
        <v>169</v>
      </c>
      <c r="H2" s="437" t="s">
        <v>702</v>
      </c>
      <c r="I2" s="437" t="s">
        <v>1999</v>
      </c>
      <c r="J2" s="437">
        <v>3300.0</v>
      </c>
      <c r="K2" s="438"/>
      <c r="L2" s="436" t="s">
        <v>1701</v>
      </c>
      <c r="M2" s="439"/>
      <c r="N2" s="422">
        <v>13.251</v>
      </c>
      <c r="O2" s="422">
        <v>12.22</v>
      </c>
      <c r="P2" s="422">
        <v>16.41</v>
      </c>
      <c r="Q2" s="436" t="s">
        <v>1632</v>
      </c>
      <c r="R2" s="438"/>
      <c r="S2" s="436" t="s">
        <v>2000</v>
      </c>
      <c r="T2" s="436" t="s">
        <v>1632</v>
      </c>
      <c r="U2" s="436" t="s">
        <v>1633</v>
      </c>
      <c r="V2" s="440"/>
      <c r="W2" s="441">
        <v>0.08</v>
      </c>
      <c r="X2" s="438"/>
      <c r="Y2" s="442">
        <f>IF((W2/((J2/5780)^4))^0.5&gt;0,(W2/((J2/5780)^4))^0.5,"")</f>
        <v>0.8677063797</v>
      </c>
      <c r="Z2" s="442"/>
      <c r="AA2" s="443"/>
      <c r="AB2" s="443"/>
      <c r="AC2" s="436" t="str">
        <f>IF(ISNUMBER(VLOOKUP(B2,'New Masses'!A:C,3,FALSE)),VLOOKUP(B2,'New Masses'!A:C,3,FALSE),"")</f>
        <v/>
      </c>
      <c r="AD2" s="440">
        <f>10^AE2</f>
        <v>0</v>
      </c>
      <c r="AE2" s="437">
        <v>-10.25</v>
      </c>
      <c r="AF2" s="438"/>
      <c r="AG2" s="445">
        <v>0.25</v>
      </c>
      <c r="AH2" s="438"/>
      <c r="AI2" s="446" t="str">
        <f>IF(ISNUMBER(VLOOKUP(B2,'New Masses'!A:C,2, FALSE)),VLOOKUP(B2,'New Masses'!A:C,2, FALSE),"")</f>
        <v/>
      </c>
      <c r="AJ2" s="438"/>
      <c r="AK2" s="437"/>
      <c r="AL2" s="447">
        <v>-3.39</v>
      </c>
      <c r="AM2" s="438"/>
      <c r="AN2" s="436">
        <v>3.0</v>
      </c>
      <c r="AO2" s="438"/>
      <c r="AP2" s="436"/>
      <c r="AQ2" s="436"/>
      <c r="AR2" s="438"/>
      <c r="AS2" s="438"/>
      <c r="AT2" s="438" t="s">
        <v>5916</v>
      </c>
      <c r="AU2" s="438" t="s">
        <v>705</v>
      </c>
      <c r="AV2" s="438"/>
      <c r="AW2" s="450">
        <v>381.300999008617</v>
      </c>
    </row>
    <row r="3">
      <c r="A3" s="435" t="str">
        <f t="shared" ref="A3:C3" si="1">#REF!</f>
        <v>#REF!</v>
      </c>
      <c r="B3" s="485" t="str">
        <f t="shared" si="1"/>
        <v>#REF!</v>
      </c>
      <c r="C3" s="486" t="str">
        <f t="shared" si="1"/>
        <v>#REF!</v>
      </c>
      <c r="D3" s="486"/>
      <c r="E3" s="486"/>
      <c r="F3" s="528"/>
      <c r="G3" s="486"/>
      <c r="H3" s="486" t="s">
        <v>5917</v>
      </c>
      <c r="I3" s="491"/>
      <c r="J3" s="491"/>
      <c r="K3" s="491"/>
      <c r="L3" s="491"/>
      <c r="M3" s="486"/>
      <c r="N3" s="422"/>
      <c r="O3" s="422"/>
      <c r="P3" s="422"/>
      <c r="Q3" s="486"/>
      <c r="R3" s="491"/>
      <c r="S3" s="491"/>
      <c r="T3" s="491"/>
      <c r="U3" s="491"/>
      <c r="V3" s="491"/>
      <c r="W3" s="493"/>
      <c r="X3" s="486"/>
      <c r="Y3" s="442"/>
      <c r="Z3" s="491"/>
      <c r="AA3" s="524" t="str">
        <f>#REF!</f>
        <v>#REF!</v>
      </c>
      <c r="AB3" s="494"/>
      <c r="AC3" s="436"/>
      <c r="AD3" s="495"/>
      <c r="AE3" s="491"/>
      <c r="AF3" s="491"/>
      <c r="AG3" s="525" t="str">
        <f>#REF!</f>
        <v>#REF!</v>
      </c>
      <c r="AH3" s="491"/>
      <c r="AI3" s="446"/>
      <c r="AJ3" s="491"/>
      <c r="AK3" s="500"/>
      <c r="AL3" s="436"/>
      <c r="AM3" s="438"/>
      <c r="AN3" s="531"/>
      <c r="AO3" s="491"/>
      <c r="AP3" s="438"/>
      <c r="AQ3" s="438"/>
      <c r="AR3" s="438"/>
      <c r="AS3" s="438"/>
      <c r="AT3" s="438"/>
      <c r="AU3" s="438"/>
      <c r="AV3" s="438"/>
      <c r="AW3" s="450" t="str">
        <f>#REF!</f>
        <v>#REF!</v>
      </c>
    </row>
    <row r="4">
      <c r="A4" s="435" t="s">
        <v>1707</v>
      </c>
      <c r="B4" s="436" t="s">
        <v>1708</v>
      </c>
      <c r="C4" s="436"/>
      <c r="D4" s="436" t="s">
        <v>350</v>
      </c>
      <c r="E4" s="436"/>
      <c r="F4" s="436" t="s">
        <v>2165</v>
      </c>
      <c r="G4" s="437" t="s">
        <v>515</v>
      </c>
      <c r="H4" s="437" t="s">
        <v>702</v>
      </c>
      <c r="I4" s="437" t="s">
        <v>1999</v>
      </c>
      <c r="J4" s="437">
        <v>3300.0</v>
      </c>
      <c r="K4" s="438"/>
      <c r="L4" s="436" t="s">
        <v>422</v>
      </c>
      <c r="M4" s="439"/>
      <c r="N4" s="422">
        <v>12.502</v>
      </c>
      <c r="O4" s="422">
        <v>11.542</v>
      </c>
      <c r="P4" s="422">
        <v>15.56</v>
      </c>
      <c r="Q4" s="436" t="s">
        <v>1632</v>
      </c>
      <c r="R4" s="438"/>
      <c r="S4" s="436" t="s">
        <v>2000</v>
      </c>
      <c r="T4" s="436" t="s">
        <v>1632</v>
      </c>
      <c r="U4" s="436" t="s">
        <v>1633</v>
      </c>
      <c r="V4" s="451"/>
      <c r="W4" s="441">
        <v>0.19</v>
      </c>
      <c r="X4" s="438"/>
      <c r="Y4" s="442">
        <f>IF((W4/((J4/5780)^4))^0.5&gt;0,(W4/((J4/5780)^4))^0.5,"")</f>
        <v>1.337225339</v>
      </c>
      <c r="Z4" s="442"/>
      <c r="AA4" s="443"/>
      <c r="AB4" s="443"/>
      <c r="AC4" s="436" t="str">
        <f>IF(ISNUMBER(VLOOKUP(B4,'New Masses'!A:C,3,FALSE)),VLOOKUP(B4,'New Masses'!A:C,3,FALSE),"")</f>
        <v/>
      </c>
      <c r="AD4" s="440">
        <f>10^AE4</f>
        <v>0.000000000213796209</v>
      </c>
      <c r="AE4" s="437">
        <v>-9.67</v>
      </c>
      <c r="AF4" s="438"/>
      <c r="AG4" s="445">
        <v>0.3</v>
      </c>
      <c r="AH4" s="438"/>
      <c r="AI4" s="446" t="str">
        <f>IF(ISNUMBER(VLOOKUP(B4,'New Masses'!A:C,2, FALSE)),VLOOKUP(B4,'New Masses'!A:C,2, FALSE),"")</f>
        <v/>
      </c>
      <c r="AJ4" s="438"/>
      <c r="AK4" s="437"/>
      <c r="AL4" s="447">
        <v>-2.97</v>
      </c>
      <c r="AM4" s="438"/>
      <c r="AN4" s="436">
        <v>3.0</v>
      </c>
      <c r="AO4" s="438"/>
      <c r="AP4" s="436"/>
      <c r="AQ4" s="436"/>
      <c r="AR4" s="438"/>
      <c r="AS4" s="438"/>
      <c r="AT4" s="438" t="s">
        <v>5916</v>
      </c>
      <c r="AU4" s="438" t="s">
        <v>705</v>
      </c>
      <c r="AV4" s="438"/>
      <c r="AW4" s="450">
        <v>335.289186923721</v>
      </c>
    </row>
    <row r="5">
      <c r="A5" s="435" t="str">
        <f t="shared" ref="A5:C5" si="2">#REF!</f>
        <v>#REF!</v>
      </c>
      <c r="B5" s="485" t="str">
        <f t="shared" si="2"/>
        <v>#REF!</v>
      </c>
      <c r="C5" s="486" t="str">
        <f t="shared" si="2"/>
        <v>#REF!</v>
      </c>
      <c r="D5" s="486"/>
      <c r="E5" s="486"/>
      <c r="F5" s="528"/>
      <c r="G5" s="486"/>
      <c r="H5" s="486" t="s">
        <v>5917</v>
      </c>
      <c r="I5" s="491"/>
      <c r="J5" s="491"/>
      <c r="K5" s="491"/>
      <c r="L5" s="491"/>
      <c r="M5" s="486"/>
      <c r="N5" s="422"/>
      <c r="O5" s="422"/>
      <c r="P5" s="422"/>
      <c r="Q5" s="486"/>
      <c r="R5" s="491"/>
      <c r="S5" s="491"/>
      <c r="T5" s="491"/>
      <c r="U5" s="491"/>
      <c r="V5" s="491"/>
      <c r="W5" s="493"/>
      <c r="X5" s="486"/>
      <c r="Y5" s="442"/>
      <c r="Z5" s="491"/>
      <c r="AA5" s="524" t="str">
        <f>#REF!</f>
        <v>#REF!</v>
      </c>
      <c r="AB5" s="494"/>
      <c r="AC5" s="436"/>
      <c r="AD5" s="495"/>
      <c r="AE5" s="491"/>
      <c r="AF5" s="491"/>
      <c r="AG5" s="525" t="str">
        <f>#REF!</f>
        <v>#REF!</v>
      </c>
      <c r="AH5" s="491"/>
      <c r="AI5" s="446"/>
      <c r="AJ5" s="491"/>
      <c r="AK5" s="500"/>
      <c r="AL5" s="436"/>
      <c r="AM5" s="438"/>
      <c r="AN5" s="531"/>
      <c r="AO5" s="491"/>
      <c r="AP5" s="438"/>
      <c r="AQ5" s="438"/>
      <c r="AR5" s="438"/>
      <c r="AS5" s="438"/>
      <c r="AT5" s="438"/>
      <c r="AU5" s="438"/>
      <c r="AV5" s="438"/>
      <c r="AW5" s="450" t="str">
        <f>#REF!</f>
        <v>#REF!</v>
      </c>
    </row>
    <row r="6">
      <c r="A6" s="435" t="s">
        <v>1711</v>
      </c>
      <c r="B6" s="436" t="s">
        <v>1712</v>
      </c>
      <c r="C6" s="436"/>
      <c r="D6" s="436" t="s">
        <v>350</v>
      </c>
      <c r="E6" s="436"/>
      <c r="F6" s="436" t="s">
        <v>2166</v>
      </c>
      <c r="G6" s="437" t="s">
        <v>169</v>
      </c>
      <c r="H6" s="437" t="s">
        <v>702</v>
      </c>
      <c r="I6" s="437" t="s">
        <v>1999</v>
      </c>
      <c r="J6" s="437">
        <v>3300.0</v>
      </c>
      <c r="K6" s="438"/>
      <c r="L6" s="438"/>
      <c r="M6" s="453"/>
      <c r="N6" s="422">
        <v>12.844</v>
      </c>
      <c r="O6" s="422">
        <v>11.933</v>
      </c>
      <c r="P6" s="422">
        <v>15.87</v>
      </c>
      <c r="Q6" s="436" t="s">
        <v>1632</v>
      </c>
      <c r="R6" s="438"/>
      <c r="S6" s="436" t="s">
        <v>2000</v>
      </c>
      <c r="T6" s="436" t="s">
        <v>1632</v>
      </c>
      <c r="U6" s="436" t="s">
        <v>1633</v>
      </c>
      <c r="V6" s="440"/>
      <c r="W6" s="441">
        <v>0.14</v>
      </c>
      <c r="X6" s="438"/>
      <c r="Y6" s="442">
        <f>IF((W6/((J6/5780)^4))^0.5&gt;0,(W6/((J6/5780)^4))^0.5,"")</f>
        <v>1.147867646</v>
      </c>
      <c r="Z6" s="442"/>
      <c r="AA6" s="443"/>
      <c r="AB6" s="443"/>
      <c r="AC6" s="436" t="str">
        <f>IF(ISNUMBER(VLOOKUP(B6,'New Masses'!A:C,3,FALSE)),VLOOKUP(B6,'New Masses'!A:C,3,FALSE),"")</f>
        <v/>
      </c>
      <c r="AD6" s="440">
        <f>10^AE6</f>
        <v>0.0000000001318256739</v>
      </c>
      <c r="AE6" s="437">
        <v>-9.88</v>
      </c>
      <c r="AF6" s="438"/>
      <c r="AG6" s="445">
        <v>0.3</v>
      </c>
      <c r="AH6" s="438"/>
      <c r="AI6" s="446" t="str">
        <f>IF(ISNUMBER(VLOOKUP(B6,'New Masses'!A:C,2, FALSE)),VLOOKUP(B6,'New Masses'!A:C,2, FALSE),"")</f>
        <v/>
      </c>
      <c r="AJ6" s="438"/>
      <c r="AK6" s="437"/>
      <c r="AL6" s="447">
        <v>-3.06</v>
      </c>
      <c r="AM6" s="438"/>
      <c r="AN6" s="436">
        <v>3.0</v>
      </c>
      <c r="AO6" s="438"/>
      <c r="AP6" s="436"/>
      <c r="AQ6" s="438"/>
      <c r="AR6" s="438"/>
      <c r="AS6" s="438"/>
      <c r="AT6" s="438" t="s">
        <v>5916</v>
      </c>
      <c r="AU6" s="438"/>
      <c r="AV6" s="438"/>
      <c r="AW6" s="450">
        <v>388.334433614228</v>
      </c>
    </row>
    <row r="7">
      <c r="A7" s="435" t="str">
        <f t="shared" ref="A7:C7" si="3">#REF!</f>
        <v>#REF!</v>
      </c>
      <c r="B7" s="485" t="str">
        <f t="shared" si="3"/>
        <v>#REF!</v>
      </c>
      <c r="C7" s="486" t="str">
        <f t="shared" si="3"/>
        <v>#REF!</v>
      </c>
      <c r="D7" s="486"/>
      <c r="E7" s="486"/>
      <c r="F7" s="528"/>
      <c r="G7" s="486"/>
      <c r="H7" s="486" t="s">
        <v>5917</v>
      </c>
      <c r="I7" s="491"/>
      <c r="J7" s="491"/>
      <c r="K7" s="491"/>
      <c r="L7" s="491"/>
      <c r="M7" s="486"/>
      <c r="N7" s="422"/>
      <c r="O7" s="422"/>
      <c r="P7" s="422"/>
      <c r="Q7" s="486"/>
      <c r="R7" s="491"/>
      <c r="S7" s="491"/>
      <c r="T7" s="491"/>
      <c r="U7" s="491"/>
      <c r="V7" s="491"/>
      <c r="W7" s="493"/>
      <c r="X7" s="486"/>
      <c r="Y7" s="442"/>
      <c r="Z7" s="491"/>
      <c r="AA7" s="524" t="str">
        <f>#REF!</f>
        <v>#REF!</v>
      </c>
      <c r="AB7" s="494"/>
      <c r="AC7" s="436"/>
      <c r="AD7" s="495"/>
      <c r="AE7" s="491"/>
      <c r="AF7" s="491"/>
      <c r="AG7" s="525" t="str">
        <f>#REF!</f>
        <v>#REF!</v>
      </c>
      <c r="AH7" s="491"/>
      <c r="AI7" s="446"/>
      <c r="AJ7" s="491"/>
      <c r="AK7" s="500"/>
      <c r="AL7" s="436"/>
      <c r="AM7" s="438"/>
      <c r="AN7" s="531"/>
      <c r="AO7" s="491"/>
      <c r="AP7" s="438"/>
      <c r="AQ7" s="438"/>
      <c r="AR7" s="438"/>
      <c r="AS7" s="438"/>
      <c r="AT7" s="438"/>
      <c r="AU7" s="438"/>
      <c r="AV7" s="438"/>
      <c r="AW7" s="450" t="str">
        <f>#REF!</f>
        <v>#REF!</v>
      </c>
    </row>
    <row r="8">
      <c r="A8" s="435" t="s">
        <v>1659</v>
      </c>
      <c r="B8" s="436" t="s">
        <v>1660</v>
      </c>
      <c r="C8" s="436"/>
      <c r="D8" s="436" t="s">
        <v>350</v>
      </c>
      <c r="E8" s="436"/>
      <c r="F8" s="436" t="s">
        <v>2167</v>
      </c>
      <c r="G8" s="437" t="s">
        <v>169</v>
      </c>
      <c r="H8" s="437" t="s">
        <v>702</v>
      </c>
      <c r="I8" s="437" t="s">
        <v>1999</v>
      </c>
      <c r="J8" s="437">
        <v>3100.0</v>
      </c>
      <c r="K8" s="438"/>
      <c r="L8" s="436" t="s">
        <v>422</v>
      </c>
      <c r="M8" s="439"/>
      <c r="N8" s="422">
        <v>14.11</v>
      </c>
      <c r="O8" s="422">
        <v>13.21</v>
      </c>
      <c r="P8" s="422">
        <v>18.09</v>
      </c>
      <c r="Q8" s="436" t="s">
        <v>1632</v>
      </c>
      <c r="R8" s="438"/>
      <c r="S8" s="436" t="s">
        <v>2000</v>
      </c>
      <c r="T8" s="436" t="s">
        <v>1632</v>
      </c>
      <c r="U8" s="436" t="s">
        <v>1633</v>
      </c>
      <c r="V8" s="440"/>
      <c r="W8" s="441">
        <v>0.04</v>
      </c>
      <c r="X8" s="438"/>
      <c r="Y8" s="442">
        <f>IF((W8/((J8/5780)^4))^0.5&gt;0,(W8/((J8/5780)^4))^0.5,"")</f>
        <v>0.6952840791</v>
      </c>
      <c r="Z8" s="442"/>
      <c r="AA8" s="443"/>
      <c r="AB8" s="443"/>
      <c r="AC8" s="436" t="str">
        <f>IF(ISNUMBER(VLOOKUP(B8,'New Masses'!A:C,3,FALSE)),VLOOKUP(B8,'New Masses'!A:C,3,FALSE),"")</f>
        <v/>
      </c>
      <c r="AD8" s="440">
        <f>10^AE8</f>
        <v>0</v>
      </c>
      <c r="AE8" s="437">
        <v>-10.56</v>
      </c>
      <c r="AF8" s="438"/>
      <c r="AG8" s="445">
        <v>0.13</v>
      </c>
      <c r="AH8" s="438"/>
      <c r="AI8" s="446" t="str">
        <f>IF(ISNUMBER(VLOOKUP(B8,'New Masses'!A:C,2, FALSE)),VLOOKUP(B8,'New Masses'!A:C,2, FALSE),"")</f>
        <v/>
      </c>
      <c r="AJ8" s="438"/>
      <c r="AK8" s="437"/>
      <c r="AL8" s="447">
        <v>-3.88</v>
      </c>
      <c r="AM8" s="438"/>
      <c r="AN8" s="436">
        <v>3.0</v>
      </c>
      <c r="AO8" s="438"/>
      <c r="AP8" s="436"/>
      <c r="AQ8" s="436"/>
      <c r="AR8" s="438"/>
      <c r="AS8" s="438"/>
      <c r="AT8" s="438" t="s">
        <v>5916</v>
      </c>
      <c r="AU8" s="438" t="s">
        <v>705</v>
      </c>
      <c r="AV8" s="438"/>
      <c r="AW8" s="450">
        <v>352.733686067019</v>
      </c>
    </row>
    <row r="9">
      <c r="A9" s="435" t="str">
        <f t="shared" ref="A9:C9" si="4">#REF!</f>
        <v>#REF!</v>
      </c>
      <c r="B9" s="485" t="str">
        <f t="shared" si="4"/>
        <v>#REF!</v>
      </c>
      <c r="C9" s="486" t="str">
        <f t="shared" si="4"/>
        <v>#REF!</v>
      </c>
      <c r="D9" s="486"/>
      <c r="E9" s="486"/>
      <c r="F9" s="528"/>
      <c r="G9" s="486"/>
      <c r="H9" s="486" t="s">
        <v>5917</v>
      </c>
      <c r="I9" s="491"/>
      <c r="J9" s="491"/>
      <c r="K9" s="491"/>
      <c r="L9" s="491"/>
      <c r="M9" s="486"/>
      <c r="N9" s="422"/>
      <c r="O9" s="422"/>
      <c r="P9" s="422"/>
      <c r="Q9" s="486"/>
      <c r="R9" s="491"/>
      <c r="S9" s="491"/>
      <c r="T9" s="491"/>
      <c r="U9" s="491"/>
      <c r="V9" s="491"/>
      <c r="W9" s="493"/>
      <c r="X9" s="486"/>
      <c r="Y9" s="442"/>
      <c r="Z9" s="491"/>
      <c r="AA9" s="524" t="str">
        <f>#REF!</f>
        <v>#REF!</v>
      </c>
      <c r="AB9" s="494"/>
      <c r="AC9" s="436"/>
      <c r="AD9" s="495"/>
      <c r="AE9" s="491"/>
      <c r="AF9" s="491"/>
      <c r="AG9" s="525" t="str">
        <f>#REF!</f>
        <v>#REF!</v>
      </c>
      <c r="AH9" s="491"/>
      <c r="AI9" s="446"/>
      <c r="AJ9" s="491"/>
      <c r="AK9" s="500"/>
      <c r="AL9" s="436"/>
      <c r="AM9" s="438"/>
      <c r="AN9" s="531"/>
      <c r="AO9" s="491"/>
      <c r="AP9" s="438"/>
      <c r="AQ9" s="438"/>
      <c r="AR9" s="438"/>
      <c r="AS9" s="438"/>
      <c r="AT9" s="438"/>
      <c r="AU9" s="438"/>
      <c r="AV9" s="438"/>
      <c r="AW9" s="450" t="str">
        <f>#REF!</f>
        <v>#REF!</v>
      </c>
    </row>
    <row r="10">
      <c r="A10" s="435" t="s">
        <v>1683</v>
      </c>
      <c r="B10" s="436" t="s">
        <v>1684</v>
      </c>
      <c r="C10" s="436"/>
      <c r="D10" s="436" t="s">
        <v>350</v>
      </c>
      <c r="E10" s="436"/>
      <c r="F10" s="436" t="s">
        <v>2168</v>
      </c>
      <c r="G10" s="437" t="s">
        <v>169</v>
      </c>
      <c r="H10" s="437" t="s">
        <v>702</v>
      </c>
      <c r="I10" s="437" t="s">
        <v>1999</v>
      </c>
      <c r="J10" s="437">
        <v>3200.0</v>
      </c>
      <c r="K10" s="438"/>
      <c r="L10" s="436" t="s">
        <v>415</v>
      </c>
      <c r="M10" s="439"/>
      <c r="N10" s="422">
        <v>13.103</v>
      </c>
      <c r="O10" s="422">
        <v>12.123</v>
      </c>
      <c r="P10" s="422">
        <v>16.62</v>
      </c>
      <c r="Q10" s="436" t="s">
        <v>1632</v>
      </c>
      <c r="R10" s="438"/>
      <c r="S10" s="436" t="s">
        <v>2000</v>
      </c>
      <c r="T10" s="436" t="s">
        <v>1632</v>
      </c>
      <c r="U10" s="436" t="s">
        <v>1633</v>
      </c>
      <c r="V10" s="440"/>
      <c r="W10" s="441">
        <v>0.11</v>
      </c>
      <c r="X10" s="438"/>
      <c r="Y10" s="442">
        <f>IF((W10/((J10/5780)^4))^0.5&gt;0,(W10/((J10/5780)^4))^0.5,"")</f>
        <v>1.082061793</v>
      </c>
      <c r="Z10" s="442"/>
      <c r="AA10" s="443"/>
      <c r="AB10" s="443"/>
      <c r="AC10" s="436" t="str">
        <f>IF(ISNUMBER(VLOOKUP(B10,'New Masses'!A:C,3,FALSE)),VLOOKUP(B10,'New Masses'!A:C,3,FALSE),"")</f>
        <v/>
      </c>
      <c r="AD10" s="440">
        <f>10^AE10</f>
        <v>0.000000000177827941</v>
      </c>
      <c r="AE10" s="437">
        <v>-9.75</v>
      </c>
      <c r="AF10" s="438"/>
      <c r="AG10" s="445">
        <v>0.2</v>
      </c>
      <c r="AH10" s="438"/>
      <c r="AI10" s="446" t="str">
        <f>IF(ISNUMBER(VLOOKUP(B10,'New Masses'!A:C,2, FALSE)),VLOOKUP(B10,'New Masses'!A:C,2, FALSE),"")</f>
        <v/>
      </c>
      <c r="AJ10" s="438"/>
      <c r="AK10" s="437"/>
      <c r="AL10" s="447">
        <v>-3.09</v>
      </c>
      <c r="AM10" s="438"/>
      <c r="AN10" s="436">
        <v>3.0</v>
      </c>
      <c r="AO10" s="438"/>
      <c r="AP10" s="438"/>
      <c r="AQ10" s="436"/>
      <c r="AR10" s="438"/>
      <c r="AS10" s="438"/>
      <c r="AT10" s="438"/>
      <c r="AU10" s="438" t="s">
        <v>705</v>
      </c>
      <c r="AV10" s="438"/>
      <c r="AW10" s="450">
        <v>401.65481784954</v>
      </c>
    </row>
    <row r="11">
      <c r="A11" s="435" t="str">
        <f t="shared" ref="A11:C11" si="5">#REF!</f>
        <v>#REF!</v>
      </c>
      <c r="B11" s="485" t="str">
        <f t="shared" si="5"/>
        <v>#REF!</v>
      </c>
      <c r="C11" s="486" t="str">
        <f t="shared" si="5"/>
        <v>#REF!</v>
      </c>
      <c r="D11" s="486"/>
      <c r="E11" s="486"/>
      <c r="F11" s="528"/>
      <c r="G11" s="486"/>
      <c r="H11" s="486" t="s">
        <v>5917</v>
      </c>
      <c r="I11" s="491"/>
      <c r="J11" s="491"/>
      <c r="K11" s="491"/>
      <c r="L11" s="491"/>
      <c r="M11" s="486"/>
      <c r="N11" s="422"/>
      <c r="O11" s="422"/>
      <c r="P11" s="422"/>
      <c r="Q11" s="486"/>
      <c r="R11" s="491"/>
      <c r="S11" s="491"/>
      <c r="T11" s="491"/>
      <c r="U11" s="491"/>
      <c r="V11" s="491"/>
      <c r="W11" s="493"/>
      <c r="X11" s="486"/>
      <c r="Y11" s="442"/>
      <c r="Z11" s="491"/>
      <c r="AA11" s="524" t="str">
        <f>#REF!</f>
        <v>#REF!</v>
      </c>
      <c r="AB11" s="494"/>
      <c r="AC11" s="436"/>
      <c r="AD11" s="495"/>
      <c r="AE11" s="491"/>
      <c r="AF11" s="491"/>
      <c r="AG11" s="525" t="str">
        <f>#REF!</f>
        <v>#REF!</v>
      </c>
      <c r="AH11" s="491"/>
      <c r="AI11" s="446"/>
      <c r="AJ11" s="491"/>
      <c r="AK11" s="500"/>
      <c r="AL11" s="436"/>
      <c r="AM11" s="438"/>
      <c r="AN11" s="531"/>
      <c r="AO11" s="491"/>
      <c r="AP11" s="438"/>
      <c r="AQ11" s="438"/>
      <c r="AR11" s="438"/>
      <c r="AS11" s="438"/>
      <c r="AT11" s="438"/>
      <c r="AU11" s="438"/>
      <c r="AV11" s="438"/>
      <c r="AW11" s="450" t="str">
        <f>#REF!</f>
        <v>#REF!</v>
      </c>
    </row>
    <row r="12">
      <c r="A12" s="435" t="s">
        <v>1652</v>
      </c>
      <c r="B12" s="436" t="s">
        <v>1653</v>
      </c>
      <c r="C12" s="436"/>
      <c r="D12" s="436" t="s">
        <v>350</v>
      </c>
      <c r="E12" s="436"/>
      <c r="F12" s="436" t="s">
        <v>2169</v>
      </c>
      <c r="G12" s="437" t="s">
        <v>169</v>
      </c>
      <c r="H12" s="437" t="s">
        <v>702</v>
      </c>
      <c r="I12" s="437" t="s">
        <v>1999</v>
      </c>
      <c r="J12" s="437">
        <v>3100.0</v>
      </c>
      <c r="K12" s="438"/>
      <c r="L12" s="438"/>
      <c r="M12" s="453"/>
      <c r="N12" s="422">
        <v>14.167</v>
      </c>
      <c r="O12" s="422">
        <v>13.15</v>
      </c>
      <c r="P12" s="422"/>
      <c r="Q12" s="436" t="s">
        <v>1632</v>
      </c>
      <c r="R12" s="438"/>
      <c r="S12" s="436" t="s">
        <v>2000</v>
      </c>
      <c r="T12" s="436" t="s">
        <v>1632</v>
      </c>
      <c r="U12" s="436" t="s">
        <v>1633</v>
      </c>
      <c r="V12" s="451"/>
      <c r="W12" s="441">
        <v>0.03</v>
      </c>
      <c r="X12" s="438"/>
      <c r="Y12" s="442">
        <f>IF((W12/((J12/5780)^4))^0.5&gt;0,(W12/((J12/5780)^4))^0.5,"")</f>
        <v>0.6021336753</v>
      </c>
      <c r="Z12" s="442"/>
      <c r="AA12" s="443"/>
      <c r="AB12" s="443"/>
      <c r="AC12" s="436" t="str">
        <f>IF(ISNUMBER(VLOOKUP(B12,'New Masses'!A:C,3,FALSE)),VLOOKUP(B12,'New Masses'!A:C,3,FALSE),"")</f>
        <v/>
      </c>
      <c r="AD12" s="440">
        <f>10^AE12</f>
        <v>0</v>
      </c>
      <c r="AE12" s="437">
        <v>-10.01</v>
      </c>
      <c r="AF12" s="438"/>
      <c r="AG12" s="445">
        <v>0.11</v>
      </c>
      <c r="AH12" s="438"/>
      <c r="AI12" s="446" t="str">
        <f>IF(ISNUMBER(VLOOKUP(B12,'New Masses'!A:C,2, FALSE)),VLOOKUP(B12,'New Masses'!A:C,2, FALSE),"")</f>
        <v/>
      </c>
      <c r="AJ12" s="438"/>
      <c r="AK12" s="437"/>
      <c r="AL12" s="447">
        <v>-3.32</v>
      </c>
      <c r="AM12" s="438"/>
      <c r="AN12" s="436">
        <v>3.0</v>
      </c>
      <c r="AO12" s="438"/>
      <c r="AP12" s="438"/>
      <c r="AQ12" s="438"/>
      <c r="AR12" s="438"/>
      <c r="AS12" s="438"/>
      <c r="AT12" s="438"/>
      <c r="AU12" s="438"/>
      <c r="AV12" s="438"/>
      <c r="AW12" s="450">
        <v>413.308534821244</v>
      </c>
    </row>
    <row r="13">
      <c r="A13" s="435" t="str">
        <f t="shared" ref="A13:C13" si="6">#REF!</f>
        <v>#REF!</v>
      </c>
      <c r="B13" s="485" t="str">
        <f t="shared" si="6"/>
        <v>#REF!</v>
      </c>
      <c r="C13" s="486" t="str">
        <f t="shared" si="6"/>
        <v>#REF!</v>
      </c>
      <c r="D13" s="486"/>
      <c r="E13" s="486"/>
      <c r="F13" s="528"/>
      <c r="G13" s="486"/>
      <c r="H13" s="486" t="s">
        <v>5917</v>
      </c>
      <c r="I13" s="491"/>
      <c r="J13" s="491"/>
      <c r="K13" s="491"/>
      <c r="L13" s="491"/>
      <c r="M13" s="486"/>
      <c r="N13" s="422"/>
      <c r="O13" s="422"/>
      <c r="P13" s="422"/>
      <c r="Q13" s="486"/>
      <c r="R13" s="491"/>
      <c r="S13" s="491"/>
      <c r="T13" s="491"/>
      <c r="U13" s="491"/>
      <c r="V13" s="491"/>
      <c r="W13" s="493"/>
      <c r="X13" s="486"/>
      <c r="Y13" s="442"/>
      <c r="Z13" s="491"/>
      <c r="AA13" s="524" t="str">
        <f>#REF!</f>
        <v>#REF!</v>
      </c>
      <c r="AB13" s="494"/>
      <c r="AC13" s="436"/>
      <c r="AD13" s="495"/>
      <c r="AE13" s="491"/>
      <c r="AF13" s="491"/>
      <c r="AG13" s="525" t="str">
        <f>#REF!</f>
        <v>#REF!</v>
      </c>
      <c r="AH13" s="491"/>
      <c r="AI13" s="446"/>
      <c r="AJ13" s="491"/>
      <c r="AK13" s="500"/>
      <c r="AL13" s="436"/>
      <c r="AM13" s="438"/>
      <c r="AN13" s="531"/>
      <c r="AO13" s="491"/>
      <c r="AP13" s="438"/>
      <c r="AQ13" s="438"/>
      <c r="AR13" s="438"/>
      <c r="AS13" s="438"/>
      <c r="AT13" s="438"/>
      <c r="AU13" s="438"/>
      <c r="AV13" s="438"/>
      <c r="AW13" s="450" t="str">
        <f>#REF!</f>
        <v>#REF!</v>
      </c>
    </row>
    <row r="14">
      <c r="A14" s="435" t="s">
        <v>1654</v>
      </c>
      <c r="B14" s="436" t="s">
        <v>1655</v>
      </c>
      <c r="C14" s="436"/>
      <c r="D14" s="436" t="s">
        <v>350</v>
      </c>
      <c r="E14" s="436"/>
      <c r="F14" s="436" t="s">
        <v>2170</v>
      </c>
      <c r="G14" s="437" t="s">
        <v>169</v>
      </c>
      <c r="H14" s="437" t="s">
        <v>702</v>
      </c>
      <c r="I14" s="437" t="s">
        <v>1999</v>
      </c>
      <c r="J14" s="437">
        <v>3100.0</v>
      </c>
      <c r="K14" s="438"/>
      <c r="L14" s="436" t="s">
        <v>264</v>
      </c>
      <c r="M14" s="439"/>
      <c r="N14" s="422">
        <v>14.47</v>
      </c>
      <c r="O14" s="422">
        <v>13.44</v>
      </c>
      <c r="P14" s="422">
        <v>18.32</v>
      </c>
      <c r="Q14" s="436" t="s">
        <v>1632</v>
      </c>
      <c r="R14" s="438"/>
      <c r="S14" s="436" t="s">
        <v>2000</v>
      </c>
      <c r="T14" s="436" t="s">
        <v>1632</v>
      </c>
      <c r="U14" s="436" t="s">
        <v>1633</v>
      </c>
      <c r="V14" s="440"/>
      <c r="W14" s="441">
        <v>0.03</v>
      </c>
      <c r="X14" s="438"/>
      <c r="Y14" s="442">
        <f>IF((W14/((J14/5780)^4))^0.5&gt;0,(W14/((J14/5780)^4))^0.5,"")</f>
        <v>0.6021336753</v>
      </c>
      <c r="Z14" s="442"/>
      <c r="AA14" s="443"/>
      <c r="AB14" s="443"/>
      <c r="AC14" s="436" t="str">
        <f>IF(ISNUMBER(VLOOKUP(B14,'New Masses'!A:C,3,FALSE)),VLOOKUP(B14,'New Masses'!A:C,3,FALSE),"")</f>
        <v/>
      </c>
      <c r="AD14" s="440">
        <f>10^AE14</f>
        <v>0</v>
      </c>
      <c r="AE14" s="437">
        <v>-10.7</v>
      </c>
      <c r="AF14" s="438"/>
      <c r="AG14" s="445">
        <v>0.11</v>
      </c>
      <c r="AH14" s="438"/>
      <c r="AI14" s="446" t="str">
        <f>IF(ISNUMBER(VLOOKUP(B14,'New Masses'!A:C,2, FALSE)),VLOOKUP(B14,'New Masses'!A:C,2, FALSE),"")</f>
        <v/>
      </c>
      <c r="AJ14" s="438"/>
      <c r="AK14" s="437"/>
      <c r="AL14" s="447">
        <v>-4.04</v>
      </c>
      <c r="AM14" s="438"/>
      <c r="AN14" s="436">
        <v>3.0</v>
      </c>
      <c r="AO14" s="438"/>
      <c r="AP14" s="436"/>
      <c r="AQ14" s="436"/>
      <c r="AR14" s="438"/>
      <c r="AS14" s="438"/>
      <c r="AT14" s="438" t="s">
        <v>5916</v>
      </c>
      <c r="AU14" s="438" t="s">
        <v>1656</v>
      </c>
      <c r="AV14" s="438"/>
      <c r="AW14" s="450">
        <v>363.940750445827</v>
      </c>
    </row>
    <row r="15">
      <c r="A15" s="435" t="str">
        <f t="shared" ref="A15:C15" si="7">#REF!</f>
        <v>#REF!</v>
      </c>
      <c r="B15" s="485" t="str">
        <f t="shared" si="7"/>
        <v>#REF!</v>
      </c>
      <c r="C15" s="486" t="str">
        <f t="shared" si="7"/>
        <v>#REF!</v>
      </c>
      <c r="D15" s="486"/>
      <c r="E15" s="486"/>
      <c r="F15" s="528"/>
      <c r="G15" s="486"/>
      <c r="H15" s="486" t="s">
        <v>5917</v>
      </c>
      <c r="I15" s="491"/>
      <c r="J15" s="491"/>
      <c r="K15" s="491"/>
      <c r="L15" s="491"/>
      <c r="M15" s="486"/>
      <c r="N15" s="422"/>
      <c r="O15" s="422"/>
      <c r="P15" s="422"/>
      <c r="Q15" s="486"/>
      <c r="R15" s="491"/>
      <c r="S15" s="491"/>
      <c r="T15" s="491"/>
      <c r="U15" s="491"/>
      <c r="V15" s="491"/>
      <c r="W15" s="493"/>
      <c r="X15" s="486"/>
      <c r="Y15" s="442"/>
      <c r="Z15" s="491"/>
      <c r="AA15" s="524" t="str">
        <f>#REF!</f>
        <v>#REF!</v>
      </c>
      <c r="AB15" s="494"/>
      <c r="AC15" s="436"/>
      <c r="AD15" s="495"/>
      <c r="AE15" s="491"/>
      <c r="AF15" s="491"/>
      <c r="AG15" s="525" t="str">
        <f>#REF!</f>
        <v>#REF!</v>
      </c>
      <c r="AH15" s="491"/>
      <c r="AI15" s="446"/>
      <c r="AJ15" s="491"/>
      <c r="AK15" s="500"/>
      <c r="AL15" s="436"/>
      <c r="AM15" s="438"/>
      <c r="AN15" s="531"/>
      <c r="AO15" s="491"/>
      <c r="AP15" s="438"/>
      <c r="AQ15" s="438"/>
      <c r="AR15" s="438"/>
      <c r="AS15" s="438"/>
      <c r="AT15" s="438"/>
      <c r="AU15" s="438"/>
      <c r="AV15" s="438"/>
      <c r="AW15" s="450" t="str">
        <f>#REF!</f>
        <v>#REF!</v>
      </c>
    </row>
    <row r="16">
      <c r="A16" s="435" t="s">
        <v>1642</v>
      </c>
      <c r="B16" s="436" t="s">
        <v>1643</v>
      </c>
      <c r="C16" s="436"/>
      <c r="D16" s="436" t="s">
        <v>350</v>
      </c>
      <c r="E16" s="436"/>
      <c r="F16" s="436" t="s">
        <v>2171</v>
      </c>
      <c r="G16" s="437" t="s">
        <v>169</v>
      </c>
      <c r="H16" s="437" t="s">
        <v>702</v>
      </c>
      <c r="I16" s="437" t="s">
        <v>1999</v>
      </c>
      <c r="J16" s="437">
        <v>2900.0</v>
      </c>
      <c r="K16" s="438"/>
      <c r="L16" s="438"/>
      <c r="M16" s="453"/>
      <c r="N16" s="422">
        <v>15.24</v>
      </c>
      <c r="O16" s="422">
        <v>14.31</v>
      </c>
      <c r="P16" s="422">
        <v>19.34</v>
      </c>
      <c r="Q16" s="436" t="s">
        <v>1632</v>
      </c>
      <c r="R16" s="438"/>
      <c r="S16" s="436" t="s">
        <v>2000</v>
      </c>
      <c r="T16" s="436" t="s">
        <v>1632</v>
      </c>
      <c r="U16" s="436" t="s">
        <v>1633</v>
      </c>
      <c r="V16" s="451"/>
      <c r="W16" s="441">
        <v>0.01</v>
      </c>
      <c r="X16" s="438"/>
      <c r="Y16" s="442">
        <f>IF((W16/((J16/5780)^4))^0.5&gt;0,(W16/((J16/5780)^4))^0.5,"")</f>
        <v>0.3972461356</v>
      </c>
      <c r="Z16" s="442"/>
      <c r="AA16" s="443"/>
      <c r="AB16" s="443"/>
      <c r="AC16" s="436" t="str">
        <f>IF(ISNUMBER(VLOOKUP(B16,'New Masses'!A:C,3,FALSE)),VLOOKUP(B16,'New Masses'!A:C,3,FALSE),"")</f>
        <v/>
      </c>
      <c r="AD16" s="440">
        <f>10^AE16</f>
        <v>0</v>
      </c>
      <c r="AE16" s="437">
        <v>-11.19</v>
      </c>
      <c r="AF16" s="438"/>
      <c r="AG16" s="445">
        <v>0.08</v>
      </c>
      <c r="AH16" s="438"/>
      <c r="AI16" s="446" t="str">
        <f>IF(ISNUMBER(VLOOKUP(B16,'New Masses'!A:C,2, FALSE)),VLOOKUP(B16,'New Masses'!A:C,2, FALSE),"")</f>
        <v/>
      </c>
      <c r="AJ16" s="438"/>
      <c r="AK16" s="437"/>
      <c r="AL16" s="447">
        <v>-4.58</v>
      </c>
      <c r="AM16" s="438"/>
      <c r="AN16" s="436">
        <v>3.0</v>
      </c>
      <c r="AO16" s="438"/>
      <c r="AP16" s="436"/>
      <c r="AQ16" s="436"/>
      <c r="AR16" s="438"/>
      <c r="AS16" s="438"/>
      <c r="AT16" s="438" t="s">
        <v>5916</v>
      </c>
      <c r="AU16" s="438" t="s">
        <v>1639</v>
      </c>
      <c r="AV16" s="438"/>
      <c r="AW16" s="450">
        <v>338.718964874843</v>
      </c>
    </row>
    <row r="17">
      <c r="A17" s="435" t="str">
        <f t="shared" ref="A17:C17" si="8">#REF!</f>
        <v>#REF!</v>
      </c>
      <c r="B17" s="485" t="str">
        <f t="shared" si="8"/>
        <v>#REF!</v>
      </c>
      <c r="C17" s="486" t="str">
        <f t="shared" si="8"/>
        <v>#REF!</v>
      </c>
      <c r="D17" s="486"/>
      <c r="E17" s="486"/>
      <c r="F17" s="528"/>
      <c r="G17" s="486"/>
      <c r="H17" s="486" t="s">
        <v>5917</v>
      </c>
      <c r="I17" s="491"/>
      <c r="J17" s="491"/>
      <c r="K17" s="491"/>
      <c r="L17" s="491"/>
      <c r="M17" s="486"/>
      <c r="N17" s="422"/>
      <c r="O17" s="422"/>
      <c r="P17" s="422"/>
      <c r="Q17" s="486"/>
      <c r="R17" s="491"/>
      <c r="S17" s="491"/>
      <c r="T17" s="491"/>
      <c r="U17" s="491"/>
      <c r="V17" s="491"/>
      <c r="W17" s="493"/>
      <c r="X17" s="486"/>
      <c r="Y17" s="442"/>
      <c r="Z17" s="491"/>
      <c r="AA17" s="524" t="str">
        <f>#REF!</f>
        <v>#REF!</v>
      </c>
      <c r="AB17" s="494"/>
      <c r="AC17" s="436"/>
      <c r="AD17" s="495"/>
      <c r="AE17" s="491"/>
      <c r="AF17" s="491"/>
      <c r="AG17" s="525" t="str">
        <f>#REF!</f>
        <v>#REF!</v>
      </c>
      <c r="AH17" s="491"/>
      <c r="AI17" s="446"/>
      <c r="AJ17" s="491"/>
      <c r="AK17" s="500"/>
      <c r="AL17" s="436"/>
      <c r="AM17" s="438"/>
      <c r="AN17" s="531"/>
      <c r="AO17" s="491"/>
      <c r="AP17" s="438"/>
      <c r="AQ17" s="438"/>
      <c r="AR17" s="438"/>
      <c r="AS17" s="438"/>
      <c r="AT17" s="438"/>
      <c r="AU17" s="438"/>
      <c r="AV17" s="438"/>
      <c r="AW17" s="450" t="str">
        <f>#REF!</f>
        <v>#REF!</v>
      </c>
    </row>
    <row r="18">
      <c r="A18" s="435" t="s">
        <v>1635</v>
      </c>
      <c r="B18" s="436" t="s">
        <v>1636</v>
      </c>
      <c r="C18" s="436"/>
      <c r="D18" s="436" t="s">
        <v>350</v>
      </c>
      <c r="E18" s="436"/>
      <c r="F18" s="436" t="s">
        <v>2172</v>
      </c>
      <c r="G18" s="437" t="s">
        <v>169</v>
      </c>
      <c r="H18" s="437" t="s">
        <v>702</v>
      </c>
      <c r="I18" s="437" t="s">
        <v>1999</v>
      </c>
      <c r="J18" s="437">
        <v>2900.0</v>
      </c>
      <c r="K18" s="438"/>
      <c r="L18" s="438"/>
      <c r="M18" s="453"/>
      <c r="N18" s="422">
        <v>15.46</v>
      </c>
      <c r="O18" s="422">
        <v>14.49</v>
      </c>
      <c r="P18" s="422"/>
      <c r="Q18" s="436" t="s">
        <v>1632</v>
      </c>
      <c r="R18" s="438"/>
      <c r="S18" s="436" t="s">
        <v>2000</v>
      </c>
      <c r="T18" s="436" t="s">
        <v>1632</v>
      </c>
      <c r="U18" s="436" t="s">
        <v>1633</v>
      </c>
      <c r="V18" s="451"/>
      <c r="W18" s="441">
        <v>0.01</v>
      </c>
      <c r="X18" s="438"/>
      <c r="Y18" s="442">
        <f>IF((W18/((J18/5780)^4))^0.5&gt;0,(W18/((J18/5780)^4))^0.5,"")</f>
        <v>0.3972461356</v>
      </c>
      <c r="Z18" s="442"/>
      <c r="AA18" s="443"/>
      <c r="AB18" s="443"/>
      <c r="AC18" s="436" t="str">
        <f>IF(ISNUMBER(VLOOKUP(B18,'New Masses'!A:C,3,FALSE)),VLOOKUP(B18,'New Masses'!A:C,3,FALSE),"")</f>
        <v/>
      </c>
      <c r="AD18" s="440">
        <f>10^AE18</f>
        <v>0</v>
      </c>
      <c r="AE18" s="437">
        <v>-10.86</v>
      </c>
      <c r="AF18" s="438"/>
      <c r="AG18" s="445">
        <v>0.06</v>
      </c>
      <c r="AH18" s="438"/>
      <c r="AI18" s="446" t="str">
        <f>IF(ISNUMBER(VLOOKUP(B18,'New Masses'!A:C,2, FALSE)),VLOOKUP(B18,'New Masses'!A:C,2, FALSE),"")</f>
        <v/>
      </c>
      <c r="AJ18" s="438"/>
      <c r="AK18" s="437"/>
      <c r="AL18" s="447">
        <v>-4.33</v>
      </c>
      <c r="AM18" s="438"/>
      <c r="AN18" s="436">
        <v>3.0</v>
      </c>
      <c r="AO18" s="438"/>
      <c r="AP18" s="454">
        <v>0.81</v>
      </c>
      <c r="AR18" s="454" t="s">
        <v>2173</v>
      </c>
      <c r="AS18" s="454">
        <v>0.21</v>
      </c>
      <c r="AT18" s="438" t="s">
        <v>5916</v>
      </c>
      <c r="AU18" s="438"/>
      <c r="AV18" s="438"/>
      <c r="AW18" s="450"/>
    </row>
    <row r="19">
      <c r="A19" s="435" t="str">
        <f t="shared" ref="A19:C19" si="9">#REF!</f>
        <v>#REF!</v>
      </c>
      <c r="B19" s="485" t="str">
        <f t="shared" si="9"/>
        <v>#REF!</v>
      </c>
      <c r="C19" s="486" t="str">
        <f t="shared" si="9"/>
        <v>#REF!</v>
      </c>
      <c r="D19" s="486"/>
      <c r="E19" s="486"/>
      <c r="F19" s="528"/>
      <c r="G19" s="486"/>
      <c r="H19" s="486" t="s">
        <v>5917</v>
      </c>
      <c r="I19" s="491"/>
      <c r="J19" s="491"/>
      <c r="K19" s="491"/>
      <c r="L19" s="491"/>
      <c r="M19" s="486"/>
      <c r="N19" s="422"/>
      <c r="O19" s="422"/>
      <c r="P19" s="422"/>
      <c r="Q19" s="486"/>
      <c r="R19" s="491"/>
      <c r="S19" s="491"/>
      <c r="T19" s="491"/>
      <c r="U19" s="491"/>
      <c r="V19" s="491"/>
      <c r="W19" s="493"/>
      <c r="X19" s="486"/>
      <c r="Y19" s="442"/>
      <c r="Z19" s="491"/>
      <c r="AA19" s="524" t="str">
        <f>#REF!</f>
        <v>#REF!</v>
      </c>
      <c r="AB19" s="494"/>
      <c r="AC19" s="436"/>
      <c r="AD19" s="495"/>
      <c r="AE19" s="491"/>
      <c r="AF19" s="491"/>
      <c r="AG19" s="525" t="str">
        <f>#REF!</f>
        <v>#REF!</v>
      </c>
      <c r="AH19" s="491"/>
      <c r="AI19" s="446"/>
      <c r="AJ19" s="491"/>
      <c r="AK19" s="500"/>
      <c r="AL19" s="436"/>
      <c r="AM19" s="438"/>
      <c r="AN19" s="531"/>
      <c r="AO19" s="491"/>
      <c r="AP19" s="438"/>
      <c r="AQ19" s="438"/>
      <c r="AR19" s="438"/>
      <c r="AS19" s="438"/>
      <c r="AT19" s="438"/>
      <c r="AU19" s="438"/>
      <c r="AV19" s="438"/>
      <c r="AW19" s="450" t="str">
        <f>#REF!</f>
        <v>#REF!</v>
      </c>
    </row>
    <row r="20">
      <c r="A20" s="419" t="s">
        <v>782</v>
      </c>
      <c r="B20" s="419" t="s">
        <v>783</v>
      </c>
      <c r="C20" s="419"/>
      <c r="D20" s="436" t="s">
        <v>758</v>
      </c>
      <c r="E20" s="436"/>
      <c r="F20" s="436" t="s">
        <v>2174</v>
      </c>
      <c r="G20" s="437" t="s">
        <v>159</v>
      </c>
      <c r="H20" s="436" t="s">
        <v>759</v>
      </c>
      <c r="I20" s="456">
        <v>41609.0</v>
      </c>
      <c r="J20" s="436">
        <v>5888.43655</v>
      </c>
      <c r="K20" s="419">
        <v>700.0</v>
      </c>
      <c r="L20" s="436" t="s">
        <v>772</v>
      </c>
      <c r="M20" s="457">
        <v>1.0</v>
      </c>
      <c r="N20" s="422"/>
      <c r="O20" s="422"/>
      <c r="P20" s="422">
        <v>21.85</v>
      </c>
      <c r="Q20" s="436" t="s">
        <v>2175</v>
      </c>
      <c r="R20" s="436" t="s">
        <v>2176</v>
      </c>
      <c r="S20" s="436" t="s">
        <v>2177</v>
      </c>
      <c r="T20" s="419" t="s">
        <v>162</v>
      </c>
      <c r="U20" s="419" t="s">
        <v>2178</v>
      </c>
      <c r="V20" s="440"/>
      <c r="W20" s="458">
        <v>5.011872336272722</v>
      </c>
      <c r="X20" s="438"/>
      <c r="Y20" s="442">
        <f>IF((W20/((J20/5780)^4))^0.5&gt;0,(W20/((J20/5780)^4))^0.5,"")</f>
        <v>2.157027477</v>
      </c>
      <c r="Z20" s="442"/>
      <c r="AA20" s="443"/>
      <c r="AB20" s="443"/>
      <c r="AC20" s="436" t="str">
        <f>IF(ISNUMBER(VLOOKUP(B20,'New Masses'!A:C,3,FALSE)),VLOOKUP(B20,'New Masses'!A:C,3,FALSE),"")</f>
        <v/>
      </c>
      <c r="AD20" s="451">
        <f>10^(AE20)</f>
        <v>0.0000001096478196</v>
      </c>
      <c r="AE20" s="436">
        <v>-6.96</v>
      </c>
      <c r="AF20" s="438"/>
      <c r="AG20" s="459">
        <v>1.57</v>
      </c>
      <c r="AH20" s="436"/>
      <c r="AI20" s="446" t="str">
        <f>IF(ISNUMBER(VLOOKUP(B20,'New Masses'!A:C,2, FALSE)),VLOOKUP(B20,'New Masses'!A:C,2, FALSE),"")</f>
        <v/>
      </c>
      <c r="AJ20" s="436">
        <f>LOG10(AG20)</f>
        <v>0.1958996524</v>
      </c>
      <c r="AK20" s="437"/>
      <c r="AL20" s="437">
        <v>0.29</v>
      </c>
      <c r="AM20" s="454" t="s">
        <v>2179</v>
      </c>
      <c r="AN20" s="437">
        <v>3.8</v>
      </c>
      <c r="AO20" s="438"/>
      <c r="AP20" s="454">
        <v>5.63</v>
      </c>
      <c r="AQ20" s="438"/>
      <c r="AR20" s="438"/>
      <c r="AS20" s="438"/>
      <c r="AT20" s="438"/>
      <c r="AU20" s="438"/>
      <c r="AV20" s="438"/>
      <c r="AW20" s="450"/>
    </row>
    <row r="21">
      <c r="A21" s="435" t="str">
        <f t="shared" ref="A21:C21" si="10">#REF!</f>
        <v>#REF!</v>
      </c>
      <c r="B21" s="485" t="str">
        <f t="shared" si="10"/>
        <v>#REF!</v>
      </c>
      <c r="C21" s="486" t="str">
        <f t="shared" si="10"/>
        <v>#REF!</v>
      </c>
      <c r="D21" s="486"/>
      <c r="E21" s="486"/>
      <c r="F21" s="528"/>
      <c r="G21" s="486"/>
      <c r="H21" s="486" t="s">
        <v>5917</v>
      </c>
      <c r="I21" s="491"/>
      <c r="J21" s="491"/>
      <c r="K21" s="491"/>
      <c r="L21" s="491"/>
      <c r="M21" s="486"/>
      <c r="N21" s="422"/>
      <c r="O21" s="422"/>
      <c r="P21" s="422"/>
      <c r="Q21" s="486"/>
      <c r="R21" s="491"/>
      <c r="S21" s="491"/>
      <c r="T21" s="491"/>
      <c r="U21" s="491"/>
      <c r="V21" s="491"/>
      <c r="W21" s="493"/>
      <c r="X21" s="486"/>
      <c r="Y21" s="442"/>
      <c r="Z21" s="491"/>
      <c r="AA21" s="524" t="str">
        <f>#REF!</f>
        <v>#REF!</v>
      </c>
      <c r="AB21" s="494"/>
      <c r="AC21" s="436"/>
      <c r="AD21" s="495"/>
      <c r="AE21" s="491"/>
      <c r="AF21" s="491"/>
      <c r="AG21" s="525" t="str">
        <f>#REF!</f>
        <v>#REF!</v>
      </c>
      <c r="AH21" s="491"/>
      <c r="AI21" s="446"/>
      <c r="AJ21" s="491"/>
      <c r="AK21" s="500"/>
      <c r="AL21" s="436"/>
      <c r="AM21" s="438"/>
      <c r="AN21" s="531"/>
      <c r="AO21" s="491"/>
      <c r="AP21" s="438"/>
      <c r="AQ21" s="438"/>
      <c r="AR21" s="438"/>
      <c r="AS21" s="438"/>
      <c r="AT21" s="438"/>
      <c r="AU21" s="438"/>
      <c r="AV21" s="438"/>
      <c r="AW21" s="450" t="str">
        <f>#REF!</f>
        <v>#REF!</v>
      </c>
    </row>
    <row r="22">
      <c r="A22" s="419" t="s">
        <v>764</v>
      </c>
      <c r="B22" s="419" t="s">
        <v>765</v>
      </c>
      <c r="C22" s="419"/>
      <c r="D22" s="436" t="s">
        <v>758</v>
      </c>
      <c r="E22" s="436"/>
      <c r="F22" s="436" t="s">
        <v>2180</v>
      </c>
      <c r="G22" s="437" t="s">
        <v>169</v>
      </c>
      <c r="H22" s="436" t="s">
        <v>759</v>
      </c>
      <c r="I22" s="456">
        <v>41609.0</v>
      </c>
      <c r="J22" s="436">
        <v>4786.30092</v>
      </c>
      <c r="K22" s="419">
        <v>550.0</v>
      </c>
      <c r="L22" s="436" t="s">
        <v>766</v>
      </c>
      <c r="M22" s="457">
        <v>1.0</v>
      </c>
      <c r="N22" s="422"/>
      <c r="O22" s="422"/>
      <c r="P22" s="422">
        <v>18.51</v>
      </c>
      <c r="Q22" s="436" t="s">
        <v>2175</v>
      </c>
      <c r="R22" s="436" t="s">
        <v>2176</v>
      </c>
      <c r="S22" s="436" t="s">
        <v>2177</v>
      </c>
      <c r="T22" s="419" t="s">
        <v>162</v>
      </c>
      <c r="U22" s="419" t="s">
        <v>2178</v>
      </c>
      <c r="V22" s="440"/>
      <c r="W22" s="458">
        <v>2.290867652767773</v>
      </c>
      <c r="X22" s="438"/>
      <c r="Y22" s="442">
        <f>IF((W22/((J22/5780)^4))^0.5&gt;0,(W22/((J22/5780)^4))^0.5,"")</f>
        <v>2.207271102</v>
      </c>
      <c r="Z22" s="442"/>
      <c r="AA22" s="443"/>
      <c r="AB22" s="443"/>
      <c r="AC22" s="436" t="str">
        <f>IF(ISNUMBER(VLOOKUP(B22,'New Masses'!A:C,3,FALSE)),VLOOKUP(B22,'New Masses'!A:C,3,FALSE),"")</f>
        <v/>
      </c>
      <c r="AD22" s="451">
        <f>10^(AE22)</f>
        <v>0.00000002454708916</v>
      </c>
      <c r="AE22" s="436">
        <v>-7.61</v>
      </c>
      <c r="AF22" s="438"/>
      <c r="AG22" s="459">
        <v>0.91</v>
      </c>
      <c r="AH22" s="436"/>
      <c r="AI22" s="446" t="str">
        <f>IF(ISNUMBER(VLOOKUP(B22,'New Masses'!A:C,2, FALSE)),VLOOKUP(B22,'New Masses'!A:C,2, FALSE),"")</f>
        <v/>
      </c>
      <c r="AJ22" s="436">
        <f>LOG10(AG22)</f>
        <v>-0.04095860768</v>
      </c>
      <c r="AK22" s="437"/>
      <c r="AL22" s="437">
        <v>-0.6</v>
      </c>
      <c r="AM22" s="454" t="s">
        <v>2181</v>
      </c>
      <c r="AN22" s="437">
        <v>0.9</v>
      </c>
      <c r="AO22" s="438"/>
      <c r="AP22" s="454">
        <v>2.15</v>
      </c>
      <c r="AQ22" s="438"/>
      <c r="AR22" s="438"/>
      <c r="AS22" s="438"/>
      <c r="AT22" s="438"/>
      <c r="AU22" s="438"/>
      <c r="AV22" s="438"/>
      <c r="AW22" s="450"/>
    </row>
    <row r="23">
      <c r="A23" s="435" t="str">
        <f t="shared" ref="A23:C23" si="11">#REF!</f>
        <v>#REF!</v>
      </c>
      <c r="B23" s="485" t="str">
        <f t="shared" si="11"/>
        <v>#REF!</v>
      </c>
      <c r="C23" s="486" t="str">
        <f t="shared" si="11"/>
        <v>#REF!</v>
      </c>
      <c r="D23" s="486"/>
      <c r="E23" s="486"/>
      <c r="F23" s="528"/>
      <c r="G23" s="486"/>
      <c r="H23" s="486" t="s">
        <v>5917</v>
      </c>
      <c r="I23" s="491"/>
      <c r="J23" s="491"/>
      <c r="K23" s="491"/>
      <c r="L23" s="491"/>
      <c r="M23" s="486"/>
      <c r="N23" s="422"/>
      <c r="O23" s="422"/>
      <c r="P23" s="422"/>
      <c r="Q23" s="486"/>
      <c r="R23" s="491"/>
      <c r="S23" s="491"/>
      <c r="T23" s="491"/>
      <c r="U23" s="491"/>
      <c r="V23" s="491"/>
      <c r="W23" s="493"/>
      <c r="X23" s="486"/>
      <c r="Y23" s="442"/>
      <c r="Z23" s="491"/>
      <c r="AA23" s="524" t="str">
        <f>#REF!</f>
        <v>#REF!</v>
      </c>
      <c r="AB23" s="494"/>
      <c r="AC23" s="436"/>
      <c r="AD23" s="495"/>
      <c r="AE23" s="491"/>
      <c r="AF23" s="491"/>
      <c r="AG23" s="525" t="str">
        <f>#REF!</f>
        <v>#REF!</v>
      </c>
      <c r="AH23" s="491"/>
      <c r="AI23" s="446"/>
      <c r="AJ23" s="491"/>
      <c r="AK23" s="500"/>
      <c r="AL23" s="436"/>
      <c r="AM23" s="438"/>
      <c r="AN23" s="531"/>
      <c r="AO23" s="491"/>
      <c r="AP23" s="438"/>
      <c r="AQ23" s="438"/>
      <c r="AR23" s="438"/>
      <c r="AS23" s="438"/>
      <c r="AT23" s="438"/>
      <c r="AU23" s="438"/>
      <c r="AV23" s="438"/>
      <c r="AW23" s="450" t="str">
        <f>#REF!</f>
        <v>#REF!</v>
      </c>
    </row>
    <row r="24">
      <c r="A24" s="419" t="s">
        <v>1354</v>
      </c>
      <c r="B24" s="436" t="s">
        <v>1989</v>
      </c>
      <c r="C24" s="436"/>
      <c r="D24" s="436" t="s">
        <v>158</v>
      </c>
      <c r="E24" s="436"/>
      <c r="F24" s="436" t="s">
        <v>2186</v>
      </c>
      <c r="G24" s="436" t="s">
        <v>159</v>
      </c>
      <c r="H24" s="436" t="s">
        <v>160</v>
      </c>
      <c r="I24" s="436" t="s">
        <v>1963</v>
      </c>
      <c r="J24" s="436">
        <v>3311.31121</v>
      </c>
      <c r="K24" s="436"/>
      <c r="L24" s="438"/>
      <c r="M24" s="453"/>
      <c r="N24" s="422">
        <v>14.296</v>
      </c>
      <c r="O24" s="422">
        <v>10.565</v>
      </c>
      <c r="P24" s="422"/>
      <c r="Q24" s="436" t="s">
        <v>2183</v>
      </c>
      <c r="R24" s="436" t="s">
        <v>2184</v>
      </c>
      <c r="S24" s="436" t="s">
        <v>1964</v>
      </c>
      <c r="T24" s="419" t="s">
        <v>162</v>
      </c>
      <c r="U24" s="436" t="s">
        <v>2185</v>
      </c>
      <c r="V24" s="451"/>
      <c r="W24" s="458">
        <v>0.5011872336272722</v>
      </c>
      <c r="X24" s="438"/>
      <c r="Y24" s="442">
        <f t="shared" ref="Y24:Y25" si="12">IF((W24/((J24/5780)^4))^0.5&gt;0,(W24/((J24/5780)^4))^0.5,"")</f>
        <v>2.157027481</v>
      </c>
      <c r="Z24" s="442"/>
      <c r="AA24" s="443"/>
      <c r="AB24" s="443"/>
      <c r="AC24" s="436" t="str">
        <f>IF(ISNUMBER(VLOOKUP(B24,'New Masses'!A:C,3,FALSE)),VLOOKUP(B24,'New Masses'!A:C,3,FALSE),"")</f>
        <v/>
      </c>
      <c r="AD24" s="451"/>
      <c r="AE24" s="436"/>
      <c r="AF24" s="438"/>
      <c r="AG24" s="459">
        <f t="shared" ref="AG24:AG25" si="13">10^AJ24</f>
        <v>0.2691534804</v>
      </c>
      <c r="AH24" s="436"/>
      <c r="AI24" s="446" t="str">
        <f>IF(ISNUMBER(VLOOKUP(B24,'New Masses'!A:C,2, FALSE)),VLOOKUP(B24,'New Masses'!A:C,2, FALSE),"")</f>
        <v/>
      </c>
      <c r="AJ24" s="436">
        <v>-0.57</v>
      </c>
      <c r="AK24" s="436"/>
      <c r="AL24" s="436"/>
      <c r="AM24" s="438"/>
      <c r="AN24" s="436">
        <v>1.0</v>
      </c>
      <c r="AO24" s="419" t="s">
        <v>5918</v>
      </c>
      <c r="AP24" s="436"/>
      <c r="AQ24" s="438"/>
      <c r="AR24" s="438"/>
      <c r="AS24" s="420" t="str">
        <f t="shared" ref="AS24:AS25" si="14">VLOOKUP(B24,natta06!A:F,6,FALSE)</f>
        <v>#REF!</v>
      </c>
      <c r="AT24" s="438"/>
      <c r="AU24" s="438"/>
      <c r="AV24" s="438"/>
      <c r="AW24" s="450"/>
    </row>
    <row r="25">
      <c r="A25" s="419" t="s">
        <v>1354</v>
      </c>
      <c r="B25" s="436" t="s">
        <v>1355</v>
      </c>
      <c r="C25" s="436"/>
      <c r="D25" s="436" t="s">
        <v>158</v>
      </c>
      <c r="E25" s="436"/>
      <c r="F25" s="436" t="s">
        <v>2182</v>
      </c>
      <c r="G25" s="436" t="s">
        <v>159</v>
      </c>
      <c r="H25" s="436" t="s">
        <v>160</v>
      </c>
      <c r="I25" s="436" t="s">
        <v>1963</v>
      </c>
      <c r="J25" s="436">
        <v>2884.0315</v>
      </c>
      <c r="K25" s="436"/>
      <c r="L25" s="438"/>
      <c r="M25" s="453"/>
      <c r="N25" s="422">
        <v>14.296</v>
      </c>
      <c r="O25" s="422">
        <v>10.565</v>
      </c>
      <c r="P25" s="422"/>
      <c r="Q25" s="436" t="s">
        <v>2183</v>
      </c>
      <c r="R25" s="436" t="s">
        <v>2184</v>
      </c>
      <c r="S25" s="436" t="s">
        <v>1964</v>
      </c>
      <c r="T25" s="419" t="s">
        <v>162</v>
      </c>
      <c r="U25" s="436" t="s">
        <v>2185</v>
      </c>
      <c r="V25" s="451">
        <v>3.3436E28</v>
      </c>
      <c r="W25" s="458">
        <v>0.16595869074375605</v>
      </c>
      <c r="X25" s="438"/>
      <c r="Y25" s="442">
        <f t="shared" si="12"/>
        <v>1.636272674</v>
      </c>
      <c r="Z25" s="442"/>
      <c r="AA25" s="443"/>
      <c r="AB25" s="443"/>
      <c r="AC25" s="436" t="str">
        <f>IF(ISNUMBER(VLOOKUP(B25,'New Masses'!A:C,3,FALSE)),VLOOKUP(B25,'New Masses'!A:C,3,FALSE),"")</f>
        <v/>
      </c>
      <c r="AD25" s="451">
        <f>10^(AE25)</f>
        <v>0.0000000004168693835</v>
      </c>
      <c r="AE25" s="436">
        <v>-9.38</v>
      </c>
      <c r="AF25" s="438"/>
      <c r="AG25" s="459">
        <f t="shared" si="13"/>
        <v>0.1412537545</v>
      </c>
      <c r="AH25" s="436"/>
      <c r="AI25" s="446" t="str">
        <f>IF(ISNUMBER(VLOOKUP(B25,'New Masses'!A:C,2, FALSE)),VLOOKUP(B25,'New Masses'!A:C,2, FALSE),"")</f>
        <v/>
      </c>
      <c r="AJ25" s="436">
        <v>-0.85</v>
      </c>
      <c r="AK25" s="436"/>
      <c r="AL25" s="436">
        <v>-2.89</v>
      </c>
      <c r="AM25" s="438"/>
      <c r="AN25" s="436">
        <v>1.0</v>
      </c>
      <c r="AO25" s="419" t="s">
        <v>5918</v>
      </c>
      <c r="AP25" s="436"/>
      <c r="AQ25" s="438"/>
      <c r="AR25" s="438"/>
      <c r="AS25" s="420" t="str">
        <f t="shared" si="14"/>
        <v>#REF!</v>
      </c>
      <c r="AT25" s="438" t="s">
        <v>5916</v>
      </c>
      <c r="AU25" s="438"/>
      <c r="AV25" s="438"/>
      <c r="AW25" s="450"/>
    </row>
    <row r="26">
      <c r="A26" s="435" t="str">
        <f t="shared" ref="A26:C26" si="15">#REF!</f>
        <v>#REF!</v>
      </c>
      <c r="B26" s="485" t="str">
        <f t="shared" si="15"/>
        <v>#REF!</v>
      </c>
      <c r="C26" s="486" t="str">
        <f t="shared" si="15"/>
        <v>#REF!</v>
      </c>
      <c r="D26" s="486"/>
      <c r="E26" s="486"/>
      <c r="F26" s="528"/>
      <c r="G26" s="486"/>
      <c r="H26" s="486" t="s">
        <v>5917</v>
      </c>
      <c r="I26" s="491"/>
      <c r="J26" s="491"/>
      <c r="K26" s="491"/>
      <c r="L26" s="491"/>
      <c r="M26" s="486"/>
      <c r="N26" s="422"/>
      <c r="O26" s="422"/>
      <c r="P26" s="422"/>
      <c r="Q26" s="486"/>
      <c r="R26" s="491"/>
      <c r="S26" s="491"/>
      <c r="T26" s="491"/>
      <c r="U26" s="491"/>
      <c r="V26" s="491"/>
      <c r="W26" s="493"/>
      <c r="X26" s="486"/>
      <c r="Y26" s="442"/>
      <c r="Z26" s="491"/>
      <c r="AA26" s="524" t="str">
        <f t="shared" ref="AA26:AA27" si="17">#REF!</f>
        <v>#REF!</v>
      </c>
      <c r="AB26" s="494"/>
      <c r="AC26" s="436"/>
      <c r="AD26" s="495"/>
      <c r="AE26" s="491"/>
      <c r="AF26" s="491"/>
      <c r="AG26" s="525" t="str">
        <f t="shared" ref="AG26:AG27" si="18">#REF!</f>
        <v>#REF!</v>
      </c>
      <c r="AH26" s="491"/>
      <c r="AI26" s="446"/>
      <c r="AJ26" s="491"/>
      <c r="AK26" s="500"/>
      <c r="AL26" s="436"/>
      <c r="AM26" s="438"/>
      <c r="AN26" s="531"/>
      <c r="AO26" s="491"/>
      <c r="AP26" s="438"/>
      <c r="AQ26" s="438"/>
      <c r="AR26" s="438"/>
      <c r="AS26" s="438"/>
      <c r="AT26" s="438"/>
      <c r="AU26" s="438"/>
      <c r="AV26" s="438"/>
      <c r="AW26" s="450" t="str">
        <f t="shared" ref="AW26:AW27" si="19">#REF!</f>
        <v>#REF!</v>
      </c>
    </row>
    <row r="27">
      <c r="A27" s="435" t="str">
        <f t="shared" ref="A27:C27" si="16">#REF!</f>
        <v>#REF!</v>
      </c>
      <c r="B27" s="485" t="str">
        <f t="shared" si="16"/>
        <v>#REF!</v>
      </c>
      <c r="C27" s="486" t="str">
        <f t="shared" si="16"/>
        <v>#REF!</v>
      </c>
      <c r="D27" s="486"/>
      <c r="E27" s="486"/>
      <c r="F27" s="528"/>
      <c r="G27" s="486"/>
      <c r="H27" s="486" t="s">
        <v>5917</v>
      </c>
      <c r="I27" s="491"/>
      <c r="J27" s="491"/>
      <c r="K27" s="491"/>
      <c r="L27" s="491"/>
      <c r="M27" s="486"/>
      <c r="N27" s="422"/>
      <c r="O27" s="422"/>
      <c r="P27" s="422"/>
      <c r="Q27" s="486"/>
      <c r="R27" s="491"/>
      <c r="S27" s="491"/>
      <c r="T27" s="491"/>
      <c r="U27" s="491"/>
      <c r="V27" s="491"/>
      <c r="W27" s="493"/>
      <c r="X27" s="486"/>
      <c r="Y27" s="442"/>
      <c r="Z27" s="491"/>
      <c r="AA27" s="524" t="str">
        <f t="shared" si="17"/>
        <v>#REF!</v>
      </c>
      <c r="AB27" s="494"/>
      <c r="AC27" s="436"/>
      <c r="AD27" s="495"/>
      <c r="AE27" s="491"/>
      <c r="AF27" s="491"/>
      <c r="AG27" s="525" t="str">
        <f t="shared" si="18"/>
        <v>#REF!</v>
      </c>
      <c r="AH27" s="491"/>
      <c r="AI27" s="446"/>
      <c r="AJ27" s="491"/>
      <c r="AK27" s="500"/>
      <c r="AL27" s="436"/>
      <c r="AM27" s="438"/>
      <c r="AN27" s="531"/>
      <c r="AO27" s="491"/>
      <c r="AP27" s="438"/>
      <c r="AQ27" s="438"/>
      <c r="AR27" s="438"/>
      <c r="AS27" s="438"/>
      <c r="AT27" s="438"/>
      <c r="AU27" s="438"/>
      <c r="AV27" s="438"/>
      <c r="AW27" s="450" t="str">
        <f t="shared" si="19"/>
        <v>#REF!</v>
      </c>
    </row>
    <row r="28">
      <c r="A28" s="435" t="s">
        <v>1696</v>
      </c>
      <c r="B28" s="436" t="s">
        <v>1697</v>
      </c>
      <c r="C28" s="436"/>
      <c r="D28" s="436" t="s">
        <v>350</v>
      </c>
      <c r="E28" s="436"/>
      <c r="F28" s="436" t="s">
        <v>2187</v>
      </c>
      <c r="G28" s="437" t="s">
        <v>515</v>
      </c>
      <c r="H28" s="437" t="s">
        <v>702</v>
      </c>
      <c r="I28" s="437" t="s">
        <v>1999</v>
      </c>
      <c r="J28" s="437">
        <v>3300.0</v>
      </c>
      <c r="K28" s="438"/>
      <c r="L28" s="438"/>
      <c r="M28" s="453"/>
      <c r="N28" s="422">
        <v>14.6</v>
      </c>
      <c r="O28" s="422">
        <v>13.78</v>
      </c>
      <c r="P28" s="422">
        <v>17.71</v>
      </c>
      <c r="Q28" s="436" t="s">
        <v>1632</v>
      </c>
      <c r="R28" s="438"/>
      <c r="S28" s="436" t="s">
        <v>2000</v>
      </c>
      <c r="T28" s="436" t="s">
        <v>1632</v>
      </c>
      <c r="U28" s="436" t="s">
        <v>1633</v>
      </c>
      <c r="V28" s="451"/>
      <c r="W28" s="441">
        <v>0.03</v>
      </c>
      <c r="X28" s="438"/>
      <c r="Y28" s="442">
        <f>IF((W28/((J28/5780)^4))^0.5&gt;0,(W28/((J28/5780)^4))^0.5,"")</f>
        <v>0.5313594692</v>
      </c>
      <c r="Z28" s="442"/>
      <c r="AA28" s="443"/>
      <c r="AB28" s="443"/>
      <c r="AC28" s="436" t="str">
        <f>IF(ISNUMBER(VLOOKUP(B28,'New Masses'!A:C,3,FALSE)),VLOOKUP(B28,'New Masses'!A:C,3,FALSE),"")</f>
        <v/>
      </c>
      <c r="AD28" s="440">
        <f>10^AE28</f>
        <v>0</v>
      </c>
      <c r="AE28" s="437">
        <v>-10.71</v>
      </c>
      <c r="AF28" s="438"/>
      <c r="AG28" s="445">
        <v>0.2</v>
      </c>
      <c r="AH28" s="438"/>
      <c r="AI28" s="446" t="str">
        <f>IF(ISNUMBER(VLOOKUP(B28,'New Masses'!A:C,2, FALSE)),VLOOKUP(B28,'New Masses'!A:C,2, FALSE),"")</f>
        <v/>
      </c>
      <c r="AJ28" s="438"/>
      <c r="AK28" s="437"/>
      <c r="AL28" s="447">
        <v>-3.73</v>
      </c>
      <c r="AM28" s="438"/>
      <c r="AN28" s="436">
        <v>3.0</v>
      </c>
      <c r="AO28" s="438"/>
      <c r="AP28" s="436"/>
      <c r="AQ28" s="436"/>
      <c r="AR28" s="438"/>
      <c r="AS28" s="438"/>
      <c r="AT28" s="438" t="s">
        <v>5916</v>
      </c>
      <c r="AU28" s="438" t="s">
        <v>1698</v>
      </c>
      <c r="AV28" s="438"/>
      <c r="AW28" s="450">
        <v>239.320330262055</v>
      </c>
    </row>
    <row r="29">
      <c r="A29" s="435" t="str">
        <f t="shared" ref="A29:C29" si="20">#REF!</f>
        <v>#REF!</v>
      </c>
      <c r="B29" s="485" t="str">
        <f t="shared" si="20"/>
        <v>#REF!</v>
      </c>
      <c r="C29" s="486" t="str">
        <f t="shared" si="20"/>
        <v>#REF!</v>
      </c>
      <c r="D29" s="486"/>
      <c r="E29" s="486"/>
      <c r="F29" s="528"/>
      <c r="G29" s="486"/>
      <c r="H29" s="486" t="s">
        <v>5917</v>
      </c>
      <c r="I29" s="491"/>
      <c r="J29" s="491"/>
      <c r="K29" s="491"/>
      <c r="L29" s="491"/>
      <c r="M29" s="486"/>
      <c r="N29" s="422"/>
      <c r="O29" s="422"/>
      <c r="P29" s="422"/>
      <c r="Q29" s="486"/>
      <c r="R29" s="491"/>
      <c r="S29" s="491"/>
      <c r="T29" s="491"/>
      <c r="U29" s="491"/>
      <c r="V29" s="491"/>
      <c r="W29" s="493"/>
      <c r="X29" s="486"/>
      <c r="Y29" s="442"/>
      <c r="Z29" s="491"/>
      <c r="AA29" s="524" t="str">
        <f>#REF!</f>
        <v>#REF!</v>
      </c>
      <c r="AB29" s="494"/>
      <c r="AC29" s="436"/>
      <c r="AD29" s="495"/>
      <c r="AE29" s="491"/>
      <c r="AF29" s="491"/>
      <c r="AG29" s="525" t="str">
        <f>#REF!</f>
        <v>#REF!</v>
      </c>
      <c r="AH29" s="491"/>
      <c r="AI29" s="446"/>
      <c r="AJ29" s="491"/>
      <c r="AK29" s="500"/>
      <c r="AL29" s="436"/>
      <c r="AM29" s="438"/>
      <c r="AN29" s="531"/>
      <c r="AO29" s="491"/>
      <c r="AP29" s="438"/>
      <c r="AQ29" s="438"/>
      <c r="AR29" s="438"/>
      <c r="AS29" s="438"/>
      <c r="AT29" s="438"/>
      <c r="AU29" s="438"/>
      <c r="AV29" s="438"/>
      <c r="AW29" s="450" t="str">
        <f>#REF!</f>
        <v>#REF!</v>
      </c>
    </row>
    <row r="30">
      <c r="A30" s="435" t="s">
        <v>490</v>
      </c>
      <c r="B30" s="460" t="s">
        <v>491</v>
      </c>
      <c r="C30" s="440"/>
      <c r="D30" s="440" t="s">
        <v>314</v>
      </c>
      <c r="E30" s="440"/>
      <c r="F30" s="451" t="s">
        <v>2188</v>
      </c>
      <c r="G30" s="440" t="s">
        <v>169</v>
      </c>
      <c r="H30" s="440" t="s">
        <v>476</v>
      </c>
      <c r="I30" s="436">
        <v>2015.0</v>
      </c>
      <c r="J30" s="460">
        <v>2935.0</v>
      </c>
      <c r="K30" s="460">
        <v>66.0</v>
      </c>
      <c r="L30" s="460" t="s">
        <v>217</v>
      </c>
      <c r="M30" s="461">
        <v>0.5</v>
      </c>
      <c r="N30" s="422">
        <v>13.74</v>
      </c>
      <c r="O30" s="422">
        <v>12.44</v>
      </c>
      <c r="P30" s="422">
        <v>17.76</v>
      </c>
      <c r="Q30" s="440" t="s">
        <v>2189</v>
      </c>
      <c r="R30" s="451" t="s">
        <v>2190</v>
      </c>
      <c r="S30" s="451" t="s">
        <v>2191</v>
      </c>
      <c r="T30" s="462" t="s">
        <v>162</v>
      </c>
      <c r="U30" s="451" t="s">
        <v>2192</v>
      </c>
      <c r="V30" s="440"/>
      <c r="W30" s="463"/>
      <c r="X30" s="437"/>
      <c r="Y30" s="442" t="str">
        <f>IF((W30/((J30/5780)^4))^0.5&gt;0,(W30/((J30/5780)^4))^0.5,"")</f>
        <v/>
      </c>
      <c r="Z30" s="464"/>
      <c r="AA30" s="465">
        <v>1.03</v>
      </c>
      <c r="AB30" s="465">
        <v>0.27</v>
      </c>
      <c r="AC30" s="436" t="str">
        <f>IF(ISNUMBER(VLOOKUP(B30,'New Masses'!A:C,3,FALSE)),VLOOKUP(B30,'New Masses'!A:C,3,FALSE),"")</f>
        <v/>
      </c>
      <c r="AD30" s="440">
        <f>10^AE30</f>
        <v>0</v>
      </c>
      <c r="AE30" s="451">
        <v>-11.3</v>
      </c>
      <c r="AF30" s="440"/>
      <c r="AG30" s="445">
        <v>0.1</v>
      </c>
      <c r="AH30" s="460">
        <v>0.01</v>
      </c>
      <c r="AI30" s="446" t="str">
        <f>IF(ISNUMBER(VLOOKUP(B30,'New Masses'!A:C,2, FALSE)),VLOOKUP(B30,'New Masses'!A:C,2, FALSE),"")</f>
        <v/>
      </c>
      <c r="AJ30" s="440">
        <f>LOG10(AG30)</f>
        <v>-1</v>
      </c>
      <c r="AK30" s="460"/>
      <c r="AL30" s="460">
        <v>-4.9</v>
      </c>
      <c r="AM30" s="466">
        <v>43900.0</v>
      </c>
      <c r="AN30" s="436">
        <v>3.0</v>
      </c>
      <c r="AO30" s="440"/>
      <c r="AP30" s="440"/>
      <c r="AQ30" s="440"/>
      <c r="AR30" s="440"/>
      <c r="AS30" s="440"/>
      <c r="AT30" s="440" t="s">
        <v>5916</v>
      </c>
      <c r="AU30" s="440"/>
      <c r="AV30" s="440"/>
      <c r="AW30" s="450">
        <v>175.254118471784</v>
      </c>
    </row>
    <row r="31">
      <c r="A31" s="435" t="str">
        <f t="shared" ref="A31:C31" si="21">#REF!</f>
        <v>#REF!</v>
      </c>
      <c r="B31" s="485" t="str">
        <f t="shared" si="21"/>
        <v>#REF!</v>
      </c>
      <c r="C31" s="486" t="str">
        <f t="shared" si="21"/>
        <v>#REF!</v>
      </c>
      <c r="D31" s="486"/>
      <c r="E31" s="486"/>
      <c r="F31" s="528"/>
      <c r="G31" s="486"/>
      <c r="H31" s="486" t="s">
        <v>5917</v>
      </c>
      <c r="I31" s="491"/>
      <c r="J31" s="491"/>
      <c r="K31" s="491"/>
      <c r="L31" s="491"/>
      <c r="M31" s="486"/>
      <c r="N31" s="422"/>
      <c r="O31" s="422"/>
      <c r="P31" s="422"/>
      <c r="Q31" s="486"/>
      <c r="R31" s="491"/>
      <c r="S31" s="491"/>
      <c r="T31" s="491"/>
      <c r="U31" s="491"/>
      <c r="V31" s="491"/>
      <c r="W31" s="493"/>
      <c r="X31" s="486"/>
      <c r="Y31" s="442"/>
      <c r="Z31" s="491"/>
      <c r="AA31" s="524" t="str">
        <f>#REF!</f>
        <v>#REF!</v>
      </c>
      <c r="AB31" s="494"/>
      <c r="AC31" s="436"/>
      <c r="AD31" s="495"/>
      <c r="AE31" s="491"/>
      <c r="AF31" s="491"/>
      <c r="AG31" s="525" t="str">
        <f>#REF!</f>
        <v>#REF!</v>
      </c>
      <c r="AH31" s="491"/>
      <c r="AI31" s="446"/>
      <c r="AJ31" s="491"/>
      <c r="AK31" s="500"/>
      <c r="AL31" s="436"/>
      <c r="AM31" s="438"/>
      <c r="AN31" s="531"/>
      <c r="AO31" s="491"/>
      <c r="AP31" s="438"/>
      <c r="AQ31" s="438"/>
      <c r="AR31" s="438"/>
      <c r="AS31" s="438"/>
      <c r="AT31" s="438"/>
      <c r="AU31" s="438"/>
      <c r="AV31" s="438"/>
      <c r="AW31" s="450" t="str">
        <f>#REF!</f>
        <v>#REF!</v>
      </c>
    </row>
    <row r="32">
      <c r="A32" s="419" t="s">
        <v>630</v>
      </c>
      <c r="B32" s="436"/>
      <c r="C32" s="420"/>
      <c r="D32" s="420" t="s">
        <v>268</v>
      </c>
      <c r="E32" s="420"/>
      <c r="F32" s="420" t="s">
        <v>2193</v>
      </c>
      <c r="G32" s="420" t="s">
        <v>169</v>
      </c>
      <c r="H32" s="420" t="s">
        <v>598</v>
      </c>
      <c r="I32" s="467">
        <v>37985.0</v>
      </c>
      <c r="J32" s="436">
        <v>2752.0</v>
      </c>
      <c r="K32" s="436"/>
      <c r="L32" s="420" t="s">
        <v>334</v>
      </c>
      <c r="M32" s="429"/>
      <c r="N32" s="422">
        <v>13.342</v>
      </c>
      <c r="O32" s="422">
        <v>12.174</v>
      </c>
      <c r="P32" s="422"/>
      <c r="Q32" s="420" t="s">
        <v>2194</v>
      </c>
      <c r="R32" s="420" t="s">
        <v>2195</v>
      </c>
      <c r="S32" s="420" t="s">
        <v>2196</v>
      </c>
      <c r="T32" s="420" t="s">
        <v>596</v>
      </c>
      <c r="U32" s="420" t="s">
        <v>597</v>
      </c>
      <c r="V32" s="440"/>
      <c r="W32" s="468"/>
      <c r="X32" s="436"/>
      <c r="Y32" s="442" t="str">
        <f t="shared" ref="Y32:Y34" si="22">IF((W32/((J32/5780)^4))^0.5&gt;0,(W32/((J32/5780)^4))^0.5,"")</f>
        <v/>
      </c>
      <c r="Z32" s="469"/>
      <c r="AA32" s="470">
        <v>0.5</v>
      </c>
      <c r="AB32" s="470"/>
      <c r="AC32" s="436" t="str">
        <f>IF(ISNUMBER(VLOOKUP(B32,'New Masses'!A:C,3,FALSE)),VLOOKUP(B32,'New Masses'!A:C,3,FALSE),"")</f>
        <v/>
      </c>
      <c r="AD32" s="440">
        <f>10^AE32</f>
        <v>0</v>
      </c>
      <c r="AE32" s="436">
        <v>-11.3</v>
      </c>
      <c r="AF32" s="438"/>
      <c r="AG32" s="459">
        <v>0.035</v>
      </c>
      <c r="AH32" s="436"/>
      <c r="AI32" s="446" t="str">
        <f>IF(ISNUMBER(VLOOKUP(B32,'New Masses'!A:C,2, FALSE)),VLOOKUP(B32,'New Masses'!A:C,2, FALSE),"")</f>
        <v/>
      </c>
      <c r="AJ32" s="436"/>
      <c r="AK32" s="438"/>
      <c r="AL32" s="438"/>
      <c r="AM32" s="438"/>
      <c r="AN32" s="436">
        <v>2.0</v>
      </c>
      <c r="AO32" s="438"/>
      <c r="AP32" s="436">
        <v>0.2</v>
      </c>
      <c r="AQ32" s="438"/>
      <c r="AR32" s="420" t="s">
        <v>2197</v>
      </c>
      <c r="AS32" s="420"/>
      <c r="AT32" s="438"/>
      <c r="AU32" s="438"/>
      <c r="AV32" s="420" t="s">
        <v>2198</v>
      </c>
      <c r="AW32" s="450">
        <v>196.803904589467</v>
      </c>
    </row>
    <row r="33">
      <c r="A33" s="419" t="s">
        <v>630</v>
      </c>
      <c r="B33" s="419" t="s">
        <v>630</v>
      </c>
      <c r="C33" s="421" t="s">
        <v>631</v>
      </c>
      <c r="D33" s="420" t="s">
        <v>268</v>
      </c>
      <c r="E33" s="420"/>
      <c r="F33" s="420" t="s">
        <v>2193</v>
      </c>
      <c r="G33" s="420" t="s">
        <v>169</v>
      </c>
      <c r="H33" s="420" t="s">
        <v>269</v>
      </c>
      <c r="I33" s="420" t="s">
        <v>2199</v>
      </c>
      <c r="J33" s="436">
        <v>2770.0</v>
      </c>
      <c r="K33" s="421">
        <v>150.0</v>
      </c>
      <c r="L33" s="420" t="s">
        <v>232</v>
      </c>
      <c r="M33" s="422">
        <v>0.5</v>
      </c>
      <c r="N33" s="422">
        <v>13.342</v>
      </c>
      <c r="O33" s="422">
        <v>12.174</v>
      </c>
      <c r="P33" s="422"/>
      <c r="Q33" s="420" t="s">
        <v>2200</v>
      </c>
      <c r="R33" s="420" t="s">
        <v>2176</v>
      </c>
      <c r="S33" s="420" t="s">
        <v>2201</v>
      </c>
      <c r="T33" s="420" t="s">
        <v>596</v>
      </c>
      <c r="U33" s="420" t="s">
        <v>597</v>
      </c>
      <c r="V33" s="440"/>
      <c r="W33" s="458">
        <v>0.01096478196143185</v>
      </c>
      <c r="X33" s="454">
        <v>0.0105</v>
      </c>
      <c r="Y33" s="442">
        <f t="shared" si="22"/>
        <v>0.455927868</v>
      </c>
      <c r="Z33" s="442"/>
      <c r="AA33" s="443"/>
      <c r="AB33" s="443"/>
      <c r="AC33" s="436" t="str">
        <f>IF(ISNUMBER(VLOOKUP(B33,'New Masses'!A:C,3,FALSE)),VLOOKUP(B33,'New Masses'!A:C,3,FALSE),"")</f>
        <v/>
      </c>
      <c r="AD33" s="451">
        <f>(10^-12)</f>
        <v>0</v>
      </c>
      <c r="AE33" s="436">
        <f t="shared" ref="AE33:AE34" si="23">LOG10(AD33)</f>
        <v>-12</v>
      </c>
      <c r="AF33" s="438"/>
      <c r="AG33" s="459">
        <f>40*0.0009543</f>
        <v>0.038172</v>
      </c>
      <c r="AH33" s="420"/>
      <c r="AI33" s="446">
        <f>IF(ISNUMBER(VLOOKUP(C33,'New Masses'!A:C,2, FALSE)),VLOOKUP(C33,'New Masses'!A:C,2, FALSE),"")</f>
        <v>0.028415</v>
      </c>
      <c r="AJ33" s="420"/>
      <c r="AK33" s="438"/>
      <c r="AL33" s="438"/>
      <c r="AM33" s="438"/>
      <c r="AN33" s="436">
        <v>2.0</v>
      </c>
      <c r="AO33" s="438"/>
      <c r="AP33" s="436">
        <v>0.2</v>
      </c>
      <c r="AQ33" s="420"/>
      <c r="AR33" s="420" t="s">
        <v>2197</v>
      </c>
      <c r="AS33" s="420"/>
      <c r="AT33" s="420" t="s">
        <v>5916</v>
      </c>
      <c r="AU33" s="438"/>
      <c r="AV33" s="438"/>
      <c r="AW33" s="450">
        <v>196.803904589467</v>
      </c>
    </row>
    <row r="34">
      <c r="A34" s="419" t="s">
        <v>630</v>
      </c>
      <c r="B34" s="419" t="s">
        <v>630</v>
      </c>
      <c r="C34" s="421" t="s">
        <v>631</v>
      </c>
      <c r="D34" s="420" t="s">
        <v>268</v>
      </c>
      <c r="E34" s="420"/>
      <c r="F34" s="420" t="s">
        <v>2193</v>
      </c>
      <c r="G34" s="420" t="s">
        <v>169</v>
      </c>
      <c r="H34" s="420" t="s">
        <v>269</v>
      </c>
      <c r="I34" s="420" t="s">
        <v>2199</v>
      </c>
      <c r="J34" s="436">
        <v>2770.0</v>
      </c>
      <c r="K34" s="421">
        <v>150.0</v>
      </c>
      <c r="L34" s="420" t="s">
        <v>232</v>
      </c>
      <c r="M34" s="422">
        <v>0.5</v>
      </c>
      <c r="N34" s="422">
        <v>13.342</v>
      </c>
      <c r="O34" s="422">
        <v>12.174</v>
      </c>
      <c r="P34" s="422"/>
      <c r="Q34" s="420" t="s">
        <v>2200</v>
      </c>
      <c r="R34" s="420" t="s">
        <v>2176</v>
      </c>
      <c r="S34" s="420" t="s">
        <v>2201</v>
      </c>
      <c r="T34" s="421" t="s">
        <v>162</v>
      </c>
      <c r="U34" s="420" t="s">
        <v>1965</v>
      </c>
      <c r="V34" s="440"/>
      <c r="W34" s="458">
        <v>0.01096478196143185</v>
      </c>
      <c r="X34" s="454">
        <v>0.0105</v>
      </c>
      <c r="Y34" s="442">
        <f t="shared" si="22"/>
        <v>0.455927868</v>
      </c>
      <c r="Z34" s="442"/>
      <c r="AA34" s="443"/>
      <c r="AB34" s="443"/>
      <c r="AC34" s="436" t="str">
        <f>IF(ISNUMBER(VLOOKUP(B34,'New Masses'!A:C,3,FALSE)),VLOOKUP(B34,'New Masses'!A:C,3,FALSE),"")</f>
        <v/>
      </c>
      <c r="AD34" s="451">
        <f>(10^-11.4)</f>
        <v>0</v>
      </c>
      <c r="AE34" s="436">
        <f t="shared" si="23"/>
        <v>-11.4</v>
      </c>
      <c r="AF34" s="438"/>
      <c r="AG34" s="459">
        <f>0.0009543*40</f>
        <v>0.038172</v>
      </c>
      <c r="AH34" s="420"/>
      <c r="AI34" s="446">
        <f>IF(ISNUMBER(VLOOKUP(C34,'New Masses'!A:C,2, FALSE)),VLOOKUP(C34,'New Masses'!A:C,2, FALSE),"")</f>
        <v>0.028415</v>
      </c>
      <c r="AJ34" s="420"/>
      <c r="AK34" s="438"/>
      <c r="AL34" s="438"/>
      <c r="AM34" s="438"/>
      <c r="AN34" s="436">
        <v>2.0</v>
      </c>
      <c r="AO34" s="438"/>
      <c r="AP34" s="436">
        <v>0.2</v>
      </c>
      <c r="AQ34" s="438"/>
      <c r="AR34" s="420" t="s">
        <v>2197</v>
      </c>
      <c r="AS34" s="420"/>
      <c r="AT34" s="438"/>
      <c r="AU34" s="438"/>
      <c r="AV34" s="438"/>
      <c r="AW34" s="450">
        <v>196.803904589467</v>
      </c>
    </row>
    <row r="35">
      <c r="A35" s="435" t="str">
        <f t="shared" ref="A35:C35" si="24">#REF!</f>
        <v>#REF!</v>
      </c>
      <c r="B35" s="485" t="str">
        <f t="shared" si="24"/>
        <v>#REF!</v>
      </c>
      <c r="C35" s="486" t="str">
        <f t="shared" si="24"/>
        <v>#REF!</v>
      </c>
      <c r="D35" s="486"/>
      <c r="E35" s="486"/>
      <c r="F35" s="528"/>
      <c r="G35" s="486"/>
      <c r="H35" s="486" t="s">
        <v>5917</v>
      </c>
      <c r="I35" s="491"/>
      <c r="J35" s="491"/>
      <c r="K35" s="491"/>
      <c r="L35" s="491"/>
      <c r="M35" s="486"/>
      <c r="N35" s="422"/>
      <c r="O35" s="422"/>
      <c r="P35" s="422"/>
      <c r="Q35" s="486"/>
      <c r="R35" s="491"/>
      <c r="S35" s="491"/>
      <c r="T35" s="491"/>
      <c r="U35" s="491"/>
      <c r="V35" s="491"/>
      <c r="W35" s="493"/>
      <c r="X35" s="486"/>
      <c r="Y35" s="442"/>
      <c r="Z35" s="491"/>
      <c r="AA35" s="524" t="str">
        <f t="shared" ref="AA35:AA37" si="26">#REF!</f>
        <v>#REF!</v>
      </c>
      <c r="AB35" s="494"/>
      <c r="AC35" s="436"/>
      <c r="AD35" s="495"/>
      <c r="AE35" s="491"/>
      <c r="AF35" s="491"/>
      <c r="AG35" s="525" t="str">
        <f t="shared" ref="AG35:AG37" si="27">#REF!</f>
        <v>#REF!</v>
      </c>
      <c r="AH35" s="491"/>
      <c r="AI35" s="446"/>
      <c r="AJ35" s="491"/>
      <c r="AK35" s="500"/>
      <c r="AL35" s="436"/>
      <c r="AM35" s="438"/>
      <c r="AN35" s="531"/>
      <c r="AO35" s="491"/>
      <c r="AP35" s="438"/>
      <c r="AQ35" s="438"/>
      <c r="AR35" s="438"/>
      <c r="AS35" s="438"/>
      <c r="AT35" s="438"/>
      <c r="AU35" s="438"/>
      <c r="AV35" s="438"/>
      <c r="AW35" s="450" t="str">
        <f t="shared" ref="AW35:AW37" si="28">#REF!</f>
        <v>#REF!</v>
      </c>
    </row>
    <row r="36">
      <c r="A36" s="435" t="str">
        <f t="shared" ref="A36:C36" si="25">#REF!</f>
        <v>#REF!</v>
      </c>
      <c r="B36" s="485" t="str">
        <f t="shared" si="25"/>
        <v>#REF!</v>
      </c>
      <c r="C36" s="486" t="str">
        <f t="shared" si="25"/>
        <v>#REF!</v>
      </c>
      <c r="D36" s="486"/>
      <c r="E36" s="486"/>
      <c r="F36" s="528"/>
      <c r="G36" s="486"/>
      <c r="H36" s="486" t="s">
        <v>5917</v>
      </c>
      <c r="I36" s="491"/>
      <c r="J36" s="491"/>
      <c r="K36" s="491"/>
      <c r="L36" s="491"/>
      <c r="M36" s="486"/>
      <c r="N36" s="422"/>
      <c r="O36" s="422"/>
      <c r="P36" s="422"/>
      <c r="Q36" s="486"/>
      <c r="R36" s="491"/>
      <c r="S36" s="491"/>
      <c r="T36" s="491"/>
      <c r="U36" s="491"/>
      <c r="V36" s="491"/>
      <c r="W36" s="493"/>
      <c r="X36" s="486"/>
      <c r="Y36" s="442"/>
      <c r="Z36" s="491"/>
      <c r="AA36" s="524" t="str">
        <f t="shared" si="26"/>
        <v>#REF!</v>
      </c>
      <c r="AB36" s="494"/>
      <c r="AC36" s="436"/>
      <c r="AD36" s="495"/>
      <c r="AE36" s="491"/>
      <c r="AF36" s="491"/>
      <c r="AG36" s="525" t="str">
        <f t="shared" si="27"/>
        <v>#REF!</v>
      </c>
      <c r="AH36" s="491"/>
      <c r="AI36" s="446"/>
      <c r="AJ36" s="491"/>
      <c r="AK36" s="500"/>
      <c r="AL36" s="436"/>
      <c r="AM36" s="438"/>
      <c r="AN36" s="531"/>
      <c r="AO36" s="491"/>
      <c r="AP36" s="438"/>
      <c r="AQ36" s="438"/>
      <c r="AR36" s="438"/>
      <c r="AS36" s="438"/>
      <c r="AT36" s="438"/>
      <c r="AU36" s="438"/>
      <c r="AV36" s="438"/>
      <c r="AW36" s="450" t="str">
        <f t="shared" si="28"/>
        <v>#REF!</v>
      </c>
    </row>
    <row r="37">
      <c r="A37" s="435" t="str">
        <f t="shared" ref="A37:C37" si="29">#REF!</f>
        <v>#REF!</v>
      </c>
      <c r="B37" s="485" t="str">
        <f t="shared" si="29"/>
        <v>#REF!</v>
      </c>
      <c r="C37" s="486" t="str">
        <f t="shared" si="29"/>
        <v>#REF!</v>
      </c>
      <c r="D37" s="486"/>
      <c r="E37" s="486"/>
      <c r="F37" s="528"/>
      <c r="G37" s="486"/>
      <c r="H37" s="486" t="s">
        <v>5917</v>
      </c>
      <c r="I37" s="491"/>
      <c r="J37" s="491"/>
      <c r="K37" s="491"/>
      <c r="L37" s="491"/>
      <c r="M37" s="486"/>
      <c r="N37" s="422"/>
      <c r="O37" s="422"/>
      <c r="P37" s="422"/>
      <c r="Q37" s="486"/>
      <c r="R37" s="491"/>
      <c r="S37" s="491"/>
      <c r="T37" s="491"/>
      <c r="U37" s="491"/>
      <c r="V37" s="491"/>
      <c r="W37" s="493"/>
      <c r="X37" s="486"/>
      <c r="Y37" s="442"/>
      <c r="Z37" s="491"/>
      <c r="AA37" s="524" t="str">
        <f t="shared" si="26"/>
        <v>#REF!</v>
      </c>
      <c r="AB37" s="494"/>
      <c r="AC37" s="436"/>
      <c r="AD37" s="495"/>
      <c r="AE37" s="491"/>
      <c r="AF37" s="491"/>
      <c r="AG37" s="525" t="str">
        <f t="shared" si="27"/>
        <v>#REF!</v>
      </c>
      <c r="AH37" s="491"/>
      <c r="AI37" s="446"/>
      <c r="AJ37" s="491"/>
      <c r="AK37" s="500"/>
      <c r="AL37" s="436"/>
      <c r="AM37" s="438"/>
      <c r="AN37" s="531"/>
      <c r="AO37" s="491"/>
      <c r="AP37" s="438"/>
      <c r="AQ37" s="438"/>
      <c r="AR37" s="438"/>
      <c r="AS37" s="438"/>
      <c r="AT37" s="438"/>
      <c r="AU37" s="438"/>
      <c r="AV37" s="438"/>
      <c r="AW37" s="450" t="str">
        <f t="shared" si="28"/>
        <v>#REF!</v>
      </c>
    </row>
    <row r="38">
      <c r="A38" s="419" t="s">
        <v>667</v>
      </c>
      <c r="B38" s="436" t="s">
        <v>668</v>
      </c>
      <c r="C38" s="420"/>
      <c r="D38" s="420" t="s">
        <v>268</v>
      </c>
      <c r="E38" s="420"/>
      <c r="F38" s="420" t="s">
        <v>2202</v>
      </c>
      <c r="G38" s="420" t="s">
        <v>169</v>
      </c>
      <c r="H38" s="420" t="s">
        <v>598</v>
      </c>
      <c r="I38" s="467">
        <v>37985.0</v>
      </c>
      <c r="J38" s="436">
        <v>2962.0</v>
      </c>
      <c r="K38" s="436"/>
      <c r="L38" s="420" t="s">
        <v>642</v>
      </c>
      <c r="M38" s="429"/>
      <c r="N38" s="422">
        <v>14.31</v>
      </c>
      <c r="O38" s="422">
        <v>13.242</v>
      </c>
      <c r="P38" s="422"/>
      <c r="Q38" s="420" t="s">
        <v>2194</v>
      </c>
      <c r="R38" s="420" t="s">
        <v>2195</v>
      </c>
      <c r="S38" s="420" t="s">
        <v>2196</v>
      </c>
      <c r="T38" s="420" t="s">
        <v>596</v>
      </c>
      <c r="U38" s="420" t="s">
        <v>597</v>
      </c>
      <c r="V38" s="440"/>
      <c r="W38" s="468"/>
      <c r="X38" s="436"/>
      <c r="Y38" s="442" t="str">
        <f>IF((W38/((J38/5780)^4))^0.5&gt;0,(W38/((J38/5780)^4))^0.5,"")</f>
        <v/>
      </c>
      <c r="Z38" s="469"/>
      <c r="AA38" s="470">
        <v>0.36</v>
      </c>
      <c r="AB38" s="470"/>
      <c r="AC38" s="469">
        <f>IF(ISNUMBER(VLOOKUP(B38,'New Masses'!A:C,3,FALSE)),VLOOKUP(B38,'New Masses'!A:C,3,FALSE),"")</f>
        <v>0.586907</v>
      </c>
      <c r="AD38" s="440">
        <f>10^AE38</f>
        <v>0</v>
      </c>
      <c r="AE38" s="436">
        <v>-12.0</v>
      </c>
      <c r="AF38" s="438"/>
      <c r="AG38" s="459">
        <v>0.07</v>
      </c>
      <c r="AH38" s="436"/>
      <c r="AI38" s="446">
        <f>IF(ISNUMBER(VLOOKUP(B38,'New Masses'!A:C,2, FALSE)),VLOOKUP(B38,'New Masses'!A:C,2, FALSE),"")</f>
        <v>0.051704</v>
      </c>
      <c r="AJ38" s="436"/>
      <c r="AK38" s="438"/>
      <c r="AL38" s="438"/>
      <c r="AM38" s="438"/>
      <c r="AN38" s="436">
        <v>2.0</v>
      </c>
      <c r="AO38" s="438"/>
      <c r="AP38" s="436">
        <v>0.1</v>
      </c>
      <c r="AQ38" s="420"/>
      <c r="AR38" s="420" t="s">
        <v>2197</v>
      </c>
      <c r="AS38" s="420"/>
      <c r="AT38" s="420" t="s">
        <v>5916</v>
      </c>
      <c r="AU38" s="438"/>
      <c r="AV38" s="438"/>
      <c r="AW38" s="450">
        <v>194.768517616812</v>
      </c>
    </row>
    <row r="39">
      <c r="A39" s="435" t="str">
        <f t="shared" ref="A39:C39" si="30">#REF!</f>
        <v>#REF!</v>
      </c>
      <c r="B39" s="485" t="str">
        <f t="shared" si="30"/>
        <v>#REF!</v>
      </c>
      <c r="C39" s="486" t="str">
        <f t="shared" si="30"/>
        <v>#REF!</v>
      </c>
      <c r="D39" s="486"/>
      <c r="E39" s="486"/>
      <c r="F39" s="528"/>
      <c r="G39" s="486"/>
      <c r="H39" s="486" t="s">
        <v>5917</v>
      </c>
      <c r="I39" s="491"/>
      <c r="J39" s="491"/>
      <c r="K39" s="491"/>
      <c r="L39" s="491"/>
      <c r="M39" s="486"/>
      <c r="N39" s="422"/>
      <c r="O39" s="422"/>
      <c r="P39" s="422"/>
      <c r="Q39" s="486"/>
      <c r="R39" s="491"/>
      <c r="S39" s="491"/>
      <c r="T39" s="491"/>
      <c r="U39" s="491"/>
      <c r="V39" s="491"/>
      <c r="W39" s="493"/>
      <c r="X39" s="486"/>
      <c r="Y39" s="442"/>
      <c r="Z39" s="491"/>
      <c r="AA39" s="524" t="str">
        <f>#REF!</f>
        <v>#REF!</v>
      </c>
      <c r="AB39" s="494"/>
      <c r="AC39" s="436"/>
      <c r="AD39" s="495"/>
      <c r="AE39" s="491"/>
      <c r="AF39" s="491"/>
      <c r="AG39" s="525" t="str">
        <f>#REF!</f>
        <v>#REF!</v>
      </c>
      <c r="AH39" s="491"/>
      <c r="AI39" s="446"/>
      <c r="AJ39" s="491"/>
      <c r="AK39" s="500"/>
      <c r="AL39" s="436"/>
      <c r="AM39" s="438"/>
      <c r="AN39" s="531"/>
      <c r="AO39" s="491"/>
      <c r="AP39" s="438"/>
      <c r="AQ39" s="438"/>
      <c r="AR39" s="438"/>
      <c r="AS39" s="438"/>
      <c r="AT39" s="438"/>
      <c r="AU39" s="438"/>
      <c r="AV39" s="438"/>
      <c r="AW39" s="450" t="str">
        <f>#REF!</f>
        <v>#REF!</v>
      </c>
    </row>
    <row r="40">
      <c r="A40" s="419" t="s">
        <v>655</v>
      </c>
      <c r="B40" s="436" t="s">
        <v>656</v>
      </c>
      <c r="C40" s="420"/>
      <c r="D40" s="420" t="s">
        <v>268</v>
      </c>
      <c r="E40" s="420"/>
      <c r="F40" s="420" t="s">
        <v>2203</v>
      </c>
      <c r="G40" s="420" t="s">
        <v>169</v>
      </c>
      <c r="H40" s="420" t="s">
        <v>598</v>
      </c>
      <c r="I40" s="467">
        <v>37985.0</v>
      </c>
      <c r="J40" s="436">
        <v>2838.0</v>
      </c>
      <c r="K40" s="436"/>
      <c r="L40" s="420" t="s">
        <v>237</v>
      </c>
      <c r="M40" s="429"/>
      <c r="N40" s="422">
        <v>14.586</v>
      </c>
      <c r="O40" s="422">
        <v>13.545</v>
      </c>
      <c r="P40" s="422"/>
      <c r="Q40" s="420" t="s">
        <v>2194</v>
      </c>
      <c r="R40" s="420" t="s">
        <v>2195</v>
      </c>
      <c r="S40" s="420" t="s">
        <v>2196</v>
      </c>
      <c r="T40" s="420" t="s">
        <v>596</v>
      </c>
      <c r="U40" s="420" t="s">
        <v>597</v>
      </c>
      <c r="V40" s="440"/>
      <c r="W40" s="468"/>
      <c r="X40" s="436"/>
      <c r="Y40" s="442" t="str">
        <f>IF((W40/((J40/5780)^4))^0.5&gt;0,(W40/((J40/5780)^4))^0.5,"")</f>
        <v/>
      </c>
      <c r="Z40" s="469"/>
      <c r="AA40" s="470">
        <v>0.28</v>
      </c>
      <c r="AB40" s="470"/>
      <c r="AC40" s="469">
        <f>IF(ISNUMBER(VLOOKUP(B40,'New Masses'!A:C,3,FALSE)),VLOOKUP(B40,'New Masses'!A:C,3,FALSE),"")</f>
        <v>0.432801</v>
      </c>
      <c r="AD40" s="440">
        <f>10^AE40</f>
        <v>0</v>
      </c>
      <c r="AE40" s="436">
        <v>-11.0</v>
      </c>
      <c r="AF40" s="438"/>
      <c r="AG40" s="459">
        <v>0.055</v>
      </c>
      <c r="AH40" s="436"/>
      <c r="AI40" s="446">
        <f>IF(ISNUMBER(VLOOKUP(B40,'New Masses'!A:C,2, FALSE)),VLOOKUP(B40,'New Masses'!A:C,2, FALSE),"")</f>
        <v>0.034934</v>
      </c>
      <c r="AJ40" s="436"/>
      <c r="AK40" s="438"/>
      <c r="AL40" s="438"/>
      <c r="AM40" s="438"/>
      <c r="AN40" s="436">
        <v>2.0</v>
      </c>
      <c r="AO40" s="438"/>
      <c r="AP40" s="436">
        <v>0.0</v>
      </c>
      <c r="AQ40" s="438"/>
      <c r="AR40" s="420" t="s">
        <v>2197</v>
      </c>
      <c r="AS40" s="420"/>
      <c r="AT40" s="438"/>
      <c r="AU40" s="438"/>
      <c r="AV40" s="438"/>
      <c r="AW40" s="450">
        <v>189.605809522003</v>
      </c>
    </row>
    <row r="41">
      <c r="A41" s="435" t="str">
        <f t="shared" ref="A41:C41" si="31">#REF!</f>
        <v>#REF!</v>
      </c>
      <c r="B41" s="485" t="str">
        <f t="shared" si="31"/>
        <v>#REF!</v>
      </c>
      <c r="C41" s="486" t="str">
        <f t="shared" si="31"/>
        <v>#REF!</v>
      </c>
      <c r="D41" s="486"/>
      <c r="E41" s="486"/>
      <c r="F41" s="528"/>
      <c r="G41" s="486"/>
      <c r="H41" s="486" t="s">
        <v>5917</v>
      </c>
      <c r="I41" s="491"/>
      <c r="J41" s="491"/>
      <c r="K41" s="491"/>
      <c r="L41" s="491"/>
      <c r="M41" s="486"/>
      <c r="N41" s="422"/>
      <c r="O41" s="422"/>
      <c r="P41" s="422"/>
      <c r="Q41" s="486"/>
      <c r="R41" s="491"/>
      <c r="S41" s="491"/>
      <c r="T41" s="491"/>
      <c r="U41" s="491"/>
      <c r="V41" s="491"/>
      <c r="W41" s="493"/>
      <c r="X41" s="486"/>
      <c r="Y41" s="442"/>
      <c r="Z41" s="491"/>
      <c r="AA41" s="524" t="str">
        <f>#REF!</f>
        <v>#REF!</v>
      </c>
      <c r="AB41" s="494"/>
      <c r="AC41" s="436"/>
      <c r="AD41" s="495"/>
      <c r="AE41" s="491"/>
      <c r="AF41" s="491"/>
      <c r="AG41" s="525" t="str">
        <f>#REF!</f>
        <v>#REF!</v>
      </c>
      <c r="AH41" s="491"/>
      <c r="AI41" s="446"/>
      <c r="AJ41" s="491"/>
      <c r="AK41" s="500"/>
      <c r="AL41" s="436"/>
      <c r="AM41" s="438"/>
      <c r="AN41" s="531"/>
      <c r="AO41" s="491"/>
      <c r="AP41" s="438"/>
      <c r="AQ41" s="438"/>
      <c r="AR41" s="438"/>
      <c r="AS41" s="438"/>
      <c r="AT41" s="438"/>
      <c r="AU41" s="438"/>
      <c r="AV41" s="438"/>
      <c r="AW41" s="450" t="str">
        <f>#REF!</f>
        <v>#REF!</v>
      </c>
    </row>
    <row r="42">
      <c r="A42" s="419" t="s">
        <v>670</v>
      </c>
      <c r="B42" s="436" t="s">
        <v>671</v>
      </c>
      <c r="C42" s="420"/>
      <c r="D42" s="420" t="s">
        <v>268</v>
      </c>
      <c r="E42" s="420"/>
      <c r="F42" s="420" t="s">
        <v>2204</v>
      </c>
      <c r="G42" s="420" t="s">
        <v>169</v>
      </c>
      <c r="H42" s="420" t="s">
        <v>598</v>
      </c>
      <c r="I42" s="467">
        <v>37985.0</v>
      </c>
      <c r="J42" s="436">
        <v>2935.0</v>
      </c>
      <c r="K42" s="436"/>
      <c r="L42" s="420" t="s">
        <v>217</v>
      </c>
      <c r="M42" s="429"/>
      <c r="N42" s="422">
        <v>12.969</v>
      </c>
      <c r="O42" s="422">
        <v>11.811</v>
      </c>
      <c r="P42" s="422"/>
      <c r="Q42" s="420" t="s">
        <v>2194</v>
      </c>
      <c r="R42" s="420" t="s">
        <v>2195</v>
      </c>
      <c r="S42" s="420" t="s">
        <v>2196</v>
      </c>
      <c r="T42" s="420" t="s">
        <v>596</v>
      </c>
      <c r="U42" s="420" t="s">
        <v>597</v>
      </c>
      <c r="V42" s="440"/>
      <c r="W42" s="468"/>
      <c r="X42" s="436"/>
      <c r="Y42" s="442" t="str">
        <f>IF((W42/((J42/5780)^4))^0.5&gt;0,(W42/((J42/5780)^4))^0.5,"")</f>
        <v/>
      </c>
      <c r="Z42" s="469"/>
      <c r="AA42" s="470">
        <v>0.65</v>
      </c>
      <c r="AB42" s="470"/>
      <c r="AC42" s="469">
        <f>IF(ISNUMBER(VLOOKUP(B42,'New Masses'!A:C,3,FALSE)),VLOOKUP(B42,'New Masses'!A:C,3,FALSE),"")</f>
        <v>0.54289</v>
      </c>
      <c r="AD42" s="440">
        <f>10^AE42</f>
        <v>0</v>
      </c>
      <c r="AE42" s="436">
        <v>-12.0</v>
      </c>
      <c r="AF42" s="438"/>
      <c r="AG42" s="459">
        <v>0.075</v>
      </c>
      <c r="AH42" s="436"/>
      <c r="AI42" s="446">
        <f>IF(ISNUMBER(VLOOKUP(B42,'New Masses'!A:C,2, FALSE)),VLOOKUP(B42,'New Masses'!A:C,2, FALSE),"")</f>
        <v>0.046938</v>
      </c>
      <c r="AJ42" s="436"/>
      <c r="AK42" s="438"/>
      <c r="AL42" s="438"/>
      <c r="AM42" s="438"/>
      <c r="AN42" s="436">
        <v>2.0</v>
      </c>
      <c r="AO42" s="438"/>
      <c r="AP42" s="436">
        <v>0.6</v>
      </c>
      <c r="AQ42" s="420"/>
      <c r="AR42" s="420" t="s">
        <v>628</v>
      </c>
      <c r="AS42" s="420"/>
      <c r="AT42" s="420" t="s">
        <v>5916</v>
      </c>
      <c r="AU42" s="438"/>
      <c r="AV42" s="438"/>
      <c r="AW42" s="450">
        <v>188.544062747464</v>
      </c>
    </row>
    <row r="43">
      <c r="A43" s="435" t="str">
        <f t="shared" ref="A43:C43" si="32">#REF!</f>
        <v>#REF!</v>
      </c>
      <c r="B43" s="485" t="str">
        <f t="shared" si="32"/>
        <v>#REF!</v>
      </c>
      <c r="C43" s="486" t="str">
        <f t="shared" si="32"/>
        <v>#REF!</v>
      </c>
      <c r="D43" s="486"/>
      <c r="E43" s="486"/>
      <c r="F43" s="528"/>
      <c r="G43" s="486"/>
      <c r="H43" s="486" t="s">
        <v>5917</v>
      </c>
      <c r="I43" s="491"/>
      <c r="J43" s="491"/>
      <c r="K43" s="491"/>
      <c r="L43" s="491"/>
      <c r="M43" s="486"/>
      <c r="N43" s="422"/>
      <c r="O43" s="422"/>
      <c r="P43" s="422"/>
      <c r="Q43" s="486"/>
      <c r="R43" s="491"/>
      <c r="S43" s="491"/>
      <c r="T43" s="491"/>
      <c r="U43" s="491"/>
      <c r="V43" s="491"/>
      <c r="W43" s="493"/>
      <c r="X43" s="486"/>
      <c r="Y43" s="442"/>
      <c r="Z43" s="491"/>
      <c r="AA43" s="524" t="str">
        <f>#REF!</f>
        <v>#REF!</v>
      </c>
      <c r="AB43" s="494"/>
      <c r="AC43" s="436"/>
      <c r="AD43" s="495"/>
      <c r="AE43" s="491"/>
      <c r="AF43" s="491"/>
      <c r="AG43" s="525" t="str">
        <f>#REF!</f>
        <v>#REF!</v>
      </c>
      <c r="AH43" s="491"/>
      <c r="AI43" s="446"/>
      <c r="AJ43" s="491"/>
      <c r="AK43" s="500"/>
      <c r="AL43" s="436"/>
      <c r="AM43" s="438"/>
      <c r="AN43" s="531"/>
      <c r="AO43" s="491"/>
      <c r="AP43" s="438"/>
      <c r="AQ43" s="438"/>
      <c r="AR43" s="438"/>
      <c r="AS43" s="438"/>
      <c r="AT43" s="438"/>
      <c r="AU43" s="438"/>
      <c r="AV43" s="438"/>
      <c r="AW43" s="450" t="str">
        <f>#REF!</f>
        <v>#REF!</v>
      </c>
    </row>
    <row r="44">
      <c r="A44" s="419" t="s">
        <v>281</v>
      </c>
      <c r="B44" s="419" t="s">
        <v>281</v>
      </c>
      <c r="C44" s="420" t="s">
        <v>282</v>
      </c>
      <c r="D44" s="420" t="s">
        <v>268</v>
      </c>
      <c r="E44" s="420"/>
      <c r="F44" s="420" t="s">
        <v>2205</v>
      </c>
      <c r="G44" s="420" t="s">
        <v>169</v>
      </c>
      <c r="H44" s="420" t="s">
        <v>269</v>
      </c>
      <c r="I44" s="420" t="s">
        <v>2199</v>
      </c>
      <c r="J44" s="436">
        <v>2910.0</v>
      </c>
      <c r="K44" s="421">
        <v>150.0</v>
      </c>
      <c r="L44" s="420" t="s">
        <v>217</v>
      </c>
      <c r="M44" s="422">
        <v>0.5</v>
      </c>
      <c r="N44" s="422">
        <v>12.21</v>
      </c>
      <c r="O44" s="422">
        <v>10.675</v>
      </c>
      <c r="P44" s="422"/>
      <c r="Q44" s="420" t="s">
        <v>2200</v>
      </c>
      <c r="R44" s="420" t="s">
        <v>2176</v>
      </c>
      <c r="S44" s="420" t="s">
        <v>2201</v>
      </c>
      <c r="T44" s="420" t="s">
        <v>596</v>
      </c>
      <c r="U44" s="420" t="s">
        <v>597</v>
      </c>
      <c r="V44" s="440"/>
      <c r="W44" s="458">
        <v>0.033884415613920256</v>
      </c>
      <c r="X44" s="454">
        <v>0.032</v>
      </c>
      <c r="Y44" s="442">
        <f t="shared" ref="Y44:Y47" si="33">IF((W44/((J44/5780)^4))^0.5&gt;0,(W44/((J44/5780)^4))^0.5,"")</f>
        <v>0.7262224978</v>
      </c>
      <c r="Z44" s="442"/>
      <c r="AA44" s="443"/>
      <c r="AB44" s="443"/>
      <c r="AC44" s="436" t="str">
        <f>IF(ISNUMBER(VLOOKUP(B44,'New Masses'!A:C,3,FALSE)),VLOOKUP(B44,'New Masses'!A:C,3,FALSE),"")</f>
        <v/>
      </c>
      <c r="AD44" s="451">
        <f>(10^-10)</f>
        <v>0.0000000001</v>
      </c>
      <c r="AE44" s="436">
        <f t="shared" ref="AE44:AE45" si="34">LOG10(AD44)</f>
        <v>-10</v>
      </c>
      <c r="AF44" s="438"/>
      <c r="AG44" s="459">
        <f t="shared" ref="AG44:AG45" si="35">0.0009543*70</f>
        <v>0.066801</v>
      </c>
      <c r="AH44" s="420"/>
      <c r="AI44" s="446">
        <f>IF(ISNUMBER(VLOOKUP(C44,'New Masses'!A:C,2, FALSE)),VLOOKUP(C44,'New Masses'!A:C,2, FALSE),"")</f>
        <v>0.038679</v>
      </c>
      <c r="AJ44" s="420"/>
      <c r="AK44" s="438"/>
      <c r="AL44" s="438"/>
      <c r="AM44" s="438"/>
      <c r="AN44" s="436">
        <v>2.0</v>
      </c>
      <c r="AO44" s="438"/>
      <c r="AP44" s="436">
        <v>0.8</v>
      </c>
      <c r="AQ44" s="438"/>
      <c r="AR44" s="420" t="s">
        <v>2197</v>
      </c>
      <c r="AS44" s="420"/>
      <c r="AT44" s="438"/>
      <c r="AU44" s="438"/>
      <c r="AV44" s="438" t="s">
        <v>2206</v>
      </c>
      <c r="AW44" s="450"/>
    </row>
    <row r="45">
      <c r="A45" s="419" t="s">
        <v>281</v>
      </c>
      <c r="B45" s="419" t="s">
        <v>281</v>
      </c>
      <c r="C45" s="420" t="s">
        <v>282</v>
      </c>
      <c r="D45" s="420" t="s">
        <v>268</v>
      </c>
      <c r="E45" s="420"/>
      <c r="F45" s="420" t="s">
        <v>2205</v>
      </c>
      <c r="G45" s="420" t="s">
        <v>169</v>
      </c>
      <c r="H45" s="420" t="s">
        <v>269</v>
      </c>
      <c r="I45" s="420" t="s">
        <v>2199</v>
      </c>
      <c r="J45" s="436">
        <v>2910.0</v>
      </c>
      <c r="K45" s="421">
        <v>150.0</v>
      </c>
      <c r="L45" s="420" t="s">
        <v>217</v>
      </c>
      <c r="M45" s="422">
        <v>0.5</v>
      </c>
      <c r="N45" s="422">
        <v>12.21</v>
      </c>
      <c r="O45" s="422">
        <v>10.675</v>
      </c>
      <c r="P45" s="422"/>
      <c r="Q45" s="420" t="s">
        <v>2200</v>
      </c>
      <c r="R45" s="420" t="s">
        <v>2176</v>
      </c>
      <c r="S45" s="420" t="s">
        <v>2201</v>
      </c>
      <c r="T45" s="421" t="s">
        <v>162</v>
      </c>
      <c r="U45" s="420" t="s">
        <v>1965</v>
      </c>
      <c r="V45" s="440"/>
      <c r="W45" s="458">
        <v>0.033884415613920256</v>
      </c>
      <c r="X45" s="454">
        <v>0.032</v>
      </c>
      <c r="Y45" s="442">
        <f t="shared" si="33"/>
        <v>0.7262224978</v>
      </c>
      <c r="Z45" s="442"/>
      <c r="AA45" s="443"/>
      <c r="AB45" s="443"/>
      <c r="AC45" s="436" t="str">
        <f>IF(ISNUMBER(VLOOKUP(B45,'New Masses'!A:C,3,FALSE)),VLOOKUP(B45,'New Masses'!A:C,3,FALSE),"")</f>
        <v/>
      </c>
      <c r="AD45" s="451">
        <f>(10^-10.8)</f>
        <v>0</v>
      </c>
      <c r="AE45" s="436">
        <f t="shared" si="34"/>
        <v>-10.8</v>
      </c>
      <c r="AF45" s="438"/>
      <c r="AG45" s="459">
        <f t="shared" si="35"/>
        <v>0.066801</v>
      </c>
      <c r="AH45" s="420"/>
      <c r="AI45" s="446">
        <f>IF(ISNUMBER(VLOOKUP(C45,'New Masses'!A:C,2, FALSE)),VLOOKUP(C45,'New Masses'!A:C,2, FALSE),"")</f>
        <v>0.038679</v>
      </c>
      <c r="AJ45" s="420"/>
      <c r="AK45" s="438"/>
      <c r="AL45" s="438"/>
      <c r="AM45" s="438"/>
      <c r="AN45" s="436">
        <v>2.0</v>
      </c>
      <c r="AO45" s="438"/>
      <c r="AP45" s="436">
        <v>0.8</v>
      </c>
      <c r="AQ45" s="420"/>
      <c r="AR45" s="420" t="s">
        <v>2197</v>
      </c>
      <c r="AS45" s="420"/>
      <c r="AT45" s="420" t="s">
        <v>5916</v>
      </c>
      <c r="AU45" s="438"/>
      <c r="AV45" s="438" t="s">
        <v>2206</v>
      </c>
      <c r="AW45" s="450"/>
    </row>
    <row r="46">
      <c r="A46" s="419" t="s">
        <v>281</v>
      </c>
      <c r="B46" s="457" t="s">
        <v>282</v>
      </c>
      <c r="C46" s="420"/>
      <c r="D46" s="438" t="s">
        <v>268</v>
      </c>
      <c r="E46" s="438"/>
      <c r="F46" s="420" t="s">
        <v>2205</v>
      </c>
      <c r="G46" s="420" t="s">
        <v>169</v>
      </c>
      <c r="H46" s="420" t="s">
        <v>201</v>
      </c>
      <c r="I46" s="438" t="s">
        <v>2207</v>
      </c>
      <c r="J46" s="436">
        <v>3100.0</v>
      </c>
      <c r="K46" s="438"/>
      <c r="L46" s="420" t="s">
        <v>283</v>
      </c>
      <c r="M46" s="429"/>
      <c r="N46" s="422">
        <v>12.21</v>
      </c>
      <c r="O46" s="422">
        <v>10.675</v>
      </c>
      <c r="P46" s="422"/>
      <c r="Q46" s="438" t="s">
        <v>2208</v>
      </c>
      <c r="R46" s="438" t="s">
        <v>2209</v>
      </c>
      <c r="S46" s="438" t="s">
        <v>2196</v>
      </c>
      <c r="T46" s="454" t="s">
        <v>162</v>
      </c>
      <c r="U46" s="438" t="s">
        <v>2210</v>
      </c>
      <c r="V46" s="423">
        <v>4.56</v>
      </c>
      <c r="W46" s="458"/>
      <c r="X46" s="438"/>
      <c r="Y46" s="442" t="str">
        <f t="shared" si="33"/>
        <v/>
      </c>
      <c r="Z46" s="442"/>
      <c r="AA46" s="443"/>
      <c r="AB46" s="443"/>
      <c r="AC46" s="469">
        <f>IF(ISNUMBER(VLOOKUP(B46,'New Masses'!A:C,3,FALSE)),VLOOKUP(B46,'New Masses'!A:C,3,FALSE),"")</f>
        <v>0.466998</v>
      </c>
      <c r="AD46" s="423">
        <f t="shared" ref="AD46:AD47" si="36">10^AE46</f>
        <v>0</v>
      </c>
      <c r="AE46" s="420">
        <v>-10.6</v>
      </c>
      <c r="AF46" s="438"/>
      <c r="AG46" s="459">
        <v>0.14</v>
      </c>
      <c r="AH46" s="438"/>
      <c r="AI46" s="446">
        <f>IF(ISNUMBER(VLOOKUP(B46,'New Masses'!A:C,2, FALSE)),VLOOKUP(B46,'New Masses'!A:C,2, FALSE),"")</f>
        <v>0.038679</v>
      </c>
      <c r="AJ46" s="438"/>
      <c r="AK46" s="438"/>
      <c r="AL46" s="438"/>
      <c r="AM46" s="438"/>
      <c r="AN46" s="436">
        <v>2.0</v>
      </c>
      <c r="AO46" s="438"/>
      <c r="AP46" s="438"/>
      <c r="AQ46" s="438"/>
      <c r="AR46" s="438"/>
      <c r="AS46" s="438"/>
      <c r="AT46" s="438" t="s">
        <v>5916</v>
      </c>
      <c r="AU46" s="473" t="s">
        <v>2211</v>
      </c>
      <c r="AV46" s="438"/>
      <c r="AW46" s="450"/>
    </row>
    <row r="47">
      <c r="A47" s="419" t="s">
        <v>281</v>
      </c>
      <c r="B47" s="439" t="s">
        <v>282</v>
      </c>
      <c r="C47" s="420"/>
      <c r="D47" s="438" t="s">
        <v>268</v>
      </c>
      <c r="E47" s="438"/>
      <c r="F47" s="420" t="s">
        <v>2205</v>
      </c>
      <c r="G47" s="420" t="s">
        <v>169</v>
      </c>
      <c r="H47" s="420" t="s">
        <v>201</v>
      </c>
      <c r="I47" s="438" t="s">
        <v>2207</v>
      </c>
      <c r="J47" s="436">
        <v>3100.0</v>
      </c>
      <c r="K47" s="438"/>
      <c r="L47" s="420" t="s">
        <v>283</v>
      </c>
      <c r="M47" s="429"/>
      <c r="N47" s="422">
        <v>12.21</v>
      </c>
      <c r="O47" s="422">
        <v>10.675</v>
      </c>
      <c r="P47" s="422"/>
      <c r="Q47" s="438" t="s">
        <v>2208</v>
      </c>
      <c r="R47" s="438" t="s">
        <v>2209</v>
      </c>
      <c r="S47" s="438" t="s">
        <v>2196</v>
      </c>
      <c r="T47" s="454" t="s">
        <v>162</v>
      </c>
      <c r="U47" s="438" t="s">
        <v>2210</v>
      </c>
      <c r="V47" s="423">
        <v>4.56</v>
      </c>
      <c r="W47" s="458"/>
      <c r="X47" s="438"/>
      <c r="Y47" s="442" t="str">
        <f t="shared" si="33"/>
        <v/>
      </c>
      <c r="Z47" s="442"/>
      <c r="AA47" s="443"/>
      <c r="AB47" s="443"/>
      <c r="AC47" s="469">
        <f>IF(ISNUMBER(VLOOKUP(B47,'New Masses'!A:C,3,FALSE)),VLOOKUP(B47,'New Masses'!A:C,3,FALSE),"")</f>
        <v>0.466998</v>
      </c>
      <c r="AD47" s="423">
        <f t="shared" si="36"/>
        <v>0</v>
      </c>
      <c r="AE47" s="438">
        <v>-10.8</v>
      </c>
      <c r="AF47" s="438"/>
      <c r="AG47" s="459">
        <v>0.14</v>
      </c>
      <c r="AH47" s="438"/>
      <c r="AI47" s="446">
        <f>IF(ISNUMBER(VLOOKUP(B47,'New Masses'!A:C,2, FALSE)),VLOOKUP(B47,'New Masses'!A:C,2, FALSE),"")</f>
        <v>0.038679</v>
      </c>
      <c r="AJ47" s="438"/>
      <c r="AK47" s="438"/>
      <c r="AL47" s="438"/>
      <c r="AM47" s="438"/>
      <c r="AN47" s="436">
        <v>2.0</v>
      </c>
      <c r="AO47" s="438"/>
      <c r="AP47" s="438"/>
      <c r="AQ47" s="438"/>
      <c r="AR47" s="438"/>
      <c r="AS47" s="438"/>
      <c r="AT47" s="438" t="s">
        <v>5916</v>
      </c>
      <c r="AU47" s="473" t="s">
        <v>2212</v>
      </c>
      <c r="AV47" s="438"/>
      <c r="AW47" s="450"/>
    </row>
    <row r="48">
      <c r="A48" s="435" t="str">
        <f t="shared" ref="A48:C48" si="37">#REF!</f>
        <v>#REF!</v>
      </c>
      <c r="B48" s="485" t="str">
        <f t="shared" si="37"/>
        <v>#REF!</v>
      </c>
      <c r="C48" s="486" t="str">
        <f t="shared" si="37"/>
        <v>#REF!</v>
      </c>
      <c r="D48" s="486"/>
      <c r="E48" s="486"/>
      <c r="F48" s="528"/>
      <c r="G48" s="486"/>
      <c r="H48" s="486" t="s">
        <v>5917</v>
      </c>
      <c r="I48" s="491"/>
      <c r="J48" s="491"/>
      <c r="K48" s="491"/>
      <c r="L48" s="491"/>
      <c r="M48" s="486"/>
      <c r="N48" s="422"/>
      <c r="O48" s="422"/>
      <c r="P48" s="422"/>
      <c r="Q48" s="486"/>
      <c r="R48" s="491"/>
      <c r="S48" s="491"/>
      <c r="T48" s="491"/>
      <c r="U48" s="491"/>
      <c r="V48" s="491"/>
      <c r="W48" s="493"/>
      <c r="X48" s="486"/>
      <c r="Y48" s="442"/>
      <c r="Z48" s="491"/>
      <c r="AA48" s="524" t="str">
        <f t="shared" ref="AA48:AA51" si="39">#REF!</f>
        <v>#REF!</v>
      </c>
      <c r="AB48" s="494"/>
      <c r="AC48" s="436"/>
      <c r="AD48" s="495"/>
      <c r="AE48" s="491"/>
      <c r="AF48" s="491"/>
      <c r="AG48" s="525" t="str">
        <f t="shared" ref="AG48:AG51" si="40">#REF!</f>
        <v>#REF!</v>
      </c>
      <c r="AH48" s="491"/>
      <c r="AI48" s="446"/>
      <c r="AJ48" s="491"/>
      <c r="AK48" s="500"/>
      <c r="AL48" s="436"/>
      <c r="AM48" s="438"/>
      <c r="AN48" s="531"/>
      <c r="AO48" s="491"/>
      <c r="AP48" s="438"/>
      <c r="AQ48" s="438"/>
      <c r="AR48" s="438"/>
      <c r="AS48" s="438"/>
      <c r="AT48" s="438"/>
      <c r="AU48" s="438"/>
      <c r="AV48" s="438"/>
      <c r="AW48" s="450" t="str">
        <f t="shared" ref="AW48:AW51" si="41">#REF!</f>
        <v>#REF!</v>
      </c>
    </row>
    <row r="49">
      <c r="A49" s="435" t="str">
        <f t="shared" ref="A49:C49" si="38">#REF!</f>
        <v>#REF!</v>
      </c>
      <c r="B49" s="485" t="str">
        <f t="shared" si="38"/>
        <v>#REF!</v>
      </c>
      <c r="C49" s="486" t="str">
        <f t="shared" si="38"/>
        <v>#REF!</v>
      </c>
      <c r="D49" s="486"/>
      <c r="E49" s="486"/>
      <c r="F49" s="528"/>
      <c r="G49" s="486"/>
      <c r="H49" s="486" t="s">
        <v>5917</v>
      </c>
      <c r="I49" s="491"/>
      <c r="J49" s="491"/>
      <c r="K49" s="491"/>
      <c r="L49" s="491"/>
      <c r="M49" s="486"/>
      <c r="N49" s="422"/>
      <c r="O49" s="422"/>
      <c r="P49" s="422"/>
      <c r="Q49" s="486"/>
      <c r="R49" s="491"/>
      <c r="S49" s="491"/>
      <c r="T49" s="491"/>
      <c r="U49" s="491"/>
      <c r="V49" s="491"/>
      <c r="W49" s="493"/>
      <c r="X49" s="486"/>
      <c r="Y49" s="442"/>
      <c r="Z49" s="491"/>
      <c r="AA49" s="524" t="str">
        <f t="shared" si="39"/>
        <v>#REF!</v>
      </c>
      <c r="AB49" s="494"/>
      <c r="AC49" s="436"/>
      <c r="AD49" s="495"/>
      <c r="AE49" s="491"/>
      <c r="AF49" s="491"/>
      <c r="AG49" s="525" t="str">
        <f t="shared" si="40"/>
        <v>#REF!</v>
      </c>
      <c r="AH49" s="491"/>
      <c r="AI49" s="446"/>
      <c r="AJ49" s="491"/>
      <c r="AK49" s="500"/>
      <c r="AL49" s="436"/>
      <c r="AM49" s="438"/>
      <c r="AN49" s="531"/>
      <c r="AO49" s="491"/>
      <c r="AP49" s="438"/>
      <c r="AQ49" s="438"/>
      <c r="AR49" s="438"/>
      <c r="AS49" s="438"/>
      <c r="AT49" s="438"/>
      <c r="AU49" s="438"/>
      <c r="AV49" s="438"/>
      <c r="AW49" s="450" t="str">
        <f t="shared" si="41"/>
        <v>#REF!</v>
      </c>
    </row>
    <row r="50">
      <c r="A50" s="435" t="str">
        <f t="shared" ref="A50:C50" si="42">#REF!</f>
        <v>#REF!</v>
      </c>
      <c r="B50" s="485" t="str">
        <f t="shared" si="42"/>
        <v>#REF!</v>
      </c>
      <c r="C50" s="486" t="str">
        <f t="shared" si="42"/>
        <v>#REF!</v>
      </c>
      <c r="D50" s="486"/>
      <c r="E50" s="486"/>
      <c r="F50" s="528"/>
      <c r="G50" s="486"/>
      <c r="H50" s="486" t="s">
        <v>5917</v>
      </c>
      <c r="I50" s="491"/>
      <c r="J50" s="491"/>
      <c r="K50" s="491"/>
      <c r="L50" s="491"/>
      <c r="M50" s="486"/>
      <c r="N50" s="422"/>
      <c r="O50" s="422"/>
      <c r="P50" s="422"/>
      <c r="Q50" s="486"/>
      <c r="R50" s="491"/>
      <c r="S50" s="491"/>
      <c r="T50" s="491"/>
      <c r="U50" s="491"/>
      <c r="V50" s="491"/>
      <c r="W50" s="493"/>
      <c r="X50" s="486"/>
      <c r="Y50" s="442"/>
      <c r="Z50" s="491"/>
      <c r="AA50" s="524" t="str">
        <f t="shared" si="39"/>
        <v>#REF!</v>
      </c>
      <c r="AB50" s="494"/>
      <c r="AC50" s="436"/>
      <c r="AD50" s="495"/>
      <c r="AE50" s="491"/>
      <c r="AF50" s="491"/>
      <c r="AG50" s="525" t="str">
        <f t="shared" si="40"/>
        <v>#REF!</v>
      </c>
      <c r="AH50" s="491"/>
      <c r="AI50" s="446"/>
      <c r="AJ50" s="491"/>
      <c r="AK50" s="500"/>
      <c r="AL50" s="436"/>
      <c r="AM50" s="438"/>
      <c r="AN50" s="531"/>
      <c r="AO50" s="491"/>
      <c r="AP50" s="438"/>
      <c r="AQ50" s="438"/>
      <c r="AR50" s="438"/>
      <c r="AS50" s="438"/>
      <c r="AT50" s="438"/>
      <c r="AU50" s="438"/>
      <c r="AV50" s="438"/>
      <c r="AW50" s="450" t="str">
        <f t="shared" si="41"/>
        <v>#REF!</v>
      </c>
    </row>
    <row r="51">
      <c r="A51" s="435" t="str">
        <f t="shared" ref="A51:C51" si="43">#REF!</f>
        <v>#REF!</v>
      </c>
      <c r="B51" s="485" t="str">
        <f t="shared" si="43"/>
        <v>#REF!</v>
      </c>
      <c r="C51" s="486" t="str">
        <f t="shared" si="43"/>
        <v>#REF!</v>
      </c>
      <c r="D51" s="486"/>
      <c r="E51" s="486"/>
      <c r="F51" s="528"/>
      <c r="G51" s="486"/>
      <c r="H51" s="486" t="s">
        <v>5917</v>
      </c>
      <c r="I51" s="491"/>
      <c r="J51" s="491"/>
      <c r="K51" s="491"/>
      <c r="L51" s="491"/>
      <c r="M51" s="486"/>
      <c r="N51" s="422"/>
      <c r="O51" s="422"/>
      <c r="P51" s="422"/>
      <c r="Q51" s="486"/>
      <c r="R51" s="491"/>
      <c r="S51" s="491"/>
      <c r="T51" s="491"/>
      <c r="U51" s="491"/>
      <c r="V51" s="491"/>
      <c r="W51" s="493"/>
      <c r="X51" s="486"/>
      <c r="Y51" s="442"/>
      <c r="Z51" s="491"/>
      <c r="AA51" s="524" t="str">
        <f t="shared" si="39"/>
        <v>#REF!</v>
      </c>
      <c r="AB51" s="494"/>
      <c r="AC51" s="436"/>
      <c r="AD51" s="495"/>
      <c r="AE51" s="491"/>
      <c r="AF51" s="491"/>
      <c r="AG51" s="525" t="str">
        <f t="shared" si="40"/>
        <v>#REF!</v>
      </c>
      <c r="AH51" s="491"/>
      <c r="AI51" s="446"/>
      <c r="AJ51" s="491"/>
      <c r="AK51" s="500"/>
      <c r="AL51" s="436"/>
      <c r="AM51" s="438"/>
      <c r="AN51" s="531"/>
      <c r="AO51" s="491"/>
      <c r="AP51" s="438"/>
      <c r="AQ51" s="438"/>
      <c r="AR51" s="438"/>
      <c r="AS51" s="438"/>
      <c r="AT51" s="438"/>
      <c r="AU51" s="438"/>
      <c r="AV51" s="438"/>
      <c r="AW51" s="450" t="str">
        <f t="shared" si="41"/>
        <v>#REF!</v>
      </c>
    </row>
    <row r="52">
      <c r="A52" s="419" t="s">
        <v>657</v>
      </c>
      <c r="B52" s="419" t="s">
        <v>657</v>
      </c>
      <c r="C52" s="420" t="s">
        <v>658</v>
      </c>
      <c r="D52" s="420" t="s">
        <v>268</v>
      </c>
      <c r="E52" s="420"/>
      <c r="F52" s="420" t="s">
        <v>2213</v>
      </c>
      <c r="G52" s="420" t="s">
        <v>169</v>
      </c>
      <c r="H52" s="420" t="s">
        <v>269</v>
      </c>
      <c r="I52" s="420" t="s">
        <v>2199</v>
      </c>
      <c r="J52" s="436">
        <v>2840.0</v>
      </c>
      <c r="K52" s="421">
        <v>150.0</v>
      </c>
      <c r="L52" s="420" t="s">
        <v>345</v>
      </c>
      <c r="M52" s="422">
        <v>0.5</v>
      </c>
      <c r="N52" s="422">
        <v>12.292</v>
      </c>
      <c r="O52" s="422">
        <v>11.097</v>
      </c>
      <c r="P52" s="422"/>
      <c r="Q52" s="420" t="s">
        <v>2200</v>
      </c>
      <c r="R52" s="420" t="s">
        <v>2176</v>
      </c>
      <c r="S52" s="420" t="s">
        <v>2201</v>
      </c>
      <c r="T52" s="420" t="s">
        <v>596</v>
      </c>
      <c r="U52" s="420" t="s">
        <v>597</v>
      </c>
      <c r="V52" s="440"/>
      <c r="W52" s="458">
        <v>0.034673685045253165</v>
      </c>
      <c r="X52" s="454">
        <v>0.033</v>
      </c>
      <c r="Y52" s="442">
        <f t="shared" ref="Y52:Y53" si="44">IF((W52/((J52/5780)^4))^0.5&gt;0,(W52/((J52/5780)^4))^0.5,"")</f>
        <v>0.7712923018</v>
      </c>
      <c r="Z52" s="442"/>
      <c r="AA52" s="443"/>
      <c r="AB52" s="443"/>
      <c r="AC52" s="436" t="str">
        <f>IF(ISNUMBER(VLOOKUP(B52,'New Masses'!A:C,3,FALSE)),VLOOKUP(B52,'New Masses'!A:C,3,FALSE),"")</f>
        <v/>
      </c>
      <c r="AD52" s="451">
        <f>(10^-12)</f>
        <v>0</v>
      </c>
      <c r="AE52" s="436">
        <f t="shared" ref="AE52:AE53" si="45">LOG10(AD52)</f>
        <v>-12</v>
      </c>
      <c r="AF52" s="438"/>
      <c r="AG52" s="459">
        <f t="shared" ref="AG52:AG53" si="46">0.0009543*60</f>
        <v>0.057258</v>
      </c>
      <c r="AH52" s="420"/>
      <c r="AI52" s="446">
        <f>IF(ISNUMBER(VLOOKUP(C52,'New Masses'!A:C,2, FALSE)),VLOOKUP(C52,'New Masses'!A:C,2, FALSE),"")</f>
        <v>0.038679</v>
      </c>
      <c r="AJ52" s="420"/>
      <c r="AK52" s="438"/>
      <c r="AL52" s="438"/>
      <c r="AM52" s="438"/>
      <c r="AN52" s="436">
        <v>2.0</v>
      </c>
      <c r="AO52" s="438"/>
      <c r="AP52" s="436">
        <v>0.3</v>
      </c>
      <c r="AQ52" s="420"/>
      <c r="AR52" s="420" t="s">
        <v>2197</v>
      </c>
      <c r="AS52" s="420"/>
      <c r="AT52" s="420" t="s">
        <v>5916</v>
      </c>
      <c r="AU52" s="438"/>
      <c r="AV52" s="438"/>
      <c r="AW52" s="450">
        <v>196.633632216454</v>
      </c>
    </row>
    <row r="53">
      <c r="A53" s="419" t="s">
        <v>657</v>
      </c>
      <c r="B53" s="419" t="s">
        <v>657</v>
      </c>
      <c r="C53" s="420" t="s">
        <v>658</v>
      </c>
      <c r="D53" s="420" t="s">
        <v>268</v>
      </c>
      <c r="E53" s="420"/>
      <c r="F53" s="420" t="s">
        <v>2213</v>
      </c>
      <c r="G53" s="420" t="s">
        <v>169</v>
      </c>
      <c r="H53" s="420" t="s">
        <v>269</v>
      </c>
      <c r="I53" s="420" t="s">
        <v>2199</v>
      </c>
      <c r="J53" s="436">
        <v>2840.0</v>
      </c>
      <c r="K53" s="421">
        <v>150.0</v>
      </c>
      <c r="L53" s="420" t="s">
        <v>345</v>
      </c>
      <c r="M53" s="422">
        <v>0.5</v>
      </c>
      <c r="N53" s="422">
        <v>12.292</v>
      </c>
      <c r="O53" s="422">
        <v>11.097</v>
      </c>
      <c r="P53" s="422"/>
      <c r="Q53" s="420" t="s">
        <v>2200</v>
      </c>
      <c r="R53" s="420" t="s">
        <v>2176</v>
      </c>
      <c r="S53" s="420" t="s">
        <v>2201</v>
      </c>
      <c r="T53" s="421" t="s">
        <v>162</v>
      </c>
      <c r="U53" s="420" t="s">
        <v>1965</v>
      </c>
      <c r="V53" s="440"/>
      <c r="W53" s="458">
        <v>0.034673685045253165</v>
      </c>
      <c r="X53" s="454">
        <v>0.033</v>
      </c>
      <c r="Y53" s="442">
        <f t="shared" si="44"/>
        <v>0.7712923018</v>
      </c>
      <c r="Z53" s="442"/>
      <c r="AA53" s="443"/>
      <c r="AB53" s="443"/>
      <c r="AC53" s="436" t="str">
        <f>IF(ISNUMBER(VLOOKUP(B53,'New Masses'!A:C,3,FALSE)),VLOOKUP(B53,'New Masses'!A:C,3,FALSE),"")</f>
        <v/>
      </c>
      <c r="AD53" s="451">
        <f>(10^-10.1)</f>
        <v>0</v>
      </c>
      <c r="AE53" s="436">
        <f t="shared" si="45"/>
        <v>-10.1</v>
      </c>
      <c r="AF53" s="438"/>
      <c r="AG53" s="459">
        <f t="shared" si="46"/>
        <v>0.057258</v>
      </c>
      <c r="AH53" s="420"/>
      <c r="AI53" s="446">
        <f>IF(ISNUMBER(VLOOKUP(C53,'New Masses'!A:C,2, FALSE)),VLOOKUP(C53,'New Masses'!A:C,2, FALSE),"")</f>
        <v>0.038679</v>
      </c>
      <c r="AJ53" s="420"/>
      <c r="AK53" s="438"/>
      <c r="AL53" s="438"/>
      <c r="AM53" s="438"/>
      <c r="AN53" s="436">
        <v>2.0</v>
      </c>
      <c r="AO53" s="438"/>
      <c r="AP53" s="436">
        <v>0.3</v>
      </c>
      <c r="AQ53" s="420"/>
      <c r="AR53" s="420" t="s">
        <v>2197</v>
      </c>
      <c r="AS53" s="420"/>
      <c r="AT53" s="420" t="s">
        <v>5916</v>
      </c>
      <c r="AU53" s="438"/>
      <c r="AV53" s="438"/>
      <c r="AW53" s="450">
        <v>196.633632216454</v>
      </c>
    </row>
    <row r="54">
      <c r="A54" s="435" t="str">
        <f t="shared" ref="A54:C54" si="47">#REF!</f>
        <v>#REF!</v>
      </c>
      <c r="B54" s="485" t="str">
        <f t="shared" si="47"/>
        <v>#REF!</v>
      </c>
      <c r="C54" s="486" t="str">
        <f t="shared" si="47"/>
        <v>#REF!</v>
      </c>
      <c r="D54" s="486"/>
      <c r="E54" s="486"/>
      <c r="F54" s="528"/>
      <c r="G54" s="486"/>
      <c r="H54" s="486" t="s">
        <v>5917</v>
      </c>
      <c r="I54" s="491"/>
      <c r="J54" s="491"/>
      <c r="K54" s="491"/>
      <c r="L54" s="491"/>
      <c r="M54" s="486"/>
      <c r="N54" s="422"/>
      <c r="O54" s="422"/>
      <c r="P54" s="422"/>
      <c r="Q54" s="486"/>
      <c r="R54" s="491"/>
      <c r="S54" s="491"/>
      <c r="T54" s="491"/>
      <c r="U54" s="491"/>
      <c r="V54" s="491"/>
      <c r="W54" s="493"/>
      <c r="X54" s="486"/>
      <c r="Y54" s="442"/>
      <c r="Z54" s="491"/>
      <c r="AA54" s="524" t="str">
        <f t="shared" ref="AA54:AA55" si="49">#REF!</f>
        <v>#REF!</v>
      </c>
      <c r="AB54" s="494"/>
      <c r="AC54" s="436"/>
      <c r="AD54" s="495"/>
      <c r="AE54" s="491"/>
      <c r="AF54" s="491"/>
      <c r="AG54" s="525" t="str">
        <f t="shared" ref="AG54:AG55" si="50">#REF!</f>
        <v>#REF!</v>
      </c>
      <c r="AH54" s="491"/>
      <c r="AI54" s="446"/>
      <c r="AJ54" s="491"/>
      <c r="AK54" s="500"/>
      <c r="AL54" s="436"/>
      <c r="AM54" s="438"/>
      <c r="AN54" s="531"/>
      <c r="AO54" s="491"/>
      <c r="AP54" s="438"/>
      <c r="AQ54" s="438"/>
      <c r="AR54" s="438"/>
      <c r="AS54" s="438"/>
      <c r="AT54" s="438"/>
      <c r="AU54" s="438"/>
      <c r="AV54" s="438"/>
      <c r="AW54" s="450" t="str">
        <f t="shared" ref="AW54:AW55" si="51">#REF!</f>
        <v>#REF!</v>
      </c>
    </row>
    <row r="55">
      <c r="A55" s="435" t="str">
        <f t="shared" ref="A55:C55" si="48">#REF!</f>
        <v>#REF!</v>
      </c>
      <c r="B55" s="485" t="str">
        <f t="shared" si="48"/>
        <v>#REF!</v>
      </c>
      <c r="C55" s="486" t="str">
        <f t="shared" si="48"/>
        <v>#REF!</v>
      </c>
      <c r="D55" s="486"/>
      <c r="E55" s="486"/>
      <c r="F55" s="528"/>
      <c r="G55" s="486"/>
      <c r="H55" s="486" t="s">
        <v>5917</v>
      </c>
      <c r="I55" s="491"/>
      <c r="J55" s="491"/>
      <c r="K55" s="491"/>
      <c r="L55" s="491"/>
      <c r="M55" s="486"/>
      <c r="N55" s="422"/>
      <c r="O55" s="422"/>
      <c r="P55" s="422"/>
      <c r="Q55" s="486"/>
      <c r="R55" s="491"/>
      <c r="S55" s="491"/>
      <c r="T55" s="491"/>
      <c r="U55" s="491"/>
      <c r="V55" s="491"/>
      <c r="W55" s="493"/>
      <c r="X55" s="486"/>
      <c r="Y55" s="442"/>
      <c r="Z55" s="491"/>
      <c r="AA55" s="524" t="str">
        <f t="shared" si="49"/>
        <v>#REF!</v>
      </c>
      <c r="AB55" s="494"/>
      <c r="AC55" s="436"/>
      <c r="AD55" s="495"/>
      <c r="AE55" s="491"/>
      <c r="AF55" s="491"/>
      <c r="AG55" s="525" t="str">
        <f t="shared" si="50"/>
        <v>#REF!</v>
      </c>
      <c r="AH55" s="491"/>
      <c r="AI55" s="446"/>
      <c r="AJ55" s="491"/>
      <c r="AK55" s="500"/>
      <c r="AL55" s="436"/>
      <c r="AM55" s="438"/>
      <c r="AN55" s="531"/>
      <c r="AO55" s="491"/>
      <c r="AP55" s="438"/>
      <c r="AQ55" s="438"/>
      <c r="AR55" s="438"/>
      <c r="AS55" s="438"/>
      <c r="AT55" s="438"/>
      <c r="AU55" s="438"/>
      <c r="AV55" s="438"/>
      <c r="AW55" s="450" t="str">
        <f t="shared" si="51"/>
        <v>#REF!</v>
      </c>
    </row>
    <row r="56">
      <c r="A56" s="419" t="s">
        <v>688</v>
      </c>
      <c r="B56" s="439" t="s">
        <v>689</v>
      </c>
      <c r="C56" s="436"/>
      <c r="D56" s="436" t="s">
        <v>268</v>
      </c>
      <c r="E56" s="436"/>
      <c r="F56" s="436" t="s">
        <v>2214</v>
      </c>
      <c r="G56" s="436" t="s">
        <v>169</v>
      </c>
      <c r="H56" s="436" t="s">
        <v>269</v>
      </c>
      <c r="I56" s="436" t="s">
        <v>2199</v>
      </c>
      <c r="J56" s="436">
        <v>2980.0</v>
      </c>
      <c r="K56" s="419">
        <v>150.0</v>
      </c>
      <c r="L56" s="436" t="s">
        <v>353</v>
      </c>
      <c r="M56" s="457">
        <v>0.5</v>
      </c>
      <c r="N56" s="422">
        <v>12.054</v>
      </c>
      <c r="O56" s="422">
        <v>10.711</v>
      </c>
      <c r="P56" s="422"/>
      <c r="Q56" s="436" t="s">
        <v>2200</v>
      </c>
      <c r="R56" s="436" t="s">
        <v>2176</v>
      </c>
      <c r="S56" s="436" t="s">
        <v>2201</v>
      </c>
      <c r="T56" s="436" t="s">
        <v>596</v>
      </c>
      <c r="U56" s="436" t="s">
        <v>597</v>
      </c>
      <c r="V56" s="440"/>
      <c r="W56" s="458">
        <v>0.04897788193684462</v>
      </c>
      <c r="X56" s="438"/>
      <c r="Y56" s="442">
        <f t="shared" ref="Y56:Y57" si="52">IF((W56/((J56/5780)^4))^0.5&gt;0,(W56/((J56/5780)^4))^0.5,"")</f>
        <v>0.8325745833</v>
      </c>
      <c r="Z56" s="442"/>
      <c r="AA56" s="443"/>
      <c r="AB56" s="443"/>
      <c r="AC56" s="436" t="str">
        <f>IF(ISNUMBER(VLOOKUP(B56,'New Masses'!A:C,3,FALSE)),VLOOKUP(B56,'New Masses'!A:C,3,FALSE),"")</f>
        <v/>
      </c>
      <c r="AD56" s="440">
        <f>(10^-12)</f>
        <v>0</v>
      </c>
      <c r="AE56" s="436">
        <f t="shared" ref="AE56:AE57" si="53">LOG10(AD56)</f>
        <v>-12</v>
      </c>
      <c r="AF56" s="438"/>
      <c r="AG56" s="459">
        <f t="shared" ref="AG56:AG57" si="54">0.0009543*100</f>
        <v>0.09543</v>
      </c>
      <c r="AH56" s="436"/>
      <c r="AI56" s="446" t="str">
        <f>IF(ISNUMBER(VLOOKUP(B56,'New Masses'!A:C,2, FALSE)),VLOOKUP(B56,'New Masses'!A:C,2, FALSE),"")</f>
        <v/>
      </c>
      <c r="AJ56" s="436">
        <f t="shared" ref="AJ56:AJ57" si="55">LOG10(AG56)</f>
        <v>-1.020315076</v>
      </c>
      <c r="AK56" s="438"/>
      <c r="AL56" s="438"/>
      <c r="AM56" s="438"/>
      <c r="AN56" s="436">
        <v>2.0</v>
      </c>
      <c r="AO56" s="438"/>
      <c r="AP56" s="436"/>
      <c r="AQ56" s="438"/>
      <c r="AR56" s="438"/>
      <c r="AS56" s="438"/>
      <c r="AT56" s="438" t="s">
        <v>5916</v>
      </c>
      <c r="AU56" s="438"/>
      <c r="AV56" s="438"/>
      <c r="AW56" s="450">
        <v>196.792285742398</v>
      </c>
    </row>
    <row r="57">
      <c r="A57" s="419" t="s">
        <v>688</v>
      </c>
      <c r="B57" s="439" t="s">
        <v>689</v>
      </c>
      <c r="C57" s="436"/>
      <c r="D57" s="436" t="s">
        <v>268</v>
      </c>
      <c r="E57" s="436"/>
      <c r="F57" s="436" t="s">
        <v>2214</v>
      </c>
      <c r="G57" s="436" t="s">
        <v>169</v>
      </c>
      <c r="H57" s="436" t="s">
        <v>269</v>
      </c>
      <c r="I57" s="436" t="s">
        <v>2199</v>
      </c>
      <c r="J57" s="436">
        <v>2980.0</v>
      </c>
      <c r="K57" s="419">
        <v>150.0</v>
      </c>
      <c r="L57" s="436" t="s">
        <v>353</v>
      </c>
      <c r="M57" s="457">
        <v>0.5</v>
      </c>
      <c r="N57" s="422">
        <v>12.054</v>
      </c>
      <c r="O57" s="422">
        <v>10.711</v>
      </c>
      <c r="P57" s="422"/>
      <c r="Q57" s="436" t="s">
        <v>2200</v>
      </c>
      <c r="R57" s="436" t="s">
        <v>2184</v>
      </c>
      <c r="S57" s="436" t="s">
        <v>2201</v>
      </c>
      <c r="T57" s="419" t="s">
        <v>162</v>
      </c>
      <c r="U57" s="436" t="s">
        <v>1965</v>
      </c>
      <c r="V57" s="440"/>
      <c r="W57" s="458">
        <v>0.04897788193684462</v>
      </c>
      <c r="X57" s="438"/>
      <c r="Y57" s="442">
        <f t="shared" si="52"/>
        <v>0.8325745833</v>
      </c>
      <c r="Z57" s="442"/>
      <c r="AA57" s="443"/>
      <c r="AB57" s="443"/>
      <c r="AC57" s="436" t="str">
        <f>IF(ISNUMBER(VLOOKUP(B57,'New Masses'!A:C,3,FALSE)),VLOOKUP(B57,'New Masses'!A:C,3,FALSE),"")</f>
        <v/>
      </c>
      <c r="AD57" s="440">
        <f>(10^-10)</f>
        <v>0.0000000001</v>
      </c>
      <c r="AE57" s="436">
        <f t="shared" si="53"/>
        <v>-10</v>
      </c>
      <c r="AF57" s="438"/>
      <c r="AG57" s="459">
        <f t="shared" si="54"/>
        <v>0.09543</v>
      </c>
      <c r="AH57" s="436"/>
      <c r="AI57" s="446" t="str">
        <f>IF(ISNUMBER(VLOOKUP(B57,'New Masses'!A:C,2, FALSE)),VLOOKUP(B57,'New Masses'!A:C,2, FALSE),"")</f>
        <v/>
      </c>
      <c r="AJ57" s="436">
        <f t="shared" si="55"/>
        <v>-1.020315076</v>
      </c>
      <c r="AK57" s="438"/>
      <c r="AL57" s="438"/>
      <c r="AM57" s="438"/>
      <c r="AN57" s="436">
        <v>2.0</v>
      </c>
      <c r="AO57" s="438"/>
      <c r="AP57" s="436"/>
      <c r="AQ57" s="438"/>
      <c r="AR57" s="438"/>
      <c r="AS57" s="438"/>
      <c r="AT57" s="438" t="s">
        <v>5916</v>
      </c>
      <c r="AU57" s="438"/>
      <c r="AV57" s="438"/>
      <c r="AW57" s="450">
        <v>196.792285742398</v>
      </c>
    </row>
    <row r="58">
      <c r="A58" s="435" t="str">
        <f t="shared" ref="A58:C58" si="56">#REF!</f>
        <v>#REF!</v>
      </c>
      <c r="B58" s="485" t="str">
        <f t="shared" si="56"/>
        <v>#REF!</v>
      </c>
      <c r="C58" s="486" t="str">
        <f t="shared" si="56"/>
        <v>#REF!</v>
      </c>
      <c r="D58" s="486"/>
      <c r="E58" s="486"/>
      <c r="F58" s="528"/>
      <c r="G58" s="486"/>
      <c r="H58" s="486" t="s">
        <v>5917</v>
      </c>
      <c r="I58" s="491"/>
      <c r="J58" s="491"/>
      <c r="K58" s="491"/>
      <c r="L58" s="491"/>
      <c r="M58" s="486"/>
      <c r="N58" s="422"/>
      <c r="O58" s="422"/>
      <c r="P58" s="422"/>
      <c r="Q58" s="486"/>
      <c r="R58" s="491"/>
      <c r="S58" s="491"/>
      <c r="T58" s="491"/>
      <c r="U58" s="491"/>
      <c r="V58" s="491"/>
      <c r="W58" s="493"/>
      <c r="X58" s="486"/>
      <c r="Y58" s="442"/>
      <c r="Z58" s="491"/>
      <c r="AA58" s="524" t="str">
        <f t="shared" ref="AA58:AA59" si="58">#REF!</f>
        <v>#REF!</v>
      </c>
      <c r="AB58" s="494"/>
      <c r="AC58" s="436"/>
      <c r="AD58" s="495"/>
      <c r="AE58" s="491"/>
      <c r="AF58" s="491"/>
      <c r="AG58" s="525" t="str">
        <f t="shared" ref="AG58:AG59" si="59">#REF!</f>
        <v>#REF!</v>
      </c>
      <c r="AH58" s="491"/>
      <c r="AI58" s="446"/>
      <c r="AJ58" s="491"/>
      <c r="AK58" s="500"/>
      <c r="AL58" s="436"/>
      <c r="AM58" s="438"/>
      <c r="AN58" s="531"/>
      <c r="AO58" s="491"/>
      <c r="AP58" s="438"/>
      <c r="AQ58" s="438"/>
      <c r="AR58" s="438"/>
      <c r="AS58" s="438"/>
      <c r="AT58" s="438"/>
      <c r="AU58" s="438"/>
      <c r="AV58" s="438"/>
      <c r="AW58" s="450" t="str">
        <f t="shared" ref="AW58:AW59" si="60">#REF!</f>
        <v>#REF!</v>
      </c>
    </row>
    <row r="59">
      <c r="A59" s="435" t="str">
        <f t="shared" ref="A59:C59" si="57">#REF!</f>
        <v>#REF!</v>
      </c>
      <c r="B59" s="485" t="str">
        <f t="shared" si="57"/>
        <v>#REF!</v>
      </c>
      <c r="C59" s="486" t="str">
        <f t="shared" si="57"/>
        <v>#REF!</v>
      </c>
      <c r="D59" s="486"/>
      <c r="E59" s="486"/>
      <c r="F59" s="528"/>
      <c r="G59" s="486"/>
      <c r="H59" s="486" t="s">
        <v>5917</v>
      </c>
      <c r="I59" s="491"/>
      <c r="J59" s="491"/>
      <c r="K59" s="491"/>
      <c r="L59" s="491"/>
      <c r="M59" s="486"/>
      <c r="N59" s="422"/>
      <c r="O59" s="422"/>
      <c r="P59" s="422"/>
      <c r="Q59" s="486"/>
      <c r="R59" s="491"/>
      <c r="S59" s="491"/>
      <c r="T59" s="491"/>
      <c r="U59" s="491"/>
      <c r="V59" s="491"/>
      <c r="W59" s="493"/>
      <c r="X59" s="486"/>
      <c r="Y59" s="442"/>
      <c r="Z59" s="491"/>
      <c r="AA59" s="524" t="str">
        <f t="shared" si="58"/>
        <v>#REF!</v>
      </c>
      <c r="AB59" s="494"/>
      <c r="AC59" s="436"/>
      <c r="AD59" s="495"/>
      <c r="AE59" s="491"/>
      <c r="AF59" s="491"/>
      <c r="AG59" s="525" t="str">
        <f t="shared" si="59"/>
        <v>#REF!</v>
      </c>
      <c r="AH59" s="491"/>
      <c r="AI59" s="446"/>
      <c r="AJ59" s="491"/>
      <c r="AK59" s="500"/>
      <c r="AL59" s="436"/>
      <c r="AM59" s="438"/>
      <c r="AN59" s="531"/>
      <c r="AO59" s="491"/>
      <c r="AP59" s="438"/>
      <c r="AQ59" s="438"/>
      <c r="AR59" s="438"/>
      <c r="AS59" s="438"/>
      <c r="AT59" s="438"/>
      <c r="AU59" s="438"/>
      <c r="AV59" s="438"/>
      <c r="AW59" s="450" t="str">
        <f t="shared" si="60"/>
        <v>#REF!</v>
      </c>
    </row>
    <row r="60">
      <c r="A60" s="419" t="s">
        <v>266</v>
      </c>
      <c r="B60" s="419" t="s">
        <v>266</v>
      </c>
      <c r="C60" s="420" t="s">
        <v>267</v>
      </c>
      <c r="D60" s="420" t="s">
        <v>268</v>
      </c>
      <c r="E60" s="420"/>
      <c r="F60" s="420" t="s">
        <v>2215</v>
      </c>
      <c r="G60" s="420" t="s">
        <v>169</v>
      </c>
      <c r="H60" s="420" t="s">
        <v>269</v>
      </c>
      <c r="I60" s="420" t="s">
        <v>2199</v>
      </c>
      <c r="J60" s="436">
        <v>2840.0</v>
      </c>
      <c r="K60" s="421">
        <v>150.0</v>
      </c>
      <c r="L60" s="420" t="s">
        <v>345</v>
      </c>
      <c r="M60" s="422">
        <v>0.5</v>
      </c>
      <c r="N60" s="422">
        <v>12.263</v>
      </c>
      <c r="O60" s="422">
        <v>11.038</v>
      </c>
      <c r="P60" s="422"/>
      <c r="Q60" s="420" t="s">
        <v>2200</v>
      </c>
      <c r="R60" s="420" t="s">
        <v>2176</v>
      </c>
      <c r="S60" s="420" t="s">
        <v>2201</v>
      </c>
      <c r="T60" s="421" t="s">
        <v>162</v>
      </c>
      <c r="U60" s="420" t="s">
        <v>1965</v>
      </c>
      <c r="V60" s="440"/>
      <c r="W60" s="458">
        <v>0.026915348039269153</v>
      </c>
      <c r="X60" s="454">
        <v>0.026</v>
      </c>
      <c r="Y60" s="442">
        <f t="shared" ref="Y60:Y63" si="61">IF((W60/((J60/5780)^4))^0.5&gt;0,(W60/((J60/5780)^4))^0.5,"")</f>
        <v>0.6795462133</v>
      </c>
      <c r="Z60" s="442"/>
      <c r="AA60" s="443"/>
      <c r="AB60" s="443"/>
      <c r="AC60" s="436" t="str">
        <f>IF(ISNUMBER(VLOOKUP(B60,'New Masses'!A:C,3,FALSE)),VLOOKUP(B60,'New Masses'!A:C,3,FALSE),"")</f>
        <v/>
      </c>
      <c r="AD60" s="451">
        <f>(10^-10.8)</f>
        <v>0</v>
      </c>
      <c r="AE60" s="436">
        <f t="shared" ref="AE60:AE61" si="62">LOG10(AD60)</f>
        <v>-10.8</v>
      </c>
      <c r="AF60" s="438"/>
      <c r="AG60" s="459">
        <f t="shared" ref="AG60:AG61" si="63">0.0009543*50</f>
        <v>0.047715</v>
      </c>
      <c r="AH60" s="420"/>
      <c r="AI60" s="446">
        <f>IF(ISNUMBER(VLOOKUP(C60,'New Masses'!A:C,2, FALSE)),VLOOKUP(C60,'New Masses'!A:C,2, FALSE),"")</f>
        <v>0.038679</v>
      </c>
      <c r="AJ60" s="420"/>
      <c r="AK60" s="438"/>
      <c r="AL60" s="438"/>
      <c r="AM60" s="438"/>
      <c r="AN60" s="436">
        <v>2.0</v>
      </c>
      <c r="AO60" s="438"/>
      <c r="AP60" s="436">
        <v>0.26</v>
      </c>
      <c r="AQ60" s="438"/>
      <c r="AR60" s="420" t="s">
        <v>2197</v>
      </c>
      <c r="AS60" s="420"/>
      <c r="AT60" s="438"/>
      <c r="AU60" s="438"/>
      <c r="AV60" s="438" t="s">
        <v>2206</v>
      </c>
      <c r="AW60" s="450">
        <v>179.32394871335</v>
      </c>
    </row>
    <row r="61">
      <c r="A61" s="419" t="s">
        <v>266</v>
      </c>
      <c r="B61" s="419" t="s">
        <v>266</v>
      </c>
      <c r="C61" s="420" t="s">
        <v>267</v>
      </c>
      <c r="D61" s="420" t="s">
        <v>268</v>
      </c>
      <c r="E61" s="420"/>
      <c r="F61" s="420" t="s">
        <v>2215</v>
      </c>
      <c r="G61" s="420" t="s">
        <v>169</v>
      </c>
      <c r="H61" s="420" t="s">
        <v>269</v>
      </c>
      <c r="I61" s="420" t="s">
        <v>2199</v>
      </c>
      <c r="J61" s="436">
        <v>2840.0</v>
      </c>
      <c r="K61" s="421">
        <v>150.0</v>
      </c>
      <c r="L61" s="420" t="s">
        <v>345</v>
      </c>
      <c r="M61" s="422">
        <v>0.5</v>
      </c>
      <c r="N61" s="422">
        <v>12.263</v>
      </c>
      <c r="O61" s="422">
        <v>11.038</v>
      </c>
      <c r="P61" s="422"/>
      <c r="Q61" s="420" t="s">
        <v>2200</v>
      </c>
      <c r="R61" s="420" t="s">
        <v>2176</v>
      </c>
      <c r="S61" s="420" t="s">
        <v>2201</v>
      </c>
      <c r="T61" s="420" t="s">
        <v>596</v>
      </c>
      <c r="U61" s="420" t="s">
        <v>597</v>
      </c>
      <c r="V61" s="440"/>
      <c r="W61" s="458">
        <v>0.026915348039269153</v>
      </c>
      <c r="X61" s="454">
        <v>0.026</v>
      </c>
      <c r="Y61" s="442">
        <f t="shared" si="61"/>
        <v>0.6795462133</v>
      </c>
      <c r="Z61" s="442"/>
      <c r="AA61" s="443"/>
      <c r="AB61" s="443"/>
      <c r="AC61" s="436" t="str">
        <f>IF(ISNUMBER(VLOOKUP(B61,'New Masses'!A:C,3,FALSE)),VLOOKUP(B61,'New Masses'!A:C,3,FALSE),"")</f>
        <v/>
      </c>
      <c r="AD61" s="451">
        <f>(10^-10.5)</f>
        <v>0</v>
      </c>
      <c r="AE61" s="436">
        <f t="shared" si="62"/>
        <v>-10.5</v>
      </c>
      <c r="AF61" s="438"/>
      <c r="AG61" s="459">
        <f t="shared" si="63"/>
        <v>0.047715</v>
      </c>
      <c r="AH61" s="420"/>
      <c r="AI61" s="446">
        <f>IF(ISNUMBER(VLOOKUP(C61,'New Masses'!A:C,2, FALSE)),VLOOKUP(C61,'New Masses'!A:C,2, FALSE),"")</f>
        <v>0.038679</v>
      </c>
      <c r="AJ61" s="420"/>
      <c r="AK61" s="438"/>
      <c r="AL61" s="438"/>
      <c r="AM61" s="438"/>
      <c r="AN61" s="436">
        <v>2.0</v>
      </c>
      <c r="AO61" s="438"/>
      <c r="AP61" s="436">
        <v>0.26</v>
      </c>
      <c r="AQ61" s="438"/>
      <c r="AR61" s="420" t="s">
        <v>2197</v>
      </c>
      <c r="AS61" s="420"/>
      <c r="AT61" s="438"/>
      <c r="AU61" s="438"/>
      <c r="AV61" s="438" t="s">
        <v>2206</v>
      </c>
      <c r="AW61" s="450">
        <v>179.32394871335</v>
      </c>
    </row>
    <row r="62">
      <c r="A62" s="419" t="s">
        <v>266</v>
      </c>
      <c r="B62" s="439" t="s">
        <v>267</v>
      </c>
      <c r="C62" s="420"/>
      <c r="D62" s="438" t="s">
        <v>268</v>
      </c>
      <c r="E62" s="438"/>
      <c r="F62" s="420" t="s">
        <v>2215</v>
      </c>
      <c r="G62" s="420" t="s">
        <v>169</v>
      </c>
      <c r="H62" s="420" t="s">
        <v>201</v>
      </c>
      <c r="I62" s="438" t="s">
        <v>2207</v>
      </c>
      <c r="J62" s="436">
        <v>3025.0</v>
      </c>
      <c r="K62" s="438"/>
      <c r="L62" s="420" t="s">
        <v>270</v>
      </c>
      <c r="M62" s="429"/>
      <c r="N62" s="422">
        <v>12.263</v>
      </c>
      <c r="O62" s="422">
        <v>11.038</v>
      </c>
      <c r="P62" s="422"/>
      <c r="Q62" s="454" t="s">
        <v>2208</v>
      </c>
      <c r="R62" s="438" t="s">
        <v>2209</v>
      </c>
      <c r="S62" s="438" t="s">
        <v>2196</v>
      </c>
      <c r="T62" s="454" t="s">
        <v>162</v>
      </c>
      <c r="U62" s="438" t="s">
        <v>2210</v>
      </c>
      <c r="V62" s="423">
        <v>4.51</v>
      </c>
      <c r="W62" s="458"/>
      <c r="X62" s="438"/>
      <c r="Y62" s="442" t="str">
        <f t="shared" si="61"/>
        <v/>
      </c>
      <c r="Z62" s="442"/>
      <c r="AA62" s="443"/>
      <c r="AB62" s="443"/>
      <c r="AC62" s="469">
        <f>IF(ISNUMBER(VLOOKUP(B62,'New Masses'!A:C,3,FALSE)),VLOOKUP(B62,'New Masses'!A:C,3,FALSE),"")</f>
        <v>0.466998</v>
      </c>
      <c r="AD62" s="423">
        <f t="shared" ref="AD62:AD63" si="64">10^AE62</f>
        <v>0</v>
      </c>
      <c r="AE62" s="420">
        <v>-10.6</v>
      </c>
      <c r="AF62" s="438"/>
      <c r="AG62" s="459">
        <v>0.12</v>
      </c>
      <c r="AH62" s="438"/>
      <c r="AI62" s="446">
        <f>IF(ISNUMBER(VLOOKUP(B62,'New Masses'!A:C,2, FALSE)),VLOOKUP(B62,'New Masses'!A:C,2, FALSE),"")</f>
        <v>0.038679</v>
      </c>
      <c r="AJ62" s="438"/>
      <c r="AK62" s="438"/>
      <c r="AL62" s="438"/>
      <c r="AM62" s="438"/>
      <c r="AN62" s="436">
        <v>2.0</v>
      </c>
      <c r="AO62" s="438"/>
      <c r="AP62" s="438"/>
      <c r="AQ62" s="438"/>
      <c r="AR62" s="438"/>
      <c r="AS62" s="438"/>
      <c r="AT62" s="438" t="s">
        <v>5916</v>
      </c>
      <c r="AU62" s="473" t="s">
        <v>2211</v>
      </c>
      <c r="AV62" s="438"/>
      <c r="AW62" s="450">
        <v>179.32394871335</v>
      </c>
    </row>
    <row r="63">
      <c r="A63" s="419" t="s">
        <v>266</v>
      </c>
      <c r="B63" s="439" t="s">
        <v>267</v>
      </c>
      <c r="C63" s="420"/>
      <c r="D63" s="438" t="s">
        <v>268</v>
      </c>
      <c r="E63" s="438"/>
      <c r="F63" s="420" t="s">
        <v>2215</v>
      </c>
      <c r="G63" s="420" t="s">
        <v>169</v>
      </c>
      <c r="H63" s="420" t="s">
        <v>201</v>
      </c>
      <c r="I63" s="438" t="s">
        <v>2207</v>
      </c>
      <c r="J63" s="436">
        <v>3025.0</v>
      </c>
      <c r="K63" s="438"/>
      <c r="L63" s="420" t="s">
        <v>270</v>
      </c>
      <c r="M63" s="429"/>
      <c r="N63" s="422">
        <v>12.263</v>
      </c>
      <c r="O63" s="422">
        <v>11.038</v>
      </c>
      <c r="P63" s="422"/>
      <c r="Q63" s="438" t="s">
        <v>2208</v>
      </c>
      <c r="R63" s="438" t="s">
        <v>2209</v>
      </c>
      <c r="S63" s="438" t="s">
        <v>2196</v>
      </c>
      <c r="T63" s="454" t="s">
        <v>162</v>
      </c>
      <c r="U63" s="438" t="s">
        <v>2210</v>
      </c>
      <c r="V63" s="423">
        <v>4.51</v>
      </c>
      <c r="W63" s="458"/>
      <c r="X63" s="438"/>
      <c r="Y63" s="442" t="str">
        <f t="shared" si="61"/>
        <v/>
      </c>
      <c r="Z63" s="442"/>
      <c r="AA63" s="443"/>
      <c r="AB63" s="443"/>
      <c r="AC63" s="469">
        <f>IF(ISNUMBER(VLOOKUP(B63,'New Masses'!A:C,3,FALSE)),VLOOKUP(B63,'New Masses'!A:C,3,FALSE),"")</f>
        <v>0.466998</v>
      </c>
      <c r="AD63" s="423">
        <f t="shared" si="64"/>
        <v>0</v>
      </c>
      <c r="AE63" s="438">
        <v>-10.8</v>
      </c>
      <c r="AF63" s="438"/>
      <c r="AG63" s="459">
        <v>0.12</v>
      </c>
      <c r="AH63" s="438"/>
      <c r="AI63" s="446">
        <f>IF(ISNUMBER(VLOOKUP(B63,'New Masses'!A:C,2, FALSE)),VLOOKUP(B63,'New Masses'!A:C,2, FALSE),"")</f>
        <v>0.038679</v>
      </c>
      <c r="AJ63" s="438"/>
      <c r="AK63" s="438"/>
      <c r="AL63" s="438"/>
      <c r="AM63" s="438"/>
      <c r="AN63" s="436">
        <v>2.0</v>
      </c>
      <c r="AO63" s="438"/>
      <c r="AP63" s="438"/>
      <c r="AQ63" s="438"/>
      <c r="AR63" s="438"/>
      <c r="AS63" s="438"/>
      <c r="AT63" s="438" t="s">
        <v>5916</v>
      </c>
      <c r="AU63" s="473" t="s">
        <v>2212</v>
      </c>
      <c r="AV63" s="438"/>
      <c r="AW63" s="450">
        <v>179.32394871335</v>
      </c>
    </row>
    <row r="64">
      <c r="A64" s="435" t="str">
        <f t="shared" ref="A64:C64" si="65">#REF!</f>
        <v>#REF!</v>
      </c>
      <c r="B64" s="485" t="str">
        <f t="shared" si="65"/>
        <v>#REF!</v>
      </c>
      <c r="C64" s="486" t="str">
        <f t="shared" si="65"/>
        <v>#REF!</v>
      </c>
      <c r="D64" s="486"/>
      <c r="E64" s="486"/>
      <c r="F64" s="528"/>
      <c r="G64" s="486"/>
      <c r="H64" s="486" t="s">
        <v>5917</v>
      </c>
      <c r="I64" s="491"/>
      <c r="J64" s="491"/>
      <c r="K64" s="491"/>
      <c r="L64" s="491"/>
      <c r="M64" s="486"/>
      <c r="N64" s="422"/>
      <c r="O64" s="422"/>
      <c r="P64" s="422"/>
      <c r="Q64" s="486"/>
      <c r="R64" s="491"/>
      <c r="S64" s="491"/>
      <c r="T64" s="491"/>
      <c r="U64" s="491"/>
      <c r="V64" s="491"/>
      <c r="W64" s="493"/>
      <c r="X64" s="486"/>
      <c r="Y64" s="442"/>
      <c r="Z64" s="491"/>
      <c r="AA64" s="524" t="str">
        <f t="shared" ref="AA64:AA67" si="67">#REF!</f>
        <v>#REF!</v>
      </c>
      <c r="AB64" s="494"/>
      <c r="AC64" s="436"/>
      <c r="AD64" s="495"/>
      <c r="AE64" s="491"/>
      <c r="AF64" s="491"/>
      <c r="AG64" s="525" t="str">
        <f t="shared" ref="AG64:AG67" si="68">#REF!</f>
        <v>#REF!</v>
      </c>
      <c r="AH64" s="491"/>
      <c r="AI64" s="446"/>
      <c r="AJ64" s="491"/>
      <c r="AK64" s="500"/>
      <c r="AL64" s="436"/>
      <c r="AM64" s="438"/>
      <c r="AN64" s="531"/>
      <c r="AO64" s="491"/>
      <c r="AP64" s="438"/>
      <c r="AQ64" s="438"/>
      <c r="AR64" s="438"/>
      <c r="AS64" s="438"/>
      <c r="AT64" s="438"/>
      <c r="AU64" s="438"/>
      <c r="AV64" s="438"/>
      <c r="AW64" s="450" t="str">
        <f t="shared" ref="AW64:AW67" si="69">#REF!</f>
        <v>#REF!</v>
      </c>
    </row>
    <row r="65">
      <c r="A65" s="435" t="str">
        <f t="shared" ref="A65:C65" si="66">#REF!</f>
        <v>#REF!</v>
      </c>
      <c r="B65" s="485" t="str">
        <f t="shared" si="66"/>
        <v>#REF!</v>
      </c>
      <c r="C65" s="486" t="str">
        <f t="shared" si="66"/>
        <v>#REF!</v>
      </c>
      <c r="D65" s="486"/>
      <c r="E65" s="486"/>
      <c r="F65" s="528"/>
      <c r="G65" s="486"/>
      <c r="H65" s="486" t="s">
        <v>5917</v>
      </c>
      <c r="I65" s="491"/>
      <c r="J65" s="491"/>
      <c r="K65" s="491"/>
      <c r="L65" s="491"/>
      <c r="M65" s="486"/>
      <c r="N65" s="422"/>
      <c r="O65" s="422"/>
      <c r="P65" s="422"/>
      <c r="Q65" s="486"/>
      <c r="R65" s="491"/>
      <c r="S65" s="491"/>
      <c r="T65" s="491"/>
      <c r="U65" s="491"/>
      <c r="V65" s="491"/>
      <c r="W65" s="493"/>
      <c r="X65" s="486"/>
      <c r="Y65" s="442"/>
      <c r="Z65" s="491"/>
      <c r="AA65" s="524" t="str">
        <f t="shared" si="67"/>
        <v>#REF!</v>
      </c>
      <c r="AB65" s="494"/>
      <c r="AC65" s="436"/>
      <c r="AD65" s="495"/>
      <c r="AE65" s="491"/>
      <c r="AF65" s="491"/>
      <c r="AG65" s="525" t="str">
        <f t="shared" si="68"/>
        <v>#REF!</v>
      </c>
      <c r="AH65" s="491"/>
      <c r="AI65" s="446"/>
      <c r="AJ65" s="491"/>
      <c r="AK65" s="500"/>
      <c r="AL65" s="436"/>
      <c r="AM65" s="438"/>
      <c r="AN65" s="531"/>
      <c r="AO65" s="491"/>
      <c r="AP65" s="438"/>
      <c r="AQ65" s="438"/>
      <c r="AR65" s="438"/>
      <c r="AS65" s="438"/>
      <c r="AT65" s="438"/>
      <c r="AU65" s="438"/>
      <c r="AV65" s="438"/>
      <c r="AW65" s="450" t="str">
        <f t="shared" si="69"/>
        <v>#REF!</v>
      </c>
    </row>
    <row r="66">
      <c r="A66" s="435" t="str">
        <f t="shared" ref="A66:C66" si="70">#REF!</f>
        <v>#REF!</v>
      </c>
      <c r="B66" s="485" t="str">
        <f t="shared" si="70"/>
        <v>#REF!</v>
      </c>
      <c r="C66" s="486" t="str">
        <f t="shared" si="70"/>
        <v>#REF!</v>
      </c>
      <c r="D66" s="486"/>
      <c r="E66" s="486"/>
      <c r="F66" s="528"/>
      <c r="G66" s="486"/>
      <c r="H66" s="486" t="s">
        <v>5917</v>
      </c>
      <c r="I66" s="491"/>
      <c r="J66" s="491"/>
      <c r="K66" s="491"/>
      <c r="L66" s="491"/>
      <c r="M66" s="486"/>
      <c r="N66" s="422"/>
      <c r="O66" s="422"/>
      <c r="P66" s="422"/>
      <c r="Q66" s="486"/>
      <c r="R66" s="491"/>
      <c r="S66" s="491"/>
      <c r="T66" s="491"/>
      <c r="U66" s="491"/>
      <c r="V66" s="491"/>
      <c r="W66" s="493"/>
      <c r="X66" s="486"/>
      <c r="Y66" s="442"/>
      <c r="Z66" s="491"/>
      <c r="AA66" s="524" t="str">
        <f t="shared" si="67"/>
        <v>#REF!</v>
      </c>
      <c r="AB66" s="494"/>
      <c r="AC66" s="436"/>
      <c r="AD66" s="495"/>
      <c r="AE66" s="491"/>
      <c r="AF66" s="491"/>
      <c r="AG66" s="525" t="str">
        <f t="shared" si="68"/>
        <v>#REF!</v>
      </c>
      <c r="AH66" s="491"/>
      <c r="AI66" s="446"/>
      <c r="AJ66" s="491"/>
      <c r="AK66" s="500"/>
      <c r="AL66" s="436"/>
      <c r="AM66" s="438"/>
      <c r="AN66" s="531"/>
      <c r="AO66" s="491"/>
      <c r="AP66" s="438"/>
      <c r="AQ66" s="438"/>
      <c r="AR66" s="438"/>
      <c r="AS66" s="438"/>
      <c r="AT66" s="438"/>
      <c r="AU66" s="438"/>
      <c r="AV66" s="438"/>
      <c r="AW66" s="450" t="str">
        <f t="shared" si="69"/>
        <v>#REF!</v>
      </c>
    </row>
    <row r="67">
      <c r="A67" s="435" t="str">
        <f t="shared" ref="A67:C67" si="71">#REF!</f>
        <v>#REF!</v>
      </c>
      <c r="B67" s="485" t="str">
        <f t="shared" si="71"/>
        <v>#REF!</v>
      </c>
      <c r="C67" s="486" t="str">
        <f t="shared" si="71"/>
        <v>#REF!</v>
      </c>
      <c r="D67" s="486"/>
      <c r="E67" s="486"/>
      <c r="F67" s="528"/>
      <c r="G67" s="486"/>
      <c r="H67" s="486" t="s">
        <v>5917</v>
      </c>
      <c r="I67" s="491"/>
      <c r="J67" s="491"/>
      <c r="K67" s="491"/>
      <c r="L67" s="491"/>
      <c r="M67" s="486"/>
      <c r="N67" s="422"/>
      <c r="O67" s="422"/>
      <c r="P67" s="422"/>
      <c r="Q67" s="486"/>
      <c r="R67" s="491"/>
      <c r="S67" s="491"/>
      <c r="T67" s="491"/>
      <c r="U67" s="491"/>
      <c r="V67" s="491"/>
      <c r="W67" s="493"/>
      <c r="X67" s="486"/>
      <c r="Y67" s="442"/>
      <c r="Z67" s="491"/>
      <c r="AA67" s="524" t="str">
        <f t="shared" si="67"/>
        <v>#REF!</v>
      </c>
      <c r="AB67" s="494"/>
      <c r="AC67" s="436"/>
      <c r="AD67" s="495"/>
      <c r="AE67" s="491"/>
      <c r="AF67" s="491"/>
      <c r="AG67" s="525" t="str">
        <f t="shared" si="68"/>
        <v>#REF!</v>
      </c>
      <c r="AH67" s="491"/>
      <c r="AI67" s="446"/>
      <c r="AJ67" s="491"/>
      <c r="AK67" s="500"/>
      <c r="AL67" s="436"/>
      <c r="AM67" s="438"/>
      <c r="AN67" s="531"/>
      <c r="AO67" s="491"/>
      <c r="AP67" s="438"/>
      <c r="AQ67" s="438"/>
      <c r="AR67" s="438"/>
      <c r="AS67" s="438"/>
      <c r="AT67" s="438"/>
      <c r="AU67" s="438"/>
      <c r="AV67" s="438"/>
      <c r="AW67" s="450" t="str">
        <f t="shared" si="69"/>
        <v>#REF!</v>
      </c>
    </row>
    <row r="68">
      <c r="A68" s="419" t="s">
        <v>632</v>
      </c>
      <c r="B68" s="436" t="s">
        <v>633</v>
      </c>
      <c r="C68" s="420"/>
      <c r="D68" s="420" t="s">
        <v>268</v>
      </c>
      <c r="E68" s="420"/>
      <c r="F68" s="420" t="s">
        <v>2216</v>
      </c>
      <c r="G68" s="420" t="s">
        <v>169</v>
      </c>
      <c r="H68" s="420" t="s">
        <v>598</v>
      </c>
      <c r="I68" s="467">
        <v>37985.0</v>
      </c>
      <c r="J68" s="436">
        <v>2752.0</v>
      </c>
      <c r="K68" s="436"/>
      <c r="L68" s="420" t="s">
        <v>334</v>
      </c>
      <c r="M68" s="429"/>
      <c r="N68" s="422">
        <v>13.613</v>
      </c>
      <c r="O68" s="422">
        <v>12.421</v>
      </c>
      <c r="P68" s="422"/>
      <c r="Q68" s="420" t="s">
        <v>2194</v>
      </c>
      <c r="R68" s="420" t="s">
        <v>2195</v>
      </c>
      <c r="S68" s="420" t="s">
        <v>2196</v>
      </c>
      <c r="T68" s="420" t="s">
        <v>596</v>
      </c>
      <c r="U68" s="420" t="s">
        <v>597</v>
      </c>
      <c r="V68" s="440"/>
      <c r="W68" s="468"/>
      <c r="X68" s="436"/>
      <c r="Y68" s="442" t="str">
        <f>IF((W68/((J68/5780)^4))^0.5&gt;0,(W68/((J68/5780)^4))^0.5,"")</f>
        <v/>
      </c>
      <c r="Z68" s="469"/>
      <c r="AA68" s="470">
        <v>0.48</v>
      </c>
      <c r="AB68" s="470"/>
      <c r="AC68" s="469">
        <f>IF(ISNUMBER(VLOOKUP(B68,'New Masses'!A:C,3,FALSE)),VLOOKUP(B68,'New Masses'!A:C,3,FALSE),"")</f>
        <v>0.373813</v>
      </c>
      <c r="AD68" s="440">
        <f>10^AE68</f>
        <v>0</v>
      </c>
      <c r="AE68" s="436">
        <v>-12.0</v>
      </c>
      <c r="AF68" s="438"/>
      <c r="AG68" s="459">
        <v>0.035</v>
      </c>
      <c r="AH68" s="436"/>
      <c r="AI68" s="446">
        <f>IF(ISNUMBER(VLOOKUP(B68,'New Masses'!A:C,2, FALSE)),VLOOKUP(B68,'New Masses'!A:C,2, FALSE),"")</f>
        <v>0.028415</v>
      </c>
      <c r="AJ68" s="436"/>
      <c r="AK68" s="438"/>
      <c r="AL68" s="438"/>
      <c r="AM68" s="438"/>
      <c r="AN68" s="436">
        <v>2.0</v>
      </c>
      <c r="AO68" s="438"/>
      <c r="AP68" s="436">
        <v>0.3</v>
      </c>
      <c r="AQ68" s="420"/>
      <c r="AR68" s="420" t="s">
        <v>2197</v>
      </c>
      <c r="AS68" s="420"/>
      <c r="AT68" s="420" t="s">
        <v>5916</v>
      </c>
      <c r="AU68" s="438"/>
      <c r="AV68" s="438"/>
      <c r="AW68" s="450">
        <v>184.240101700536</v>
      </c>
    </row>
    <row r="69">
      <c r="A69" s="435" t="str">
        <f t="shared" ref="A69:C69" si="72">#REF!</f>
        <v>#REF!</v>
      </c>
      <c r="B69" s="485" t="str">
        <f t="shared" si="72"/>
        <v>#REF!</v>
      </c>
      <c r="C69" s="486" t="str">
        <f t="shared" si="72"/>
        <v>#REF!</v>
      </c>
      <c r="D69" s="486"/>
      <c r="E69" s="486"/>
      <c r="F69" s="528"/>
      <c r="G69" s="486"/>
      <c r="H69" s="486" t="s">
        <v>5917</v>
      </c>
      <c r="I69" s="491"/>
      <c r="J69" s="491"/>
      <c r="K69" s="491"/>
      <c r="L69" s="491"/>
      <c r="M69" s="486"/>
      <c r="N69" s="422"/>
      <c r="O69" s="422"/>
      <c r="P69" s="422"/>
      <c r="Q69" s="486"/>
      <c r="R69" s="491"/>
      <c r="S69" s="491"/>
      <c r="T69" s="491"/>
      <c r="U69" s="491"/>
      <c r="V69" s="491"/>
      <c r="W69" s="493"/>
      <c r="X69" s="486"/>
      <c r="Y69" s="442"/>
      <c r="Z69" s="491"/>
      <c r="AA69" s="524" t="str">
        <f>#REF!</f>
        <v>#REF!</v>
      </c>
      <c r="AB69" s="494"/>
      <c r="AC69" s="436"/>
      <c r="AD69" s="495"/>
      <c r="AE69" s="491"/>
      <c r="AF69" s="491"/>
      <c r="AG69" s="525" t="str">
        <f>#REF!</f>
        <v>#REF!</v>
      </c>
      <c r="AH69" s="491"/>
      <c r="AI69" s="446"/>
      <c r="AJ69" s="491"/>
      <c r="AK69" s="500"/>
      <c r="AL69" s="436"/>
      <c r="AM69" s="438"/>
      <c r="AN69" s="531"/>
      <c r="AO69" s="491"/>
      <c r="AP69" s="438"/>
      <c r="AQ69" s="438"/>
      <c r="AR69" s="438"/>
      <c r="AS69" s="438"/>
      <c r="AT69" s="438"/>
      <c r="AU69" s="438"/>
      <c r="AV69" s="438"/>
      <c r="AW69" s="450" t="str">
        <f>#REF!</f>
        <v>#REF!</v>
      </c>
    </row>
    <row r="70">
      <c r="A70" s="435" t="s">
        <v>1731</v>
      </c>
      <c r="B70" s="436" t="s">
        <v>1732</v>
      </c>
      <c r="C70" s="436"/>
      <c r="D70" s="436" t="s">
        <v>350</v>
      </c>
      <c r="E70" s="436"/>
      <c r="F70" s="436" t="s">
        <v>2217</v>
      </c>
      <c r="G70" s="437" t="s">
        <v>169</v>
      </c>
      <c r="H70" s="437" t="s">
        <v>702</v>
      </c>
      <c r="I70" s="437" t="s">
        <v>1999</v>
      </c>
      <c r="J70" s="437">
        <v>3500.0</v>
      </c>
      <c r="K70" s="438"/>
      <c r="L70" s="436" t="s">
        <v>1423</v>
      </c>
      <c r="M70" s="439"/>
      <c r="N70" s="422">
        <v>11.363</v>
      </c>
      <c r="O70" s="422">
        <v>10.439</v>
      </c>
      <c r="P70" s="422">
        <v>13.22</v>
      </c>
      <c r="Q70" s="436" t="s">
        <v>1632</v>
      </c>
      <c r="R70" s="438"/>
      <c r="S70" s="436" t="s">
        <v>2000</v>
      </c>
      <c r="T70" s="436" t="s">
        <v>1632</v>
      </c>
      <c r="U70" s="436" t="s">
        <v>1633</v>
      </c>
      <c r="V70" s="451"/>
      <c r="W70" s="441">
        <v>0.63</v>
      </c>
      <c r="X70" s="438"/>
      <c r="Y70" s="442">
        <f>IF((W70/((J70/5780)^4))^0.5&gt;0,(W70/((J70/5780)^4))^0.5,"")</f>
        <v>2.164660851</v>
      </c>
      <c r="Z70" s="442"/>
      <c r="AA70" s="443"/>
      <c r="AB70" s="443"/>
      <c r="AC70" s="436" t="str">
        <f>IF(ISNUMBER(VLOOKUP(B70,'New Masses'!A:C,3,FALSE)),VLOOKUP(B70,'New Masses'!A:C,3,FALSE),"")</f>
        <v/>
      </c>
      <c r="AD70" s="440">
        <f>10^AE70</f>
        <v>0.000000001737800829</v>
      </c>
      <c r="AE70" s="437">
        <v>-8.76</v>
      </c>
      <c r="AF70" s="438"/>
      <c r="AG70" s="445">
        <v>0.6</v>
      </c>
      <c r="AH70" s="438"/>
      <c r="AI70" s="446" t="str">
        <f>IF(ISNUMBER(VLOOKUP(B70,'New Masses'!A:C,2, FALSE)),VLOOKUP(B70,'New Masses'!A:C,2, FALSE),"")</f>
        <v/>
      </c>
      <c r="AJ70" s="438"/>
      <c r="AK70" s="437"/>
      <c r="AL70" s="447">
        <v>-1.92</v>
      </c>
      <c r="AM70" s="438"/>
      <c r="AN70" s="436">
        <v>3.0</v>
      </c>
      <c r="AO70" s="438"/>
      <c r="AP70" s="438"/>
      <c r="AQ70" s="436"/>
      <c r="AR70" s="438"/>
      <c r="AS70" s="438"/>
      <c r="AT70" s="438"/>
      <c r="AU70" s="438" t="s">
        <v>1676</v>
      </c>
      <c r="AV70" s="438"/>
      <c r="AW70" s="450">
        <v>400.769477396601</v>
      </c>
    </row>
    <row r="71">
      <c r="A71" s="435" t="str">
        <f t="shared" ref="A71:C71" si="73">#REF!</f>
        <v>#REF!</v>
      </c>
      <c r="B71" s="485" t="str">
        <f t="shared" si="73"/>
        <v>#REF!</v>
      </c>
      <c r="C71" s="486" t="str">
        <f t="shared" si="73"/>
        <v>#REF!</v>
      </c>
      <c r="D71" s="486"/>
      <c r="E71" s="486"/>
      <c r="F71" s="528"/>
      <c r="G71" s="486"/>
      <c r="H71" s="486" t="s">
        <v>5917</v>
      </c>
      <c r="I71" s="491"/>
      <c r="J71" s="491"/>
      <c r="K71" s="491"/>
      <c r="L71" s="491"/>
      <c r="M71" s="486"/>
      <c r="N71" s="422"/>
      <c r="O71" s="422"/>
      <c r="P71" s="422"/>
      <c r="Q71" s="486"/>
      <c r="R71" s="491"/>
      <c r="S71" s="491"/>
      <c r="T71" s="491"/>
      <c r="U71" s="491"/>
      <c r="V71" s="491"/>
      <c r="W71" s="493"/>
      <c r="X71" s="486"/>
      <c r="Y71" s="442"/>
      <c r="Z71" s="491"/>
      <c r="AA71" s="524" t="str">
        <f>#REF!</f>
        <v>#REF!</v>
      </c>
      <c r="AB71" s="494"/>
      <c r="AC71" s="436"/>
      <c r="AD71" s="495"/>
      <c r="AE71" s="491"/>
      <c r="AF71" s="491"/>
      <c r="AG71" s="525" t="str">
        <f>#REF!</f>
        <v>#REF!</v>
      </c>
      <c r="AH71" s="491"/>
      <c r="AI71" s="446"/>
      <c r="AJ71" s="491"/>
      <c r="AK71" s="500"/>
      <c r="AL71" s="436"/>
      <c r="AM71" s="438"/>
      <c r="AN71" s="531"/>
      <c r="AO71" s="491"/>
      <c r="AP71" s="438"/>
      <c r="AQ71" s="438"/>
      <c r="AR71" s="438"/>
      <c r="AS71" s="438"/>
      <c r="AT71" s="438"/>
      <c r="AU71" s="438"/>
      <c r="AV71" s="438"/>
      <c r="AW71" s="450" t="str">
        <f>#REF!</f>
        <v>#REF!</v>
      </c>
    </row>
    <row r="72">
      <c r="A72" s="435" t="s">
        <v>2007</v>
      </c>
      <c r="B72" s="436" t="s">
        <v>2008</v>
      </c>
      <c r="C72" s="436"/>
      <c r="D72" s="436" t="s">
        <v>350</v>
      </c>
      <c r="E72" s="436"/>
      <c r="F72" s="436" t="s">
        <v>2218</v>
      </c>
      <c r="G72" s="437" t="s">
        <v>515</v>
      </c>
      <c r="H72" s="437" t="s">
        <v>702</v>
      </c>
      <c r="I72" s="437" t="s">
        <v>1999</v>
      </c>
      <c r="J72" s="437">
        <v>3900.0</v>
      </c>
      <c r="K72" s="438"/>
      <c r="L72" s="436" t="s">
        <v>2010</v>
      </c>
      <c r="M72" s="439"/>
      <c r="N72" s="422">
        <v>9.907</v>
      </c>
      <c r="O72" s="422">
        <v>9.119</v>
      </c>
      <c r="P72" s="422">
        <v>11.73</v>
      </c>
      <c r="Q72" s="436" t="s">
        <v>1632</v>
      </c>
      <c r="R72" s="438"/>
      <c r="S72" s="436" t="s">
        <v>2000</v>
      </c>
      <c r="T72" s="436" t="s">
        <v>1632</v>
      </c>
      <c r="U72" s="436" t="s">
        <v>1633</v>
      </c>
      <c r="V72" s="440"/>
      <c r="W72" s="441">
        <v>0.46</v>
      </c>
      <c r="X72" s="438"/>
      <c r="Y72" s="442">
        <f>IF((W72/((J72/5780)^4))^0.5&gt;0,(W72/((J72/5780)^4))^0.5,"")</f>
        <v>1.489722505</v>
      </c>
      <c r="Z72" s="442"/>
      <c r="AA72" s="443"/>
      <c r="AB72" s="443"/>
      <c r="AC72" s="436" t="str">
        <f>IF(ISNUMBER(VLOOKUP(B72,'New Masses'!A:C,3,FALSE)),VLOOKUP(B72,'New Masses'!A:C,3,FALSE),"")</f>
        <v/>
      </c>
      <c r="AD72" s="440"/>
      <c r="AE72" s="437"/>
      <c r="AF72" s="438"/>
      <c r="AG72" s="445">
        <v>1.0</v>
      </c>
      <c r="AH72" s="438"/>
      <c r="AI72" s="446" t="str">
        <f>IF(ISNUMBER(VLOOKUP(B72,'New Masses'!A:C,2, FALSE)),VLOOKUP(B72,'New Masses'!A:C,2, FALSE),"")</f>
        <v/>
      </c>
      <c r="AJ72" s="438"/>
      <c r="AK72" s="437"/>
      <c r="AL72" s="437"/>
      <c r="AM72" s="438"/>
      <c r="AN72" s="436">
        <v>3.0</v>
      </c>
      <c r="AO72" s="438"/>
      <c r="AP72" s="438"/>
      <c r="AQ72" s="436"/>
      <c r="AR72" s="438"/>
      <c r="AS72" s="438"/>
      <c r="AT72" s="438"/>
      <c r="AU72" s="438" t="s">
        <v>705</v>
      </c>
      <c r="AV72" s="438"/>
      <c r="AW72" s="450">
        <v>413.291453132749</v>
      </c>
    </row>
    <row r="73">
      <c r="A73" s="435" t="str">
        <f t="shared" ref="A73:C73" si="74">#REF!</f>
        <v>#REF!</v>
      </c>
      <c r="B73" s="485" t="str">
        <f t="shared" si="74"/>
        <v>#REF!</v>
      </c>
      <c r="C73" s="486" t="str">
        <f t="shared" si="74"/>
        <v>#REF!</v>
      </c>
      <c r="D73" s="486"/>
      <c r="E73" s="486"/>
      <c r="F73" s="528"/>
      <c r="G73" s="486"/>
      <c r="H73" s="486" t="s">
        <v>5917</v>
      </c>
      <c r="I73" s="491"/>
      <c r="J73" s="491"/>
      <c r="K73" s="491"/>
      <c r="L73" s="491"/>
      <c r="M73" s="486"/>
      <c r="N73" s="422"/>
      <c r="O73" s="422"/>
      <c r="P73" s="422"/>
      <c r="Q73" s="486"/>
      <c r="R73" s="491"/>
      <c r="S73" s="491"/>
      <c r="T73" s="491"/>
      <c r="U73" s="491"/>
      <c r="V73" s="491"/>
      <c r="W73" s="493"/>
      <c r="X73" s="486"/>
      <c r="Y73" s="442"/>
      <c r="Z73" s="491"/>
      <c r="AA73" s="524" t="str">
        <f>#REF!</f>
        <v>#REF!</v>
      </c>
      <c r="AB73" s="494"/>
      <c r="AC73" s="436"/>
      <c r="AD73" s="495"/>
      <c r="AE73" s="491"/>
      <c r="AF73" s="491"/>
      <c r="AG73" s="525" t="str">
        <f>#REF!</f>
        <v>#REF!</v>
      </c>
      <c r="AH73" s="491"/>
      <c r="AI73" s="446"/>
      <c r="AJ73" s="491"/>
      <c r="AK73" s="500"/>
      <c r="AL73" s="436"/>
      <c r="AM73" s="438"/>
      <c r="AN73" s="531"/>
      <c r="AO73" s="491"/>
      <c r="AP73" s="438"/>
      <c r="AQ73" s="438"/>
      <c r="AR73" s="438"/>
      <c r="AS73" s="438"/>
      <c r="AT73" s="438"/>
      <c r="AU73" s="438"/>
      <c r="AV73" s="438"/>
      <c r="AW73" s="450" t="str">
        <f>#REF!</f>
        <v>#REF!</v>
      </c>
    </row>
    <row r="74">
      <c r="A74" s="435" t="s">
        <v>2012</v>
      </c>
      <c r="B74" s="436" t="s">
        <v>2013</v>
      </c>
      <c r="C74" s="436"/>
      <c r="D74" s="436" t="s">
        <v>350</v>
      </c>
      <c r="E74" s="436"/>
      <c r="F74" s="436" t="s">
        <v>2219</v>
      </c>
      <c r="G74" s="437" t="s">
        <v>169</v>
      </c>
      <c r="H74" s="437" t="s">
        <v>702</v>
      </c>
      <c r="I74" s="437" t="s">
        <v>1999</v>
      </c>
      <c r="J74" s="437">
        <v>3700.0</v>
      </c>
      <c r="K74" s="438"/>
      <c r="L74" s="436" t="s">
        <v>434</v>
      </c>
      <c r="M74" s="439"/>
      <c r="N74" s="422">
        <v>10.156</v>
      </c>
      <c r="O74" s="422">
        <v>9.187</v>
      </c>
      <c r="P74" s="422">
        <v>12.41</v>
      </c>
      <c r="Q74" s="436" t="s">
        <v>1632</v>
      </c>
      <c r="R74" s="438"/>
      <c r="S74" s="436" t="s">
        <v>2000</v>
      </c>
      <c r="T74" s="436" t="s">
        <v>1632</v>
      </c>
      <c r="U74" s="436" t="s">
        <v>1633</v>
      </c>
      <c r="V74" s="451"/>
      <c r="W74" s="441">
        <v>1.73</v>
      </c>
      <c r="X74" s="438"/>
      <c r="Y74" s="442">
        <f>IF((W74/((J74/5780)^4))^0.5&gt;0,(W74/((J74/5780)^4))^0.5,"")</f>
        <v>3.209780101</v>
      </c>
      <c r="Z74" s="442"/>
      <c r="AA74" s="443"/>
      <c r="AB74" s="443"/>
      <c r="AC74" s="436" t="str">
        <f>IF(ISNUMBER(VLOOKUP(B74,'New Masses'!A:C,3,FALSE)),VLOOKUP(B74,'New Masses'!A:C,3,FALSE),"")</f>
        <v/>
      </c>
      <c r="AD74" s="440"/>
      <c r="AE74" s="437"/>
      <c r="AF74" s="438"/>
      <c r="AG74" s="445">
        <v>0.8</v>
      </c>
      <c r="AH74" s="438"/>
      <c r="AI74" s="446" t="str">
        <f>IF(ISNUMBER(VLOOKUP(B74,'New Masses'!A:C,2, FALSE)),VLOOKUP(B74,'New Masses'!A:C,2, FALSE),"")</f>
        <v/>
      </c>
      <c r="AJ74" s="438"/>
      <c r="AK74" s="437"/>
      <c r="AL74" s="437"/>
      <c r="AM74" s="438"/>
      <c r="AN74" s="436">
        <v>3.0</v>
      </c>
      <c r="AO74" s="438"/>
      <c r="AP74" s="438"/>
      <c r="AQ74" s="436"/>
      <c r="AR74" s="438"/>
      <c r="AS74" s="438"/>
      <c r="AT74" s="438"/>
      <c r="AU74" s="438" t="s">
        <v>1676</v>
      </c>
      <c r="AV74" s="438"/>
      <c r="AW74" s="450"/>
    </row>
    <row r="75">
      <c r="A75" s="435" t="str">
        <f t="shared" ref="A75:C75" si="75">#REF!</f>
        <v>#REF!</v>
      </c>
      <c r="B75" s="485" t="str">
        <f t="shared" si="75"/>
        <v>#REF!</v>
      </c>
      <c r="C75" s="486" t="str">
        <f t="shared" si="75"/>
        <v>#REF!</v>
      </c>
      <c r="D75" s="486"/>
      <c r="E75" s="486"/>
      <c r="F75" s="528"/>
      <c r="G75" s="486"/>
      <c r="H75" s="486" t="s">
        <v>5917</v>
      </c>
      <c r="I75" s="491"/>
      <c r="J75" s="491"/>
      <c r="K75" s="491"/>
      <c r="L75" s="491"/>
      <c r="M75" s="486"/>
      <c r="N75" s="422"/>
      <c r="O75" s="422"/>
      <c r="P75" s="422"/>
      <c r="Q75" s="486"/>
      <c r="R75" s="491"/>
      <c r="S75" s="491"/>
      <c r="T75" s="491"/>
      <c r="U75" s="491"/>
      <c r="V75" s="491"/>
      <c r="W75" s="493"/>
      <c r="X75" s="486"/>
      <c r="Y75" s="442"/>
      <c r="Z75" s="491"/>
      <c r="AA75" s="524" t="str">
        <f>#REF!</f>
        <v>#REF!</v>
      </c>
      <c r="AB75" s="494"/>
      <c r="AC75" s="436"/>
      <c r="AD75" s="495"/>
      <c r="AE75" s="491"/>
      <c r="AF75" s="491"/>
      <c r="AG75" s="525" t="str">
        <f>#REF!</f>
        <v>#REF!</v>
      </c>
      <c r="AH75" s="491"/>
      <c r="AI75" s="446"/>
      <c r="AJ75" s="491"/>
      <c r="AK75" s="500"/>
      <c r="AL75" s="436"/>
      <c r="AM75" s="438"/>
      <c r="AN75" s="531"/>
      <c r="AO75" s="491"/>
      <c r="AP75" s="438"/>
      <c r="AQ75" s="438"/>
      <c r="AR75" s="438"/>
      <c r="AS75" s="438"/>
      <c r="AT75" s="438"/>
      <c r="AU75" s="438"/>
      <c r="AV75" s="438"/>
      <c r="AW75" s="450" t="str">
        <f>#REF!</f>
        <v>#REF!</v>
      </c>
    </row>
    <row r="76">
      <c r="A76" s="435" t="s">
        <v>1673</v>
      </c>
      <c r="B76" s="436" t="s">
        <v>1674</v>
      </c>
      <c r="C76" s="436"/>
      <c r="D76" s="436" t="s">
        <v>350</v>
      </c>
      <c r="E76" s="436"/>
      <c r="F76" s="436" t="s">
        <v>2220</v>
      </c>
      <c r="G76" s="437" t="s">
        <v>169</v>
      </c>
      <c r="H76" s="437" t="s">
        <v>702</v>
      </c>
      <c r="I76" s="437" t="s">
        <v>1999</v>
      </c>
      <c r="J76" s="437">
        <v>3200.0</v>
      </c>
      <c r="K76" s="438"/>
      <c r="L76" s="436" t="s">
        <v>395</v>
      </c>
      <c r="M76" s="439"/>
      <c r="N76" s="422">
        <v>12.652</v>
      </c>
      <c r="O76" s="422">
        <v>11.648</v>
      </c>
      <c r="P76" s="422">
        <v>17.68</v>
      </c>
      <c r="Q76" s="436" t="s">
        <v>1632</v>
      </c>
      <c r="R76" s="438"/>
      <c r="S76" s="436" t="s">
        <v>2000</v>
      </c>
      <c r="T76" s="436" t="s">
        <v>1632</v>
      </c>
      <c r="U76" s="436" t="s">
        <v>1633</v>
      </c>
      <c r="V76" s="451"/>
      <c r="W76" s="441">
        <v>0.15</v>
      </c>
      <c r="X76" s="438"/>
      <c r="Y76" s="442">
        <f>IF((W76/((J76/5780)^4))^0.5&gt;0,(W76/((J76/5780)^4))^0.5,"")</f>
        <v>1.263575946</v>
      </c>
      <c r="Z76" s="442"/>
      <c r="AA76" s="443"/>
      <c r="AB76" s="443"/>
      <c r="AC76" s="436" t="str">
        <f>IF(ISNUMBER(VLOOKUP(B76,'New Masses'!A:C,3,FALSE)),VLOOKUP(B76,'New Masses'!A:C,3,FALSE),"")</f>
        <v/>
      </c>
      <c r="AD76" s="440">
        <f>10^AE76</f>
        <v>0.000000000213796209</v>
      </c>
      <c r="AE76" s="437">
        <v>-9.67</v>
      </c>
      <c r="AF76" s="438"/>
      <c r="AG76" s="445">
        <v>0.2</v>
      </c>
      <c r="AH76" s="438"/>
      <c r="AI76" s="446" t="str">
        <f>IF(ISNUMBER(VLOOKUP(B76,'New Masses'!A:C,2, FALSE)),VLOOKUP(B76,'New Masses'!A:C,2, FALSE),"")</f>
        <v/>
      </c>
      <c r="AJ76" s="438"/>
      <c r="AK76" s="437"/>
      <c r="AL76" s="447">
        <v>-3.08</v>
      </c>
      <c r="AM76" s="438"/>
      <c r="AN76" s="436">
        <v>3.0</v>
      </c>
      <c r="AO76" s="438"/>
      <c r="AP76" s="438"/>
      <c r="AQ76" s="436"/>
      <c r="AR76" s="438"/>
      <c r="AS76" s="438"/>
      <c r="AT76" s="438"/>
      <c r="AU76" s="438" t="s">
        <v>1676</v>
      </c>
      <c r="AV76" s="438"/>
      <c r="AW76" s="450">
        <v>342.688735821253</v>
      </c>
    </row>
    <row r="77">
      <c r="A77" s="435" t="str">
        <f t="shared" ref="A77:C77" si="76">#REF!</f>
        <v>#REF!</v>
      </c>
      <c r="B77" s="485" t="str">
        <f t="shared" si="76"/>
        <v>#REF!</v>
      </c>
      <c r="C77" s="486" t="str">
        <f t="shared" si="76"/>
        <v>#REF!</v>
      </c>
      <c r="D77" s="486"/>
      <c r="E77" s="486"/>
      <c r="F77" s="528"/>
      <c r="G77" s="486"/>
      <c r="H77" s="486" t="s">
        <v>5917</v>
      </c>
      <c r="I77" s="491"/>
      <c r="J77" s="491"/>
      <c r="K77" s="491"/>
      <c r="L77" s="491"/>
      <c r="M77" s="486"/>
      <c r="N77" s="422"/>
      <c r="O77" s="422"/>
      <c r="P77" s="422"/>
      <c r="Q77" s="486"/>
      <c r="R77" s="491"/>
      <c r="S77" s="491"/>
      <c r="T77" s="491"/>
      <c r="U77" s="491"/>
      <c r="V77" s="491"/>
      <c r="W77" s="493"/>
      <c r="X77" s="486"/>
      <c r="Y77" s="442"/>
      <c r="Z77" s="491"/>
      <c r="AA77" s="524" t="str">
        <f>#REF!</f>
        <v>#REF!</v>
      </c>
      <c r="AB77" s="494"/>
      <c r="AC77" s="436"/>
      <c r="AD77" s="495"/>
      <c r="AE77" s="491"/>
      <c r="AF77" s="491"/>
      <c r="AG77" s="525" t="str">
        <f>#REF!</f>
        <v>#REF!</v>
      </c>
      <c r="AH77" s="491"/>
      <c r="AI77" s="446"/>
      <c r="AJ77" s="491"/>
      <c r="AK77" s="500"/>
      <c r="AL77" s="436"/>
      <c r="AM77" s="438"/>
      <c r="AN77" s="531"/>
      <c r="AO77" s="491"/>
      <c r="AP77" s="438"/>
      <c r="AQ77" s="438"/>
      <c r="AR77" s="438"/>
      <c r="AS77" s="438"/>
      <c r="AT77" s="438"/>
      <c r="AU77" s="438"/>
      <c r="AV77" s="438"/>
      <c r="AW77" s="450" t="str">
        <f>#REF!</f>
        <v>#REF!</v>
      </c>
    </row>
    <row r="78">
      <c r="A78" s="435" t="s">
        <v>1723</v>
      </c>
      <c r="B78" s="436" t="s">
        <v>1724</v>
      </c>
      <c r="C78" s="436"/>
      <c r="D78" s="436" t="s">
        <v>350</v>
      </c>
      <c r="E78" s="436"/>
      <c r="F78" s="436" t="s">
        <v>2221</v>
      </c>
      <c r="G78" s="437" t="s">
        <v>169</v>
      </c>
      <c r="H78" s="437" t="s">
        <v>702</v>
      </c>
      <c r="I78" s="437" t="s">
        <v>1999</v>
      </c>
      <c r="J78" s="437">
        <v>3300.0</v>
      </c>
      <c r="K78" s="438"/>
      <c r="L78" s="436" t="s">
        <v>427</v>
      </c>
      <c r="M78" s="439"/>
      <c r="N78" s="422">
        <v>11.52</v>
      </c>
      <c r="O78" s="422">
        <v>10.352</v>
      </c>
      <c r="P78" s="422">
        <v>14.88</v>
      </c>
      <c r="Q78" s="436" t="s">
        <v>1632</v>
      </c>
      <c r="R78" s="438"/>
      <c r="S78" s="436" t="s">
        <v>2000</v>
      </c>
      <c r="T78" s="436" t="s">
        <v>1632</v>
      </c>
      <c r="U78" s="436" t="s">
        <v>1633</v>
      </c>
      <c r="V78" s="440"/>
      <c r="W78" s="441">
        <v>0.51</v>
      </c>
      <c r="X78" s="438"/>
      <c r="Y78" s="442">
        <f>IF((W78/((J78/5780)^4))^0.5&gt;0,(W78/((J78/5780)^4))^0.5,"")</f>
        <v>2.190851217</v>
      </c>
      <c r="Z78" s="442"/>
      <c r="AA78" s="443"/>
      <c r="AB78" s="443"/>
      <c r="AC78" s="436" t="str">
        <f>IF(ISNUMBER(VLOOKUP(B78,'New Masses'!A:C,3,FALSE)),VLOOKUP(B78,'New Masses'!A:C,3,FALSE),"")</f>
        <v/>
      </c>
      <c r="AD78" s="440">
        <f>10^AE78</f>
        <v>0.000000001122018454</v>
      </c>
      <c r="AE78" s="437">
        <v>-8.95</v>
      </c>
      <c r="AF78" s="438"/>
      <c r="AG78" s="445">
        <v>0.4</v>
      </c>
      <c r="AH78" s="438"/>
      <c r="AI78" s="446" t="str">
        <f>IF(ISNUMBER(VLOOKUP(B78,'New Masses'!A:C,2, FALSE)),VLOOKUP(B78,'New Masses'!A:C,2, FALSE),"")</f>
        <v/>
      </c>
      <c r="AJ78" s="438"/>
      <c r="AK78" s="437"/>
      <c r="AL78" s="447">
        <v>-2.3</v>
      </c>
      <c r="AM78" s="438"/>
      <c r="AN78" s="436">
        <v>3.0</v>
      </c>
      <c r="AO78" s="438"/>
      <c r="AP78" s="438"/>
      <c r="AQ78" s="436"/>
      <c r="AR78" s="438"/>
      <c r="AS78" s="438"/>
      <c r="AT78" s="438"/>
      <c r="AU78" s="438" t="s">
        <v>1676</v>
      </c>
      <c r="AV78" s="438"/>
      <c r="AW78" s="450"/>
    </row>
    <row r="79">
      <c r="A79" s="435" t="str">
        <f t="shared" ref="A79:C79" si="77">#REF!</f>
        <v>#REF!</v>
      </c>
      <c r="B79" s="485" t="str">
        <f t="shared" si="77"/>
        <v>#REF!</v>
      </c>
      <c r="C79" s="486" t="str">
        <f t="shared" si="77"/>
        <v>#REF!</v>
      </c>
      <c r="D79" s="486"/>
      <c r="E79" s="486"/>
      <c r="F79" s="528"/>
      <c r="G79" s="486"/>
      <c r="H79" s="486" t="s">
        <v>5917</v>
      </c>
      <c r="I79" s="491"/>
      <c r="J79" s="491"/>
      <c r="K79" s="491"/>
      <c r="L79" s="491"/>
      <c r="M79" s="486"/>
      <c r="N79" s="422"/>
      <c r="O79" s="422"/>
      <c r="P79" s="422"/>
      <c r="Q79" s="486"/>
      <c r="R79" s="491"/>
      <c r="S79" s="491"/>
      <c r="T79" s="491"/>
      <c r="U79" s="491"/>
      <c r="V79" s="491"/>
      <c r="W79" s="493"/>
      <c r="X79" s="486"/>
      <c r="Y79" s="442"/>
      <c r="Z79" s="491"/>
      <c r="AA79" s="524" t="str">
        <f>#REF!</f>
        <v>#REF!</v>
      </c>
      <c r="AB79" s="494"/>
      <c r="AC79" s="436"/>
      <c r="AD79" s="495"/>
      <c r="AE79" s="491"/>
      <c r="AF79" s="491"/>
      <c r="AG79" s="525" t="str">
        <f>#REF!</f>
        <v>#REF!</v>
      </c>
      <c r="AH79" s="491"/>
      <c r="AI79" s="446"/>
      <c r="AJ79" s="491"/>
      <c r="AK79" s="500"/>
      <c r="AL79" s="436"/>
      <c r="AM79" s="438"/>
      <c r="AN79" s="531"/>
      <c r="AO79" s="491"/>
      <c r="AP79" s="438"/>
      <c r="AQ79" s="438"/>
      <c r="AR79" s="438"/>
      <c r="AS79" s="438"/>
      <c r="AT79" s="438"/>
      <c r="AU79" s="438"/>
      <c r="AV79" s="438"/>
      <c r="AW79" s="450" t="str">
        <f>#REF!</f>
        <v>#REF!</v>
      </c>
    </row>
    <row r="80">
      <c r="A80" s="435" t="s">
        <v>400</v>
      </c>
      <c r="B80" s="436" t="s">
        <v>401</v>
      </c>
      <c r="C80" s="436"/>
      <c r="D80" s="436" t="s">
        <v>350</v>
      </c>
      <c r="E80" s="436"/>
      <c r="F80" s="436" t="s">
        <v>2226</v>
      </c>
      <c r="G80" s="437" t="s">
        <v>515</v>
      </c>
      <c r="H80" s="437" t="s">
        <v>702</v>
      </c>
      <c r="I80" s="437" t="s">
        <v>1999</v>
      </c>
      <c r="J80" s="437">
        <v>3300.0</v>
      </c>
      <c r="K80" s="438"/>
      <c r="L80" s="438"/>
      <c r="M80" s="453"/>
      <c r="N80" s="422">
        <v>11.98</v>
      </c>
      <c r="O80" s="422">
        <v>11.077</v>
      </c>
      <c r="P80" s="422">
        <v>15.24</v>
      </c>
      <c r="Q80" s="436" t="s">
        <v>1632</v>
      </c>
      <c r="R80" s="438"/>
      <c r="S80" s="436" t="s">
        <v>2000</v>
      </c>
      <c r="T80" s="436" t="s">
        <v>1632</v>
      </c>
      <c r="U80" s="436" t="s">
        <v>1633</v>
      </c>
      <c r="V80" s="440"/>
      <c r="W80" s="441">
        <v>0.27</v>
      </c>
      <c r="X80" s="438"/>
      <c r="Y80" s="442">
        <f t="shared" ref="Y80:Y81" si="78">IF((W80/((J80/5780)^4))^0.5&gt;0,(W80/((J80/5780)^4))^0.5,"")</f>
        <v>1.594078408</v>
      </c>
      <c r="Z80" s="442"/>
      <c r="AA80" s="443"/>
      <c r="AB80" s="443"/>
      <c r="AC80" s="436" t="str">
        <f>IF(ISNUMBER(VLOOKUP(B80,'New Masses'!A:C,3,FALSE)),VLOOKUP(B80,'New Masses'!A:C,3,FALSE),"")</f>
        <v/>
      </c>
      <c r="AD80" s="440">
        <f t="shared" ref="AD80:AD81" si="79">10^AE80</f>
        <v>0.0000000003548133892</v>
      </c>
      <c r="AE80" s="437">
        <v>-9.45</v>
      </c>
      <c r="AF80" s="438"/>
      <c r="AG80" s="445">
        <v>0.3</v>
      </c>
      <c r="AH80" s="438"/>
      <c r="AI80" s="446" t="str">
        <f>IF(ISNUMBER(VLOOKUP(B80,'New Masses'!A:C,2, FALSE)),VLOOKUP(B80,'New Masses'!A:C,2, FALSE),"")</f>
        <v/>
      </c>
      <c r="AJ80" s="438"/>
      <c r="AK80" s="437"/>
      <c r="AL80" s="447">
        <v>-2.78</v>
      </c>
      <c r="AM80" s="438"/>
      <c r="AN80" s="436">
        <v>3.0</v>
      </c>
      <c r="AO80" s="438"/>
      <c r="AP80" s="436"/>
      <c r="AQ80" s="438"/>
      <c r="AR80" s="438"/>
      <c r="AS80" s="438"/>
      <c r="AT80" s="438" t="s">
        <v>5916</v>
      </c>
      <c r="AU80" s="438"/>
      <c r="AV80" s="438"/>
      <c r="AW80" s="450">
        <v>384.659768434819</v>
      </c>
    </row>
    <row r="81">
      <c r="A81" s="435" t="s">
        <v>400</v>
      </c>
      <c r="B81" s="436" t="s">
        <v>401</v>
      </c>
      <c r="C81" s="436"/>
      <c r="D81" s="436" t="s">
        <v>350</v>
      </c>
      <c r="E81" s="436"/>
      <c r="F81" s="436" t="s">
        <v>2222</v>
      </c>
      <c r="G81" s="436" t="s">
        <v>169</v>
      </c>
      <c r="H81" s="436" t="s">
        <v>352</v>
      </c>
      <c r="I81" s="436" t="s">
        <v>2223</v>
      </c>
      <c r="J81" s="436">
        <v>3200.0</v>
      </c>
      <c r="K81" s="436"/>
      <c r="L81" s="436" t="s">
        <v>402</v>
      </c>
      <c r="M81" s="439"/>
      <c r="N81" s="422">
        <v>11.98</v>
      </c>
      <c r="O81" s="422">
        <v>11.077</v>
      </c>
      <c r="P81" s="422">
        <v>15.24</v>
      </c>
      <c r="Q81" s="436" t="s">
        <v>2224</v>
      </c>
      <c r="R81" s="436" t="s">
        <v>2225</v>
      </c>
      <c r="S81" s="436" t="s">
        <v>2191</v>
      </c>
      <c r="T81" s="436" t="s">
        <v>293</v>
      </c>
      <c r="U81" s="436" t="s">
        <v>294</v>
      </c>
      <c r="V81" s="440"/>
      <c r="W81" s="474">
        <v>0.27</v>
      </c>
      <c r="X81" s="436"/>
      <c r="Y81" s="442">
        <f t="shared" si="78"/>
        <v>1.695265025</v>
      </c>
      <c r="Z81" s="469"/>
      <c r="AA81" s="470">
        <v>1.73</v>
      </c>
      <c r="AB81" s="470"/>
      <c r="AC81" s="436" t="str">
        <f>IF(ISNUMBER(VLOOKUP(B81,'New Masses'!A:C,3,FALSE)),VLOOKUP(B81,'New Masses'!A:C,3,FALSE),"")</f>
        <v/>
      </c>
      <c r="AD81" s="440">
        <f t="shared" si="79"/>
        <v>0</v>
      </c>
      <c r="AE81" s="436">
        <v>-10.41</v>
      </c>
      <c r="AF81" s="438"/>
      <c r="AG81" s="459">
        <v>0.2</v>
      </c>
      <c r="AH81" s="436"/>
      <c r="AI81" s="446" t="str">
        <f>IF(ISNUMBER(VLOOKUP(B81,'New Masses'!A:C,2, FALSE)),VLOOKUP(B81,'New Masses'!A:C,2, FALSE),"")</f>
        <v/>
      </c>
      <c r="AJ81" s="436"/>
      <c r="AK81" s="436"/>
      <c r="AL81" s="436">
        <v>-4.0</v>
      </c>
      <c r="AM81" s="466">
        <v>43864.0</v>
      </c>
      <c r="AN81" s="436">
        <v>3.0</v>
      </c>
      <c r="AO81" s="436"/>
      <c r="AP81" s="436"/>
      <c r="AQ81" s="438"/>
      <c r="AR81" s="438"/>
      <c r="AS81" s="438"/>
      <c r="AT81" s="438" t="s">
        <v>5916</v>
      </c>
      <c r="AU81" s="438"/>
      <c r="AV81" s="438"/>
      <c r="AW81" s="450">
        <v>384.659768434819</v>
      </c>
    </row>
    <row r="82">
      <c r="A82" s="435" t="str">
        <f t="shared" ref="A82:C82" si="80">#REF!</f>
        <v>#REF!</v>
      </c>
      <c r="B82" s="485" t="str">
        <f t="shared" si="80"/>
        <v>#REF!</v>
      </c>
      <c r="C82" s="486" t="str">
        <f t="shared" si="80"/>
        <v>#REF!</v>
      </c>
      <c r="D82" s="486"/>
      <c r="E82" s="486"/>
      <c r="F82" s="528"/>
      <c r="G82" s="486"/>
      <c r="H82" s="486" t="s">
        <v>5917</v>
      </c>
      <c r="I82" s="491"/>
      <c r="J82" s="491"/>
      <c r="K82" s="491"/>
      <c r="L82" s="491"/>
      <c r="M82" s="486"/>
      <c r="N82" s="422"/>
      <c r="O82" s="422"/>
      <c r="P82" s="422"/>
      <c r="Q82" s="486"/>
      <c r="R82" s="491"/>
      <c r="S82" s="491"/>
      <c r="T82" s="491"/>
      <c r="U82" s="491"/>
      <c r="V82" s="491"/>
      <c r="W82" s="493"/>
      <c r="X82" s="486"/>
      <c r="Y82" s="442"/>
      <c r="Z82" s="491"/>
      <c r="AA82" s="524" t="str">
        <f t="shared" ref="AA82:AA83" si="82">#REF!</f>
        <v>#REF!</v>
      </c>
      <c r="AB82" s="494"/>
      <c r="AC82" s="436"/>
      <c r="AD82" s="495"/>
      <c r="AE82" s="491"/>
      <c r="AF82" s="491"/>
      <c r="AG82" s="525" t="str">
        <f t="shared" ref="AG82:AG83" si="83">#REF!</f>
        <v>#REF!</v>
      </c>
      <c r="AH82" s="491"/>
      <c r="AI82" s="446"/>
      <c r="AJ82" s="491"/>
      <c r="AK82" s="500"/>
      <c r="AL82" s="436"/>
      <c r="AM82" s="438"/>
      <c r="AN82" s="531"/>
      <c r="AO82" s="491"/>
      <c r="AP82" s="438"/>
      <c r="AQ82" s="438"/>
      <c r="AR82" s="438"/>
      <c r="AS82" s="438"/>
      <c r="AT82" s="438"/>
      <c r="AU82" s="438"/>
      <c r="AV82" s="438"/>
      <c r="AW82" s="450" t="str">
        <f t="shared" ref="AW82:AW83" si="84">#REF!</f>
        <v>#REF!</v>
      </c>
    </row>
    <row r="83">
      <c r="A83" s="435" t="str">
        <f t="shared" ref="A83:C83" si="81">#REF!</f>
        <v>#REF!</v>
      </c>
      <c r="B83" s="485" t="str">
        <f t="shared" si="81"/>
        <v>#REF!</v>
      </c>
      <c r="C83" s="486" t="str">
        <f t="shared" si="81"/>
        <v>#REF!</v>
      </c>
      <c r="D83" s="486"/>
      <c r="E83" s="486"/>
      <c r="F83" s="528"/>
      <c r="G83" s="486"/>
      <c r="H83" s="486" t="s">
        <v>5917</v>
      </c>
      <c r="I83" s="491"/>
      <c r="J83" s="491"/>
      <c r="K83" s="491"/>
      <c r="L83" s="491"/>
      <c r="M83" s="486"/>
      <c r="N83" s="422"/>
      <c r="O83" s="422"/>
      <c r="P83" s="422"/>
      <c r="Q83" s="486"/>
      <c r="R83" s="491"/>
      <c r="S83" s="491"/>
      <c r="T83" s="491"/>
      <c r="U83" s="491"/>
      <c r="V83" s="491"/>
      <c r="W83" s="493"/>
      <c r="X83" s="486"/>
      <c r="Y83" s="442"/>
      <c r="Z83" s="491"/>
      <c r="AA83" s="524" t="str">
        <f t="shared" si="82"/>
        <v>#REF!</v>
      </c>
      <c r="AB83" s="494"/>
      <c r="AC83" s="436"/>
      <c r="AD83" s="495"/>
      <c r="AE83" s="491"/>
      <c r="AF83" s="491"/>
      <c r="AG83" s="525" t="str">
        <f t="shared" si="83"/>
        <v>#REF!</v>
      </c>
      <c r="AH83" s="491"/>
      <c r="AI83" s="446"/>
      <c r="AJ83" s="491"/>
      <c r="AK83" s="500"/>
      <c r="AL83" s="436"/>
      <c r="AM83" s="438"/>
      <c r="AN83" s="531"/>
      <c r="AO83" s="491"/>
      <c r="AP83" s="438"/>
      <c r="AQ83" s="438"/>
      <c r="AR83" s="438"/>
      <c r="AS83" s="438"/>
      <c r="AT83" s="438"/>
      <c r="AU83" s="438"/>
      <c r="AV83" s="438"/>
      <c r="AW83" s="450" t="str">
        <f t="shared" si="84"/>
        <v>#REF!</v>
      </c>
    </row>
    <row r="84">
      <c r="A84" s="419" t="s">
        <v>277</v>
      </c>
      <c r="B84" s="475" t="s">
        <v>278</v>
      </c>
      <c r="C84" s="420"/>
      <c r="D84" s="436" t="s">
        <v>2227</v>
      </c>
      <c r="E84" s="436"/>
      <c r="F84" s="436" t="s">
        <v>2228</v>
      </c>
      <c r="G84" s="436" t="s">
        <v>169</v>
      </c>
      <c r="H84" s="420" t="s">
        <v>201</v>
      </c>
      <c r="I84" s="438" t="s">
        <v>2207</v>
      </c>
      <c r="J84" s="436">
        <v>3025.0</v>
      </c>
      <c r="K84" s="438"/>
      <c r="L84" s="420" t="s">
        <v>270</v>
      </c>
      <c r="M84" s="429"/>
      <c r="N84" s="422">
        <v>13.682</v>
      </c>
      <c r="O84" s="422">
        <v>12.634</v>
      </c>
      <c r="P84" s="422"/>
      <c r="Q84" s="438" t="s">
        <v>2208</v>
      </c>
      <c r="R84" s="438" t="s">
        <v>2209</v>
      </c>
      <c r="S84" s="438" t="s">
        <v>2229</v>
      </c>
      <c r="T84" s="454" t="s">
        <v>162</v>
      </c>
      <c r="U84" s="438" t="s">
        <v>2210</v>
      </c>
      <c r="V84" s="423">
        <v>4.51</v>
      </c>
      <c r="W84" s="458"/>
      <c r="X84" s="438"/>
      <c r="Y84" s="442" t="str">
        <f t="shared" ref="Y84:Y85" si="85">IF((W84/((J84/5780)^4))^0.5&gt;0,(W84/((J84/5780)^4))^0.5,"")</f>
        <v/>
      </c>
      <c r="Z84" s="442"/>
      <c r="AA84" s="443"/>
      <c r="AB84" s="443"/>
      <c r="AC84" s="436" t="str">
        <f>IF(ISNUMBER(VLOOKUP(B84,'New Masses'!A:C,3,FALSE)),VLOOKUP(B84,'New Masses'!A:C,3,FALSE),"")</f>
        <v/>
      </c>
      <c r="AD84" s="423">
        <f t="shared" ref="AD84:AD85" si="86">10^AE84</f>
        <v>0</v>
      </c>
      <c r="AE84" s="420">
        <v>-10.6</v>
      </c>
      <c r="AF84" s="438"/>
      <c r="AG84" s="459">
        <v>0.12</v>
      </c>
      <c r="AH84" s="438"/>
      <c r="AI84" s="446" t="str">
        <f>IF(ISNUMBER(VLOOKUP(B84,'New Masses'!A:C,2, FALSE)),VLOOKUP(B84,'New Masses'!A:C,2, FALSE),"")</f>
        <v/>
      </c>
      <c r="AJ84" s="438"/>
      <c r="AK84" s="438"/>
      <c r="AL84" s="451"/>
      <c r="AM84" s="438"/>
      <c r="AN84" s="436">
        <v>1.0</v>
      </c>
      <c r="AO84" s="438"/>
      <c r="AP84" s="438"/>
      <c r="AQ84" s="436"/>
      <c r="AR84" s="438"/>
      <c r="AS84" s="438"/>
      <c r="AT84" s="438" t="s">
        <v>5916</v>
      </c>
      <c r="AU84" s="438" t="s">
        <v>250</v>
      </c>
      <c r="AV84" s="438"/>
      <c r="AW84" s="450">
        <v>390.304828070723</v>
      </c>
    </row>
    <row r="85">
      <c r="A85" s="419" t="s">
        <v>277</v>
      </c>
      <c r="B85" s="476" t="s">
        <v>278</v>
      </c>
      <c r="C85" s="420"/>
      <c r="D85" s="436" t="s">
        <v>2227</v>
      </c>
      <c r="E85" s="436"/>
      <c r="F85" s="436" t="s">
        <v>2228</v>
      </c>
      <c r="G85" s="436" t="s">
        <v>169</v>
      </c>
      <c r="H85" s="420" t="s">
        <v>201</v>
      </c>
      <c r="I85" s="438" t="s">
        <v>2207</v>
      </c>
      <c r="J85" s="436">
        <v>3025.0</v>
      </c>
      <c r="K85" s="438"/>
      <c r="L85" s="420" t="s">
        <v>270</v>
      </c>
      <c r="M85" s="429"/>
      <c r="N85" s="422">
        <v>13.682</v>
      </c>
      <c r="O85" s="422">
        <v>12.634</v>
      </c>
      <c r="P85" s="422"/>
      <c r="Q85" s="438" t="s">
        <v>2208</v>
      </c>
      <c r="R85" s="438" t="s">
        <v>2209</v>
      </c>
      <c r="S85" s="438" t="s">
        <v>2229</v>
      </c>
      <c r="T85" s="454" t="s">
        <v>162</v>
      </c>
      <c r="U85" s="438" t="s">
        <v>2210</v>
      </c>
      <c r="V85" s="423">
        <v>4.51</v>
      </c>
      <c r="W85" s="458"/>
      <c r="X85" s="438"/>
      <c r="Y85" s="442" t="str">
        <f t="shared" si="85"/>
        <v/>
      </c>
      <c r="Z85" s="442"/>
      <c r="AA85" s="443"/>
      <c r="AB85" s="443"/>
      <c r="AC85" s="436" t="str">
        <f>IF(ISNUMBER(VLOOKUP(B85,'New Masses'!A:C,3,FALSE)),VLOOKUP(B85,'New Masses'!A:C,3,FALSE),"")</f>
        <v/>
      </c>
      <c r="AD85" s="423">
        <f t="shared" si="86"/>
        <v>0</v>
      </c>
      <c r="AE85" s="438">
        <v>-10.8</v>
      </c>
      <c r="AF85" s="438"/>
      <c r="AG85" s="459">
        <v>0.12</v>
      </c>
      <c r="AH85" s="438"/>
      <c r="AI85" s="446" t="str">
        <f>IF(ISNUMBER(VLOOKUP(B85,'New Masses'!A:C,2, FALSE)),VLOOKUP(B85,'New Masses'!A:C,2, FALSE),"")</f>
        <v/>
      </c>
      <c r="AJ85" s="438"/>
      <c r="AK85" s="438"/>
      <c r="AL85" s="451"/>
      <c r="AM85" s="438"/>
      <c r="AN85" s="436">
        <v>1.0</v>
      </c>
      <c r="AO85" s="438"/>
      <c r="AP85" s="438"/>
      <c r="AQ85" s="436"/>
      <c r="AR85" s="438"/>
      <c r="AS85" s="438"/>
      <c r="AT85" s="438" t="s">
        <v>5916</v>
      </c>
      <c r="AU85" s="438" t="s">
        <v>249</v>
      </c>
      <c r="AV85" s="438"/>
      <c r="AW85" s="450">
        <v>390.304828070723</v>
      </c>
    </row>
    <row r="86">
      <c r="A86" s="435" t="str">
        <f t="shared" ref="A86:C86" si="87">#REF!</f>
        <v>#REF!</v>
      </c>
      <c r="B86" s="485" t="str">
        <f t="shared" si="87"/>
        <v>#REF!</v>
      </c>
      <c r="C86" s="486" t="str">
        <f t="shared" si="87"/>
        <v>#REF!</v>
      </c>
      <c r="D86" s="486"/>
      <c r="E86" s="486"/>
      <c r="F86" s="528"/>
      <c r="G86" s="486"/>
      <c r="H86" s="486" t="s">
        <v>5917</v>
      </c>
      <c r="I86" s="491"/>
      <c r="J86" s="491"/>
      <c r="K86" s="491"/>
      <c r="L86" s="491"/>
      <c r="M86" s="486"/>
      <c r="N86" s="422"/>
      <c r="O86" s="422"/>
      <c r="P86" s="422"/>
      <c r="Q86" s="486"/>
      <c r="R86" s="491"/>
      <c r="S86" s="491"/>
      <c r="T86" s="491"/>
      <c r="U86" s="491"/>
      <c r="V86" s="491"/>
      <c r="W86" s="493"/>
      <c r="X86" s="486"/>
      <c r="Y86" s="442"/>
      <c r="Z86" s="491"/>
      <c r="AA86" s="524" t="str">
        <f t="shared" ref="AA86:AA87" si="89">#REF!</f>
        <v>#REF!</v>
      </c>
      <c r="AB86" s="494"/>
      <c r="AC86" s="436"/>
      <c r="AD86" s="495"/>
      <c r="AE86" s="491"/>
      <c r="AF86" s="491"/>
      <c r="AG86" s="525" t="str">
        <f t="shared" ref="AG86:AG87" si="90">#REF!</f>
        <v>#REF!</v>
      </c>
      <c r="AH86" s="491"/>
      <c r="AI86" s="446"/>
      <c r="AJ86" s="491"/>
      <c r="AK86" s="500"/>
      <c r="AL86" s="436"/>
      <c r="AM86" s="438"/>
      <c r="AN86" s="531"/>
      <c r="AO86" s="491"/>
      <c r="AP86" s="438"/>
      <c r="AQ86" s="438"/>
      <c r="AR86" s="438"/>
      <c r="AS86" s="438"/>
      <c r="AT86" s="438"/>
      <c r="AU86" s="438"/>
      <c r="AV86" s="438"/>
      <c r="AW86" s="450" t="str">
        <f t="shared" ref="AW86:AW87" si="91">#REF!</f>
        <v>#REF!</v>
      </c>
    </row>
    <row r="87">
      <c r="A87" s="435" t="str">
        <f t="shared" ref="A87:C87" si="88">#REF!</f>
        <v>#REF!</v>
      </c>
      <c r="B87" s="485" t="str">
        <f t="shared" si="88"/>
        <v>#REF!</v>
      </c>
      <c r="C87" s="486" t="str">
        <f t="shared" si="88"/>
        <v>#REF!</v>
      </c>
      <c r="D87" s="486"/>
      <c r="E87" s="486"/>
      <c r="F87" s="528"/>
      <c r="G87" s="486"/>
      <c r="H87" s="486" t="s">
        <v>5917</v>
      </c>
      <c r="I87" s="491"/>
      <c r="J87" s="491"/>
      <c r="K87" s="491"/>
      <c r="L87" s="491"/>
      <c r="M87" s="486"/>
      <c r="N87" s="422"/>
      <c r="O87" s="422"/>
      <c r="P87" s="422"/>
      <c r="Q87" s="486"/>
      <c r="R87" s="491"/>
      <c r="S87" s="491"/>
      <c r="T87" s="491"/>
      <c r="U87" s="491"/>
      <c r="V87" s="491"/>
      <c r="W87" s="493"/>
      <c r="X87" s="486"/>
      <c r="Y87" s="442"/>
      <c r="Z87" s="491"/>
      <c r="AA87" s="524" t="str">
        <f t="shared" si="89"/>
        <v>#REF!</v>
      </c>
      <c r="AB87" s="494"/>
      <c r="AC87" s="436"/>
      <c r="AD87" s="495"/>
      <c r="AE87" s="491"/>
      <c r="AF87" s="491"/>
      <c r="AG87" s="525" t="str">
        <f t="shared" si="90"/>
        <v>#REF!</v>
      </c>
      <c r="AH87" s="491"/>
      <c r="AI87" s="446"/>
      <c r="AJ87" s="491"/>
      <c r="AK87" s="500"/>
      <c r="AL87" s="436"/>
      <c r="AM87" s="438"/>
      <c r="AN87" s="531"/>
      <c r="AO87" s="491"/>
      <c r="AP87" s="438"/>
      <c r="AQ87" s="438"/>
      <c r="AR87" s="438"/>
      <c r="AS87" s="438"/>
      <c r="AT87" s="438"/>
      <c r="AU87" s="438"/>
      <c r="AV87" s="438"/>
      <c r="AW87" s="450" t="str">
        <f t="shared" si="91"/>
        <v>#REF!</v>
      </c>
    </row>
    <row r="88">
      <c r="A88" s="419" t="s">
        <v>693</v>
      </c>
      <c r="B88" s="436" t="s">
        <v>694</v>
      </c>
      <c r="C88" s="436"/>
      <c r="D88" s="436" t="s">
        <v>2227</v>
      </c>
      <c r="E88" s="436"/>
      <c r="F88" s="436" t="s">
        <v>2230</v>
      </c>
      <c r="G88" s="436" t="s">
        <v>169</v>
      </c>
      <c r="H88" s="436" t="s">
        <v>248</v>
      </c>
      <c r="I88" s="436" t="s">
        <v>2231</v>
      </c>
      <c r="J88" s="436"/>
      <c r="K88" s="436"/>
      <c r="L88" s="436" t="s">
        <v>270</v>
      </c>
      <c r="M88" s="439"/>
      <c r="N88" s="422">
        <v>13.223</v>
      </c>
      <c r="O88" s="422">
        <v>11.93</v>
      </c>
      <c r="P88" s="422">
        <v>18.25</v>
      </c>
      <c r="Q88" s="436" t="s">
        <v>2232</v>
      </c>
      <c r="R88" s="436" t="s">
        <v>2233</v>
      </c>
      <c r="S88" s="436" t="s">
        <v>2234</v>
      </c>
      <c r="T88" s="436" t="s">
        <v>596</v>
      </c>
      <c r="U88" s="436" t="s">
        <v>597</v>
      </c>
      <c r="V88" s="451"/>
      <c r="W88" s="468">
        <v>0.11220184543019636</v>
      </c>
      <c r="X88" s="436"/>
      <c r="Y88" s="442"/>
      <c r="Z88" s="469"/>
      <c r="AA88" s="470">
        <v>1.0</v>
      </c>
      <c r="AB88" s="470"/>
      <c r="AC88" s="436" t="str">
        <f>IF(ISNUMBER(VLOOKUP(B88,'New Masses'!A:C,3,FALSE)),VLOOKUP(B88,'New Masses'!A:C,3,FALSE),"")</f>
        <v/>
      </c>
      <c r="AD88" s="451">
        <f>10^(AE88)</f>
        <v>0.0000000001</v>
      </c>
      <c r="AE88" s="436">
        <v>-10.0</v>
      </c>
      <c r="AF88" s="436">
        <v>0.1</v>
      </c>
      <c r="AG88" s="459">
        <v>0.1</v>
      </c>
      <c r="AH88" s="436"/>
      <c r="AI88" s="446" t="str">
        <f>IF(ISNUMBER(VLOOKUP(B88,'New Masses'!A:C,2, FALSE)),VLOOKUP(B88,'New Masses'!A:C,2, FALSE),"")</f>
        <v/>
      </c>
      <c r="AJ88" s="436">
        <f>LOG10(AG88)</f>
        <v>-1</v>
      </c>
      <c r="AK88" s="460">
        <f>(6.67*10^(-11))*((2*10^(33))^2)*AD88*AG88/(3*10^7*AA88*7*10^10)</f>
        <v>1.27048E+27</v>
      </c>
      <c r="AL88" s="451">
        <f>LOG10(AK88/(4*10^33))</f>
        <v>-6.498093461</v>
      </c>
      <c r="AM88" s="436"/>
      <c r="AN88" s="436">
        <v>0.25</v>
      </c>
      <c r="AO88" s="436"/>
      <c r="AP88" s="419">
        <v>1.42</v>
      </c>
      <c r="AQ88" s="436"/>
      <c r="AR88" s="421"/>
      <c r="AS88" s="421"/>
      <c r="AT88" s="438"/>
      <c r="AU88" s="438" t="s">
        <v>644</v>
      </c>
      <c r="AV88" s="438"/>
      <c r="AW88" s="450"/>
    </row>
    <row r="89">
      <c r="A89" s="435" t="str">
        <f t="shared" ref="A89:C89" si="92">#REF!</f>
        <v>#REF!</v>
      </c>
      <c r="B89" s="485" t="str">
        <f t="shared" si="92"/>
        <v>#REF!</v>
      </c>
      <c r="C89" s="486" t="str">
        <f t="shared" si="92"/>
        <v>#REF!</v>
      </c>
      <c r="D89" s="486"/>
      <c r="E89" s="486"/>
      <c r="F89" s="528"/>
      <c r="G89" s="486"/>
      <c r="H89" s="486" t="s">
        <v>5917</v>
      </c>
      <c r="I89" s="491"/>
      <c r="J89" s="491"/>
      <c r="K89" s="491"/>
      <c r="L89" s="491"/>
      <c r="M89" s="486"/>
      <c r="N89" s="422"/>
      <c r="O89" s="422"/>
      <c r="P89" s="422"/>
      <c r="Q89" s="486"/>
      <c r="R89" s="491"/>
      <c r="S89" s="491"/>
      <c r="T89" s="491"/>
      <c r="U89" s="491"/>
      <c r="V89" s="491"/>
      <c r="W89" s="493"/>
      <c r="X89" s="486"/>
      <c r="Y89" s="442"/>
      <c r="Z89" s="491"/>
      <c r="AA89" s="524" t="str">
        <f>#REF!</f>
        <v>#REF!</v>
      </c>
      <c r="AB89" s="494"/>
      <c r="AC89" s="436"/>
      <c r="AD89" s="495"/>
      <c r="AE89" s="491"/>
      <c r="AF89" s="491"/>
      <c r="AG89" s="525" t="str">
        <f>#REF!</f>
        <v>#REF!</v>
      </c>
      <c r="AH89" s="491"/>
      <c r="AI89" s="446"/>
      <c r="AJ89" s="491"/>
      <c r="AK89" s="500"/>
      <c r="AL89" s="436"/>
      <c r="AM89" s="438"/>
      <c r="AN89" s="531"/>
      <c r="AO89" s="491"/>
      <c r="AP89" s="438"/>
      <c r="AQ89" s="438"/>
      <c r="AR89" s="438"/>
      <c r="AS89" s="438"/>
      <c r="AT89" s="438"/>
      <c r="AU89" s="438"/>
      <c r="AV89" s="438"/>
      <c r="AW89" s="450" t="str">
        <f>#REF!</f>
        <v>#REF!</v>
      </c>
    </row>
    <row r="90">
      <c r="A90" s="419" t="s">
        <v>261</v>
      </c>
      <c r="B90" s="476" t="s">
        <v>262</v>
      </c>
      <c r="C90" s="420"/>
      <c r="D90" s="436" t="s">
        <v>2227</v>
      </c>
      <c r="E90" s="436"/>
      <c r="F90" s="436" t="s">
        <v>2235</v>
      </c>
      <c r="G90" s="436" t="s">
        <v>169</v>
      </c>
      <c r="H90" s="420" t="s">
        <v>201</v>
      </c>
      <c r="I90" s="438" t="s">
        <v>2207</v>
      </c>
      <c r="J90" s="436">
        <v>3000.0</v>
      </c>
      <c r="K90" s="438"/>
      <c r="L90" s="420" t="s">
        <v>253</v>
      </c>
      <c r="M90" s="429"/>
      <c r="N90" s="422">
        <v>13.668</v>
      </c>
      <c r="O90" s="422">
        <v>12.327</v>
      </c>
      <c r="P90" s="422"/>
      <c r="Q90" s="438" t="s">
        <v>2208</v>
      </c>
      <c r="R90" s="438" t="s">
        <v>2209</v>
      </c>
      <c r="S90" s="438" t="s">
        <v>2229</v>
      </c>
      <c r="T90" s="454" t="s">
        <v>162</v>
      </c>
      <c r="U90" s="438" t="s">
        <v>2210</v>
      </c>
      <c r="V90" s="451">
        <v>5.08</v>
      </c>
      <c r="W90" s="458"/>
      <c r="X90" s="438"/>
      <c r="Y90" s="442" t="str">
        <f t="shared" ref="Y90:Y91" si="93">IF((W90/((J90/5780)^4))^0.5&gt;0,(W90/((J90/5780)^4))^0.5,"")</f>
        <v/>
      </c>
      <c r="Z90" s="442"/>
      <c r="AA90" s="443"/>
      <c r="AB90" s="443"/>
      <c r="AC90" s="436" t="str">
        <f>IF(ISNUMBER(VLOOKUP(B90,'New Masses'!A:C,3,FALSE)),VLOOKUP(B90,'New Masses'!A:C,3,FALSE),"")</f>
        <v/>
      </c>
      <c r="AD90" s="423">
        <f t="shared" ref="AD90:AD91" si="94">10^AE90</f>
        <v>0.0000000001</v>
      </c>
      <c r="AE90" s="436">
        <v>-10.0</v>
      </c>
      <c r="AF90" s="438"/>
      <c r="AG90" s="459">
        <v>0.1</v>
      </c>
      <c r="AH90" s="438"/>
      <c r="AI90" s="446" t="str">
        <f>IF(ISNUMBER(VLOOKUP(B90,'New Masses'!A:C,2, FALSE)),VLOOKUP(B90,'New Masses'!A:C,2, FALSE),"")</f>
        <v/>
      </c>
      <c r="AJ90" s="438"/>
      <c r="AK90" s="438"/>
      <c r="AL90" s="451"/>
      <c r="AM90" s="438"/>
      <c r="AN90" s="436">
        <v>1.0</v>
      </c>
      <c r="AO90" s="438"/>
      <c r="AP90" s="438"/>
      <c r="AQ90" s="436"/>
      <c r="AR90" s="438"/>
      <c r="AS90" s="438"/>
      <c r="AT90" s="438"/>
      <c r="AU90" s="436" t="s">
        <v>5919</v>
      </c>
      <c r="AV90" s="438"/>
      <c r="AW90" s="450">
        <v>490.436488474742</v>
      </c>
    </row>
    <row r="91">
      <c r="A91" s="419" t="s">
        <v>261</v>
      </c>
      <c r="B91" s="475" t="s">
        <v>262</v>
      </c>
      <c r="C91" s="420"/>
      <c r="D91" s="436" t="s">
        <v>2227</v>
      </c>
      <c r="E91" s="436"/>
      <c r="F91" s="436" t="s">
        <v>2235</v>
      </c>
      <c r="G91" s="436" t="s">
        <v>169</v>
      </c>
      <c r="H91" s="420" t="s">
        <v>201</v>
      </c>
      <c r="I91" s="438" t="s">
        <v>2207</v>
      </c>
      <c r="J91" s="436">
        <v>3000.0</v>
      </c>
      <c r="K91" s="438"/>
      <c r="L91" s="420" t="s">
        <v>253</v>
      </c>
      <c r="M91" s="429"/>
      <c r="N91" s="422">
        <v>13.668</v>
      </c>
      <c r="O91" s="422">
        <v>12.327</v>
      </c>
      <c r="P91" s="422"/>
      <c r="Q91" s="438" t="s">
        <v>2208</v>
      </c>
      <c r="R91" s="438" t="s">
        <v>2209</v>
      </c>
      <c r="S91" s="438" t="s">
        <v>2229</v>
      </c>
      <c r="T91" s="454" t="s">
        <v>162</v>
      </c>
      <c r="U91" s="438" t="s">
        <v>2210</v>
      </c>
      <c r="V91" s="451">
        <v>5.08</v>
      </c>
      <c r="W91" s="458"/>
      <c r="X91" s="438"/>
      <c r="Y91" s="442" t="str">
        <f t="shared" si="93"/>
        <v/>
      </c>
      <c r="Z91" s="442"/>
      <c r="AA91" s="443"/>
      <c r="AB91" s="443"/>
      <c r="AC91" s="436" t="str">
        <f>IF(ISNUMBER(VLOOKUP(B91,'New Masses'!A:C,3,FALSE)),VLOOKUP(B91,'New Masses'!A:C,3,FALSE),"")</f>
        <v/>
      </c>
      <c r="AD91" s="423">
        <f t="shared" si="94"/>
        <v>0</v>
      </c>
      <c r="AE91" s="437">
        <v>-10.3</v>
      </c>
      <c r="AF91" s="438"/>
      <c r="AG91" s="459">
        <v>0.1</v>
      </c>
      <c r="AH91" s="438"/>
      <c r="AI91" s="446" t="str">
        <f>IF(ISNUMBER(VLOOKUP(B91,'New Masses'!A:C,2, FALSE)),VLOOKUP(B91,'New Masses'!A:C,2, FALSE),"")</f>
        <v/>
      </c>
      <c r="AJ91" s="438"/>
      <c r="AK91" s="438"/>
      <c r="AL91" s="451"/>
      <c r="AM91" s="438"/>
      <c r="AN91" s="436">
        <v>1.0</v>
      </c>
      <c r="AO91" s="438"/>
      <c r="AP91" s="438"/>
      <c r="AQ91" s="436"/>
      <c r="AR91" s="438"/>
      <c r="AS91" s="438"/>
      <c r="AT91" s="438"/>
      <c r="AU91" s="438" t="s">
        <v>249</v>
      </c>
      <c r="AV91" s="438"/>
      <c r="AW91" s="450">
        <v>490.436488474742</v>
      </c>
    </row>
    <row r="92">
      <c r="A92" s="419" t="s">
        <v>261</v>
      </c>
      <c r="B92" s="476" t="s">
        <v>262</v>
      </c>
      <c r="C92" s="420"/>
      <c r="D92" s="436" t="s">
        <v>2227</v>
      </c>
      <c r="E92" s="436"/>
      <c r="F92" s="436" t="s">
        <v>2235</v>
      </c>
      <c r="G92" s="436" t="s">
        <v>169</v>
      </c>
      <c r="H92" s="436" t="s">
        <v>248</v>
      </c>
      <c r="I92" s="436" t="s">
        <v>2231</v>
      </c>
      <c r="J92" s="436"/>
      <c r="K92" s="436"/>
      <c r="L92" s="436" t="s">
        <v>353</v>
      </c>
      <c r="M92" s="439"/>
      <c r="N92" s="422">
        <v>13.668</v>
      </c>
      <c r="O92" s="422">
        <v>12.327</v>
      </c>
      <c r="P92" s="422"/>
      <c r="Q92" s="436" t="s">
        <v>2232</v>
      </c>
      <c r="R92" s="436" t="s">
        <v>2236</v>
      </c>
      <c r="S92" s="436" t="s">
        <v>2234</v>
      </c>
      <c r="T92" s="436" t="s">
        <v>596</v>
      </c>
      <c r="U92" s="436" t="s">
        <v>597</v>
      </c>
      <c r="V92" s="451"/>
      <c r="W92" s="468">
        <v>0.07762471166286916</v>
      </c>
      <c r="X92" s="436"/>
      <c r="Y92" s="442"/>
      <c r="Z92" s="469"/>
      <c r="AA92" s="470">
        <v>1.0</v>
      </c>
      <c r="AB92" s="470"/>
      <c r="AC92" s="436" t="str">
        <f>IF(ISNUMBER(VLOOKUP(B92,'New Masses'!A:C,3,FALSE)),VLOOKUP(B92,'New Masses'!A:C,3,FALSE),"")</f>
        <v/>
      </c>
      <c r="AD92" s="451">
        <f>10^(AE92)</f>
        <v>0.0000000001</v>
      </c>
      <c r="AE92" s="436">
        <v>-10.0</v>
      </c>
      <c r="AF92" s="436">
        <v>0.09</v>
      </c>
      <c r="AG92" s="459">
        <v>0.09</v>
      </c>
      <c r="AH92" s="436"/>
      <c r="AI92" s="446" t="str">
        <f>IF(ISNUMBER(VLOOKUP(B92,'New Masses'!A:C,2, FALSE)),VLOOKUP(B92,'New Masses'!A:C,2, FALSE),"")</f>
        <v/>
      </c>
      <c r="AJ92" s="436">
        <f>LOG10(AG92)</f>
        <v>-1.045757491</v>
      </c>
      <c r="AK92" s="460">
        <f>(6.67*10^(-11))*((2*10^(33))^2)*AD92*AG92/(3*10^7*AA92*7*10^10)</f>
        <v>1.14343E+27</v>
      </c>
      <c r="AL92" s="451">
        <f>LOG10(AK92/(4*10^33))</f>
        <v>-6.543850951</v>
      </c>
      <c r="AM92" s="438"/>
      <c r="AN92" s="436">
        <v>0.33</v>
      </c>
      <c r="AO92" s="438"/>
      <c r="AP92" s="454">
        <v>1.21</v>
      </c>
      <c r="AQ92" s="436"/>
      <c r="AR92" s="438"/>
      <c r="AS92" s="438"/>
      <c r="AT92" s="438"/>
      <c r="AU92" s="438" t="s">
        <v>644</v>
      </c>
      <c r="AV92" s="438"/>
      <c r="AW92" s="450">
        <v>490.436488474742</v>
      </c>
    </row>
    <row r="93">
      <c r="A93" s="435" t="str">
        <f t="shared" ref="A93:C93" si="95">#REF!</f>
        <v>#REF!</v>
      </c>
      <c r="B93" s="485" t="str">
        <f t="shared" si="95"/>
        <v>#REF!</v>
      </c>
      <c r="C93" s="486" t="str">
        <f t="shared" si="95"/>
        <v>#REF!</v>
      </c>
      <c r="D93" s="486"/>
      <c r="E93" s="486"/>
      <c r="F93" s="528"/>
      <c r="G93" s="486"/>
      <c r="H93" s="486" t="s">
        <v>5917</v>
      </c>
      <c r="I93" s="491"/>
      <c r="J93" s="491"/>
      <c r="K93" s="491"/>
      <c r="L93" s="491"/>
      <c r="M93" s="486"/>
      <c r="N93" s="422"/>
      <c r="O93" s="422"/>
      <c r="P93" s="422"/>
      <c r="Q93" s="486"/>
      <c r="R93" s="491"/>
      <c r="S93" s="491"/>
      <c r="T93" s="491"/>
      <c r="U93" s="491"/>
      <c r="V93" s="491"/>
      <c r="W93" s="493"/>
      <c r="X93" s="486"/>
      <c r="Y93" s="442"/>
      <c r="Z93" s="491"/>
      <c r="AA93" s="524" t="str">
        <f t="shared" ref="AA93:AA95" si="97">#REF!</f>
        <v>#REF!</v>
      </c>
      <c r="AB93" s="494"/>
      <c r="AC93" s="436"/>
      <c r="AD93" s="495"/>
      <c r="AE93" s="491"/>
      <c r="AF93" s="491"/>
      <c r="AG93" s="525" t="str">
        <f t="shared" ref="AG93:AG95" si="98">#REF!</f>
        <v>#REF!</v>
      </c>
      <c r="AH93" s="491"/>
      <c r="AI93" s="446"/>
      <c r="AJ93" s="491"/>
      <c r="AK93" s="500"/>
      <c r="AL93" s="436"/>
      <c r="AM93" s="438"/>
      <c r="AN93" s="531"/>
      <c r="AO93" s="491"/>
      <c r="AP93" s="438"/>
      <c r="AQ93" s="438"/>
      <c r="AR93" s="438"/>
      <c r="AS93" s="438"/>
      <c r="AT93" s="438"/>
      <c r="AU93" s="438"/>
      <c r="AV93" s="438"/>
      <c r="AW93" s="450" t="str">
        <f t="shared" ref="AW93:AW95" si="99">#REF!</f>
        <v>#REF!</v>
      </c>
    </row>
    <row r="94">
      <c r="A94" s="435" t="str">
        <f t="shared" ref="A94:C94" si="96">#REF!</f>
        <v>#REF!</v>
      </c>
      <c r="B94" s="485" t="str">
        <f t="shared" si="96"/>
        <v>#REF!</v>
      </c>
      <c r="C94" s="486" t="str">
        <f t="shared" si="96"/>
        <v>#REF!</v>
      </c>
      <c r="D94" s="486"/>
      <c r="E94" s="486"/>
      <c r="F94" s="528"/>
      <c r="G94" s="486"/>
      <c r="H94" s="486" t="s">
        <v>5917</v>
      </c>
      <c r="I94" s="491"/>
      <c r="J94" s="491"/>
      <c r="K94" s="491"/>
      <c r="L94" s="491"/>
      <c r="M94" s="486"/>
      <c r="N94" s="422"/>
      <c r="O94" s="422"/>
      <c r="P94" s="422"/>
      <c r="Q94" s="486"/>
      <c r="R94" s="491"/>
      <c r="S94" s="491"/>
      <c r="T94" s="491"/>
      <c r="U94" s="491"/>
      <c r="V94" s="491"/>
      <c r="W94" s="493"/>
      <c r="X94" s="486"/>
      <c r="Y94" s="442"/>
      <c r="Z94" s="491"/>
      <c r="AA94" s="524" t="str">
        <f t="shared" si="97"/>
        <v>#REF!</v>
      </c>
      <c r="AB94" s="494"/>
      <c r="AC94" s="436"/>
      <c r="AD94" s="495"/>
      <c r="AE94" s="491"/>
      <c r="AF94" s="491"/>
      <c r="AG94" s="525" t="str">
        <f t="shared" si="98"/>
        <v>#REF!</v>
      </c>
      <c r="AH94" s="491"/>
      <c r="AI94" s="446"/>
      <c r="AJ94" s="491"/>
      <c r="AK94" s="500"/>
      <c r="AL94" s="436"/>
      <c r="AM94" s="438"/>
      <c r="AN94" s="531"/>
      <c r="AO94" s="491"/>
      <c r="AP94" s="438"/>
      <c r="AQ94" s="438"/>
      <c r="AR94" s="438"/>
      <c r="AS94" s="438"/>
      <c r="AT94" s="438"/>
      <c r="AU94" s="438"/>
      <c r="AV94" s="438"/>
      <c r="AW94" s="450" t="str">
        <f t="shared" si="99"/>
        <v>#REF!</v>
      </c>
    </row>
    <row r="95">
      <c r="A95" s="435" t="str">
        <f t="shared" ref="A95:C95" si="100">#REF!</f>
        <v>#REF!</v>
      </c>
      <c r="B95" s="485" t="str">
        <f t="shared" si="100"/>
        <v>#REF!</v>
      </c>
      <c r="C95" s="486" t="str">
        <f t="shared" si="100"/>
        <v>#REF!</v>
      </c>
      <c r="D95" s="486"/>
      <c r="E95" s="486"/>
      <c r="F95" s="528"/>
      <c r="G95" s="486"/>
      <c r="H95" s="486" t="s">
        <v>5917</v>
      </c>
      <c r="I95" s="491"/>
      <c r="J95" s="491"/>
      <c r="K95" s="491"/>
      <c r="L95" s="491"/>
      <c r="M95" s="486"/>
      <c r="N95" s="422"/>
      <c r="O95" s="422"/>
      <c r="P95" s="422"/>
      <c r="Q95" s="486"/>
      <c r="R95" s="491"/>
      <c r="S95" s="491"/>
      <c r="T95" s="491"/>
      <c r="U95" s="491"/>
      <c r="V95" s="491"/>
      <c r="W95" s="493"/>
      <c r="X95" s="486"/>
      <c r="Y95" s="442"/>
      <c r="Z95" s="491"/>
      <c r="AA95" s="524" t="str">
        <f t="shared" si="97"/>
        <v>#REF!</v>
      </c>
      <c r="AB95" s="494"/>
      <c r="AC95" s="436"/>
      <c r="AD95" s="495"/>
      <c r="AE95" s="491"/>
      <c r="AF95" s="491"/>
      <c r="AG95" s="525" t="str">
        <f t="shared" si="98"/>
        <v>#REF!</v>
      </c>
      <c r="AH95" s="491"/>
      <c r="AI95" s="446"/>
      <c r="AJ95" s="491"/>
      <c r="AK95" s="500"/>
      <c r="AL95" s="436"/>
      <c r="AM95" s="438"/>
      <c r="AN95" s="531"/>
      <c r="AO95" s="491"/>
      <c r="AP95" s="438"/>
      <c r="AQ95" s="438"/>
      <c r="AR95" s="438"/>
      <c r="AS95" s="438"/>
      <c r="AT95" s="438"/>
      <c r="AU95" s="438"/>
      <c r="AV95" s="438"/>
      <c r="AW95" s="450" t="str">
        <f t="shared" si="99"/>
        <v>#REF!</v>
      </c>
    </row>
    <row r="96">
      <c r="A96" s="436" t="s">
        <v>346</v>
      </c>
      <c r="B96" s="436" t="s">
        <v>346</v>
      </c>
      <c r="C96" s="438"/>
      <c r="D96" s="420" t="s">
        <v>199</v>
      </c>
      <c r="E96" s="420"/>
      <c r="F96" s="477" t="s">
        <v>2238</v>
      </c>
      <c r="G96" s="420"/>
      <c r="H96" s="420" t="s">
        <v>225</v>
      </c>
      <c r="I96" s="467">
        <v>39044.0</v>
      </c>
      <c r="J96" s="436">
        <v>2935.0</v>
      </c>
      <c r="K96" s="420"/>
      <c r="L96" s="420" t="s">
        <v>217</v>
      </c>
      <c r="M96" s="422">
        <v>0.5</v>
      </c>
      <c r="N96" s="422">
        <v>13.161</v>
      </c>
      <c r="O96" s="422">
        <v>11.639</v>
      </c>
      <c r="P96" s="422"/>
      <c r="Q96" s="420" t="s">
        <v>2239</v>
      </c>
      <c r="R96" s="420" t="s">
        <v>2240</v>
      </c>
      <c r="S96" s="420" t="s">
        <v>307</v>
      </c>
      <c r="T96" s="420" t="s">
        <v>293</v>
      </c>
      <c r="U96" s="420" t="s">
        <v>294</v>
      </c>
      <c r="V96" s="440"/>
      <c r="W96" s="468"/>
      <c r="X96" s="436"/>
      <c r="Y96" s="442" t="str">
        <f t="shared" ref="Y96:Y97" si="101">IF((W96/((J96/5780)^4))^0.5&gt;0,(W96/((J96/5780)^4))^0.5,"")</f>
        <v/>
      </c>
      <c r="Z96" s="469"/>
      <c r="AA96" s="470">
        <v>0.46</v>
      </c>
      <c r="AB96" s="426"/>
      <c r="AC96" s="469">
        <f>IF(ISNUMBER(VLOOKUP(B96,'New Masses'!A:C,3,FALSE)),VLOOKUP(B96,'New Masses'!A:C,3,FALSE),"")</f>
        <v>0.644461</v>
      </c>
      <c r="AD96" s="451">
        <v>9.0E-10</v>
      </c>
      <c r="AE96" s="618">
        <f>log10(AD96)</f>
        <v>-9.045757491</v>
      </c>
      <c r="AF96" s="438"/>
      <c r="AG96" s="459">
        <v>0.065</v>
      </c>
      <c r="AH96" s="421">
        <v>0.03</v>
      </c>
      <c r="AI96" s="446">
        <f>IF(ISNUMBER(VLOOKUP(B96,'New Masses'!A:C,2, FALSE)),VLOOKUP(B96,'New Masses'!A:C,2, FALSE),"")</f>
        <v>0.052624</v>
      </c>
      <c r="AJ96" s="420"/>
      <c r="AK96" s="440"/>
      <c r="AL96" s="436">
        <f>log10(0.0032)</f>
        <v>-2.494850022</v>
      </c>
      <c r="AM96" s="438"/>
      <c r="AN96" s="436">
        <f>10^6.5/10^6</f>
        <v>3.16227766</v>
      </c>
      <c r="AO96" s="438"/>
      <c r="AP96" s="436">
        <v>1.0</v>
      </c>
      <c r="AQ96" s="438"/>
      <c r="AR96" s="420" t="s">
        <v>2241</v>
      </c>
      <c r="AS96" s="420"/>
      <c r="AT96" s="438"/>
      <c r="AU96" s="438"/>
      <c r="AV96" s="438"/>
      <c r="AW96" s="450">
        <v>131.0</v>
      </c>
    </row>
    <row r="97">
      <c r="A97" s="436" t="s">
        <v>346</v>
      </c>
      <c r="B97" s="436" t="s">
        <v>346</v>
      </c>
      <c r="C97" s="438"/>
      <c r="D97" s="420" t="s">
        <v>199</v>
      </c>
      <c r="E97" s="420"/>
      <c r="F97" s="420" t="s">
        <v>2242</v>
      </c>
      <c r="G97" s="420" t="s">
        <v>169</v>
      </c>
      <c r="H97" s="420" t="s">
        <v>598</v>
      </c>
      <c r="I97" s="467">
        <v>37985.0</v>
      </c>
      <c r="J97" s="436">
        <v>2962.0</v>
      </c>
      <c r="K97" s="436"/>
      <c r="L97" s="420" t="s">
        <v>642</v>
      </c>
      <c r="M97" s="422">
        <v>0.5</v>
      </c>
      <c r="N97" s="422">
        <v>13.161</v>
      </c>
      <c r="O97" s="422">
        <v>11.639</v>
      </c>
      <c r="P97" s="422"/>
      <c r="Q97" s="420" t="s">
        <v>2194</v>
      </c>
      <c r="R97" s="420" t="s">
        <v>2195</v>
      </c>
      <c r="S97" s="420" t="s">
        <v>2196</v>
      </c>
      <c r="T97" s="420" t="s">
        <v>596</v>
      </c>
      <c r="U97" s="420" t="s">
        <v>597</v>
      </c>
      <c r="V97" s="440"/>
      <c r="W97" s="468"/>
      <c r="X97" s="436"/>
      <c r="Y97" s="442" t="str">
        <f t="shared" si="101"/>
        <v/>
      </c>
      <c r="Z97" s="469"/>
      <c r="AA97" s="470">
        <v>0.53</v>
      </c>
      <c r="AB97" s="470"/>
      <c r="AC97" s="469">
        <f>IF(ISNUMBER(VLOOKUP(B97,'New Masses'!A:C,3,FALSE)),VLOOKUP(B97,'New Masses'!A:C,3,FALSE),"")</f>
        <v>0.644461</v>
      </c>
      <c r="AD97" s="440">
        <f>10^AE97</f>
        <v>0.0000000001</v>
      </c>
      <c r="AE97" s="436">
        <v>-10.0</v>
      </c>
      <c r="AF97" s="438"/>
      <c r="AG97" s="459">
        <v>0.075</v>
      </c>
      <c r="AH97" s="436"/>
      <c r="AI97" s="446">
        <f>IF(ISNUMBER(VLOOKUP(B97,'New Masses'!A:C,2, FALSE)),VLOOKUP(B97,'New Masses'!A:C,2, FALSE),"")</f>
        <v>0.052624</v>
      </c>
      <c r="AJ97" s="436"/>
      <c r="AK97" s="438"/>
      <c r="AL97" s="438"/>
      <c r="AM97" s="438"/>
      <c r="AN97" s="436">
        <v>1.0</v>
      </c>
      <c r="AO97" s="438"/>
      <c r="AP97" s="436">
        <v>1.0</v>
      </c>
      <c r="AQ97" s="438"/>
      <c r="AR97" s="420" t="s">
        <v>2241</v>
      </c>
      <c r="AS97" s="420"/>
      <c r="AT97" s="438"/>
      <c r="AU97" s="420" t="s">
        <v>599</v>
      </c>
      <c r="AV97" s="438"/>
      <c r="AW97" s="450">
        <v>131.0</v>
      </c>
    </row>
    <row r="98">
      <c r="A98" s="435" t="str">
        <f t="shared" ref="A98:C98" si="102">#REF!</f>
        <v>#REF!</v>
      </c>
      <c r="B98" s="485" t="str">
        <f t="shared" si="102"/>
        <v>#REF!</v>
      </c>
      <c r="C98" s="486" t="str">
        <f t="shared" si="102"/>
        <v>#REF!</v>
      </c>
      <c r="D98" s="486"/>
      <c r="E98" s="486"/>
      <c r="F98" s="528"/>
      <c r="G98" s="486"/>
      <c r="H98" s="486" t="s">
        <v>5917</v>
      </c>
      <c r="I98" s="491"/>
      <c r="J98" s="491"/>
      <c r="K98" s="491"/>
      <c r="L98" s="491"/>
      <c r="M98" s="486"/>
      <c r="N98" s="422"/>
      <c r="O98" s="422"/>
      <c r="P98" s="422"/>
      <c r="Q98" s="486"/>
      <c r="R98" s="491"/>
      <c r="S98" s="491"/>
      <c r="T98" s="491"/>
      <c r="U98" s="491"/>
      <c r="V98" s="491"/>
      <c r="W98" s="493"/>
      <c r="X98" s="486"/>
      <c r="Y98" s="442"/>
      <c r="Z98" s="491"/>
      <c r="AA98" s="524" t="str">
        <f t="shared" ref="AA98:AA99" si="104">#REF!</f>
        <v>#REF!</v>
      </c>
      <c r="AB98" s="494"/>
      <c r="AC98" s="436"/>
      <c r="AD98" s="495"/>
      <c r="AE98" s="491"/>
      <c r="AF98" s="491"/>
      <c r="AG98" s="525" t="str">
        <f t="shared" ref="AG98:AG99" si="105">#REF!</f>
        <v>#REF!</v>
      </c>
      <c r="AH98" s="491"/>
      <c r="AI98" s="446"/>
      <c r="AJ98" s="491"/>
      <c r="AK98" s="500"/>
      <c r="AL98" s="436"/>
      <c r="AM98" s="438"/>
      <c r="AN98" s="531"/>
      <c r="AO98" s="491"/>
      <c r="AP98" s="438"/>
      <c r="AQ98" s="438"/>
      <c r="AR98" s="438"/>
      <c r="AS98" s="438"/>
      <c r="AT98" s="438"/>
      <c r="AU98" s="438"/>
      <c r="AV98" s="438"/>
      <c r="AW98" s="450" t="str">
        <f t="shared" ref="AW98:AW99" si="106">#REF!</f>
        <v>#REF!</v>
      </c>
    </row>
    <row r="99">
      <c r="A99" s="435" t="str">
        <f t="shared" ref="A99:C99" si="103">#REF!</f>
        <v>#REF!</v>
      </c>
      <c r="B99" s="485" t="str">
        <f t="shared" si="103"/>
        <v>#REF!</v>
      </c>
      <c r="C99" s="486" t="str">
        <f t="shared" si="103"/>
        <v>#REF!</v>
      </c>
      <c r="D99" s="486"/>
      <c r="E99" s="486"/>
      <c r="F99" s="528"/>
      <c r="G99" s="486"/>
      <c r="H99" s="486" t="s">
        <v>5917</v>
      </c>
      <c r="I99" s="491"/>
      <c r="J99" s="491"/>
      <c r="K99" s="491"/>
      <c r="L99" s="491"/>
      <c r="M99" s="486"/>
      <c r="N99" s="422"/>
      <c r="O99" s="422"/>
      <c r="P99" s="422"/>
      <c r="Q99" s="486"/>
      <c r="R99" s="491"/>
      <c r="S99" s="491"/>
      <c r="T99" s="491"/>
      <c r="U99" s="491"/>
      <c r="V99" s="491"/>
      <c r="W99" s="493"/>
      <c r="X99" s="486"/>
      <c r="Y99" s="442"/>
      <c r="Z99" s="491"/>
      <c r="AA99" s="524" t="str">
        <f t="shared" si="104"/>
        <v>#REF!</v>
      </c>
      <c r="AB99" s="494"/>
      <c r="AC99" s="436"/>
      <c r="AD99" s="495"/>
      <c r="AE99" s="491"/>
      <c r="AF99" s="491"/>
      <c r="AG99" s="525" t="str">
        <f t="shared" si="105"/>
        <v>#REF!</v>
      </c>
      <c r="AH99" s="491"/>
      <c r="AI99" s="446"/>
      <c r="AJ99" s="491"/>
      <c r="AK99" s="500"/>
      <c r="AL99" s="436"/>
      <c r="AM99" s="438"/>
      <c r="AN99" s="531"/>
      <c r="AO99" s="491"/>
      <c r="AP99" s="438"/>
      <c r="AQ99" s="438"/>
      <c r="AR99" s="438"/>
      <c r="AS99" s="438"/>
      <c r="AT99" s="438"/>
      <c r="AU99" s="438"/>
      <c r="AV99" s="438"/>
      <c r="AW99" s="450" t="str">
        <f t="shared" si="106"/>
        <v>#REF!</v>
      </c>
    </row>
    <row r="100">
      <c r="A100" s="419" t="s">
        <v>286</v>
      </c>
      <c r="B100" s="420" t="s">
        <v>287</v>
      </c>
      <c r="C100" s="420"/>
      <c r="D100" s="436" t="s">
        <v>199</v>
      </c>
      <c r="E100" s="436"/>
      <c r="F100" s="436" t="s">
        <v>2243</v>
      </c>
      <c r="G100" s="436" t="s">
        <v>169</v>
      </c>
      <c r="H100" s="420" t="s">
        <v>201</v>
      </c>
      <c r="I100" s="438" t="s">
        <v>2207</v>
      </c>
      <c r="J100" s="436">
        <v>3125.0</v>
      </c>
      <c r="K100" s="438"/>
      <c r="L100" s="420" t="s">
        <v>288</v>
      </c>
      <c r="M100" s="429"/>
      <c r="N100" s="422">
        <v>11.889</v>
      </c>
      <c r="O100" s="422">
        <v>10.792</v>
      </c>
      <c r="P100" s="422"/>
      <c r="Q100" s="438" t="s">
        <v>2208</v>
      </c>
      <c r="R100" s="438" t="s">
        <v>2209</v>
      </c>
      <c r="S100" s="438" t="s">
        <v>2229</v>
      </c>
      <c r="T100" s="454" t="s">
        <v>162</v>
      </c>
      <c r="U100" s="438" t="s">
        <v>2210</v>
      </c>
      <c r="V100" s="423">
        <v>4.58</v>
      </c>
      <c r="W100" s="458"/>
      <c r="X100" s="438"/>
      <c r="Y100" s="442" t="str">
        <f t="shared" ref="Y100:Y101" si="107">IF((W100/((J100/5780)^4))^0.5&gt;0,(W100/((J100/5780)^4))^0.5,"")</f>
        <v/>
      </c>
      <c r="Z100" s="442"/>
      <c r="AA100" s="443"/>
      <c r="AB100" s="443"/>
      <c r="AC100" s="436" t="str">
        <f>IF(ISNUMBER(VLOOKUP(B100,'New Masses'!A:C,3,FALSE)),VLOOKUP(B100,'New Masses'!A:C,3,FALSE),"")</f>
        <v/>
      </c>
      <c r="AD100" s="423">
        <f t="shared" ref="AD100:AD101" si="108">10^AE100</f>
        <v>0</v>
      </c>
      <c r="AE100" s="420">
        <v>-10.5</v>
      </c>
      <c r="AF100" s="438"/>
      <c r="AG100" s="459">
        <v>0.16</v>
      </c>
      <c r="AH100" s="438"/>
      <c r="AI100" s="446" t="str">
        <f>IF(ISNUMBER(VLOOKUP(B100,'New Masses'!A:C,2, FALSE)),VLOOKUP(B100,'New Masses'!A:C,2, FALSE),"")</f>
        <v/>
      </c>
      <c r="AJ100" s="438"/>
      <c r="AK100" s="438"/>
      <c r="AL100" s="438"/>
      <c r="AM100" s="438"/>
      <c r="AN100" s="436">
        <v>1.0</v>
      </c>
      <c r="AO100" s="438"/>
      <c r="AP100" s="438"/>
      <c r="AQ100" s="436"/>
      <c r="AR100" s="438"/>
      <c r="AS100" s="438"/>
      <c r="AT100" s="438" t="s">
        <v>5916</v>
      </c>
      <c r="AU100" s="438" t="s">
        <v>207</v>
      </c>
      <c r="AV100" s="438"/>
      <c r="AW100" s="450">
        <v>137.370185175009</v>
      </c>
    </row>
    <row r="101">
      <c r="A101" s="419" t="s">
        <v>286</v>
      </c>
      <c r="B101" s="420" t="s">
        <v>287</v>
      </c>
      <c r="C101" s="420"/>
      <c r="D101" s="436" t="s">
        <v>199</v>
      </c>
      <c r="E101" s="436"/>
      <c r="F101" s="436" t="s">
        <v>2243</v>
      </c>
      <c r="G101" s="436" t="s">
        <v>169</v>
      </c>
      <c r="H101" s="420" t="s">
        <v>201</v>
      </c>
      <c r="I101" s="438" t="s">
        <v>2207</v>
      </c>
      <c r="J101" s="436">
        <v>3125.0</v>
      </c>
      <c r="K101" s="438"/>
      <c r="L101" s="420" t="s">
        <v>288</v>
      </c>
      <c r="M101" s="429"/>
      <c r="N101" s="422">
        <v>11.889</v>
      </c>
      <c r="O101" s="422">
        <v>10.792</v>
      </c>
      <c r="P101" s="422"/>
      <c r="Q101" s="438" t="s">
        <v>2208</v>
      </c>
      <c r="R101" s="438" t="s">
        <v>2209</v>
      </c>
      <c r="S101" s="438" t="s">
        <v>2229</v>
      </c>
      <c r="T101" s="454" t="s">
        <v>162</v>
      </c>
      <c r="U101" s="438" t="s">
        <v>2210</v>
      </c>
      <c r="V101" s="423">
        <v>4.58</v>
      </c>
      <c r="W101" s="458"/>
      <c r="X101" s="438"/>
      <c r="Y101" s="442" t="str">
        <f t="shared" si="107"/>
        <v/>
      </c>
      <c r="Z101" s="442"/>
      <c r="AA101" s="443"/>
      <c r="AB101" s="443"/>
      <c r="AC101" s="436" t="str">
        <f>IF(ISNUMBER(VLOOKUP(B101,'New Masses'!A:C,3,FALSE)),VLOOKUP(B101,'New Masses'!A:C,3,FALSE),"")</f>
        <v/>
      </c>
      <c r="AD101" s="423">
        <f t="shared" si="108"/>
        <v>0</v>
      </c>
      <c r="AE101" s="438">
        <v>-10.7</v>
      </c>
      <c r="AF101" s="438"/>
      <c r="AG101" s="459">
        <v>0.16</v>
      </c>
      <c r="AH101" s="438"/>
      <c r="AI101" s="446" t="str">
        <f>IF(ISNUMBER(VLOOKUP(B101,'New Masses'!A:C,2, FALSE)),VLOOKUP(B101,'New Masses'!A:C,2, FALSE),"")</f>
        <v/>
      </c>
      <c r="AJ101" s="438"/>
      <c r="AK101" s="438"/>
      <c r="AL101" s="438"/>
      <c r="AM101" s="438"/>
      <c r="AN101" s="436">
        <v>1.0</v>
      </c>
      <c r="AO101" s="438"/>
      <c r="AP101" s="438"/>
      <c r="AQ101" s="436"/>
      <c r="AR101" s="438"/>
      <c r="AS101" s="438"/>
      <c r="AT101" s="438" t="s">
        <v>5916</v>
      </c>
      <c r="AU101" s="438" t="s">
        <v>206</v>
      </c>
      <c r="AV101" s="438"/>
      <c r="AW101" s="450">
        <v>137.370185175009</v>
      </c>
    </row>
    <row r="102">
      <c r="A102" s="435" t="str">
        <f t="shared" ref="A102:C102" si="109">#REF!</f>
        <v>#REF!</v>
      </c>
      <c r="B102" s="485" t="str">
        <f t="shared" si="109"/>
        <v>#REF!</v>
      </c>
      <c r="C102" s="486" t="str">
        <f t="shared" si="109"/>
        <v>#REF!</v>
      </c>
      <c r="D102" s="486"/>
      <c r="E102" s="486"/>
      <c r="F102" s="528"/>
      <c r="G102" s="486"/>
      <c r="H102" s="486" t="s">
        <v>5917</v>
      </c>
      <c r="I102" s="491"/>
      <c r="J102" s="491"/>
      <c r="K102" s="491"/>
      <c r="L102" s="491"/>
      <c r="M102" s="486"/>
      <c r="N102" s="422"/>
      <c r="O102" s="422"/>
      <c r="P102" s="422"/>
      <c r="Q102" s="486"/>
      <c r="R102" s="491"/>
      <c r="S102" s="491"/>
      <c r="T102" s="491"/>
      <c r="U102" s="491"/>
      <c r="V102" s="491"/>
      <c r="W102" s="493"/>
      <c r="X102" s="486"/>
      <c r="Y102" s="442"/>
      <c r="Z102" s="491"/>
      <c r="AA102" s="524" t="str">
        <f t="shared" ref="AA102:AA103" si="111">#REF!</f>
        <v>#REF!</v>
      </c>
      <c r="AB102" s="494"/>
      <c r="AC102" s="436"/>
      <c r="AD102" s="495"/>
      <c r="AE102" s="491"/>
      <c r="AF102" s="491"/>
      <c r="AG102" s="525" t="str">
        <f t="shared" ref="AG102:AG103" si="112">#REF!</f>
        <v>#REF!</v>
      </c>
      <c r="AH102" s="491"/>
      <c r="AI102" s="446"/>
      <c r="AJ102" s="491"/>
      <c r="AK102" s="500"/>
      <c r="AL102" s="436"/>
      <c r="AM102" s="438"/>
      <c r="AN102" s="531"/>
      <c r="AO102" s="491"/>
      <c r="AP102" s="438"/>
      <c r="AQ102" s="438"/>
      <c r="AR102" s="438"/>
      <c r="AS102" s="438"/>
      <c r="AT102" s="438"/>
      <c r="AU102" s="438"/>
      <c r="AV102" s="438"/>
      <c r="AW102" s="450" t="str">
        <f t="shared" ref="AW102:AW103" si="113">#REF!</f>
        <v>#REF!</v>
      </c>
    </row>
    <row r="103">
      <c r="A103" s="435" t="str">
        <f t="shared" ref="A103:C103" si="110">#REF!</f>
        <v>#REF!</v>
      </c>
      <c r="B103" s="485" t="str">
        <f t="shared" si="110"/>
        <v>#REF!</v>
      </c>
      <c r="C103" s="486" t="str">
        <f t="shared" si="110"/>
        <v>#REF!</v>
      </c>
      <c r="D103" s="486"/>
      <c r="E103" s="486"/>
      <c r="F103" s="528"/>
      <c r="G103" s="486"/>
      <c r="H103" s="486" t="s">
        <v>5917</v>
      </c>
      <c r="I103" s="491"/>
      <c r="J103" s="491"/>
      <c r="K103" s="491"/>
      <c r="L103" s="491"/>
      <c r="M103" s="486"/>
      <c r="N103" s="422"/>
      <c r="O103" s="422"/>
      <c r="P103" s="422"/>
      <c r="Q103" s="486"/>
      <c r="R103" s="491"/>
      <c r="S103" s="491"/>
      <c r="T103" s="491"/>
      <c r="U103" s="491"/>
      <c r="V103" s="491"/>
      <c r="W103" s="493"/>
      <c r="X103" s="486"/>
      <c r="Y103" s="442"/>
      <c r="Z103" s="491"/>
      <c r="AA103" s="524" t="str">
        <f t="shared" si="111"/>
        <v>#REF!</v>
      </c>
      <c r="AB103" s="494"/>
      <c r="AC103" s="436"/>
      <c r="AD103" s="495"/>
      <c r="AE103" s="491"/>
      <c r="AF103" s="491"/>
      <c r="AG103" s="525" t="str">
        <f t="shared" si="112"/>
        <v>#REF!</v>
      </c>
      <c r="AH103" s="491"/>
      <c r="AI103" s="446"/>
      <c r="AJ103" s="491"/>
      <c r="AK103" s="500"/>
      <c r="AL103" s="436"/>
      <c r="AM103" s="438"/>
      <c r="AN103" s="531"/>
      <c r="AO103" s="491"/>
      <c r="AP103" s="438"/>
      <c r="AQ103" s="438"/>
      <c r="AR103" s="438"/>
      <c r="AS103" s="438"/>
      <c r="AT103" s="438"/>
      <c r="AU103" s="438"/>
      <c r="AV103" s="438"/>
      <c r="AW103" s="450" t="str">
        <f t="shared" si="113"/>
        <v>#REF!</v>
      </c>
    </row>
    <row r="104">
      <c r="A104" s="419" t="s">
        <v>279</v>
      </c>
      <c r="B104" s="420" t="s">
        <v>280</v>
      </c>
      <c r="C104" s="420"/>
      <c r="D104" s="436" t="s">
        <v>199</v>
      </c>
      <c r="E104" s="436"/>
      <c r="F104" s="436" t="s">
        <v>2244</v>
      </c>
      <c r="G104" s="436" t="s">
        <v>159</v>
      </c>
      <c r="H104" s="420" t="s">
        <v>201</v>
      </c>
      <c r="I104" s="438" t="s">
        <v>2207</v>
      </c>
      <c r="J104" s="436">
        <v>3050.0</v>
      </c>
      <c r="K104" s="438"/>
      <c r="L104" s="420" t="s">
        <v>264</v>
      </c>
      <c r="M104" s="429"/>
      <c r="N104" s="422">
        <v>11.886</v>
      </c>
      <c r="O104" s="422">
        <v>11.007</v>
      </c>
      <c r="P104" s="422"/>
      <c r="Q104" s="438" t="s">
        <v>2208</v>
      </c>
      <c r="R104" s="438" t="s">
        <v>2209</v>
      </c>
      <c r="S104" s="438" t="s">
        <v>2229</v>
      </c>
      <c r="T104" s="454" t="s">
        <v>162</v>
      </c>
      <c r="U104" s="438" t="s">
        <v>2210</v>
      </c>
      <c r="V104" s="423">
        <v>4.52</v>
      </c>
      <c r="W104" s="458"/>
      <c r="X104" s="438"/>
      <c r="Y104" s="442" t="str">
        <f t="shared" ref="Y104:Y105" si="114">IF((W104/((J104/5780)^4))^0.5&gt;0,(W104/((J104/5780)^4))^0.5,"")</f>
        <v/>
      </c>
      <c r="Z104" s="442"/>
      <c r="AA104" s="443"/>
      <c r="AB104" s="443"/>
      <c r="AC104" s="436" t="str">
        <f>IF(ISNUMBER(VLOOKUP(B104,'New Masses'!A:C,3,FALSE)),VLOOKUP(B104,'New Masses'!A:C,3,FALSE),"")</f>
        <v/>
      </c>
      <c r="AD104" s="423">
        <f t="shared" ref="AD104:AD105" si="115">10^AE104</f>
        <v>0</v>
      </c>
      <c r="AE104" s="420">
        <v>-10.6</v>
      </c>
      <c r="AF104" s="438"/>
      <c r="AG104" s="459">
        <v>0.13</v>
      </c>
      <c r="AH104" s="438"/>
      <c r="AI104" s="446" t="str">
        <f>IF(ISNUMBER(VLOOKUP(B104,'New Masses'!A:C,2, FALSE)),VLOOKUP(B104,'New Masses'!A:C,2, FALSE),"")</f>
        <v/>
      </c>
      <c r="AJ104" s="438"/>
      <c r="AK104" s="438"/>
      <c r="AL104" s="438"/>
      <c r="AM104" s="438"/>
      <c r="AN104" s="436">
        <v>1.0</v>
      </c>
      <c r="AO104" s="438"/>
      <c r="AP104" s="438"/>
      <c r="AQ104" s="436"/>
      <c r="AR104" s="438"/>
      <c r="AS104" s="438"/>
      <c r="AT104" s="438" t="s">
        <v>5916</v>
      </c>
      <c r="AU104" s="438" t="s">
        <v>207</v>
      </c>
      <c r="AV104" s="438"/>
      <c r="AW104" s="450">
        <v>129.893746915023</v>
      </c>
    </row>
    <row r="105">
      <c r="A105" s="419" t="s">
        <v>279</v>
      </c>
      <c r="B105" s="420" t="s">
        <v>280</v>
      </c>
      <c r="C105" s="420"/>
      <c r="D105" s="436" t="s">
        <v>199</v>
      </c>
      <c r="E105" s="436"/>
      <c r="F105" s="436" t="s">
        <v>2244</v>
      </c>
      <c r="G105" s="436" t="s">
        <v>159</v>
      </c>
      <c r="H105" s="420" t="s">
        <v>201</v>
      </c>
      <c r="I105" s="438" t="s">
        <v>2207</v>
      </c>
      <c r="J105" s="436">
        <v>3050.0</v>
      </c>
      <c r="K105" s="438"/>
      <c r="L105" s="420" t="s">
        <v>264</v>
      </c>
      <c r="M105" s="429"/>
      <c r="N105" s="422">
        <v>11.886</v>
      </c>
      <c r="O105" s="422">
        <v>11.007</v>
      </c>
      <c r="P105" s="422"/>
      <c r="Q105" s="438" t="s">
        <v>2208</v>
      </c>
      <c r="R105" s="438" t="s">
        <v>2209</v>
      </c>
      <c r="S105" s="438" t="s">
        <v>2229</v>
      </c>
      <c r="T105" s="454" t="s">
        <v>162</v>
      </c>
      <c r="U105" s="438" t="s">
        <v>2210</v>
      </c>
      <c r="V105" s="423">
        <v>4.52</v>
      </c>
      <c r="W105" s="458"/>
      <c r="X105" s="438"/>
      <c r="Y105" s="442" t="str">
        <f t="shared" si="114"/>
        <v/>
      </c>
      <c r="Z105" s="442"/>
      <c r="AA105" s="443"/>
      <c r="AB105" s="443"/>
      <c r="AC105" s="436" t="str">
        <f>IF(ISNUMBER(VLOOKUP(B105,'New Masses'!A:C,3,FALSE)),VLOOKUP(B105,'New Masses'!A:C,3,FALSE),"")</f>
        <v/>
      </c>
      <c r="AD105" s="423">
        <f t="shared" si="115"/>
        <v>0</v>
      </c>
      <c r="AE105" s="438">
        <v>-10.8</v>
      </c>
      <c r="AF105" s="438"/>
      <c r="AG105" s="459">
        <v>0.13</v>
      </c>
      <c r="AH105" s="438"/>
      <c r="AI105" s="446" t="str">
        <f>IF(ISNUMBER(VLOOKUP(B105,'New Masses'!A:C,2, FALSE)),VLOOKUP(B105,'New Masses'!A:C,2, FALSE),"")</f>
        <v/>
      </c>
      <c r="AJ105" s="438"/>
      <c r="AK105" s="438"/>
      <c r="AL105" s="438"/>
      <c r="AM105" s="438"/>
      <c r="AN105" s="436">
        <v>1.0</v>
      </c>
      <c r="AO105" s="438"/>
      <c r="AP105" s="438"/>
      <c r="AQ105" s="436"/>
      <c r="AR105" s="438"/>
      <c r="AS105" s="438"/>
      <c r="AT105" s="438" t="s">
        <v>5916</v>
      </c>
      <c r="AU105" s="438" t="s">
        <v>206</v>
      </c>
      <c r="AV105" s="438"/>
      <c r="AW105" s="450">
        <v>129.893746915023</v>
      </c>
    </row>
    <row r="106">
      <c r="A106" s="435" t="str">
        <f t="shared" ref="A106:C106" si="116">#REF!</f>
        <v>#REF!</v>
      </c>
      <c r="B106" s="485" t="str">
        <f t="shared" si="116"/>
        <v>#REF!</v>
      </c>
      <c r="C106" s="486" t="str">
        <f t="shared" si="116"/>
        <v>#REF!</v>
      </c>
      <c r="D106" s="486"/>
      <c r="E106" s="486"/>
      <c r="F106" s="528"/>
      <c r="G106" s="486"/>
      <c r="H106" s="486" t="s">
        <v>5917</v>
      </c>
      <c r="I106" s="491"/>
      <c r="J106" s="491"/>
      <c r="K106" s="491"/>
      <c r="L106" s="491"/>
      <c r="M106" s="486"/>
      <c r="N106" s="422"/>
      <c r="O106" s="422"/>
      <c r="P106" s="422"/>
      <c r="Q106" s="486"/>
      <c r="R106" s="491"/>
      <c r="S106" s="491"/>
      <c r="T106" s="491"/>
      <c r="U106" s="491"/>
      <c r="V106" s="491"/>
      <c r="W106" s="493"/>
      <c r="X106" s="486"/>
      <c r="Y106" s="442"/>
      <c r="Z106" s="491"/>
      <c r="AA106" s="524" t="str">
        <f t="shared" ref="AA106:AA107" si="118">#REF!</f>
        <v>#REF!</v>
      </c>
      <c r="AB106" s="494"/>
      <c r="AC106" s="436"/>
      <c r="AD106" s="495"/>
      <c r="AE106" s="491"/>
      <c r="AF106" s="491"/>
      <c r="AG106" s="525" t="str">
        <f t="shared" ref="AG106:AG107" si="119">#REF!</f>
        <v>#REF!</v>
      </c>
      <c r="AH106" s="491"/>
      <c r="AI106" s="446"/>
      <c r="AJ106" s="491"/>
      <c r="AK106" s="500"/>
      <c r="AL106" s="436"/>
      <c r="AM106" s="438"/>
      <c r="AN106" s="531"/>
      <c r="AO106" s="491"/>
      <c r="AP106" s="438"/>
      <c r="AQ106" s="438"/>
      <c r="AR106" s="438"/>
      <c r="AS106" s="438"/>
      <c r="AT106" s="438"/>
      <c r="AU106" s="438"/>
      <c r="AV106" s="438"/>
      <c r="AW106" s="450" t="str">
        <f t="shared" ref="AW106:AW107" si="120">#REF!</f>
        <v>#REF!</v>
      </c>
    </row>
    <row r="107">
      <c r="A107" s="435" t="str">
        <f t="shared" ref="A107:C107" si="117">#REF!</f>
        <v>#REF!</v>
      </c>
      <c r="B107" s="485" t="str">
        <f t="shared" si="117"/>
        <v>#REF!</v>
      </c>
      <c r="C107" s="486" t="str">
        <f t="shared" si="117"/>
        <v>#REF!</v>
      </c>
      <c r="D107" s="486"/>
      <c r="E107" s="486"/>
      <c r="F107" s="528"/>
      <c r="G107" s="486"/>
      <c r="H107" s="486" t="s">
        <v>5917</v>
      </c>
      <c r="I107" s="491"/>
      <c r="J107" s="491"/>
      <c r="K107" s="491"/>
      <c r="L107" s="491"/>
      <c r="M107" s="486"/>
      <c r="N107" s="422"/>
      <c r="O107" s="422"/>
      <c r="P107" s="422"/>
      <c r="Q107" s="486"/>
      <c r="R107" s="491"/>
      <c r="S107" s="491"/>
      <c r="T107" s="491"/>
      <c r="U107" s="491"/>
      <c r="V107" s="491"/>
      <c r="W107" s="493"/>
      <c r="X107" s="486"/>
      <c r="Y107" s="442"/>
      <c r="Z107" s="491"/>
      <c r="AA107" s="524" t="str">
        <f t="shared" si="118"/>
        <v>#REF!</v>
      </c>
      <c r="AB107" s="494"/>
      <c r="AC107" s="436"/>
      <c r="AD107" s="495"/>
      <c r="AE107" s="491"/>
      <c r="AF107" s="491"/>
      <c r="AG107" s="525" t="str">
        <f t="shared" si="119"/>
        <v>#REF!</v>
      </c>
      <c r="AH107" s="491"/>
      <c r="AI107" s="446"/>
      <c r="AJ107" s="491"/>
      <c r="AK107" s="500"/>
      <c r="AL107" s="436"/>
      <c r="AM107" s="438"/>
      <c r="AN107" s="531"/>
      <c r="AO107" s="491"/>
      <c r="AP107" s="438"/>
      <c r="AQ107" s="438"/>
      <c r="AR107" s="438"/>
      <c r="AS107" s="438"/>
      <c r="AT107" s="438"/>
      <c r="AU107" s="438"/>
      <c r="AV107" s="438"/>
      <c r="AW107" s="450" t="str">
        <f t="shared" si="120"/>
        <v>#REF!</v>
      </c>
    </row>
    <row r="108">
      <c r="A108" s="419" t="s">
        <v>652</v>
      </c>
      <c r="B108" s="421" t="s">
        <v>653</v>
      </c>
      <c r="C108" s="420"/>
      <c r="D108" s="420" t="s">
        <v>199</v>
      </c>
      <c r="E108" s="420"/>
      <c r="F108" s="420" t="s">
        <v>2245</v>
      </c>
      <c r="G108" s="420" t="s">
        <v>159</v>
      </c>
      <c r="H108" s="420" t="s">
        <v>598</v>
      </c>
      <c r="I108" s="467">
        <v>37985.0</v>
      </c>
      <c r="J108" s="436">
        <v>2795.0</v>
      </c>
      <c r="K108" s="436"/>
      <c r="L108" s="420" t="s">
        <v>232</v>
      </c>
      <c r="M108" s="429"/>
      <c r="N108" s="422">
        <v>13.925</v>
      </c>
      <c r="O108" s="422">
        <v>12.753</v>
      </c>
      <c r="P108" s="422"/>
      <c r="Q108" s="420" t="s">
        <v>2194</v>
      </c>
      <c r="R108" s="420" t="s">
        <v>2195</v>
      </c>
      <c r="S108" s="420" t="s">
        <v>2196</v>
      </c>
      <c r="T108" s="420" t="s">
        <v>596</v>
      </c>
      <c r="U108" s="420" t="s">
        <v>597</v>
      </c>
      <c r="V108" s="440"/>
      <c r="W108" s="468"/>
      <c r="X108" s="436"/>
      <c r="Y108" s="442" t="str">
        <f>IF((W108/((J108/5780)^4))^0.5&gt;0,(W108/((J108/5780)^4))^0.5,"")</f>
        <v/>
      </c>
      <c r="Z108" s="469"/>
      <c r="AA108" s="470">
        <v>0.32</v>
      </c>
      <c r="AB108" s="470"/>
      <c r="AC108" s="469">
        <f>IF(ISNUMBER(VLOOKUP(B108,'New Masses'!A:C,3,FALSE)),VLOOKUP(B108,'New Masses'!A:C,3,FALSE),"")</f>
        <v>0.473141</v>
      </c>
      <c r="AD108" s="440">
        <f>10^AE108</f>
        <v>0</v>
      </c>
      <c r="AE108" s="436">
        <v>-12.0</v>
      </c>
      <c r="AF108" s="438"/>
      <c r="AG108" s="459">
        <v>0.045</v>
      </c>
      <c r="AH108" s="436"/>
      <c r="AI108" s="446">
        <f>IF(ISNUMBER(VLOOKUP(B108,'New Masses'!A:C,2, FALSE)),VLOOKUP(B108,'New Masses'!A:C,2, FALSE),"")</f>
        <v>0.03139</v>
      </c>
      <c r="AJ108" s="436"/>
      <c r="AK108" s="438"/>
      <c r="AL108" s="438"/>
      <c r="AM108" s="438"/>
      <c r="AN108" s="436">
        <v>1.0</v>
      </c>
      <c r="AO108" s="438"/>
      <c r="AP108" s="436">
        <v>0.46</v>
      </c>
      <c r="AQ108" s="436">
        <v>0.85</v>
      </c>
      <c r="AR108" s="420" t="s">
        <v>2246</v>
      </c>
      <c r="AS108" s="420"/>
      <c r="AT108" s="420" t="s">
        <v>5916</v>
      </c>
      <c r="AU108" s="420" t="s">
        <v>599</v>
      </c>
      <c r="AV108" s="438"/>
      <c r="AW108" s="450">
        <v>125.6565555025</v>
      </c>
    </row>
    <row r="109">
      <c r="A109" s="435" t="str">
        <f t="shared" ref="A109:C109" si="121">#REF!</f>
        <v>#REF!</v>
      </c>
      <c r="B109" s="485" t="str">
        <f t="shared" si="121"/>
        <v>#REF!</v>
      </c>
      <c r="C109" s="486" t="str">
        <f t="shared" si="121"/>
        <v>#REF!</v>
      </c>
      <c r="D109" s="486"/>
      <c r="E109" s="486"/>
      <c r="F109" s="528"/>
      <c r="G109" s="486"/>
      <c r="H109" s="486" t="s">
        <v>5917</v>
      </c>
      <c r="I109" s="491"/>
      <c r="J109" s="491"/>
      <c r="K109" s="491"/>
      <c r="L109" s="491"/>
      <c r="M109" s="486"/>
      <c r="N109" s="422"/>
      <c r="O109" s="422"/>
      <c r="P109" s="422"/>
      <c r="Q109" s="486"/>
      <c r="R109" s="491"/>
      <c r="S109" s="491"/>
      <c r="T109" s="491"/>
      <c r="U109" s="491"/>
      <c r="V109" s="491"/>
      <c r="W109" s="493"/>
      <c r="X109" s="486"/>
      <c r="Y109" s="442"/>
      <c r="Z109" s="491"/>
      <c r="AA109" s="524" t="str">
        <f>#REF!</f>
        <v>#REF!</v>
      </c>
      <c r="AB109" s="494"/>
      <c r="AC109" s="436"/>
      <c r="AD109" s="495"/>
      <c r="AE109" s="491"/>
      <c r="AF109" s="491"/>
      <c r="AG109" s="525" t="str">
        <f>#REF!</f>
        <v>#REF!</v>
      </c>
      <c r="AH109" s="491"/>
      <c r="AI109" s="446"/>
      <c r="AJ109" s="491"/>
      <c r="AK109" s="500"/>
      <c r="AL109" s="436"/>
      <c r="AM109" s="438"/>
      <c r="AN109" s="531"/>
      <c r="AO109" s="491"/>
      <c r="AP109" s="438"/>
      <c r="AQ109" s="438"/>
      <c r="AR109" s="438"/>
      <c r="AS109" s="438"/>
      <c r="AT109" s="438"/>
      <c r="AU109" s="438"/>
      <c r="AV109" s="438"/>
      <c r="AW109" s="450" t="str">
        <f>#REF!</f>
        <v>#REF!</v>
      </c>
    </row>
    <row r="110">
      <c r="A110" s="419" t="s">
        <v>208</v>
      </c>
      <c r="B110" s="436" t="s">
        <v>209</v>
      </c>
      <c r="C110" s="420"/>
      <c r="D110" s="420" t="s">
        <v>199</v>
      </c>
      <c r="E110" s="420"/>
      <c r="F110" s="420" t="s">
        <v>2247</v>
      </c>
      <c r="G110" s="420" t="s">
        <v>169</v>
      </c>
      <c r="H110" s="420" t="s">
        <v>201</v>
      </c>
      <c r="I110" s="420" t="s">
        <v>2207</v>
      </c>
      <c r="J110" s="436">
        <v>2400.0</v>
      </c>
      <c r="K110" s="438"/>
      <c r="L110" s="420" t="s">
        <v>210</v>
      </c>
      <c r="M110" s="429"/>
      <c r="N110" s="422">
        <v>16.3</v>
      </c>
      <c r="O110" s="422">
        <v>14.93</v>
      </c>
      <c r="P110" s="422"/>
      <c r="Q110" s="420" t="s">
        <v>2208</v>
      </c>
      <c r="R110" s="438" t="s">
        <v>2209</v>
      </c>
      <c r="S110" s="420" t="s">
        <v>2229</v>
      </c>
      <c r="T110" s="454" t="s">
        <v>162</v>
      </c>
      <c r="U110" s="420" t="s">
        <v>2210</v>
      </c>
      <c r="V110" s="436">
        <v>4.62</v>
      </c>
      <c r="W110" s="458"/>
      <c r="X110" s="438"/>
      <c r="Y110" s="442" t="str">
        <f t="shared" ref="Y110:Y112" si="122">IF((W110/((J110/5780)^4))^0.5&gt;0,(W110/((J110/5780)^4))^0.5,"")</f>
        <v/>
      </c>
      <c r="Z110" s="442"/>
      <c r="AA110" s="443"/>
      <c r="AB110" s="443"/>
      <c r="AC110" s="469">
        <f>IF(ISNUMBER(VLOOKUP(B110,'New Masses'!A:C,3,FALSE)),VLOOKUP(B110,'New Masses'!A:C,3,FALSE),"")</f>
        <v>0.356058</v>
      </c>
      <c r="AD110" s="423">
        <f t="shared" ref="AD110:AD112" si="123">10^AE110</f>
        <v>0</v>
      </c>
      <c r="AE110" s="436">
        <v>-10.5</v>
      </c>
      <c r="AF110" s="438"/>
      <c r="AG110" s="459">
        <v>0.02</v>
      </c>
      <c r="AH110" s="438"/>
      <c r="AI110" s="446">
        <f>IF(ISNUMBER(VLOOKUP(B110,'New Masses'!A:C,2, FALSE)),VLOOKUP(B110,'New Masses'!A:C,2, FALSE),"")</f>
        <v>0.018053</v>
      </c>
      <c r="AJ110" s="438"/>
      <c r="AK110" s="438"/>
      <c r="AL110" s="438"/>
      <c r="AM110" s="438"/>
      <c r="AN110" s="436">
        <v>1.0</v>
      </c>
      <c r="AO110" s="438"/>
      <c r="AP110" s="436">
        <v>0.02</v>
      </c>
      <c r="AQ110" s="436">
        <v>0.85</v>
      </c>
      <c r="AR110" s="420" t="s">
        <v>2246</v>
      </c>
      <c r="AS110" s="420"/>
      <c r="AT110" s="438"/>
      <c r="AU110" s="420" t="s">
        <v>207</v>
      </c>
      <c r="AV110" s="438"/>
      <c r="AW110" s="450"/>
    </row>
    <row r="111">
      <c r="A111" s="419" t="s">
        <v>208</v>
      </c>
      <c r="B111" s="436" t="s">
        <v>209</v>
      </c>
      <c r="C111" s="420"/>
      <c r="D111" s="420" t="s">
        <v>199</v>
      </c>
      <c r="E111" s="420"/>
      <c r="F111" s="420" t="s">
        <v>2247</v>
      </c>
      <c r="G111" s="420" t="s">
        <v>169</v>
      </c>
      <c r="H111" s="420" t="s">
        <v>201</v>
      </c>
      <c r="I111" s="420" t="s">
        <v>2207</v>
      </c>
      <c r="J111" s="436">
        <v>2400.0</v>
      </c>
      <c r="K111" s="438"/>
      <c r="L111" s="420" t="s">
        <v>210</v>
      </c>
      <c r="M111" s="429"/>
      <c r="N111" s="422">
        <v>16.3</v>
      </c>
      <c r="O111" s="422">
        <v>14.93</v>
      </c>
      <c r="P111" s="422"/>
      <c r="Q111" s="420" t="s">
        <v>2208</v>
      </c>
      <c r="R111" s="438" t="s">
        <v>2209</v>
      </c>
      <c r="S111" s="420" t="s">
        <v>2229</v>
      </c>
      <c r="T111" s="454" t="s">
        <v>162</v>
      </c>
      <c r="U111" s="420" t="s">
        <v>2210</v>
      </c>
      <c r="V111" s="436">
        <v>4.62</v>
      </c>
      <c r="W111" s="458"/>
      <c r="X111" s="438"/>
      <c r="Y111" s="442" t="str">
        <f t="shared" si="122"/>
        <v/>
      </c>
      <c r="Z111" s="442"/>
      <c r="AA111" s="443"/>
      <c r="AB111" s="443"/>
      <c r="AC111" s="469">
        <f>IF(ISNUMBER(VLOOKUP(B111,'New Masses'!A:C,3,FALSE)),VLOOKUP(B111,'New Masses'!A:C,3,FALSE),"")</f>
        <v>0.356058</v>
      </c>
      <c r="AD111" s="423">
        <f t="shared" si="123"/>
        <v>0</v>
      </c>
      <c r="AE111" s="437">
        <v>-10.7</v>
      </c>
      <c r="AF111" s="438"/>
      <c r="AG111" s="459">
        <v>0.02</v>
      </c>
      <c r="AH111" s="438"/>
      <c r="AI111" s="446">
        <f>IF(ISNUMBER(VLOOKUP(B111,'New Masses'!A:C,2, FALSE)),VLOOKUP(B111,'New Masses'!A:C,2, FALSE),"")</f>
        <v>0.018053</v>
      </c>
      <c r="AJ111" s="438"/>
      <c r="AK111" s="438"/>
      <c r="AL111" s="438"/>
      <c r="AM111" s="438"/>
      <c r="AN111" s="436">
        <v>1.0</v>
      </c>
      <c r="AO111" s="438"/>
      <c r="AP111" s="436">
        <v>0.02</v>
      </c>
      <c r="AQ111" s="436">
        <v>0.85</v>
      </c>
      <c r="AR111" s="420" t="s">
        <v>2246</v>
      </c>
      <c r="AS111" s="420"/>
      <c r="AT111" s="438"/>
      <c r="AU111" s="420" t="s">
        <v>206</v>
      </c>
      <c r="AV111" s="438"/>
      <c r="AW111" s="450"/>
    </row>
    <row r="112">
      <c r="A112" s="419" t="s">
        <v>208</v>
      </c>
      <c r="B112" s="421" t="s">
        <v>209</v>
      </c>
      <c r="C112" s="420"/>
      <c r="D112" s="420" t="s">
        <v>199</v>
      </c>
      <c r="E112" s="420"/>
      <c r="F112" s="420" t="s">
        <v>2248</v>
      </c>
      <c r="G112" s="420" t="s">
        <v>169</v>
      </c>
      <c r="H112" s="420" t="s">
        <v>598</v>
      </c>
      <c r="I112" s="467">
        <v>37985.0</v>
      </c>
      <c r="J112" s="436">
        <v>2400.0</v>
      </c>
      <c r="K112" s="436"/>
      <c r="L112" s="420" t="s">
        <v>621</v>
      </c>
      <c r="M112" s="429"/>
      <c r="N112" s="422">
        <v>16.3</v>
      </c>
      <c r="O112" s="422">
        <v>14.93</v>
      </c>
      <c r="P112" s="422"/>
      <c r="Q112" s="420" t="s">
        <v>2194</v>
      </c>
      <c r="R112" s="420" t="s">
        <v>2195</v>
      </c>
      <c r="S112" s="420" t="s">
        <v>2196</v>
      </c>
      <c r="T112" s="420" t="s">
        <v>596</v>
      </c>
      <c r="U112" s="420" t="s">
        <v>597</v>
      </c>
      <c r="V112" s="440"/>
      <c r="W112" s="468"/>
      <c r="X112" s="436"/>
      <c r="Y112" s="442" t="str">
        <f t="shared" si="122"/>
        <v/>
      </c>
      <c r="Z112" s="469"/>
      <c r="AA112" s="470">
        <v>0.17</v>
      </c>
      <c r="AB112" s="470"/>
      <c r="AC112" s="469">
        <f>IF(ISNUMBER(VLOOKUP(B112,'New Masses'!A:C,3,FALSE)),VLOOKUP(B112,'New Masses'!A:C,3,FALSE),"")</f>
        <v>0.356058</v>
      </c>
      <c r="AD112" s="440">
        <f t="shared" si="123"/>
        <v>0</v>
      </c>
      <c r="AE112" s="436">
        <v>-11.4</v>
      </c>
      <c r="AF112" s="438"/>
      <c r="AG112" s="459">
        <v>0.02</v>
      </c>
      <c r="AH112" s="436"/>
      <c r="AI112" s="446">
        <f>IF(ISNUMBER(VLOOKUP(B112,'New Masses'!A:C,2, FALSE)),VLOOKUP(B112,'New Masses'!A:C,2, FALSE),"")</f>
        <v>0.018053</v>
      </c>
      <c r="AJ112" s="436"/>
      <c r="AK112" s="438"/>
      <c r="AL112" s="438"/>
      <c r="AM112" s="438"/>
      <c r="AN112" s="436">
        <v>1.0</v>
      </c>
      <c r="AO112" s="438"/>
      <c r="AP112" s="436">
        <v>0.02</v>
      </c>
      <c r="AQ112" s="436">
        <v>0.85</v>
      </c>
      <c r="AR112" s="420" t="s">
        <v>2246</v>
      </c>
      <c r="AS112" s="420"/>
      <c r="AT112" s="438"/>
      <c r="AU112" s="420" t="s">
        <v>599</v>
      </c>
      <c r="AV112" s="438"/>
      <c r="AW112" s="450"/>
    </row>
    <row r="113">
      <c r="A113" s="435" t="str">
        <f t="shared" ref="A113:C113" si="124">#REF!</f>
        <v>#REF!</v>
      </c>
      <c r="B113" s="485" t="str">
        <f t="shared" si="124"/>
        <v>#REF!</v>
      </c>
      <c r="C113" s="486" t="str">
        <f t="shared" si="124"/>
        <v>#REF!</v>
      </c>
      <c r="D113" s="486"/>
      <c r="E113" s="486"/>
      <c r="F113" s="528"/>
      <c r="G113" s="486"/>
      <c r="H113" s="486" t="s">
        <v>5917</v>
      </c>
      <c r="I113" s="491"/>
      <c r="J113" s="491"/>
      <c r="K113" s="491"/>
      <c r="L113" s="491"/>
      <c r="M113" s="486"/>
      <c r="N113" s="422"/>
      <c r="O113" s="422"/>
      <c r="P113" s="422"/>
      <c r="Q113" s="486"/>
      <c r="R113" s="491"/>
      <c r="S113" s="491"/>
      <c r="T113" s="491"/>
      <c r="U113" s="491"/>
      <c r="V113" s="491"/>
      <c r="W113" s="493"/>
      <c r="X113" s="486"/>
      <c r="Y113" s="442"/>
      <c r="Z113" s="491"/>
      <c r="AA113" s="524" t="str">
        <f t="shared" ref="AA113:AA115" si="126">#REF!</f>
        <v>#REF!</v>
      </c>
      <c r="AB113" s="494"/>
      <c r="AC113" s="436"/>
      <c r="AD113" s="495"/>
      <c r="AE113" s="491"/>
      <c r="AF113" s="491"/>
      <c r="AG113" s="525" t="str">
        <f t="shared" ref="AG113:AG115" si="127">#REF!</f>
        <v>#REF!</v>
      </c>
      <c r="AH113" s="491"/>
      <c r="AI113" s="446"/>
      <c r="AJ113" s="491"/>
      <c r="AK113" s="500"/>
      <c r="AL113" s="436"/>
      <c r="AM113" s="438"/>
      <c r="AN113" s="531"/>
      <c r="AO113" s="491"/>
      <c r="AP113" s="438"/>
      <c r="AQ113" s="438"/>
      <c r="AR113" s="438"/>
      <c r="AS113" s="438"/>
      <c r="AT113" s="438"/>
      <c r="AU113" s="438"/>
      <c r="AV113" s="438"/>
      <c r="AW113" s="450" t="str">
        <f t="shared" ref="AW113:AW115" si="128">#REF!</f>
        <v>#REF!</v>
      </c>
    </row>
    <row r="114">
      <c r="A114" s="435" t="str">
        <f t="shared" ref="A114:C114" si="125">#REF!</f>
        <v>#REF!</v>
      </c>
      <c r="B114" s="485" t="str">
        <f t="shared" si="125"/>
        <v>#REF!</v>
      </c>
      <c r="C114" s="486" t="str">
        <f t="shared" si="125"/>
        <v>#REF!</v>
      </c>
      <c r="D114" s="486"/>
      <c r="E114" s="486"/>
      <c r="F114" s="528"/>
      <c r="G114" s="486"/>
      <c r="H114" s="486" t="s">
        <v>5917</v>
      </c>
      <c r="I114" s="491"/>
      <c r="J114" s="491"/>
      <c r="K114" s="491"/>
      <c r="L114" s="491"/>
      <c r="M114" s="486"/>
      <c r="N114" s="422"/>
      <c r="O114" s="422"/>
      <c r="P114" s="422"/>
      <c r="Q114" s="486"/>
      <c r="R114" s="491"/>
      <c r="S114" s="491"/>
      <c r="T114" s="491"/>
      <c r="U114" s="491"/>
      <c r="V114" s="491"/>
      <c r="W114" s="493"/>
      <c r="X114" s="486"/>
      <c r="Y114" s="442"/>
      <c r="Z114" s="491"/>
      <c r="AA114" s="524" t="str">
        <f t="shared" si="126"/>
        <v>#REF!</v>
      </c>
      <c r="AB114" s="494"/>
      <c r="AC114" s="436"/>
      <c r="AD114" s="495"/>
      <c r="AE114" s="491"/>
      <c r="AF114" s="491"/>
      <c r="AG114" s="525" t="str">
        <f t="shared" si="127"/>
        <v>#REF!</v>
      </c>
      <c r="AH114" s="491"/>
      <c r="AI114" s="446"/>
      <c r="AJ114" s="491"/>
      <c r="AK114" s="500"/>
      <c r="AL114" s="436"/>
      <c r="AM114" s="438"/>
      <c r="AN114" s="531"/>
      <c r="AO114" s="491"/>
      <c r="AP114" s="438"/>
      <c r="AQ114" s="438"/>
      <c r="AR114" s="438"/>
      <c r="AS114" s="438"/>
      <c r="AT114" s="438"/>
      <c r="AU114" s="438"/>
      <c r="AV114" s="438"/>
      <c r="AW114" s="450" t="str">
        <f t="shared" si="128"/>
        <v>#REF!</v>
      </c>
    </row>
    <row r="115">
      <c r="A115" s="435" t="str">
        <f t="shared" ref="A115:C115" si="129">#REF!</f>
        <v>#REF!</v>
      </c>
      <c r="B115" s="485" t="str">
        <f t="shared" si="129"/>
        <v>#REF!</v>
      </c>
      <c r="C115" s="486" t="str">
        <f t="shared" si="129"/>
        <v>#REF!</v>
      </c>
      <c r="D115" s="486"/>
      <c r="E115" s="486"/>
      <c r="F115" s="528"/>
      <c r="G115" s="486"/>
      <c r="H115" s="486" t="s">
        <v>5917</v>
      </c>
      <c r="I115" s="491"/>
      <c r="J115" s="491"/>
      <c r="K115" s="491"/>
      <c r="L115" s="491"/>
      <c r="M115" s="486"/>
      <c r="N115" s="422"/>
      <c r="O115" s="422"/>
      <c r="P115" s="422"/>
      <c r="Q115" s="486"/>
      <c r="R115" s="491"/>
      <c r="S115" s="491"/>
      <c r="T115" s="491"/>
      <c r="U115" s="491"/>
      <c r="V115" s="491"/>
      <c r="W115" s="493"/>
      <c r="X115" s="486"/>
      <c r="Y115" s="442"/>
      <c r="Z115" s="491"/>
      <c r="AA115" s="524" t="str">
        <f t="shared" si="126"/>
        <v>#REF!</v>
      </c>
      <c r="AB115" s="494"/>
      <c r="AC115" s="436"/>
      <c r="AD115" s="495"/>
      <c r="AE115" s="491"/>
      <c r="AF115" s="491"/>
      <c r="AG115" s="525" t="str">
        <f t="shared" si="127"/>
        <v>#REF!</v>
      </c>
      <c r="AH115" s="491"/>
      <c r="AI115" s="446"/>
      <c r="AJ115" s="491"/>
      <c r="AK115" s="500"/>
      <c r="AL115" s="436"/>
      <c r="AM115" s="438"/>
      <c r="AN115" s="531"/>
      <c r="AO115" s="491"/>
      <c r="AP115" s="438"/>
      <c r="AQ115" s="438"/>
      <c r="AR115" s="438"/>
      <c r="AS115" s="438"/>
      <c r="AT115" s="438"/>
      <c r="AU115" s="438"/>
      <c r="AV115" s="438"/>
      <c r="AW115" s="450" t="str">
        <f t="shared" si="128"/>
        <v>#REF!</v>
      </c>
    </row>
    <row r="116">
      <c r="A116" s="419" t="s">
        <v>251</v>
      </c>
      <c r="B116" s="420" t="s">
        <v>252</v>
      </c>
      <c r="C116" s="421" t="s">
        <v>2249</v>
      </c>
      <c r="D116" s="436" t="s">
        <v>199</v>
      </c>
      <c r="E116" s="436"/>
      <c r="F116" s="436" t="s">
        <v>2250</v>
      </c>
      <c r="G116" s="436" t="s">
        <v>169</v>
      </c>
      <c r="H116" s="420" t="s">
        <v>201</v>
      </c>
      <c r="I116" s="438" t="s">
        <v>2207</v>
      </c>
      <c r="J116" s="436">
        <v>3000.0</v>
      </c>
      <c r="K116" s="438"/>
      <c r="L116" s="420" t="s">
        <v>253</v>
      </c>
      <c r="M116" s="429"/>
      <c r="N116" s="422">
        <v>13.323</v>
      </c>
      <c r="O116" s="422">
        <v>12.079</v>
      </c>
      <c r="P116" s="422"/>
      <c r="Q116" s="438" t="s">
        <v>2208</v>
      </c>
      <c r="R116" s="438" t="s">
        <v>2209</v>
      </c>
      <c r="S116" s="438" t="s">
        <v>2229</v>
      </c>
      <c r="T116" s="454" t="s">
        <v>162</v>
      </c>
      <c r="U116" s="438" t="s">
        <v>2210</v>
      </c>
      <c r="V116" s="451">
        <v>5.18</v>
      </c>
      <c r="W116" s="458"/>
      <c r="X116" s="438"/>
      <c r="Y116" s="442" t="str">
        <f t="shared" ref="Y116:Y118" si="130">IF((W116/((J116/5780)^4))^0.5&gt;0,(W116/((J116/5780)^4))^0.5,"")</f>
        <v/>
      </c>
      <c r="Z116" s="442"/>
      <c r="AA116" s="443"/>
      <c r="AB116" s="443"/>
      <c r="AC116" s="436" t="str">
        <f>IF(ISNUMBER(VLOOKUP(B116,'New Masses'!A:C,3,FALSE)),VLOOKUP(B116,'New Masses'!A:C,3,FALSE),"")</f>
        <v/>
      </c>
      <c r="AD116" s="423">
        <f t="shared" ref="AD116:AD118" si="131">10^AE116</f>
        <v>0.0000000001258925412</v>
      </c>
      <c r="AE116" s="436">
        <v>-9.9</v>
      </c>
      <c r="AF116" s="438"/>
      <c r="AG116" s="459">
        <v>0.08</v>
      </c>
      <c r="AH116" s="438"/>
      <c r="AI116" s="446" t="str">
        <f>IF(ISNUMBER(VLOOKUP(B116,'New Masses'!A:C,2, FALSE)),VLOOKUP(B116,'New Masses'!A:C,2, FALSE),"")</f>
        <v/>
      </c>
      <c r="AJ116" s="438"/>
      <c r="AK116" s="438"/>
      <c r="AL116" s="438"/>
      <c r="AM116" s="438"/>
      <c r="AN116" s="436">
        <v>1.0</v>
      </c>
      <c r="AO116" s="438"/>
      <c r="AP116" s="438"/>
      <c r="AQ116" s="436"/>
      <c r="AR116" s="438"/>
      <c r="AS116" s="438"/>
      <c r="AT116" s="438"/>
      <c r="AU116" s="438" t="s">
        <v>207</v>
      </c>
      <c r="AV116" s="438"/>
      <c r="AW116" s="450">
        <v>155.879785509415</v>
      </c>
    </row>
    <row r="117">
      <c r="A117" s="419" t="s">
        <v>251</v>
      </c>
      <c r="B117" s="420" t="s">
        <v>252</v>
      </c>
      <c r="C117" s="421" t="s">
        <v>2249</v>
      </c>
      <c r="D117" s="436" t="s">
        <v>199</v>
      </c>
      <c r="E117" s="436"/>
      <c r="F117" s="436" t="s">
        <v>2250</v>
      </c>
      <c r="G117" s="436" t="s">
        <v>169</v>
      </c>
      <c r="H117" s="420" t="s">
        <v>201</v>
      </c>
      <c r="I117" s="438" t="s">
        <v>2207</v>
      </c>
      <c r="J117" s="436">
        <v>3000.0</v>
      </c>
      <c r="K117" s="438"/>
      <c r="L117" s="420" t="s">
        <v>253</v>
      </c>
      <c r="M117" s="429"/>
      <c r="N117" s="422">
        <v>13.323</v>
      </c>
      <c r="O117" s="422">
        <v>12.079</v>
      </c>
      <c r="P117" s="422"/>
      <c r="Q117" s="438" t="s">
        <v>2208</v>
      </c>
      <c r="R117" s="438" t="s">
        <v>2209</v>
      </c>
      <c r="S117" s="438" t="s">
        <v>2229</v>
      </c>
      <c r="T117" s="454" t="s">
        <v>162</v>
      </c>
      <c r="U117" s="438" t="s">
        <v>2210</v>
      </c>
      <c r="V117" s="451">
        <v>5.18</v>
      </c>
      <c r="W117" s="458"/>
      <c r="X117" s="438"/>
      <c r="Y117" s="442" t="str">
        <f t="shared" si="130"/>
        <v/>
      </c>
      <c r="Z117" s="442"/>
      <c r="AA117" s="443"/>
      <c r="AB117" s="443"/>
      <c r="AC117" s="436" t="str">
        <f>IF(ISNUMBER(VLOOKUP(B117,'New Masses'!A:C,3,FALSE)),VLOOKUP(B117,'New Masses'!A:C,3,FALSE),"")</f>
        <v/>
      </c>
      <c r="AD117" s="423">
        <f t="shared" si="131"/>
        <v>0</v>
      </c>
      <c r="AE117" s="437">
        <v>-10.2</v>
      </c>
      <c r="AF117" s="438"/>
      <c r="AG117" s="459">
        <v>0.08</v>
      </c>
      <c r="AH117" s="438"/>
      <c r="AI117" s="446" t="str">
        <f>IF(ISNUMBER(VLOOKUP(B117,'New Masses'!A:C,2, FALSE)),VLOOKUP(B117,'New Masses'!A:C,2, FALSE),"")</f>
        <v/>
      </c>
      <c r="AJ117" s="438"/>
      <c r="AK117" s="438"/>
      <c r="AL117" s="438"/>
      <c r="AM117" s="438"/>
      <c r="AN117" s="436">
        <v>1.0</v>
      </c>
      <c r="AO117" s="438"/>
      <c r="AP117" s="438"/>
      <c r="AQ117" s="436"/>
      <c r="AR117" s="438"/>
      <c r="AS117" s="438"/>
      <c r="AT117" s="438"/>
      <c r="AU117" s="438" t="s">
        <v>206</v>
      </c>
      <c r="AV117" s="438"/>
      <c r="AW117" s="450">
        <v>155.879785509415</v>
      </c>
    </row>
    <row r="118">
      <c r="A118" s="419" t="s">
        <v>251</v>
      </c>
      <c r="B118" s="420" t="s">
        <v>252</v>
      </c>
      <c r="C118" s="421" t="s">
        <v>2249</v>
      </c>
      <c r="D118" s="436" t="s">
        <v>199</v>
      </c>
      <c r="E118" s="436"/>
      <c r="F118" s="436" t="s">
        <v>2250</v>
      </c>
      <c r="G118" s="436" t="s">
        <v>169</v>
      </c>
      <c r="H118" s="436" t="s">
        <v>598</v>
      </c>
      <c r="I118" s="467">
        <v>37985.0</v>
      </c>
      <c r="J118" s="436">
        <v>2990.0</v>
      </c>
      <c r="K118" s="436"/>
      <c r="L118" s="436" t="s">
        <v>353</v>
      </c>
      <c r="M118" s="439"/>
      <c r="N118" s="422">
        <v>13.323</v>
      </c>
      <c r="O118" s="422">
        <v>12.079</v>
      </c>
      <c r="P118" s="422"/>
      <c r="Q118" s="436" t="s">
        <v>2194</v>
      </c>
      <c r="R118" s="436" t="s">
        <v>2195</v>
      </c>
      <c r="S118" s="436" t="s">
        <v>2196</v>
      </c>
      <c r="T118" s="436" t="s">
        <v>596</v>
      </c>
      <c r="U118" s="436" t="s">
        <v>597</v>
      </c>
      <c r="V118" s="451"/>
      <c r="W118" s="468"/>
      <c r="X118" s="436"/>
      <c r="Y118" s="442" t="str">
        <f t="shared" si="130"/>
        <v/>
      </c>
      <c r="Z118" s="469"/>
      <c r="AA118" s="470">
        <v>0.53</v>
      </c>
      <c r="AB118" s="470"/>
      <c r="AC118" s="436" t="str">
        <f>IF(ISNUMBER(VLOOKUP(B118,'New Masses'!A:C,3,FALSE)),VLOOKUP(B118,'New Masses'!A:C,3,FALSE),"")</f>
        <v/>
      </c>
      <c r="AD118" s="440">
        <f t="shared" si="131"/>
        <v>0.0000000001</v>
      </c>
      <c r="AE118" s="436">
        <v>-10.0</v>
      </c>
      <c r="AF118" s="436"/>
      <c r="AG118" s="459">
        <v>0.08</v>
      </c>
      <c r="AH118" s="436"/>
      <c r="AI118" s="446" t="str">
        <f>IF(ISNUMBER(VLOOKUP(B118,'New Masses'!A:C,2, FALSE)),VLOOKUP(B118,'New Masses'!A:C,2, FALSE),"")</f>
        <v/>
      </c>
      <c r="AJ118" s="436"/>
      <c r="AK118" s="436"/>
      <c r="AL118" s="436"/>
      <c r="AM118" s="436"/>
      <c r="AN118" s="436">
        <v>1.0</v>
      </c>
      <c r="AO118" s="436"/>
      <c r="AP118" s="436"/>
      <c r="AQ118" s="436"/>
      <c r="AR118" s="438"/>
      <c r="AS118" s="438"/>
      <c r="AT118" s="438"/>
      <c r="AU118" s="438" t="s">
        <v>599</v>
      </c>
      <c r="AV118" s="438"/>
      <c r="AW118" s="450">
        <v>155.879785509415</v>
      </c>
    </row>
    <row r="119">
      <c r="A119" s="435" t="str">
        <f t="shared" ref="A119:C119" si="132">#REF!</f>
        <v>#REF!</v>
      </c>
      <c r="B119" s="485" t="str">
        <f t="shared" si="132"/>
        <v>#REF!</v>
      </c>
      <c r="C119" s="486" t="str">
        <f t="shared" si="132"/>
        <v>#REF!</v>
      </c>
      <c r="D119" s="486"/>
      <c r="E119" s="486"/>
      <c r="F119" s="528"/>
      <c r="G119" s="486"/>
      <c r="H119" s="486" t="s">
        <v>5917</v>
      </c>
      <c r="I119" s="491"/>
      <c r="J119" s="491"/>
      <c r="K119" s="491"/>
      <c r="L119" s="491"/>
      <c r="M119" s="486"/>
      <c r="N119" s="422"/>
      <c r="O119" s="422"/>
      <c r="P119" s="422"/>
      <c r="Q119" s="486"/>
      <c r="R119" s="491"/>
      <c r="S119" s="491"/>
      <c r="T119" s="491"/>
      <c r="U119" s="491"/>
      <c r="V119" s="491"/>
      <c r="W119" s="493"/>
      <c r="X119" s="486"/>
      <c r="Y119" s="442"/>
      <c r="Z119" s="491"/>
      <c r="AA119" s="524" t="str">
        <f t="shared" ref="AA119:AA121" si="134">#REF!</f>
        <v>#REF!</v>
      </c>
      <c r="AB119" s="494"/>
      <c r="AC119" s="436"/>
      <c r="AD119" s="495"/>
      <c r="AE119" s="491"/>
      <c r="AF119" s="491"/>
      <c r="AG119" s="525" t="str">
        <f t="shared" ref="AG119:AG121" si="135">#REF!</f>
        <v>#REF!</v>
      </c>
      <c r="AH119" s="491"/>
      <c r="AI119" s="446"/>
      <c r="AJ119" s="491"/>
      <c r="AK119" s="500"/>
      <c r="AL119" s="436"/>
      <c r="AM119" s="438"/>
      <c r="AN119" s="531"/>
      <c r="AO119" s="491"/>
      <c r="AP119" s="438"/>
      <c r="AQ119" s="438"/>
      <c r="AR119" s="438"/>
      <c r="AS119" s="438"/>
      <c r="AT119" s="438"/>
      <c r="AU119" s="438"/>
      <c r="AV119" s="438"/>
      <c r="AW119" s="450" t="str">
        <f t="shared" ref="AW119:AW121" si="136">#REF!</f>
        <v>#REF!</v>
      </c>
    </row>
    <row r="120">
      <c r="A120" s="435" t="str">
        <f t="shared" ref="A120:C120" si="133">#REF!</f>
        <v>#REF!</v>
      </c>
      <c r="B120" s="485" t="str">
        <f t="shared" si="133"/>
        <v>#REF!</v>
      </c>
      <c r="C120" s="486" t="str">
        <f t="shared" si="133"/>
        <v>#REF!</v>
      </c>
      <c r="D120" s="486"/>
      <c r="E120" s="486"/>
      <c r="F120" s="528"/>
      <c r="G120" s="486"/>
      <c r="H120" s="486" t="s">
        <v>5917</v>
      </c>
      <c r="I120" s="491"/>
      <c r="J120" s="491"/>
      <c r="K120" s="491"/>
      <c r="L120" s="491"/>
      <c r="M120" s="486"/>
      <c r="N120" s="422"/>
      <c r="O120" s="422"/>
      <c r="P120" s="422"/>
      <c r="Q120" s="486"/>
      <c r="R120" s="491"/>
      <c r="S120" s="491"/>
      <c r="T120" s="491"/>
      <c r="U120" s="491"/>
      <c r="V120" s="491"/>
      <c r="W120" s="493"/>
      <c r="X120" s="486"/>
      <c r="Y120" s="442"/>
      <c r="Z120" s="491"/>
      <c r="AA120" s="524" t="str">
        <f t="shared" si="134"/>
        <v>#REF!</v>
      </c>
      <c r="AB120" s="494"/>
      <c r="AC120" s="436"/>
      <c r="AD120" s="495"/>
      <c r="AE120" s="491"/>
      <c r="AF120" s="491"/>
      <c r="AG120" s="525" t="str">
        <f t="shared" si="135"/>
        <v>#REF!</v>
      </c>
      <c r="AH120" s="491"/>
      <c r="AI120" s="446"/>
      <c r="AJ120" s="491"/>
      <c r="AK120" s="500"/>
      <c r="AL120" s="436"/>
      <c r="AM120" s="438"/>
      <c r="AN120" s="531"/>
      <c r="AO120" s="491"/>
      <c r="AP120" s="438"/>
      <c r="AQ120" s="438"/>
      <c r="AR120" s="438"/>
      <c r="AS120" s="438"/>
      <c r="AT120" s="438"/>
      <c r="AU120" s="438"/>
      <c r="AV120" s="438"/>
      <c r="AW120" s="450" t="str">
        <f t="shared" si="136"/>
        <v>#REF!</v>
      </c>
    </row>
    <row r="121">
      <c r="A121" s="435" t="str">
        <f t="shared" ref="A121:C121" si="137">#REF!</f>
        <v>#REF!</v>
      </c>
      <c r="B121" s="485" t="str">
        <f t="shared" si="137"/>
        <v>#REF!</v>
      </c>
      <c r="C121" s="486" t="str">
        <f t="shared" si="137"/>
        <v>#REF!</v>
      </c>
      <c r="D121" s="486"/>
      <c r="E121" s="486"/>
      <c r="F121" s="528"/>
      <c r="G121" s="486"/>
      <c r="H121" s="486" t="s">
        <v>5917</v>
      </c>
      <c r="I121" s="491"/>
      <c r="J121" s="491"/>
      <c r="K121" s="491"/>
      <c r="L121" s="491"/>
      <c r="M121" s="486"/>
      <c r="N121" s="422"/>
      <c r="O121" s="422"/>
      <c r="P121" s="422"/>
      <c r="Q121" s="486"/>
      <c r="R121" s="491"/>
      <c r="S121" s="491"/>
      <c r="T121" s="491"/>
      <c r="U121" s="491"/>
      <c r="V121" s="491"/>
      <c r="W121" s="493"/>
      <c r="X121" s="486"/>
      <c r="Y121" s="442"/>
      <c r="Z121" s="491"/>
      <c r="AA121" s="524" t="str">
        <f t="shared" si="134"/>
        <v>#REF!</v>
      </c>
      <c r="AB121" s="494"/>
      <c r="AC121" s="436"/>
      <c r="AD121" s="495"/>
      <c r="AE121" s="491"/>
      <c r="AF121" s="491"/>
      <c r="AG121" s="525" t="str">
        <f t="shared" si="135"/>
        <v>#REF!</v>
      </c>
      <c r="AH121" s="491"/>
      <c r="AI121" s="446"/>
      <c r="AJ121" s="491"/>
      <c r="AK121" s="500"/>
      <c r="AL121" s="436"/>
      <c r="AM121" s="438"/>
      <c r="AN121" s="531"/>
      <c r="AO121" s="491"/>
      <c r="AP121" s="438"/>
      <c r="AQ121" s="438"/>
      <c r="AR121" s="438"/>
      <c r="AS121" s="438"/>
      <c r="AT121" s="438"/>
      <c r="AU121" s="438"/>
      <c r="AV121" s="438"/>
      <c r="AW121" s="450" t="str">
        <f t="shared" si="136"/>
        <v>#REF!</v>
      </c>
    </row>
    <row r="122">
      <c r="A122" s="419" t="s">
        <v>197</v>
      </c>
      <c r="B122" s="436" t="s">
        <v>198</v>
      </c>
      <c r="C122" s="419" t="s">
        <v>468</v>
      </c>
      <c r="D122" s="420" t="s">
        <v>199</v>
      </c>
      <c r="E122" s="420"/>
      <c r="F122" s="420" t="s">
        <v>2251</v>
      </c>
      <c r="G122" s="420" t="s">
        <v>159</v>
      </c>
      <c r="H122" s="420" t="s">
        <v>201</v>
      </c>
      <c r="I122" s="420" t="s">
        <v>2207</v>
      </c>
      <c r="J122" s="436">
        <v>2300.0</v>
      </c>
      <c r="K122" s="438"/>
      <c r="L122" s="420" t="s">
        <v>204</v>
      </c>
      <c r="M122" s="429"/>
      <c r="N122" s="422">
        <v>15.0</v>
      </c>
      <c r="O122" s="422">
        <v>13.28</v>
      </c>
      <c r="P122" s="422">
        <v>20.54</v>
      </c>
      <c r="Q122" s="420" t="s">
        <v>2208</v>
      </c>
      <c r="R122" s="438" t="s">
        <v>2209</v>
      </c>
      <c r="S122" s="420" t="s">
        <v>2229</v>
      </c>
      <c r="T122" s="454" t="s">
        <v>162</v>
      </c>
      <c r="U122" s="420" t="s">
        <v>2210</v>
      </c>
      <c r="V122" s="436">
        <v>4.08</v>
      </c>
      <c r="W122" s="458"/>
      <c r="X122" s="438"/>
      <c r="Y122" s="442" t="str">
        <f t="shared" ref="Y122:Y124" si="138">IF((W122/((J122/5780)^4))^0.5&gt;0,(W122/((J122/5780)^4))^0.5,"")</f>
        <v/>
      </c>
      <c r="Z122" s="442"/>
      <c r="AA122" s="443"/>
      <c r="AB122" s="443"/>
      <c r="AC122" s="469">
        <f>IF(ISNUMBER(VLOOKUP(B122,'New Masses'!A:C,3,FALSE)),VLOOKUP(B122,'New Masses'!A:C,3,FALSE),"")</f>
        <v>0.337079</v>
      </c>
      <c r="AD122" s="423">
        <f t="shared" ref="AD122:AD124" si="139">10^AE122</f>
        <v>0</v>
      </c>
      <c r="AE122" s="420">
        <v>-11.1</v>
      </c>
      <c r="AF122" s="438"/>
      <c r="AG122" s="459">
        <v>0.015</v>
      </c>
      <c r="AH122" s="438"/>
      <c r="AI122" s="446">
        <f>IF(ISNUMBER(VLOOKUP(B122,'New Masses'!A:C,2, FALSE)),VLOOKUP(B122,'New Masses'!A:C,2, FALSE),"")</f>
        <v>0.016167</v>
      </c>
      <c r="AJ122" s="438"/>
      <c r="AK122" s="438"/>
      <c r="AL122" s="438"/>
      <c r="AM122" s="438"/>
      <c r="AN122" s="436">
        <v>1.0</v>
      </c>
      <c r="AO122" s="438"/>
      <c r="AP122" s="436">
        <v>2.16</v>
      </c>
      <c r="AQ122" s="436">
        <v>0.85</v>
      </c>
      <c r="AR122" s="420" t="s">
        <v>2246</v>
      </c>
      <c r="AS122" s="420"/>
      <c r="AT122" s="438"/>
      <c r="AU122" s="420" t="s">
        <v>207</v>
      </c>
      <c r="AV122" s="438"/>
      <c r="AW122" s="450">
        <v>134.692832994356</v>
      </c>
    </row>
    <row r="123">
      <c r="A123" s="419" t="s">
        <v>197</v>
      </c>
      <c r="B123" s="436" t="s">
        <v>198</v>
      </c>
      <c r="C123" s="419" t="s">
        <v>468</v>
      </c>
      <c r="D123" s="420" t="s">
        <v>199</v>
      </c>
      <c r="E123" s="420"/>
      <c r="F123" s="420" t="s">
        <v>2251</v>
      </c>
      <c r="G123" s="420" t="s">
        <v>159</v>
      </c>
      <c r="H123" s="420" t="s">
        <v>201</v>
      </c>
      <c r="I123" s="420" t="s">
        <v>2207</v>
      </c>
      <c r="J123" s="436">
        <v>2300.0</v>
      </c>
      <c r="K123" s="438"/>
      <c r="L123" s="420" t="s">
        <v>204</v>
      </c>
      <c r="M123" s="429"/>
      <c r="N123" s="422">
        <v>15.0</v>
      </c>
      <c r="O123" s="422">
        <v>13.28</v>
      </c>
      <c r="P123" s="422">
        <v>20.54</v>
      </c>
      <c r="Q123" s="420" t="s">
        <v>2208</v>
      </c>
      <c r="R123" s="438" t="s">
        <v>2209</v>
      </c>
      <c r="S123" s="420" t="s">
        <v>2229</v>
      </c>
      <c r="T123" s="454" t="s">
        <v>162</v>
      </c>
      <c r="U123" s="420" t="s">
        <v>2210</v>
      </c>
      <c r="V123" s="436">
        <v>4.08</v>
      </c>
      <c r="W123" s="458"/>
      <c r="X123" s="438"/>
      <c r="Y123" s="442" t="str">
        <f t="shared" si="138"/>
        <v/>
      </c>
      <c r="Z123" s="442"/>
      <c r="AA123" s="443"/>
      <c r="AB123" s="443"/>
      <c r="AC123" s="469">
        <f>IF(ISNUMBER(VLOOKUP(B123,'New Masses'!A:C,3,FALSE)),VLOOKUP(B123,'New Masses'!A:C,3,FALSE),"")</f>
        <v>0.337079</v>
      </c>
      <c r="AD123" s="423">
        <f t="shared" si="139"/>
        <v>0</v>
      </c>
      <c r="AE123" s="438">
        <v>-11.2</v>
      </c>
      <c r="AF123" s="438"/>
      <c r="AG123" s="459">
        <v>0.015</v>
      </c>
      <c r="AH123" s="438"/>
      <c r="AI123" s="446">
        <f>IF(ISNUMBER(VLOOKUP(B123,'New Masses'!A:C,2, FALSE)),VLOOKUP(B123,'New Masses'!A:C,2, FALSE),"")</f>
        <v>0.016167</v>
      </c>
      <c r="AJ123" s="438"/>
      <c r="AK123" s="438"/>
      <c r="AL123" s="438"/>
      <c r="AM123" s="438"/>
      <c r="AN123" s="436">
        <v>1.0</v>
      </c>
      <c r="AO123" s="438"/>
      <c r="AP123" s="436">
        <v>2.16</v>
      </c>
      <c r="AQ123" s="436">
        <v>0.85</v>
      </c>
      <c r="AR123" s="420" t="s">
        <v>2246</v>
      </c>
      <c r="AS123" s="420"/>
      <c r="AT123" s="438"/>
      <c r="AU123" s="420" t="s">
        <v>206</v>
      </c>
      <c r="AV123" s="438"/>
      <c r="AW123" s="450">
        <v>134.692832994356</v>
      </c>
    </row>
    <row r="124">
      <c r="A124" s="419" t="s">
        <v>197</v>
      </c>
      <c r="B124" s="421" t="s">
        <v>198</v>
      </c>
      <c r="C124" s="420"/>
      <c r="D124" s="420" t="s">
        <v>199</v>
      </c>
      <c r="E124" s="420"/>
      <c r="F124" s="420" t="s">
        <v>2251</v>
      </c>
      <c r="G124" s="420" t="s">
        <v>159</v>
      </c>
      <c r="H124" s="420" t="s">
        <v>598</v>
      </c>
      <c r="I124" s="467">
        <v>37985.0</v>
      </c>
      <c r="J124" s="436">
        <v>2300.0</v>
      </c>
      <c r="K124" s="436"/>
      <c r="L124" s="420" t="s">
        <v>204</v>
      </c>
      <c r="M124" s="429"/>
      <c r="N124" s="422">
        <v>15.0</v>
      </c>
      <c r="O124" s="422">
        <v>13.28</v>
      </c>
      <c r="P124" s="422">
        <v>20.54</v>
      </c>
      <c r="Q124" s="420" t="s">
        <v>2194</v>
      </c>
      <c r="R124" s="420" t="s">
        <v>2195</v>
      </c>
      <c r="S124" s="420" t="s">
        <v>2196</v>
      </c>
      <c r="T124" s="420" t="s">
        <v>596</v>
      </c>
      <c r="U124" s="420" t="s">
        <v>597</v>
      </c>
      <c r="V124" s="440"/>
      <c r="W124" s="468"/>
      <c r="X124" s="436"/>
      <c r="Y124" s="442" t="str">
        <f t="shared" si="138"/>
        <v/>
      </c>
      <c r="Z124" s="469"/>
      <c r="AA124" s="470">
        <v>0.3</v>
      </c>
      <c r="AB124" s="470"/>
      <c r="AC124" s="469">
        <f>IF(ISNUMBER(VLOOKUP(B124,'New Masses'!A:C,3,FALSE)),VLOOKUP(B124,'New Masses'!A:C,3,FALSE),"")</f>
        <v>0.337079</v>
      </c>
      <c r="AD124" s="440">
        <f t="shared" si="139"/>
        <v>0</v>
      </c>
      <c r="AE124" s="436">
        <v>-12.0</v>
      </c>
      <c r="AF124" s="438"/>
      <c r="AG124" s="459">
        <v>0.011</v>
      </c>
      <c r="AH124" s="436"/>
      <c r="AI124" s="446">
        <f>IF(ISNUMBER(VLOOKUP(B124,'New Masses'!A:C,2, FALSE)),VLOOKUP(B124,'New Masses'!A:C,2, FALSE),"")</f>
        <v>0.016167</v>
      </c>
      <c r="AJ124" s="436"/>
      <c r="AK124" s="438"/>
      <c r="AL124" s="438"/>
      <c r="AM124" s="438"/>
      <c r="AN124" s="436">
        <v>1.0</v>
      </c>
      <c r="AO124" s="438"/>
      <c r="AP124" s="436">
        <v>2.16</v>
      </c>
      <c r="AQ124" s="436">
        <v>0.85</v>
      </c>
      <c r="AR124" s="420" t="s">
        <v>2246</v>
      </c>
      <c r="AS124" s="420"/>
      <c r="AT124" s="420" t="s">
        <v>5916</v>
      </c>
      <c r="AU124" s="420" t="s">
        <v>599</v>
      </c>
      <c r="AV124" s="438"/>
      <c r="AW124" s="450">
        <v>134.692832994356</v>
      </c>
    </row>
    <row r="125">
      <c r="A125" s="435" t="str">
        <f t="shared" ref="A125:C125" si="140">#REF!</f>
        <v>#REF!</v>
      </c>
      <c r="B125" s="485" t="str">
        <f t="shared" si="140"/>
        <v>#REF!</v>
      </c>
      <c r="C125" s="486" t="str">
        <f t="shared" si="140"/>
        <v>#REF!</v>
      </c>
      <c r="D125" s="486"/>
      <c r="E125" s="486"/>
      <c r="F125" s="528"/>
      <c r="G125" s="486"/>
      <c r="H125" s="486" t="s">
        <v>5917</v>
      </c>
      <c r="I125" s="491"/>
      <c r="J125" s="491"/>
      <c r="K125" s="491"/>
      <c r="L125" s="491"/>
      <c r="M125" s="486"/>
      <c r="N125" s="422"/>
      <c r="O125" s="422"/>
      <c r="P125" s="422"/>
      <c r="Q125" s="486"/>
      <c r="R125" s="491"/>
      <c r="S125" s="491"/>
      <c r="T125" s="491"/>
      <c r="U125" s="491"/>
      <c r="V125" s="491"/>
      <c r="W125" s="493"/>
      <c r="X125" s="486"/>
      <c r="Y125" s="442"/>
      <c r="Z125" s="491"/>
      <c r="AA125" s="524" t="str">
        <f t="shared" ref="AA125:AA127" si="142">#REF!</f>
        <v>#REF!</v>
      </c>
      <c r="AB125" s="494"/>
      <c r="AC125" s="436"/>
      <c r="AD125" s="495"/>
      <c r="AE125" s="491"/>
      <c r="AF125" s="491"/>
      <c r="AG125" s="525" t="str">
        <f t="shared" ref="AG125:AG127" si="143">#REF!</f>
        <v>#REF!</v>
      </c>
      <c r="AH125" s="491"/>
      <c r="AI125" s="446"/>
      <c r="AJ125" s="491"/>
      <c r="AK125" s="500"/>
      <c r="AL125" s="436"/>
      <c r="AM125" s="438"/>
      <c r="AN125" s="531"/>
      <c r="AO125" s="491"/>
      <c r="AP125" s="438"/>
      <c r="AQ125" s="438"/>
      <c r="AR125" s="438"/>
      <c r="AS125" s="438"/>
      <c r="AT125" s="438"/>
      <c r="AU125" s="438"/>
      <c r="AV125" s="438"/>
      <c r="AW125" s="450" t="str">
        <f t="shared" ref="AW125:AW127" si="144">#REF!</f>
        <v>#REF!</v>
      </c>
    </row>
    <row r="126">
      <c r="A126" s="435" t="str">
        <f t="shared" ref="A126:C126" si="141">#REF!</f>
        <v>#REF!</v>
      </c>
      <c r="B126" s="485" t="str">
        <f t="shared" si="141"/>
        <v>#REF!</v>
      </c>
      <c r="C126" s="486" t="str">
        <f t="shared" si="141"/>
        <v>#REF!</v>
      </c>
      <c r="D126" s="486"/>
      <c r="E126" s="486"/>
      <c r="F126" s="528"/>
      <c r="G126" s="486"/>
      <c r="H126" s="486" t="s">
        <v>5917</v>
      </c>
      <c r="I126" s="491"/>
      <c r="J126" s="491"/>
      <c r="K126" s="491"/>
      <c r="L126" s="491"/>
      <c r="M126" s="486"/>
      <c r="N126" s="422"/>
      <c r="O126" s="422"/>
      <c r="P126" s="422"/>
      <c r="Q126" s="486"/>
      <c r="R126" s="491"/>
      <c r="S126" s="491"/>
      <c r="T126" s="491"/>
      <c r="U126" s="491"/>
      <c r="V126" s="491"/>
      <c r="W126" s="493"/>
      <c r="X126" s="486"/>
      <c r="Y126" s="442"/>
      <c r="Z126" s="491"/>
      <c r="AA126" s="524" t="str">
        <f t="shared" si="142"/>
        <v>#REF!</v>
      </c>
      <c r="AB126" s="494"/>
      <c r="AC126" s="436"/>
      <c r="AD126" s="495"/>
      <c r="AE126" s="491"/>
      <c r="AF126" s="491"/>
      <c r="AG126" s="525" t="str">
        <f t="shared" si="143"/>
        <v>#REF!</v>
      </c>
      <c r="AH126" s="491"/>
      <c r="AI126" s="446"/>
      <c r="AJ126" s="491"/>
      <c r="AK126" s="500"/>
      <c r="AL126" s="436"/>
      <c r="AM126" s="438"/>
      <c r="AN126" s="531"/>
      <c r="AO126" s="491"/>
      <c r="AP126" s="438"/>
      <c r="AQ126" s="438"/>
      <c r="AR126" s="438"/>
      <c r="AS126" s="438"/>
      <c r="AT126" s="438"/>
      <c r="AU126" s="438"/>
      <c r="AV126" s="438"/>
      <c r="AW126" s="450" t="str">
        <f t="shared" si="144"/>
        <v>#REF!</v>
      </c>
    </row>
    <row r="127">
      <c r="A127" s="435" t="str">
        <f t="shared" ref="A127:C127" si="145">#REF!</f>
        <v>#REF!</v>
      </c>
      <c r="B127" s="485" t="str">
        <f t="shared" si="145"/>
        <v>#REF!</v>
      </c>
      <c r="C127" s="486" t="str">
        <f t="shared" si="145"/>
        <v>#REF!</v>
      </c>
      <c r="D127" s="486"/>
      <c r="E127" s="486"/>
      <c r="F127" s="528"/>
      <c r="G127" s="486"/>
      <c r="H127" s="486" t="s">
        <v>5917</v>
      </c>
      <c r="I127" s="491"/>
      <c r="J127" s="491"/>
      <c r="K127" s="491"/>
      <c r="L127" s="491"/>
      <c r="M127" s="486"/>
      <c r="N127" s="422"/>
      <c r="O127" s="422"/>
      <c r="P127" s="422"/>
      <c r="Q127" s="486"/>
      <c r="R127" s="491"/>
      <c r="S127" s="491"/>
      <c r="T127" s="491"/>
      <c r="U127" s="491"/>
      <c r="V127" s="491"/>
      <c r="W127" s="493"/>
      <c r="X127" s="486"/>
      <c r="Y127" s="442"/>
      <c r="Z127" s="491"/>
      <c r="AA127" s="524" t="str">
        <f t="shared" si="142"/>
        <v>#REF!</v>
      </c>
      <c r="AB127" s="494"/>
      <c r="AC127" s="436"/>
      <c r="AD127" s="495"/>
      <c r="AE127" s="491"/>
      <c r="AF127" s="491"/>
      <c r="AG127" s="525" t="str">
        <f t="shared" si="143"/>
        <v>#REF!</v>
      </c>
      <c r="AH127" s="491"/>
      <c r="AI127" s="446"/>
      <c r="AJ127" s="491"/>
      <c r="AK127" s="500"/>
      <c r="AL127" s="436"/>
      <c r="AM127" s="438"/>
      <c r="AN127" s="531"/>
      <c r="AO127" s="491"/>
      <c r="AP127" s="438"/>
      <c r="AQ127" s="438"/>
      <c r="AR127" s="438"/>
      <c r="AS127" s="438"/>
      <c r="AT127" s="438"/>
      <c r="AU127" s="438"/>
      <c r="AV127" s="438"/>
      <c r="AW127" s="450" t="str">
        <f t="shared" si="144"/>
        <v>#REF!</v>
      </c>
    </row>
    <row r="128">
      <c r="A128" s="419" t="s">
        <v>639</v>
      </c>
      <c r="B128" s="421" t="s">
        <v>640</v>
      </c>
      <c r="C128" s="420"/>
      <c r="D128" s="420" t="s">
        <v>199</v>
      </c>
      <c r="E128" s="420"/>
      <c r="F128" s="420" t="s">
        <v>2252</v>
      </c>
      <c r="G128" s="420" t="s">
        <v>159</v>
      </c>
      <c r="H128" s="420" t="s">
        <v>598</v>
      </c>
      <c r="I128" s="467">
        <v>37985.0</v>
      </c>
      <c r="J128" s="436">
        <v>2795.0</v>
      </c>
      <c r="K128" s="436"/>
      <c r="L128" s="420" t="s">
        <v>232</v>
      </c>
      <c r="M128" s="429"/>
      <c r="N128" s="422">
        <v>12.64</v>
      </c>
      <c r="O128" s="422">
        <v>11.536</v>
      </c>
      <c r="P128" s="422">
        <v>19.1</v>
      </c>
      <c r="Q128" s="420" t="s">
        <v>2194</v>
      </c>
      <c r="R128" s="420" t="s">
        <v>2195</v>
      </c>
      <c r="S128" s="420" t="s">
        <v>2196</v>
      </c>
      <c r="T128" s="420" t="s">
        <v>596</v>
      </c>
      <c r="U128" s="420" t="s">
        <v>597</v>
      </c>
      <c r="V128" s="440"/>
      <c r="W128" s="468"/>
      <c r="X128" s="436"/>
      <c r="Y128" s="442" t="str">
        <f>IF((W128/((J128/5780)^4))^0.5&gt;0,(W128/((J128/5780)^4))^0.5,"")</f>
        <v/>
      </c>
      <c r="Z128" s="469"/>
      <c r="AA128" s="470">
        <v>0.59</v>
      </c>
      <c r="AB128" s="470"/>
      <c r="AC128" s="469">
        <f>IF(ISNUMBER(VLOOKUP(B128,'New Masses'!A:C,3,FALSE)),VLOOKUP(B128,'New Masses'!A:C,3,FALSE),"")</f>
        <v>0.473141</v>
      </c>
      <c r="AD128" s="440">
        <f>10^AE128</f>
        <v>0</v>
      </c>
      <c r="AE128" s="436">
        <v>-12.0</v>
      </c>
      <c r="AF128" s="438"/>
      <c r="AG128" s="459">
        <v>0.04</v>
      </c>
      <c r="AH128" s="436"/>
      <c r="AI128" s="446">
        <f>IF(ISNUMBER(VLOOKUP(B128,'New Masses'!A:C,2, FALSE)),VLOOKUP(B128,'New Masses'!A:C,2, FALSE),"")</f>
        <v>0.03139</v>
      </c>
      <c r="AJ128" s="436"/>
      <c r="AK128" s="438"/>
      <c r="AL128" s="438"/>
      <c r="AM128" s="438"/>
      <c r="AN128" s="436">
        <v>1.0</v>
      </c>
      <c r="AO128" s="438"/>
      <c r="AP128" s="436">
        <v>0.13</v>
      </c>
      <c r="AQ128" s="436">
        <v>0.85</v>
      </c>
      <c r="AR128" s="420" t="s">
        <v>2246</v>
      </c>
      <c r="AS128" s="420"/>
      <c r="AT128" s="420" t="s">
        <v>5916</v>
      </c>
      <c r="AU128" s="420" t="s">
        <v>599</v>
      </c>
      <c r="AV128" s="438"/>
      <c r="AW128" s="450">
        <v>128.228143512938</v>
      </c>
    </row>
    <row r="129">
      <c r="A129" s="435" t="str">
        <f t="shared" ref="A129:C129" si="146">#REF!</f>
        <v>#REF!</v>
      </c>
      <c r="B129" s="485" t="str">
        <f t="shared" si="146"/>
        <v>#REF!</v>
      </c>
      <c r="C129" s="486" t="str">
        <f t="shared" si="146"/>
        <v>#REF!</v>
      </c>
      <c r="D129" s="486"/>
      <c r="E129" s="486"/>
      <c r="F129" s="528"/>
      <c r="G129" s="486"/>
      <c r="H129" s="486" t="s">
        <v>5917</v>
      </c>
      <c r="I129" s="491"/>
      <c r="J129" s="491"/>
      <c r="K129" s="491"/>
      <c r="L129" s="491"/>
      <c r="M129" s="486"/>
      <c r="N129" s="422"/>
      <c r="O129" s="422"/>
      <c r="P129" s="422"/>
      <c r="Q129" s="486"/>
      <c r="R129" s="491"/>
      <c r="S129" s="491"/>
      <c r="T129" s="491"/>
      <c r="U129" s="491"/>
      <c r="V129" s="491"/>
      <c r="W129" s="493"/>
      <c r="X129" s="486"/>
      <c r="Y129" s="442"/>
      <c r="Z129" s="491"/>
      <c r="AA129" s="524" t="str">
        <f>#REF!</f>
        <v>#REF!</v>
      </c>
      <c r="AB129" s="494"/>
      <c r="AC129" s="436"/>
      <c r="AD129" s="495"/>
      <c r="AE129" s="491"/>
      <c r="AF129" s="491"/>
      <c r="AG129" s="525" t="str">
        <f>#REF!</f>
        <v>#REF!</v>
      </c>
      <c r="AH129" s="491"/>
      <c r="AI129" s="446"/>
      <c r="AJ129" s="491"/>
      <c r="AK129" s="500"/>
      <c r="AL129" s="436"/>
      <c r="AM129" s="438"/>
      <c r="AN129" s="531"/>
      <c r="AO129" s="491"/>
      <c r="AP129" s="438"/>
      <c r="AQ129" s="438"/>
      <c r="AR129" s="438"/>
      <c r="AS129" s="438"/>
      <c r="AT129" s="438"/>
      <c r="AU129" s="438"/>
      <c r="AV129" s="438"/>
      <c r="AW129" s="450" t="str">
        <f>#REF!</f>
        <v>#REF!</v>
      </c>
    </row>
    <row r="130">
      <c r="A130" s="419" t="s">
        <v>211</v>
      </c>
      <c r="B130" s="436" t="s">
        <v>212</v>
      </c>
      <c r="C130" s="419" t="s">
        <v>474</v>
      </c>
      <c r="D130" s="420" t="s">
        <v>199</v>
      </c>
      <c r="E130" s="420"/>
      <c r="F130" s="420" t="s">
        <v>2253</v>
      </c>
      <c r="G130" s="420" t="s">
        <v>169</v>
      </c>
      <c r="H130" s="420" t="s">
        <v>201</v>
      </c>
      <c r="I130" s="420" t="s">
        <v>2207</v>
      </c>
      <c r="J130" s="436">
        <v>2550.0</v>
      </c>
      <c r="K130" s="438"/>
      <c r="L130" s="420" t="s">
        <v>213</v>
      </c>
      <c r="M130" s="429"/>
      <c r="N130" s="422">
        <v>14.99</v>
      </c>
      <c r="O130" s="422">
        <v>13.69</v>
      </c>
      <c r="P130" s="422">
        <v>20.56</v>
      </c>
      <c r="Q130" s="420" t="s">
        <v>2208</v>
      </c>
      <c r="R130" s="438" t="s">
        <v>2209</v>
      </c>
      <c r="S130" s="420" t="s">
        <v>2229</v>
      </c>
      <c r="T130" s="454" t="s">
        <v>162</v>
      </c>
      <c r="U130" s="420" t="s">
        <v>2210</v>
      </c>
      <c r="V130" s="436">
        <v>4.34</v>
      </c>
      <c r="W130" s="458"/>
      <c r="X130" s="438"/>
      <c r="Y130" s="442" t="str">
        <f t="shared" ref="Y130:Y132" si="147">IF((W130/((J130/5780)^4))^0.5&gt;0,(W130/((J130/5780)^4))^0.5,"")</f>
        <v/>
      </c>
      <c r="Z130" s="442"/>
      <c r="AA130" s="443"/>
      <c r="AB130" s="443"/>
      <c r="AC130" s="469">
        <f>IF(ISNUMBER(VLOOKUP(B130,'New Masses'!A:C,3,FALSE)),VLOOKUP(B130,'New Masses'!A:C,3,FALSE),"")</f>
        <v>0.38356</v>
      </c>
      <c r="AD130" s="423">
        <f t="shared" ref="AD130:AD132" si="148">10^AE130</f>
        <v>0</v>
      </c>
      <c r="AE130" s="436">
        <v>-10.8</v>
      </c>
      <c r="AF130" s="438"/>
      <c r="AG130" s="459">
        <v>0.025</v>
      </c>
      <c r="AH130" s="438"/>
      <c r="AI130" s="446">
        <f>IF(ISNUMBER(VLOOKUP(B130,'New Masses'!A:C,2, FALSE)),VLOOKUP(B130,'New Masses'!A:C,2, FALSE),"")</f>
        <v>0.020985</v>
      </c>
      <c r="AJ130" s="438"/>
      <c r="AK130" s="438"/>
      <c r="AL130" s="438"/>
      <c r="AM130" s="438"/>
      <c r="AN130" s="436">
        <v>1.0</v>
      </c>
      <c r="AO130" s="438"/>
      <c r="AP130" s="436">
        <v>0.68</v>
      </c>
      <c r="AQ130" s="436">
        <v>0.85</v>
      </c>
      <c r="AR130" s="420" t="s">
        <v>2246</v>
      </c>
      <c r="AS130" s="420"/>
      <c r="AT130" s="438"/>
      <c r="AU130" s="420" t="s">
        <v>207</v>
      </c>
      <c r="AV130" s="438"/>
      <c r="AW130" s="450">
        <v>116.059097292341</v>
      </c>
    </row>
    <row r="131">
      <c r="A131" s="419" t="s">
        <v>211</v>
      </c>
      <c r="B131" s="436" t="s">
        <v>212</v>
      </c>
      <c r="C131" s="419" t="s">
        <v>474</v>
      </c>
      <c r="D131" s="420" t="s">
        <v>199</v>
      </c>
      <c r="E131" s="420"/>
      <c r="F131" s="420" t="s">
        <v>2253</v>
      </c>
      <c r="G131" s="420" t="s">
        <v>169</v>
      </c>
      <c r="H131" s="420" t="s">
        <v>201</v>
      </c>
      <c r="I131" s="420" t="s">
        <v>2207</v>
      </c>
      <c r="J131" s="436">
        <v>2550.0</v>
      </c>
      <c r="K131" s="438"/>
      <c r="L131" s="420" t="s">
        <v>213</v>
      </c>
      <c r="M131" s="429"/>
      <c r="N131" s="422">
        <v>14.99</v>
      </c>
      <c r="O131" s="422">
        <v>13.69</v>
      </c>
      <c r="P131" s="422">
        <v>20.56</v>
      </c>
      <c r="Q131" s="420" t="s">
        <v>2208</v>
      </c>
      <c r="R131" s="438" t="s">
        <v>2209</v>
      </c>
      <c r="S131" s="420" t="s">
        <v>2229</v>
      </c>
      <c r="T131" s="454" t="s">
        <v>162</v>
      </c>
      <c r="U131" s="420" t="s">
        <v>2210</v>
      </c>
      <c r="V131" s="436">
        <v>4.34</v>
      </c>
      <c r="W131" s="458"/>
      <c r="X131" s="438"/>
      <c r="Y131" s="442" t="str">
        <f t="shared" si="147"/>
        <v/>
      </c>
      <c r="Z131" s="442"/>
      <c r="AA131" s="443"/>
      <c r="AB131" s="443"/>
      <c r="AC131" s="469">
        <f>IF(ISNUMBER(VLOOKUP(B131,'New Masses'!A:C,3,FALSE)),VLOOKUP(B131,'New Masses'!A:C,3,FALSE),"")</f>
        <v>0.38356</v>
      </c>
      <c r="AD131" s="423">
        <f t="shared" si="148"/>
        <v>0</v>
      </c>
      <c r="AE131" s="437">
        <v>-11.0</v>
      </c>
      <c r="AF131" s="438"/>
      <c r="AG131" s="459">
        <v>0.025</v>
      </c>
      <c r="AH131" s="438"/>
      <c r="AI131" s="446">
        <f>IF(ISNUMBER(VLOOKUP(B131,'New Masses'!A:C,2, FALSE)),VLOOKUP(B131,'New Masses'!A:C,2, FALSE),"")</f>
        <v>0.020985</v>
      </c>
      <c r="AJ131" s="438"/>
      <c r="AK131" s="438"/>
      <c r="AL131" s="438"/>
      <c r="AM131" s="438"/>
      <c r="AN131" s="436">
        <v>1.0</v>
      </c>
      <c r="AO131" s="438"/>
      <c r="AP131" s="436">
        <v>0.68</v>
      </c>
      <c r="AQ131" s="436">
        <v>0.85</v>
      </c>
      <c r="AR131" s="420" t="s">
        <v>2246</v>
      </c>
      <c r="AS131" s="420"/>
      <c r="AT131" s="438"/>
      <c r="AU131" s="420" t="s">
        <v>206</v>
      </c>
      <c r="AV131" s="438"/>
      <c r="AW131" s="450">
        <v>116.059097292341</v>
      </c>
    </row>
    <row r="132">
      <c r="A132" s="419" t="s">
        <v>211</v>
      </c>
      <c r="B132" s="421" t="s">
        <v>212</v>
      </c>
      <c r="C132" s="420"/>
      <c r="D132" s="420" t="s">
        <v>199</v>
      </c>
      <c r="E132" s="420"/>
      <c r="F132" s="420" t="s">
        <v>2253</v>
      </c>
      <c r="G132" s="420" t="s">
        <v>169</v>
      </c>
      <c r="H132" s="420" t="s">
        <v>598</v>
      </c>
      <c r="I132" s="467">
        <v>37985.0</v>
      </c>
      <c r="J132" s="436">
        <v>2555.0</v>
      </c>
      <c r="K132" s="436"/>
      <c r="L132" s="420" t="s">
        <v>213</v>
      </c>
      <c r="M132" s="429"/>
      <c r="N132" s="422">
        <v>14.99</v>
      </c>
      <c r="O132" s="422">
        <v>13.69</v>
      </c>
      <c r="P132" s="422">
        <v>20.56</v>
      </c>
      <c r="Q132" s="420" t="s">
        <v>2194</v>
      </c>
      <c r="R132" s="420" t="s">
        <v>2195</v>
      </c>
      <c r="S132" s="420" t="s">
        <v>2196</v>
      </c>
      <c r="T132" s="420" t="s">
        <v>596</v>
      </c>
      <c r="U132" s="420" t="s">
        <v>597</v>
      </c>
      <c r="V132" s="440"/>
      <c r="W132" s="468"/>
      <c r="X132" s="436"/>
      <c r="Y132" s="442" t="str">
        <f t="shared" si="147"/>
        <v/>
      </c>
      <c r="Z132" s="469"/>
      <c r="AA132" s="470">
        <v>0.23</v>
      </c>
      <c r="AB132" s="470"/>
      <c r="AC132" s="469">
        <f>IF(ISNUMBER(VLOOKUP(B132,'New Masses'!A:C,3,FALSE)),VLOOKUP(B132,'New Masses'!A:C,3,FALSE),"")</f>
        <v>0.38356</v>
      </c>
      <c r="AD132" s="440">
        <f t="shared" si="148"/>
        <v>0</v>
      </c>
      <c r="AE132" s="436">
        <v>-11.4</v>
      </c>
      <c r="AF132" s="438"/>
      <c r="AG132" s="459">
        <v>0.025</v>
      </c>
      <c r="AH132" s="436"/>
      <c r="AI132" s="446">
        <f>IF(ISNUMBER(VLOOKUP(B132,'New Masses'!A:C,2, FALSE)),VLOOKUP(B132,'New Masses'!A:C,2, FALSE),"")</f>
        <v>0.020985</v>
      </c>
      <c r="AJ132" s="436"/>
      <c r="AK132" s="438"/>
      <c r="AL132" s="438"/>
      <c r="AM132" s="438"/>
      <c r="AN132" s="436">
        <v>1.0</v>
      </c>
      <c r="AO132" s="438"/>
      <c r="AP132" s="436">
        <v>0.68</v>
      </c>
      <c r="AQ132" s="436">
        <v>0.85</v>
      </c>
      <c r="AR132" s="420" t="s">
        <v>2246</v>
      </c>
      <c r="AS132" s="420"/>
      <c r="AT132" s="438"/>
      <c r="AU132" s="420" t="s">
        <v>599</v>
      </c>
      <c r="AV132" s="438"/>
      <c r="AW132" s="450">
        <v>116.059097292341</v>
      </c>
    </row>
    <row r="133">
      <c r="A133" s="435" t="str">
        <f t="shared" ref="A133:C133" si="149">#REF!</f>
        <v>#REF!</v>
      </c>
      <c r="B133" s="485" t="str">
        <f t="shared" si="149"/>
        <v>#REF!</v>
      </c>
      <c r="C133" s="486" t="str">
        <f t="shared" si="149"/>
        <v>#REF!</v>
      </c>
      <c r="D133" s="486"/>
      <c r="E133" s="486"/>
      <c r="F133" s="528"/>
      <c r="G133" s="486"/>
      <c r="H133" s="486" t="s">
        <v>5917</v>
      </c>
      <c r="I133" s="491"/>
      <c r="J133" s="491"/>
      <c r="K133" s="491"/>
      <c r="L133" s="491"/>
      <c r="M133" s="486"/>
      <c r="N133" s="422"/>
      <c r="O133" s="422"/>
      <c r="P133" s="422"/>
      <c r="Q133" s="486"/>
      <c r="R133" s="491"/>
      <c r="S133" s="491"/>
      <c r="T133" s="491"/>
      <c r="U133" s="491"/>
      <c r="V133" s="491"/>
      <c r="W133" s="493"/>
      <c r="X133" s="486"/>
      <c r="Y133" s="442"/>
      <c r="Z133" s="491"/>
      <c r="AA133" s="524" t="str">
        <f t="shared" ref="AA133:AA135" si="151">#REF!</f>
        <v>#REF!</v>
      </c>
      <c r="AB133" s="494"/>
      <c r="AC133" s="436"/>
      <c r="AD133" s="495"/>
      <c r="AE133" s="491"/>
      <c r="AF133" s="491"/>
      <c r="AG133" s="525" t="str">
        <f t="shared" ref="AG133:AG135" si="152">#REF!</f>
        <v>#REF!</v>
      </c>
      <c r="AH133" s="491"/>
      <c r="AI133" s="446"/>
      <c r="AJ133" s="491"/>
      <c r="AK133" s="500"/>
      <c r="AL133" s="436"/>
      <c r="AM133" s="438"/>
      <c r="AN133" s="531"/>
      <c r="AO133" s="491"/>
      <c r="AP133" s="438"/>
      <c r="AQ133" s="438"/>
      <c r="AR133" s="438"/>
      <c r="AS133" s="438"/>
      <c r="AT133" s="438"/>
      <c r="AU133" s="438"/>
      <c r="AV133" s="438"/>
      <c r="AW133" s="450" t="str">
        <f t="shared" ref="AW133:AW135" si="153">#REF!</f>
        <v>#REF!</v>
      </c>
    </row>
    <row r="134">
      <c r="A134" s="435" t="str">
        <f t="shared" ref="A134:C134" si="150">#REF!</f>
        <v>#REF!</v>
      </c>
      <c r="B134" s="485" t="str">
        <f t="shared" si="150"/>
        <v>#REF!</v>
      </c>
      <c r="C134" s="486" t="str">
        <f t="shared" si="150"/>
        <v>#REF!</v>
      </c>
      <c r="D134" s="486"/>
      <c r="E134" s="486"/>
      <c r="F134" s="528"/>
      <c r="G134" s="486"/>
      <c r="H134" s="486" t="s">
        <v>5917</v>
      </c>
      <c r="I134" s="491"/>
      <c r="J134" s="491"/>
      <c r="K134" s="491"/>
      <c r="L134" s="491"/>
      <c r="M134" s="486"/>
      <c r="N134" s="422"/>
      <c r="O134" s="422"/>
      <c r="P134" s="422"/>
      <c r="Q134" s="486"/>
      <c r="R134" s="491"/>
      <c r="S134" s="491"/>
      <c r="T134" s="491"/>
      <c r="U134" s="491"/>
      <c r="V134" s="491"/>
      <c r="W134" s="493"/>
      <c r="X134" s="486"/>
      <c r="Y134" s="442"/>
      <c r="Z134" s="491"/>
      <c r="AA134" s="524" t="str">
        <f t="shared" si="151"/>
        <v>#REF!</v>
      </c>
      <c r="AB134" s="494"/>
      <c r="AC134" s="436"/>
      <c r="AD134" s="495"/>
      <c r="AE134" s="491"/>
      <c r="AF134" s="491"/>
      <c r="AG134" s="525" t="str">
        <f t="shared" si="152"/>
        <v>#REF!</v>
      </c>
      <c r="AH134" s="491"/>
      <c r="AI134" s="446"/>
      <c r="AJ134" s="491"/>
      <c r="AK134" s="500"/>
      <c r="AL134" s="436"/>
      <c r="AM134" s="438"/>
      <c r="AN134" s="531"/>
      <c r="AO134" s="491"/>
      <c r="AP134" s="438"/>
      <c r="AQ134" s="438"/>
      <c r="AR134" s="438"/>
      <c r="AS134" s="438"/>
      <c r="AT134" s="438"/>
      <c r="AU134" s="438"/>
      <c r="AV134" s="438"/>
      <c r="AW134" s="450" t="str">
        <f t="shared" si="153"/>
        <v>#REF!</v>
      </c>
    </row>
    <row r="135">
      <c r="A135" s="435" t="str">
        <f t="shared" ref="A135:C135" si="154">#REF!</f>
        <v>#REF!</v>
      </c>
      <c r="B135" s="485" t="str">
        <f t="shared" si="154"/>
        <v>#REF!</v>
      </c>
      <c r="C135" s="486" t="str">
        <f t="shared" si="154"/>
        <v>#REF!</v>
      </c>
      <c r="D135" s="486"/>
      <c r="E135" s="486"/>
      <c r="F135" s="528"/>
      <c r="G135" s="486"/>
      <c r="H135" s="486" t="s">
        <v>5917</v>
      </c>
      <c r="I135" s="491"/>
      <c r="J135" s="491"/>
      <c r="K135" s="491"/>
      <c r="L135" s="491"/>
      <c r="M135" s="486"/>
      <c r="N135" s="422"/>
      <c r="O135" s="422"/>
      <c r="P135" s="422"/>
      <c r="Q135" s="486"/>
      <c r="R135" s="491"/>
      <c r="S135" s="491"/>
      <c r="T135" s="491"/>
      <c r="U135" s="491"/>
      <c r="V135" s="491"/>
      <c r="W135" s="493"/>
      <c r="X135" s="486"/>
      <c r="Y135" s="442"/>
      <c r="Z135" s="491"/>
      <c r="AA135" s="524" t="str">
        <f t="shared" si="151"/>
        <v>#REF!</v>
      </c>
      <c r="AB135" s="494"/>
      <c r="AC135" s="436"/>
      <c r="AD135" s="495"/>
      <c r="AE135" s="491"/>
      <c r="AF135" s="491"/>
      <c r="AG135" s="525" t="str">
        <f t="shared" si="152"/>
        <v>#REF!</v>
      </c>
      <c r="AH135" s="491"/>
      <c r="AI135" s="446"/>
      <c r="AJ135" s="491"/>
      <c r="AK135" s="500"/>
      <c r="AL135" s="436"/>
      <c r="AM135" s="438"/>
      <c r="AN135" s="531"/>
      <c r="AO135" s="491"/>
      <c r="AP135" s="438"/>
      <c r="AQ135" s="438"/>
      <c r="AR135" s="438"/>
      <c r="AS135" s="438"/>
      <c r="AT135" s="438"/>
      <c r="AU135" s="438"/>
      <c r="AV135" s="438"/>
      <c r="AW135" s="450" t="str">
        <f t="shared" si="153"/>
        <v>#REF!</v>
      </c>
    </row>
    <row r="136">
      <c r="A136" s="419" t="s">
        <v>219</v>
      </c>
      <c r="B136" s="436" t="s">
        <v>220</v>
      </c>
      <c r="C136" s="419" t="s">
        <v>2254</v>
      </c>
      <c r="D136" s="420" t="s">
        <v>199</v>
      </c>
      <c r="E136" s="420"/>
      <c r="F136" s="420" t="s">
        <v>2255</v>
      </c>
      <c r="G136" s="420" t="s">
        <v>169</v>
      </c>
      <c r="H136" s="420" t="s">
        <v>201</v>
      </c>
      <c r="I136" s="420" t="s">
        <v>2207</v>
      </c>
      <c r="J136" s="436">
        <v>2650.0</v>
      </c>
      <c r="K136" s="438"/>
      <c r="L136" s="420" t="s">
        <v>221</v>
      </c>
      <c r="M136" s="429"/>
      <c r="N136" s="422">
        <v>14.52</v>
      </c>
      <c r="O136" s="422">
        <v>13.27</v>
      </c>
      <c r="P136" s="422"/>
      <c r="Q136" s="420" t="s">
        <v>2208</v>
      </c>
      <c r="R136" s="438" t="s">
        <v>2209</v>
      </c>
      <c r="S136" s="420" t="s">
        <v>2229</v>
      </c>
      <c r="T136" s="454" t="s">
        <v>162</v>
      </c>
      <c r="U136" s="420" t="s">
        <v>2210</v>
      </c>
      <c r="V136" s="436">
        <v>4.18</v>
      </c>
      <c r="W136" s="458"/>
      <c r="X136" s="438"/>
      <c r="Y136" s="442" t="str">
        <f t="shared" ref="Y136:Y138" si="155">IF((W136/((J136/5780)^4))^0.5&gt;0,(W136/((J136/5780)^4))^0.5,"")</f>
        <v/>
      </c>
      <c r="Z136" s="442"/>
      <c r="AA136" s="443"/>
      <c r="AB136" s="443"/>
      <c r="AC136" s="469">
        <f>IF(ISNUMBER(VLOOKUP(B136,'New Masses'!A:C,3,FALSE)),VLOOKUP(B136,'New Masses'!A:C,3,FALSE),"")</f>
        <v>0.401333</v>
      </c>
      <c r="AD136" s="423">
        <f t="shared" ref="AD136:AD138" si="156">10^AE136</f>
        <v>0</v>
      </c>
      <c r="AE136" s="436">
        <v>-11.0</v>
      </c>
      <c r="AF136" s="438"/>
      <c r="AG136" s="459">
        <v>0.03</v>
      </c>
      <c r="AH136" s="438"/>
      <c r="AI136" s="446">
        <f>IF(ISNUMBER(VLOOKUP(B136,'New Masses'!A:C,2, FALSE)),VLOOKUP(B136,'New Masses'!A:C,2, FALSE),"")</f>
        <v>0.022968</v>
      </c>
      <c r="AJ136" s="438"/>
      <c r="AK136" s="438"/>
      <c r="AL136" s="438"/>
      <c r="AM136" s="438"/>
      <c r="AN136" s="436">
        <v>1.0</v>
      </c>
      <c r="AO136" s="438"/>
      <c r="AP136" s="436">
        <v>0.93</v>
      </c>
      <c r="AQ136" s="436">
        <v>0.85</v>
      </c>
      <c r="AR136" s="420" t="s">
        <v>2246</v>
      </c>
      <c r="AS136" s="420"/>
      <c r="AT136" s="438"/>
      <c r="AU136" s="420" t="s">
        <v>207</v>
      </c>
      <c r="AV136" s="438"/>
      <c r="AW136" s="450">
        <v>122.821454451663</v>
      </c>
    </row>
    <row r="137">
      <c r="A137" s="419" t="s">
        <v>219</v>
      </c>
      <c r="B137" s="436" t="s">
        <v>220</v>
      </c>
      <c r="C137" s="419" t="s">
        <v>2254</v>
      </c>
      <c r="D137" s="420" t="s">
        <v>199</v>
      </c>
      <c r="E137" s="420"/>
      <c r="F137" s="420" t="s">
        <v>2255</v>
      </c>
      <c r="G137" s="420" t="s">
        <v>169</v>
      </c>
      <c r="H137" s="420" t="s">
        <v>201</v>
      </c>
      <c r="I137" s="420" t="s">
        <v>2207</v>
      </c>
      <c r="J137" s="436">
        <v>2650.0</v>
      </c>
      <c r="K137" s="438"/>
      <c r="L137" s="420" t="s">
        <v>221</v>
      </c>
      <c r="M137" s="429"/>
      <c r="N137" s="422">
        <v>14.52</v>
      </c>
      <c r="O137" s="422">
        <v>13.27</v>
      </c>
      <c r="P137" s="422"/>
      <c r="Q137" s="420" t="s">
        <v>2208</v>
      </c>
      <c r="R137" s="438" t="s">
        <v>2209</v>
      </c>
      <c r="S137" s="420" t="s">
        <v>2229</v>
      </c>
      <c r="T137" s="454" t="s">
        <v>162</v>
      </c>
      <c r="U137" s="420" t="s">
        <v>2210</v>
      </c>
      <c r="V137" s="436">
        <v>4.18</v>
      </c>
      <c r="W137" s="458"/>
      <c r="X137" s="438"/>
      <c r="Y137" s="442" t="str">
        <f t="shared" si="155"/>
        <v/>
      </c>
      <c r="Z137" s="442"/>
      <c r="AA137" s="443"/>
      <c r="AB137" s="443"/>
      <c r="AC137" s="469">
        <f>IF(ISNUMBER(VLOOKUP(B137,'New Masses'!A:C,3,FALSE)),VLOOKUP(B137,'New Masses'!A:C,3,FALSE),"")</f>
        <v>0.401333</v>
      </c>
      <c r="AD137" s="423">
        <f t="shared" si="156"/>
        <v>0</v>
      </c>
      <c r="AE137" s="437">
        <v>-11.2</v>
      </c>
      <c r="AF137" s="438"/>
      <c r="AG137" s="459">
        <v>0.03</v>
      </c>
      <c r="AH137" s="438"/>
      <c r="AI137" s="446">
        <f>IF(ISNUMBER(VLOOKUP(B137,'New Masses'!A:C,2, FALSE)),VLOOKUP(B137,'New Masses'!A:C,2, FALSE),"")</f>
        <v>0.022968</v>
      </c>
      <c r="AJ137" s="438"/>
      <c r="AK137" s="438"/>
      <c r="AL137" s="438"/>
      <c r="AM137" s="438"/>
      <c r="AN137" s="436">
        <v>1.0</v>
      </c>
      <c r="AO137" s="438"/>
      <c r="AP137" s="436">
        <v>0.93</v>
      </c>
      <c r="AQ137" s="436">
        <v>0.85</v>
      </c>
      <c r="AR137" s="420" t="s">
        <v>2246</v>
      </c>
      <c r="AS137" s="420"/>
      <c r="AT137" s="438"/>
      <c r="AU137" s="420" t="s">
        <v>206</v>
      </c>
      <c r="AV137" s="438"/>
      <c r="AW137" s="450">
        <v>122.821454451663</v>
      </c>
    </row>
    <row r="138">
      <c r="A138" s="419" t="s">
        <v>219</v>
      </c>
      <c r="B138" s="421" t="s">
        <v>220</v>
      </c>
      <c r="C138" s="420"/>
      <c r="D138" s="420" t="s">
        <v>199</v>
      </c>
      <c r="E138" s="420"/>
      <c r="F138" s="420" t="s">
        <v>2255</v>
      </c>
      <c r="G138" s="420" t="s">
        <v>169</v>
      </c>
      <c r="H138" s="420" t="s">
        <v>598</v>
      </c>
      <c r="I138" s="467">
        <v>37985.0</v>
      </c>
      <c r="J138" s="436">
        <v>2632.0</v>
      </c>
      <c r="K138" s="436"/>
      <c r="L138" s="420" t="s">
        <v>221</v>
      </c>
      <c r="M138" s="429"/>
      <c r="N138" s="422">
        <v>14.52</v>
      </c>
      <c r="O138" s="422">
        <v>13.27</v>
      </c>
      <c r="P138" s="422"/>
      <c r="Q138" s="420" t="s">
        <v>2194</v>
      </c>
      <c r="R138" s="420" t="s">
        <v>2195</v>
      </c>
      <c r="S138" s="420" t="s">
        <v>2196</v>
      </c>
      <c r="T138" s="420" t="s">
        <v>596</v>
      </c>
      <c r="U138" s="420" t="s">
        <v>597</v>
      </c>
      <c r="V138" s="440"/>
      <c r="W138" s="468"/>
      <c r="X138" s="436"/>
      <c r="Y138" s="442" t="str">
        <f t="shared" si="155"/>
        <v/>
      </c>
      <c r="Z138" s="469"/>
      <c r="AA138" s="470">
        <v>0.28</v>
      </c>
      <c r="AB138" s="470"/>
      <c r="AC138" s="469">
        <f>IF(ISNUMBER(VLOOKUP(B138,'New Masses'!A:C,3,FALSE)),VLOOKUP(B138,'New Masses'!A:C,3,FALSE),"")</f>
        <v>0.401333</v>
      </c>
      <c r="AD138" s="440">
        <f t="shared" si="156"/>
        <v>0</v>
      </c>
      <c r="AE138" s="436">
        <v>-11.4</v>
      </c>
      <c r="AF138" s="438"/>
      <c r="AG138" s="459">
        <v>0.03</v>
      </c>
      <c r="AH138" s="436"/>
      <c r="AI138" s="446">
        <f>IF(ISNUMBER(VLOOKUP(B138,'New Masses'!A:C,2, FALSE)),VLOOKUP(B138,'New Masses'!A:C,2, FALSE),"")</f>
        <v>0.022968</v>
      </c>
      <c r="AJ138" s="436"/>
      <c r="AK138" s="438"/>
      <c r="AL138" s="438"/>
      <c r="AM138" s="438"/>
      <c r="AN138" s="436">
        <v>1.0</v>
      </c>
      <c r="AO138" s="438"/>
      <c r="AP138" s="436">
        <v>0.93</v>
      </c>
      <c r="AQ138" s="436">
        <v>0.85</v>
      </c>
      <c r="AR138" s="420" t="s">
        <v>2246</v>
      </c>
      <c r="AS138" s="420"/>
      <c r="AT138" s="438"/>
      <c r="AU138" s="420" t="s">
        <v>599</v>
      </c>
      <c r="AV138" s="438"/>
      <c r="AW138" s="450">
        <v>122.821454451663</v>
      </c>
    </row>
    <row r="139">
      <c r="A139" s="435" t="str">
        <f t="shared" ref="A139:C139" si="157">#REF!</f>
        <v>#REF!</v>
      </c>
      <c r="B139" s="485" t="str">
        <f t="shared" si="157"/>
        <v>#REF!</v>
      </c>
      <c r="C139" s="486" t="str">
        <f t="shared" si="157"/>
        <v>#REF!</v>
      </c>
      <c r="D139" s="486"/>
      <c r="E139" s="486"/>
      <c r="F139" s="528"/>
      <c r="G139" s="486"/>
      <c r="H139" s="486" t="s">
        <v>5917</v>
      </c>
      <c r="I139" s="491"/>
      <c r="J139" s="491"/>
      <c r="K139" s="491"/>
      <c r="L139" s="491"/>
      <c r="M139" s="486"/>
      <c r="N139" s="422"/>
      <c r="O139" s="422"/>
      <c r="P139" s="422"/>
      <c r="Q139" s="486"/>
      <c r="R139" s="491"/>
      <c r="S139" s="491"/>
      <c r="T139" s="491"/>
      <c r="U139" s="491"/>
      <c r="V139" s="491"/>
      <c r="W139" s="493"/>
      <c r="X139" s="486"/>
      <c r="Y139" s="442"/>
      <c r="Z139" s="491"/>
      <c r="AA139" s="524" t="str">
        <f t="shared" ref="AA139:AA141" si="159">#REF!</f>
        <v>#REF!</v>
      </c>
      <c r="AB139" s="494"/>
      <c r="AC139" s="436"/>
      <c r="AD139" s="495"/>
      <c r="AE139" s="491"/>
      <c r="AF139" s="491"/>
      <c r="AG139" s="525" t="str">
        <f t="shared" ref="AG139:AG141" si="160">#REF!</f>
        <v>#REF!</v>
      </c>
      <c r="AH139" s="491"/>
      <c r="AI139" s="446"/>
      <c r="AJ139" s="491"/>
      <c r="AK139" s="500"/>
      <c r="AL139" s="436"/>
      <c r="AM139" s="438"/>
      <c r="AN139" s="531"/>
      <c r="AO139" s="491"/>
      <c r="AP139" s="438"/>
      <c r="AQ139" s="438"/>
      <c r="AR139" s="438"/>
      <c r="AS139" s="438"/>
      <c r="AT139" s="438"/>
      <c r="AU139" s="480"/>
      <c r="AV139" s="480"/>
      <c r="AW139" s="450" t="str">
        <f t="shared" ref="AW139:AW141" si="161">#REF!</f>
        <v>#REF!</v>
      </c>
    </row>
    <row r="140">
      <c r="A140" s="435" t="str">
        <f t="shared" ref="A140:C140" si="158">#REF!</f>
        <v>#REF!</v>
      </c>
      <c r="B140" s="485" t="str">
        <f t="shared" si="158"/>
        <v>#REF!</v>
      </c>
      <c r="C140" s="486" t="str">
        <f t="shared" si="158"/>
        <v>#REF!</v>
      </c>
      <c r="D140" s="486"/>
      <c r="E140" s="486"/>
      <c r="F140" s="528"/>
      <c r="G140" s="486"/>
      <c r="H140" s="486" t="s">
        <v>5917</v>
      </c>
      <c r="I140" s="491"/>
      <c r="J140" s="491"/>
      <c r="K140" s="491"/>
      <c r="L140" s="491"/>
      <c r="M140" s="486"/>
      <c r="N140" s="422"/>
      <c r="O140" s="422"/>
      <c r="P140" s="422"/>
      <c r="Q140" s="486"/>
      <c r="R140" s="491"/>
      <c r="S140" s="491"/>
      <c r="T140" s="491"/>
      <c r="U140" s="491"/>
      <c r="V140" s="491"/>
      <c r="W140" s="493"/>
      <c r="X140" s="486"/>
      <c r="Y140" s="442"/>
      <c r="Z140" s="491"/>
      <c r="AA140" s="524" t="str">
        <f t="shared" si="159"/>
        <v>#REF!</v>
      </c>
      <c r="AB140" s="494"/>
      <c r="AC140" s="436"/>
      <c r="AD140" s="495"/>
      <c r="AE140" s="491"/>
      <c r="AF140" s="491"/>
      <c r="AG140" s="525" t="str">
        <f t="shared" si="160"/>
        <v>#REF!</v>
      </c>
      <c r="AH140" s="491"/>
      <c r="AI140" s="446"/>
      <c r="AJ140" s="491"/>
      <c r="AK140" s="500"/>
      <c r="AL140" s="436"/>
      <c r="AM140" s="438"/>
      <c r="AN140" s="531"/>
      <c r="AO140" s="491"/>
      <c r="AP140" s="438"/>
      <c r="AQ140" s="438"/>
      <c r="AR140" s="438"/>
      <c r="AS140" s="438"/>
      <c r="AT140" s="438"/>
      <c r="AU140" s="480"/>
      <c r="AV140" s="480"/>
      <c r="AW140" s="450" t="str">
        <f t="shared" si="161"/>
        <v>#REF!</v>
      </c>
    </row>
    <row r="141">
      <c r="A141" s="435" t="str">
        <f t="shared" ref="A141:C141" si="162">#REF!</f>
        <v>#REF!</v>
      </c>
      <c r="B141" s="485" t="str">
        <f t="shared" si="162"/>
        <v>#REF!</v>
      </c>
      <c r="C141" s="486" t="str">
        <f t="shared" si="162"/>
        <v>#REF!</v>
      </c>
      <c r="D141" s="486"/>
      <c r="E141" s="486"/>
      <c r="F141" s="528"/>
      <c r="G141" s="486"/>
      <c r="H141" s="486" t="s">
        <v>5917</v>
      </c>
      <c r="I141" s="491"/>
      <c r="J141" s="491"/>
      <c r="K141" s="491"/>
      <c r="L141" s="491"/>
      <c r="M141" s="486"/>
      <c r="N141" s="422"/>
      <c r="O141" s="422"/>
      <c r="P141" s="422"/>
      <c r="Q141" s="486"/>
      <c r="R141" s="491"/>
      <c r="S141" s="491"/>
      <c r="T141" s="491"/>
      <c r="U141" s="491"/>
      <c r="V141" s="491"/>
      <c r="W141" s="493"/>
      <c r="X141" s="486"/>
      <c r="Y141" s="442"/>
      <c r="Z141" s="491"/>
      <c r="AA141" s="524" t="str">
        <f t="shared" si="159"/>
        <v>#REF!</v>
      </c>
      <c r="AB141" s="494"/>
      <c r="AC141" s="436"/>
      <c r="AD141" s="495"/>
      <c r="AE141" s="491"/>
      <c r="AF141" s="491"/>
      <c r="AG141" s="525" t="str">
        <f t="shared" si="160"/>
        <v>#REF!</v>
      </c>
      <c r="AH141" s="491"/>
      <c r="AI141" s="446"/>
      <c r="AJ141" s="491"/>
      <c r="AK141" s="500"/>
      <c r="AL141" s="436"/>
      <c r="AM141" s="438"/>
      <c r="AN141" s="531"/>
      <c r="AO141" s="491"/>
      <c r="AP141" s="438"/>
      <c r="AQ141" s="438"/>
      <c r="AR141" s="438"/>
      <c r="AS141" s="438"/>
      <c r="AT141" s="438"/>
      <c r="AU141" s="438"/>
      <c r="AV141" s="438"/>
      <c r="AW141" s="450" t="str">
        <f t="shared" si="161"/>
        <v>#REF!</v>
      </c>
    </row>
    <row r="142">
      <c r="A142" s="419" t="s">
        <v>438</v>
      </c>
      <c r="B142" s="419" t="s">
        <v>439</v>
      </c>
      <c r="C142" s="419"/>
      <c r="D142" s="436" t="s">
        <v>199</v>
      </c>
      <c r="E142" s="436"/>
      <c r="F142" s="436" t="s">
        <v>2256</v>
      </c>
      <c r="G142" s="436" t="s">
        <v>169</v>
      </c>
      <c r="H142" s="436" t="s">
        <v>413</v>
      </c>
      <c r="I142" s="456">
        <v>35400.0</v>
      </c>
      <c r="J142" s="438"/>
      <c r="K142" s="438"/>
      <c r="L142" s="436" t="s">
        <v>434</v>
      </c>
      <c r="M142" s="439"/>
      <c r="N142" s="422">
        <v>8.67</v>
      </c>
      <c r="O142" s="422">
        <v>7.364</v>
      </c>
      <c r="P142" s="422">
        <v>11.54</v>
      </c>
      <c r="Q142" s="436" t="s">
        <v>2189</v>
      </c>
      <c r="R142" s="436" t="s">
        <v>2257</v>
      </c>
      <c r="S142" s="436" t="s">
        <v>414</v>
      </c>
      <c r="T142" s="436" t="s">
        <v>293</v>
      </c>
      <c r="U142" s="436" t="s">
        <v>294</v>
      </c>
      <c r="V142" s="440"/>
      <c r="W142" s="468"/>
      <c r="X142" s="436"/>
      <c r="Y142" s="442"/>
      <c r="Z142" s="469"/>
      <c r="AA142" s="470">
        <v>2.31</v>
      </c>
      <c r="AB142" s="470"/>
      <c r="AC142" s="436" t="str">
        <f>IF(ISNUMBER(VLOOKUP(B142,'New Masses'!A:C,3,FALSE)),VLOOKUP(B142,'New Masses'!A:C,3,FALSE),"")</f>
        <v/>
      </c>
      <c r="AD142" s="451">
        <v>1.75E-8</v>
      </c>
      <c r="AE142" s="438">
        <f>LOG10(AD142)</f>
        <v>-7.756961951</v>
      </c>
      <c r="AF142" s="438"/>
      <c r="AG142" s="459">
        <v>0.442</v>
      </c>
      <c r="AH142" s="436"/>
      <c r="AI142" s="446" t="str">
        <f>IF(ISNUMBER(VLOOKUP(B142,'New Masses'!A:C,2, FALSE)),VLOOKUP(B142,'New Masses'!A:C,2, FALSE),"")</f>
        <v/>
      </c>
      <c r="AJ142" s="436"/>
      <c r="AK142" s="436"/>
      <c r="AL142" s="436">
        <v>0.084</v>
      </c>
      <c r="AM142" s="438"/>
      <c r="AN142" s="436">
        <v>1.0</v>
      </c>
      <c r="AO142" s="438"/>
      <c r="AP142" s="438"/>
      <c r="AQ142" s="438"/>
      <c r="AR142" s="438"/>
      <c r="AS142" s="438"/>
      <c r="AT142" s="438"/>
      <c r="AU142" s="438"/>
      <c r="AV142" s="438"/>
      <c r="AW142" s="450"/>
    </row>
    <row r="143">
      <c r="A143" s="435" t="str">
        <f t="shared" ref="A143:C143" si="163">#REF!</f>
        <v>#REF!</v>
      </c>
      <c r="B143" s="485" t="str">
        <f t="shared" si="163"/>
        <v>#REF!</v>
      </c>
      <c r="C143" s="486" t="str">
        <f t="shared" si="163"/>
        <v>#REF!</v>
      </c>
      <c r="D143" s="486"/>
      <c r="E143" s="486"/>
      <c r="F143" s="528"/>
      <c r="G143" s="486"/>
      <c r="H143" s="486" t="s">
        <v>5917</v>
      </c>
      <c r="I143" s="491"/>
      <c r="J143" s="491"/>
      <c r="K143" s="491"/>
      <c r="L143" s="491"/>
      <c r="M143" s="486"/>
      <c r="N143" s="422"/>
      <c r="O143" s="422"/>
      <c r="P143" s="422"/>
      <c r="Q143" s="486"/>
      <c r="R143" s="491"/>
      <c r="S143" s="491"/>
      <c r="T143" s="491"/>
      <c r="U143" s="491"/>
      <c r="V143" s="491"/>
      <c r="W143" s="493"/>
      <c r="X143" s="486"/>
      <c r="Y143" s="442"/>
      <c r="Z143" s="491"/>
      <c r="AA143" s="524" t="str">
        <f>#REF!</f>
        <v>#REF!</v>
      </c>
      <c r="AB143" s="494"/>
      <c r="AC143" s="436"/>
      <c r="AD143" s="495"/>
      <c r="AE143" s="491"/>
      <c r="AF143" s="491"/>
      <c r="AG143" s="525" t="str">
        <f>#REF!</f>
        <v>#REF!</v>
      </c>
      <c r="AH143" s="491"/>
      <c r="AI143" s="446"/>
      <c r="AJ143" s="491"/>
      <c r="AK143" s="500"/>
      <c r="AL143" s="436"/>
      <c r="AM143" s="438"/>
      <c r="AN143" s="531"/>
      <c r="AO143" s="491"/>
      <c r="AP143" s="438"/>
      <c r="AQ143" s="438"/>
      <c r="AR143" s="438"/>
      <c r="AS143" s="438"/>
      <c r="AT143" s="438"/>
      <c r="AU143" s="480"/>
      <c r="AV143" s="480"/>
      <c r="AW143" s="450" t="str">
        <f>#REF!</f>
        <v>#REF!</v>
      </c>
    </row>
    <row r="144">
      <c r="A144" s="419" t="s">
        <v>690</v>
      </c>
      <c r="B144" s="419" t="s">
        <v>691</v>
      </c>
      <c r="C144" s="436"/>
      <c r="D144" s="436" t="s">
        <v>199</v>
      </c>
      <c r="E144" s="436"/>
      <c r="F144" s="436" t="s">
        <v>2258</v>
      </c>
      <c r="G144" s="436" t="s">
        <v>169</v>
      </c>
      <c r="H144" s="436" t="s">
        <v>598</v>
      </c>
      <c r="I144" s="467">
        <v>37985.0</v>
      </c>
      <c r="J144" s="436">
        <v>2990.0</v>
      </c>
      <c r="K144" s="436"/>
      <c r="L144" s="436" t="s">
        <v>353</v>
      </c>
      <c r="M144" s="439"/>
      <c r="N144" s="422">
        <v>11.907</v>
      </c>
      <c r="O144" s="422">
        <v>10.269</v>
      </c>
      <c r="P144" s="422"/>
      <c r="Q144" s="436" t="s">
        <v>2194</v>
      </c>
      <c r="R144" s="436" t="s">
        <v>2195</v>
      </c>
      <c r="S144" s="436" t="s">
        <v>2196</v>
      </c>
      <c r="T144" s="436" t="s">
        <v>596</v>
      </c>
      <c r="U144" s="436" t="s">
        <v>597</v>
      </c>
      <c r="V144" s="451"/>
      <c r="W144" s="468"/>
      <c r="X144" s="436"/>
      <c r="Y144" s="442" t="str">
        <f>IF((W144/((J144/5780)^4))^0.5&gt;0,(W144/((J144/5780)^4))^0.5,"")</f>
        <v/>
      </c>
      <c r="Z144" s="469"/>
      <c r="AA144" s="470">
        <v>1.2</v>
      </c>
      <c r="AB144" s="470"/>
      <c r="AC144" s="436" t="str">
        <f>IF(ISNUMBER(VLOOKUP(B144,'New Masses'!A:C,3,FALSE)),VLOOKUP(B144,'New Masses'!A:C,3,FALSE),"")</f>
        <v/>
      </c>
      <c r="AD144" s="440">
        <f>10^AE144</f>
        <v>0</v>
      </c>
      <c r="AE144" s="436">
        <v>-12.0</v>
      </c>
      <c r="AF144" s="436"/>
      <c r="AG144" s="459">
        <v>0.1</v>
      </c>
      <c r="AH144" s="436"/>
      <c r="AI144" s="446" t="str">
        <f>IF(ISNUMBER(VLOOKUP(B144,'New Masses'!A:C,2, FALSE)),VLOOKUP(B144,'New Masses'!A:C,2, FALSE),"")</f>
        <v/>
      </c>
      <c r="AJ144" s="436"/>
      <c r="AK144" s="436"/>
      <c r="AL144" s="436"/>
      <c r="AM144" s="436"/>
      <c r="AN144" s="436">
        <v>1.0</v>
      </c>
      <c r="AO144" s="436"/>
      <c r="AP144" s="436"/>
      <c r="AQ144" s="436"/>
      <c r="AR144" s="438"/>
      <c r="AS144" s="438"/>
      <c r="AT144" s="438" t="s">
        <v>5916</v>
      </c>
      <c r="AU144" s="480" t="s">
        <v>599</v>
      </c>
      <c r="AV144" s="480"/>
      <c r="AW144" s="450">
        <v>152.251031500738</v>
      </c>
    </row>
    <row r="145">
      <c r="A145" s="435" t="str">
        <f t="shared" ref="A145:C145" si="164">#REF!</f>
        <v>#REF!</v>
      </c>
      <c r="B145" s="485" t="str">
        <f t="shared" si="164"/>
        <v>#REF!</v>
      </c>
      <c r="C145" s="486" t="str">
        <f t="shared" si="164"/>
        <v>#REF!</v>
      </c>
      <c r="D145" s="486"/>
      <c r="E145" s="486"/>
      <c r="F145" s="528"/>
      <c r="G145" s="486"/>
      <c r="H145" s="486" t="s">
        <v>5917</v>
      </c>
      <c r="I145" s="491"/>
      <c r="J145" s="491"/>
      <c r="K145" s="491"/>
      <c r="L145" s="491"/>
      <c r="M145" s="486"/>
      <c r="N145" s="422"/>
      <c r="O145" s="422"/>
      <c r="P145" s="422"/>
      <c r="Q145" s="486"/>
      <c r="R145" s="491"/>
      <c r="S145" s="491"/>
      <c r="T145" s="491"/>
      <c r="U145" s="491"/>
      <c r="V145" s="491"/>
      <c r="W145" s="493"/>
      <c r="X145" s="486"/>
      <c r="Y145" s="442"/>
      <c r="Z145" s="491"/>
      <c r="AA145" s="524" t="str">
        <f>#REF!</f>
        <v>#REF!</v>
      </c>
      <c r="AB145" s="494"/>
      <c r="AC145" s="436"/>
      <c r="AD145" s="495"/>
      <c r="AE145" s="491"/>
      <c r="AF145" s="491"/>
      <c r="AG145" s="525" t="str">
        <f>#REF!</f>
        <v>#REF!</v>
      </c>
      <c r="AH145" s="491"/>
      <c r="AI145" s="446"/>
      <c r="AJ145" s="491"/>
      <c r="AK145" s="500"/>
      <c r="AL145" s="436"/>
      <c r="AM145" s="438"/>
      <c r="AN145" s="531"/>
      <c r="AO145" s="491"/>
      <c r="AP145" s="438"/>
      <c r="AQ145" s="438"/>
      <c r="AR145" s="438"/>
      <c r="AS145" s="438"/>
      <c r="AT145" s="438"/>
      <c r="AU145" s="438"/>
      <c r="AV145" s="438"/>
      <c r="AW145" s="450" t="str">
        <f>#REF!</f>
        <v>#REF!</v>
      </c>
    </row>
    <row r="146">
      <c r="A146" s="419" t="s">
        <v>451</v>
      </c>
      <c r="B146" s="419" t="s">
        <v>452</v>
      </c>
      <c r="C146" s="419"/>
      <c r="D146" s="436" t="s">
        <v>199</v>
      </c>
      <c r="E146" s="436"/>
      <c r="F146" s="436" t="s">
        <v>2259</v>
      </c>
      <c r="G146" s="436" t="s">
        <v>169</v>
      </c>
      <c r="H146" s="436" t="s">
        <v>413</v>
      </c>
      <c r="I146" s="456">
        <v>35400.0</v>
      </c>
      <c r="J146" s="438"/>
      <c r="K146" s="438"/>
      <c r="L146" s="436" t="s">
        <v>453</v>
      </c>
      <c r="M146" s="439"/>
      <c r="N146" s="422">
        <v>9.341</v>
      </c>
      <c r="O146" s="422">
        <v>7.888</v>
      </c>
      <c r="P146" s="422">
        <v>12.15</v>
      </c>
      <c r="Q146" s="436" t="s">
        <v>2189</v>
      </c>
      <c r="R146" s="436" t="s">
        <v>2257</v>
      </c>
      <c r="S146" s="436" t="s">
        <v>414</v>
      </c>
      <c r="T146" s="436" t="s">
        <v>293</v>
      </c>
      <c r="U146" s="436" t="s">
        <v>294</v>
      </c>
      <c r="V146" s="440"/>
      <c r="W146" s="468"/>
      <c r="X146" s="436"/>
      <c r="Y146" s="442"/>
      <c r="Z146" s="469"/>
      <c r="AA146" s="470">
        <v>1.735</v>
      </c>
      <c r="AB146" s="470"/>
      <c r="AC146" s="436" t="str">
        <f>IF(ISNUMBER(VLOOKUP(B146,'New Masses'!A:C,3,FALSE)),VLOOKUP(B146,'New Masses'!A:C,3,FALSE),"")</f>
        <v/>
      </c>
      <c r="AD146" s="451">
        <v>9.6E-9</v>
      </c>
      <c r="AE146" s="438">
        <f>LOG10(AD146)</f>
        <v>-8.017728767</v>
      </c>
      <c r="AF146" s="438"/>
      <c r="AG146" s="459">
        <v>0.668</v>
      </c>
      <c r="AH146" s="436"/>
      <c r="AI146" s="446" t="str">
        <f>IF(ISNUMBER(VLOOKUP(B146,'New Masses'!A:C,2, FALSE)),VLOOKUP(B146,'New Masses'!A:C,2, FALSE),"")</f>
        <v/>
      </c>
      <c r="AJ146" s="436"/>
      <c r="AK146" s="436"/>
      <c r="AL146" s="436">
        <v>0.094</v>
      </c>
      <c r="AM146" s="438"/>
      <c r="AN146" s="436">
        <v>1.0</v>
      </c>
      <c r="AO146" s="438"/>
      <c r="AP146" s="438"/>
      <c r="AQ146" s="438"/>
      <c r="AR146" s="438"/>
      <c r="AS146" s="438"/>
      <c r="AT146" s="438"/>
      <c r="AU146" s="438"/>
      <c r="AV146" s="438"/>
      <c r="AW146" s="450">
        <v>130.504006472998</v>
      </c>
    </row>
    <row r="147">
      <c r="A147" s="435" t="str">
        <f t="shared" ref="A147:C147" si="165">#REF!</f>
        <v>#REF!</v>
      </c>
      <c r="B147" s="485" t="str">
        <f t="shared" si="165"/>
        <v>#REF!</v>
      </c>
      <c r="C147" s="486" t="str">
        <f t="shared" si="165"/>
        <v>#REF!</v>
      </c>
      <c r="D147" s="486"/>
      <c r="E147" s="486"/>
      <c r="F147" s="528"/>
      <c r="G147" s="486"/>
      <c r="H147" s="486" t="s">
        <v>5917</v>
      </c>
      <c r="I147" s="491"/>
      <c r="J147" s="491"/>
      <c r="K147" s="491"/>
      <c r="L147" s="491"/>
      <c r="M147" s="486"/>
      <c r="N147" s="422"/>
      <c r="O147" s="422"/>
      <c r="P147" s="422"/>
      <c r="Q147" s="486"/>
      <c r="R147" s="491"/>
      <c r="S147" s="491"/>
      <c r="T147" s="491"/>
      <c r="U147" s="491"/>
      <c r="V147" s="491"/>
      <c r="W147" s="493"/>
      <c r="X147" s="486"/>
      <c r="Y147" s="442"/>
      <c r="Z147" s="491"/>
      <c r="AA147" s="524" t="str">
        <f>#REF!</f>
        <v>#REF!</v>
      </c>
      <c r="AB147" s="494"/>
      <c r="AC147" s="436"/>
      <c r="AD147" s="495"/>
      <c r="AE147" s="491"/>
      <c r="AF147" s="491"/>
      <c r="AG147" s="525" t="str">
        <f>#REF!</f>
        <v>#REF!</v>
      </c>
      <c r="AH147" s="491"/>
      <c r="AI147" s="446"/>
      <c r="AJ147" s="491"/>
      <c r="AK147" s="500"/>
      <c r="AL147" s="436"/>
      <c r="AM147" s="438"/>
      <c r="AN147" s="531"/>
      <c r="AO147" s="491"/>
      <c r="AP147" s="438"/>
      <c r="AQ147" s="438"/>
      <c r="AR147" s="438"/>
      <c r="AS147" s="438"/>
      <c r="AT147" s="438"/>
      <c r="AU147" s="438"/>
      <c r="AV147" s="438"/>
      <c r="AW147" s="450" t="str">
        <f>#REF!</f>
        <v>#REF!</v>
      </c>
    </row>
    <row r="148">
      <c r="A148" s="419" t="s">
        <v>440</v>
      </c>
      <c r="B148" s="419" t="s">
        <v>441</v>
      </c>
      <c r="C148" s="419"/>
      <c r="D148" s="436" t="s">
        <v>199</v>
      </c>
      <c r="E148" s="436"/>
      <c r="F148" s="436" t="s">
        <v>2260</v>
      </c>
      <c r="G148" s="436" t="s">
        <v>169</v>
      </c>
      <c r="H148" s="436" t="s">
        <v>413</v>
      </c>
      <c r="I148" s="456">
        <v>35400.0</v>
      </c>
      <c r="J148" s="438"/>
      <c r="K148" s="438"/>
      <c r="L148" s="436" t="s">
        <v>434</v>
      </c>
      <c r="M148" s="439"/>
      <c r="N148" s="422">
        <v>9.053</v>
      </c>
      <c r="O148" s="422">
        <v>7.468</v>
      </c>
      <c r="P148" s="422">
        <v>12.02</v>
      </c>
      <c r="Q148" s="436" t="s">
        <v>2189</v>
      </c>
      <c r="R148" s="436" t="s">
        <v>2257</v>
      </c>
      <c r="S148" s="436" t="s">
        <v>414</v>
      </c>
      <c r="T148" s="436" t="s">
        <v>293</v>
      </c>
      <c r="U148" s="436" t="s">
        <v>294</v>
      </c>
      <c r="V148" s="440"/>
      <c r="W148" s="468"/>
      <c r="X148" s="436"/>
      <c r="Y148" s="442"/>
      <c r="Z148" s="469"/>
      <c r="AA148" s="470">
        <v>2.15</v>
      </c>
      <c r="AB148" s="470"/>
      <c r="AC148" s="436" t="str">
        <f>IF(ISNUMBER(VLOOKUP(B148,'New Masses'!A:C,3,FALSE)),VLOOKUP(B148,'New Masses'!A:C,3,FALSE),"")</f>
        <v/>
      </c>
      <c r="AD148" s="451">
        <v>6.4E-9</v>
      </c>
      <c r="AE148" s="438">
        <f>LOG10(AD148)</f>
        <v>-8.193820026</v>
      </c>
      <c r="AF148" s="438"/>
      <c r="AG148" s="459">
        <v>0.461</v>
      </c>
      <c r="AH148" s="436"/>
      <c r="AI148" s="446" t="str">
        <f>IF(ISNUMBER(VLOOKUP(B148,'New Masses'!A:C,2, FALSE)),VLOOKUP(B148,'New Masses'!A:C,2, FALSE),"")</f>
        <v/>
      </c>
      <c r="AJ148" s="436"/>
      <c r="AK148" s="436"/>
      <c r="AL148" s="436">
        <v>0.035</v>
      </c>
      <c r="AM148" s="438"/>
      <c r="AN148" s="436">
        <v>1.0</v>
      </c>
      <c r="AO148" s="438"/>
      <c r="AP148" s="438"/>
      <c r="AQ148" s="438"/>
      <c r="AR148" s="438"/>
      <c r="AS148" s="438"/>
      <c r="AT148" s="438"/>
      <c r="AU148" s="438"/>
      <c r="AV148" s="438"/>
      <c r="AW148" s="450">
        <v>129.262428582508</v>
      </c>
    </row>
    <row r="149">
      <c r="A149" s="435" t="str">
        <f t="shared" ref="A149:C149" si="166">#REF!</f>
        <v>#REF!</v>
      </c>
      <c r="B149" s="485" t="str">
        <f t="shared" si="166"/>
        <v>#REF!</v>
      </c>
      <c r="C149" s="486" t="str">
        <f t="shared" si="166"/>
        <v>#REF!</v>
      </c>
      <c r="D149" s="486"/>
      <c r="E149" s="486"/>
      <c r="F149" s="528"/>
      <c r="G149" s="486"/>
      <c r="H149" s="486" t="s">
        <v>5917</v>
      </c>
      <c r="I149" s="491"/>
      <c r="J149" s="491"/>
      <c r="K149" s="491"/>
      <c r="L149" s="491"/>
      <c r="M149" s="486"/>
      <c r="N149" s="422"/>
      <c r="O149" s="422"/>
      <c r="P149" s="422"/>
      <c r="Q149" s="486"/>
      <c r="R149" s="491"/>
      <c r="S149" s="491"/>
      <c r="T149" s="491"/>
      <c r="U149" s="491"/>
      <c r="V149" s="491"/>
      <c r="W149" s="493"/>
      <c r="X149" s="486"/>
      <c r="Y149" s="442"/>
      <c r="Z149" s="491"/>
      <c r="AA149" s="524" t="str">
        <f>#REF!</f>
        <v>#REF!</v>
      </c>
      <c r="AB149" s="494"/>
      <c r="AC149" s="436"/>
      <c r="AD149" s="495"/>
      <c r="AE149" s="491"/>
      <c r="AF149" s="491"/>
      <c r="AG149" s="525" t="str">
        <f>#REF!</f>
        <v>#REF!</v>
      </c>
      <c r="AH149" s="491"/>
      <c r="AI149" s="446"/>
      <c r="AJ149" s="491"/>
      <c r="AK149" s="500"/>
      <c r="AL149" s="436"/>
      <c r="AM149" s="438"/>
      <c r="AN149" s="531"/>
      <c r="AO149" s="491"/>
      <c r="AP149" s="438"/>
      <c r="AQ149" s="438"/>
      <c r="AR149" s="438"/>
      <c r="AS149" s="438"/>
      <c r="AT149" s="438"/>
      <c r="AU149" s="438"/>
      <c r="AV149" s="438"/>
      <c r="AW149" s="450" t="str">
        <f>#REF!</f>
        <v>#REF!</v>
      </c>
    </row>
    <row r="150">
      <c r="A150" s="419" t="s">
        <v>457</v>
      </c>
      <c r="B150" s="419" t="s">
        <v>458</v>
      </c>
      <c r="C150" s="419"/>
      <c r="D150" s="436" t="s">
        <v>199</v>
      </c>
      <c r="E150" s="436"/>
      <c r="F150" s="436" t="s">
        <v>2261</v>
      </c>
      <c r="G150" s="436" t="s">
        <v>169</v>
      </c>
      <c r="H150" s="436" t="s">
        <v>413</v>
      </c>
      <c r="I150" s="456">
        <v>35400.0</v>
      </c>
      <c r="J150" s="438"/>
      <c r="K150" s="438"/>
      <c r="L150" s="436" t="s">
        <v>459</v>
      </c>
      <c r="M150" s="439"/>
      <c r="N150" s="422">
        <v>10.699</v>
      </c>
      <c r="O150" s="422">
        <v>8.384</v>
      </c>
      <c r="P150" s="422">
        <v>13.05</v>
      </c>
      <c r="Q150" s="436" t="s">
        <v>2189</v>
      </c>
      <c r="R150" s="436" t="s">
        <v>2257</v>
      </c>
      <c r="S150" s="436" t="s">
        <v>414</v>
      </c>
      <c r="T150" s="436" t="s">
        <v>293</v>
      </c>
      <c r="U150" s="436" t="s">
        <v>294</v>
      </c>
      <c r="V150" s="440"/>
      <c r="W150" s="468"/>
      <c r="X150" s="436"/>
      <c r="Y150" s="442"/>
      <c r="Z150" s="469"/>
      <c r="AA150" s="470">
        <v>0.76</v>
      </c>
      <c r="AB150" s="470"/>
      <c r="AC150" s="436" t="str">
        <f>IF(ISNUMBER(VLOOKUP(B150,'New Masses'!A:C,3,FALSE)),VLOOKUP(B150,'New Masses'!A:C,3,FALSE),"")</f>
        <v/>
      </c>
      <c r="AD150" s="451">
        <v>1.3E-9</v>
      </c>
      <c r="AE150" s="438">
        <f>LOG10(AD150)</f>
        <v>-8.886056648</v>
      </c>
      <c r="AF150" s="438"/>
      <c r="AG150" s="459">
        <v>0.81</v>
      </c>
      <c r="AH150" s="436"/>
      <c r="AI150" s="446" t="str">
        <f>IF(ISNUMBER(VLOOKUP(B150,'New Masses'!A:C,2, FALSE)),VLOOKUP(B150,'New Masses'!A:C,2, FALSE),"")</f>
        <v/>
      </c>
      <c r="AJ150" s="436"/>
      <c r="AK150" s="436"/>
      <c r="AL150" s="436">
        <v>0.035</v>
      </c>
      <c r="AM150" s="438"/>
      <c r="AN150" s="436">
        <v>1.0</v>
      </c>
      <c r="AO150" s="438"/>
      <c r="AP150" s="438"/>
      <c r="AQ150" s="438"/>
      <c r="AR150" s="438"/>
      <c r="AS150" s="438"/>
      <c r="AT150" s="438"/>
      <c r="AU150" s="438"/>
      <c r="AV150" s="438"/>
      <c r="AW150" s="450">
        <v>136.574706364381</v>
      </c>
    </row>
    <row r="151">
      <c r="A151" s="435" t="str">
        <f t="shared" ref="A151:C151" si="167">#REF!</f>
        <v>#REF!</v>
      </c>
      <c r="B151" s="485" t="str">
        <f t="shared" si="167"/>
        <v>#REF!</v>
      </c>
      <c r="C151" s="486" t="str">
        <f t="shared" si="167"/>
        <v>#REF!</v>
      </c>
      <c r="D151" s="486"/>
      <c r="E151" s="486"/>
      <c r="F151" s="528"/>
      <c r="G151" s="486"/>
      <c r="H151" s="486" t="s">
        <v>5917</v>
      </c>
      <c r="I151" s="491"/>
      <c r="J151" s="491"/>
      <c r="K151" s="491"/>
      <c r="L151" s="491"/>
      <c r="M151" s="486"/>
      <c r="N151" s="422"/>
      <c r="O151" s="422"/>
      <c r="P151" s="422"/>
      <c r="Q151" s="486"/>
      <c r="R151" s="491"/>
      <c r="S151" s="491"/>
      <c r="T151" s="491"/>
      <c r="U151" s="491"/>
      <c r="V151" s="491"/>
      <c r="W151" s="493"/>
      <c r="X151" s="486"/>
      <c r="Y151" s="442"/>
      <c r="Z151" s="491"/>
      <c r="AA151" s="524" t="str">
        <f>#REF!</f>
        <v>#REF!</v>
      </c>
      <c r="AB151" s="494"/>
      <c r="AC151" s="436"/>
      <c r="AD151" s="495"/>
      <c r="AE151" s="491"/>
      <c r="AF151" s="491"/>
      <c r="AG151" s="525" t="str">
        <f>#REF!</f>
        <v>#REF!</v>
      </c>
      <c r="AH151" s="491"/>
      <c r="AI151" s="446"/>
      <c r="AJ151" s="491"/>
      <c r="AK151" s="500"/>
      <c r="AL151" s="436"/>
      <c r="AM151" s="438"/>
      <c r="AN151" s="531"/>
      <c r="AO151" s="491"/>
      <c r="AP151" s="438"/>
      <c r="AQ151" s="438"/>
      <c r="AR151" s="438"/>
      <c r="AS151" s="438"/>
      <c r="AT151" s="438"/>
      <c r="AU151" s="438"/>
      <c r="AV151" s="438"/>
      <c r="AW151" s="450" t="str">
        <f>#REF!</f>
        <v>#REF!</v>
      </c>
    </row>
    <row r="152">
      <c r="A152" s="419" t="s">
        <v>634</v>
      </c>
      <c r="B152" s="436" t="s">
        <v>635</v>
      </c>
      <c r="C152" s="420"/>
      <c r="D152" s="420" t="s">
        <v>199</v>
      </c>
      <c r="E152" s="420"/>
      <c r="F152" s="420" t="s">
        <v>2262</v>
      </c>
      <c r="G152" s="420" t="s">
        <v>159</v>
      </c>
      <c r="H152" s="420" t="s">
        <v>598</v>
      </c>
      <c r="I152" s="467">
        <v>37985.0</v>
      </c>
      <c r="J152" s="436">
        <v>2752.0</v>
      </c>
      <c r="K152" s="436"/>
      <c r="L152" s="420" t="s">
        <v>334</v>
      </c>
      <c r="M152" s="429"/>
      <c r="N152" s="422">
        <v>13.724</v>
      </c>
      <c r="O152" s="422">
        <v>12.367</v>
      </c>
      <c r="P152" s="422"/>
      <c r="Q152" s="420" t="s">
        <v>2194</v>
      </c>
      <c r="R152" s="420" t="s">
        <v>2195</v>
      </c>
      <c r="S152" s="420" t="s">
        <v>2196</v>
      </c>
      <c r="T152" s="420" t="s">
        <v>596</v>
      </c>
      <c r="U152" s="420" t="s">
        <v>597</v>
      </c>
      <c r="V152" s="440"/>
      <c r="W152" s="468"/>
      <c r="X152" s="436"/>
      <c r="Y152" s="442" t="str">
        <f>IF((W152/((J152/5780)^4))^0.5&gt;0,(W152/((J152/5780)^4))^0.5,"")</f>
        <v/>
      </c>
      <c r="Z152" s="469"/>
      <c r="AA152" s="470">
        <v>0.41</v>
      </c>
      <c r="AB152" s="470"/>
      <c r="AC152" s="469">
        <f>IF(ISNUMBER(VLOOKUP(B152,'New Masses'!A:C,3,FALSE)),VLOOKUP(B152,'New Masses'!A:C,3,FALSE),"")</f>
        <v>0.446101</v>
      </c>
      <c r="AD152" s="440">
        <f>10^AE152</f>
        <v>0</v>
      </c>
      <c r="AE152" s="436">
        <v>-12.0</v>
      </c>
      <c r="AF152" s="438"/>
      <c r="AG152" s="459">
        <v>0.035</v>
      </c>
      <c r="AH152" s="436"/>
      <c r="AI152" s="446">
        <f>IF(ISNUMBER(VLOOKUP(B152,'New Masses'!A:C,2, FALSE)),VLOOKUP(B152,'New Masses'!A:C,2, FALSE),"")</f>
        <v>0.028161</v>
      </c>
      <c r="AJ152" s="436"/>
      <c r="AK152" s="438"/>
      <c r="AL152" s="438"/>
      <c r="AM152" s="438"/>
      <c r="AN152" s="436">
        <v>1.0</v>
      </c>
      <c r="AO152" s="438"/>
      <c r="AP152" s="436">
        <v>0.81</v>
      </c>
      <c r="AQ152" s="436">
        <v>0.85</v>
      </c>
      <c r="AR152" s="420" t="s">
        <v>2246</v>
      </c>
      <c r="AS152" s="420"/>
      <c r="AT152" s="420" t="s">
        <v>5916</v>
      </c>
      <c r="AU152" s="420" t="s">
        <v>599</v>
      </c>
      <c r="AV152" s="438"/>
      <c r="AW152" s="450">
        <v>183.908045977011</v>
      </c>
    </row>
    <row r="153">
      <c r="A153" s="435" t="str">
        <f t="shared" ref="A153:C153" si="168">#REF!</f>
        <v>#REF!</v>
      </c>
      <c r="B153" s="485" t="str">
        <f t="shared" si="168"/>
        <v>#REF!</v>
      </c>
      <c r="C153" s="486" t="str">
        <f t="shared" si="168"/>
        <v>#REF!</v>
      </c>
      <c r="D153" s="486"/>
      <c r="E153" s="486"/>
      <c r="F153" s="528"/>
      <c r="G153" s="486"/>
      <c r="H153" s="486" t="s">
        <v>5917</v>
      </c>
      <c r="I153" s="491"/>
      <c r="J153" s="491"/>
      <c r="K153" s="491"/>
      <c r="L153" s="491"/>
      <c r="M153" s="486"/>
      <c r="N153" s="422"/>
      <c r="O153" s="422"/>
      <c r="P153" s="422"/>
      <c r="Q153" s="486"/>
      <c r="R153" s="491"/>
      <c r="S153" s="491"/>
      <c r="T153" s="491"/>
      <c r="U153" s="491"/>
      <c r="V153" s="491"/>
      <c r="W153" s="493"/>
      <c r="X153" s="486"/>
      <c r="Y153" s="442"/>
      <c r="Z153" s="491"/>
      <c r="AA153" s="524" t="str">
        <f>#REF!</f>
        <v>#REF!</v>
      </c>
      <c r="AB153" s="494"/>
      <c r="AC153" s="436"/>
      <c r="AD153" s="495"/>
      <c r="AE153" s="491"/>
      <c r="AF153" s="491"/>
      <c r="AG153" s="525" t="str">
        <f>#REF!</f>
        <v>#REF!</v>
      </c>
      <c r="AH153" s="491"/>
      <c r="AI153" s="446"/>
      <c r="AJ153" s="491"/>
      <c r="AK153" s="500"/>
      <c r="AL153" s="436"/>
      <c r="AM153" s="438"/>
      <c r="AN153" s="531"/>
      <c r="AO153" s="491"/>
      <c r="AP153" s="438"/>
      <c r="AQ153" s="438"/>
      <c r="AR153" s="438"/>
      <c r="AS153" s="438"/>
      <c r="AT153" s="438"/>
      <c r="AU153" s="438"/>
      <c r="AV153" s="438"/>
      <c r="AW153" s="450" t="str">
        <f>#REF!</f>
        <v>#REF!</v>
      </c>
    </row>
    <row r="154">
      <c r="A154" s="436" t="s">
        <v>669</v>
      </c>
      <c r="B154" s="436" t="s">
        <v>669</v>
      </c>
      <c r="C154" s="438"/>
      <c r="D154" s="420" t="s">
        <v>199</v>
      </c>
      <c r="E154" s="420"/>
      <c r="F154" s="420" t="s">
        <v>2263</v>
      </c>
      <c r="G154" s="420" t="s">
        <v>169</v>
      </c>
      <c r="H154" s="420" t="s">
        <v>598</v>
      </c>
      <c r="I154" s="467">
        <v>37985.0</v>
      </c>
      <c r="J154" s="436">
        <v>2838.0</v>
      </c>
      <c r="K154" s="436"/>
      <c r="L154" s="420" t="s">
        <v>237</v>
      </c>
      <c r="M154" s="422">
        <v>0.35</v>
      </c>
      <c r="N154" s="422">
        <v>15.18</v>
      </c>
      <c r="O154" s="422">
        <v>12.98</v>
      </c>
      <c r="P154" s="422">
        <v>20.33</v>
      </c>
      <c r="Q154" s="420" t="s">
        <v>2194</v>
      </c>
      <c r="R154" s="420" t="s">
        <v>2195</v>
      </c>
      <c r="S154" s="420" t="s">
        <v>2196</v>
      </c>
      <c r="T154" s="420" t="s">
        <v>596</v>
      </c>
      <c r="U154" s="420" t="s">
        <v>597</v>
      </c>
      <c r="V154" s="440"/>
      <c r="W154" s="468"/>
      <c r="X154" s="436"/>
      <c r="Y154" s="442" t="str">
        <f>IF((W154/((J154/5780)^4))^0.5&gt;0,(W154/((J154/5780)^4))^0.5,"")</f>
        <v/>
      </c>
      <c r="Z154" s="469"/>
      <c r="AA154" s="470">
        <v>0.18</v>
      </c>
      <c r="AB154" s="470"/>
      <c r="AC154" s="469">
        <f>IF(ISNUMBER(VLOOKUP(B154,'New Masses'!A:C,3,FALSE)),VLOOKUP(B154,'New Masses'!A:C,3,FALSE),"")</f>
        <v>0.502954</v>
      </c>
      <c r="AD154" s="440">
        <f>10^AE154</f>
        <v>0</v>
      </c>
      <c r="AE154" s="436">
        <v>-10.8</v>
      </c>
      <c r="AF154" s="438"/>
      <c r="AG154" s="459">
        <v>0.07</v>
      </c>
      <c r="AH154" s="436"/>
      <c r="AI154" s="446">
        <f>IF(ISNUMBER(VLOOKUP(B154,'New Masses'!A:C,2, FALSE)),VLOOKUP(B154,'New Masses'!A:C,2, FALSE),"")</f>
        <v>0.035005</v>
      </c>
      <c r="AJ154" s="436"/>
      <c r="AK154" s="438"/>
      <c r="AL154" s="438"/>
      <c r="AM154" s="438"/>
      <c r="AN154" s="436">
        <v>1.0</v>
      </c>
      <c r="AO154" s="438"/>
      <c r="AP154" s="436">
        <v>10.6</v>
      </c>
      <c r="AQ154" s="436">
        <v>4.0</v>
      </c>
      <c r="AR154" s="420" t="s">
        <v>2246</v>
      </c>
      <c r="AS154" s="420"/>
      <c r="AT154" s="438"/>
      <c r="AU154" s="420" t="s">
        <v>599</v>
      </c>
      <c r="AV154" s="438"/>
      <c r="AW154" s="450">
        <v>145.410129269604</v>
      </c>
    </row>
    <row r="155">
      <c r="A155" s="435" t="str">
        <f t="shared" ref="A155:C155" si="169">#REF!</f>
        <v>#REF!</v>
      </c>
      <c r="B155" s="485" t="str">
        <f t="shared" si="169"/>
        <v>#REF!</v>
      </c>
      <c r="C155" s="486" t="str">
        <f t="shared" si="169"/>
        <v>#REF!</v>
      </c>
      <c r="D155" s="486"/>
      <c r="E155" s="486"/>
      <c r="F155" s="528"/>
      <c r="G155" s="486"/>
      <c r="H155" s="486" t="s">
        <v>5917</v>
      </c>
      <c r="I155" s="491"/>
      <c r="J155" s="491"/>
      <c r="K155" s="491"/>
      <c r="L155" s="491"/>
      <c r="M155" s="486"/>
      <c r="N155" s="422"/>
      <c r="O155" s="422"/>
      <c r="P155" s="422"/>
      <c r="Q155" s="486"/>
      <c r="R155" s="491"/>
      <c r="S155" s="491"/>
      <c r="T155" s="491"/>
      <c r="U155" s="491"/>
      <c r="V155" s="491"/>
      <c r="W155" s="493"/>
      <c r="X155" s="486"/>
      <c r="Y155" s="442"/>
      <c r="Z155" s="491"/>
      <c r="AA155" s="524" t="str">
        <f>#REF!</f>
        <v>#REF!</v>
      </c>
      <c r="AB155" s="494"/>
      <c r="AC155" s="436"/>
      <c r="AD155" s="495"/>
      <c r="AE155" s="491"/>
      <c r="AF155" s="491"/>
      <c r="AG155" s="525" t="str">
        <f>#REF!</f>
        <v>#REF!</v>
      </c>
      <c r="AH155" s="491"/>
      <c r="AI155" s="446"/>
      <c r="AJ155" s="491"/>
      <c r="AK155" s="500"/>
      <c r="AL155" s="436"/>
      <c r="AM155" s="438"/>
      <c r="AN155" s="531"/>
      <c r="AO155" s="491"/>
      <c r="AP155" s="438"/>
      <c r="AQ155" s="438"/>
      <c r="AR155" s="438"/>
      <c r="AS155" s="438"/>
      <c r="AT155" s="438"/>
      <c r="AU155" s="438"/>
      <c r="AV155" s="438"/>
      <c r="AW155" s="450" t="str">
        <f>#REF!</f>
        <v>#REF!</v>
      </c>
    </row>
    <row r="156">
      <c r="A156" s="436" t="s">
        <v>336</v>
      </c>
      <c r="B156" s="436" t="s">
        <v>336</v>
      </c>
      <c r="C156" s="438"/>
      <c r="D156" s="420" t="s">
        <v>199</v>
      </c>
      <c r="E156" s="420"/>
      <c r="F156" s="477" t="s">
        <v>2264</v>
      </c>
      <c r="G156" s="420"/>
      <c r="H156" s="420" t="s">
        <v>225</v>
      </c>
      <c r="I156" s="467">
        <v>39044.0</v>
      </c>
      <c r="J156" s="436">
        <v>2838.0</v>
      </c>
      <c r="K156" s="420"/>
      <c r="L156" s="420" t="s">
        <v>237</v>
      </c>
      <c r="M156" s="422">
        <v>0.5</v>
      </c>
      <c r="N156" s="422">
        <v>12.646</v>
      </c>
      <c r="O156" s="422">
        <v>11.368</v>
      </c>
      <c r="P156" s="422">
        <v>18.4</v>
      </c>
      <c r="Q156" s="420" t="s">
        <v>2239</v>
      </c>
      <c r="R156" s="420" t="s">
        <v>2240</v>
      </c>
      <c r="S156" s="420" t="s">
        <v>307</v>
      </c>
      <c r="T156" s="420" t="s">
        <v>293</v>
      </c>
      <c r="U156" s="420" t="s">
        <v>294</v>
      </c>
      <c r="V156" s="440"/>
      <c r="W156" s="468"/>
      <c r="X156" s="436"/>
      <c r="Y156" s="442" t="str">
        <f t="shared" ref="Y156:Y157" si="170">IF((W156/((J156/5780)^4))^0.5&gt;0,(W156/((J156/5780)^4))^0.5,"")</f>
        <v/>
      </c>
      <c r="Z156" s="469"/>
      <c r="AA156" s="470">
        <v>0.51</v>
      </c>
      <c r="AB156" s="426"/>
      <c r="AC156" s="469">
        <f>IF(ISNUMBER(VLOOKUP(B156,'New Masses'!A:C,3,FALSE)),VLOOKUP(B156,'New Masses'!A:C,3,FALSE),"")</f>
        <v>0.502954</v>
      </c>
      <c r="AD156" s="451">
        <v>6.9E-12</v>
      </c>
      <c r="AE156" s="618">
        <f>log10(AD156)</f>
        <v>-11.16115091</v>
      </c>
      <c r="AF156" s="438"/>
      <c r="AG156" s="459">
        <v>0.05</v>
      </c>
      <c r="AH156" s="421">
        <v>0.02</v>
      </c>
      <c r="AI156" s="446">
        <f>IF(ISNUMBER(VLOOKUP(B156,'New Masses'!A:C,2, FALSE)),VLOOKUP(B156,'New Masses'!A:C,2, FALSE),"")</f>
        <v>0.035005</v>
      </c>
      <c r="AJ156" s="420"/>
      <c r="AK156" s="420"/>
      <c r="AL156" s="436">
        <f>log10(0.000017)</f>
        <v>-4.769551079</v>
      </c>
      <c r="AM156" s="438"/>
      <c r="AN156" s="436">
        <f>10^6.5/10^6</f>
        <v>3.16227766</v>
      </c>
      <c r="AO156" s="438"/>
      <c r="AP156" s="436">
        <v>0.8</v>
      </c>
      <c r="AQ156" s="438"/>
      <c r="AR156" s="420" t="s">
        <v>2241</v>
      </c>
      <c r="AS156" s="420"/>
      <c r="AT156" s="438"/>
      <c r="AU156" s="438"/>
      <c r="AV156" s="438"/>
      <c r="AW156" s="450">
        <v>144.0</v>
      </c>
    </row>
    <row r="157">
      <c r="A157" s="436" t="s">
        <v>336</v>
      </c>
      <c r="B157" s="436" t="s">
        <v>336</v>
      </c>
      <c r="C157" s="438"/>
      <c r="D157" s="420" t="s">
        <v>199</v>
      </c>
      <c r="E157" s="420"/>
      <c r="F157" s="420" t="s">
        <v>2265</v>
      </c>
      <c r="G157" s="420" t="s">
        <v>169</v>
      </c>
      <c r="H157" s="420" t="s">
        <v>598</v>
      </c>
      <c r="I157" s="467">
        <v>37985.0</v>
      </c>
      <c r="J157" s="436">
        <v>2838.0</v>
      </c>
      <c r="K157" s="436"/>
      <c r="L157" s="420" t="s">
        <v>237</v>
      </c>
      <c r="M157" s="422">
        <v>0.25</v>
      </c>
      <c r="N157" s="422">
        <v>12.646</v>
      </c>
      <c r="O157" s="422">
        <v>11.368</v>
      </c>
      <c r="P157" s="422">
        <v>18.4</v>
      </c>
      <c r="Q157" s="420" t="s">
        <v>2194</v>
      </c>
      <c r="R157" s="420" t="s">
        <v>2195</v>
      </c>
      <c r="S157" s="420" t="s">
        <v>2196</v>
      </c>
      <c r="T157" s="420" t="s">
        <v>596</v>
      </c>
      <c r="U157" s="420" t="s">
        <v>597</v>
      </c>
      <c r="V157" s="440"/>
      <c r="W157" s="468"/>
      <c r="X157" s="436"/>
      <c r="Y157" s="442" t="str">
        <f t="shared" si="170"/>
        <v/>
      </c>
      <c r="Z157" s="469"/>
      <c r="AA157" s="470">
        <v>0.57</v>
      </c>
      <c r="AB157" s="470"/>
      <c r="AC157" s="469">
        <f>IF(ISNUMBER(VLOOKUP(B157,'New Masses'!A:C,3,FALSE)),VLOOKUP(B157,'New Masses'!A:C,3,FALSE),"")</f>
        <v>0.502954</v>
      </c>
      <c r="AD157" s="440">
        <f>10^AE157</f>
        <v>0</v>
      </c>
      <c r="AE157" s="436">
        <v>-11.3</v>
      </c>
      <c r="AF157" s="438"/>
      <c r="AG157" s="459">
        <v>0.05</v>
      </c>
      <c r="AH157" s="436"/>
      <c r="AI157" s="446">
        <f>IF(ISNUMBER(VLOOKUP(B157,'New Masses'!A:C,2, FALSE)),VLOOKUP(B157,'New Masses'!A:C,2, FALSE),"")</f>
        <v>0.035005</v>
      </c>
      <c r="AJ157" s="436"/>
      <c r="AK157" s="438"/>
      <c r="AL157" s="438"/>
      <c r="AM157" s="438"/>
      <c r="AN157" s="436">
        <v>1.0</v>
      </c>
      <c r="AO157" s="438"/>
      <c r="AP157" s="436">
        <v>0.8</v>
      </c>
      <c r="AQ157" s="438"/>
      <c r="AR157" s="420" t="s">
        <v>2241</v>
      </c>
      <c r="AS157" s="420"/>
      <c r="AT157" s="438"/>
      <c r="AU157" s="420" t="s">
        <v>599</v>
      </c>
      <c r="AV157" s="438"/>
      <c r="AW157" s="450">
        <v>144.0</v>
      </c>
    </row>
    <row r="158">
      <c r="A158" s="435" t="str">
        <f t="shared" ref="A158:C158" si="171">#REF!</f>
        <v>#REF!</v>
      </c>
      <c r="B158" s="485" t="str">
        <f t="shared" si="171"/>
        <v>#REF!</v>
      </c>
      <c r="C158" s="486" t="str">
        <f t="shared" si="171"/>
        <v>#REF!</v>
      </c>
      <c r="D158" s="486"/>
      <c r="E158" s="486"/>
      <c r="F158" s="528"/>
      <c r="G158" s="486"/>
      <c r="H158" s="486" t="s">
        <v>5917</v>
      </c>
      <c r="I158" s="491"/>
      <c r="J158" s="491"/>
      <c r="K158" s="491"/>
      <c r="L158" s="491"/>
      <c r="M158" s="486"/>
      <c r="N158" s="422"/>
      <c r="O158" s="422"/>
      <c r="P158" s="422"/>
      <c r="Q158" s="486"/>
      <c r="R158" s="491"/>
      <c r="S158" s="491"/>
      <c r="T158" s="491"/>
      <c r="U158" s="491"/>
      <c r="V158" s="491"/>
      <c r="W158" s="493"/>
      <c r="X158" s="486"/>
      <c r="Y158" s="442"/>
      <c r="Z158" s="491"/>
      <c r="AA158" s="524" t="str">
        <f t="shared" ref="AA158:AA159" si="173">#REF!</f>
        <v>#REF!</v>
      </c>
      <c r="AB158" s="494"/>
      <c r="AC158" s="436"/>
      <c r="AD158" s="495"/>
      <c r="AE158" s="491"/>
      <c r="AF158" s="491"/>
      <c r="AG158" s="525" t="str">
        <f t="shared" ref="AG158:AG159" si="174">#REF!</f>
        <v>#REF!</v>
      </c>
      <c r="AH158" s="491"/>
      <c r="AI158" s="446"/>
      <c r="AJ158" s="491"/>
      <c r="AK158" s="500"/>
      <c r="AL158" s="436"/>
      <c r="AM158" s="438"/>
      <c r="AN158" s="531"/>
      <c r="AO158" s="491"/>
      <c r="AP158" s="438"/>
      <c r="AQ158" s="438"/>
      <c r="AR158" s="438"/>
      <c r="AS158" s="438"/>
      <c r="AT158" s="438"/>
      <c r="AU158" s="438"/>
      <c r="AV158" s="438"/>
      <c r="AW158" s="450" t="str">
        <f t="shared" ref="AW158:AW159" si="175">#REF!</f>
        <v>#REF!</v>
      </c>
    </row>
    <row r="159">
      <c r="A159" s="435" t="str">
        <f t="shared" ref="A159:C159" si="172">#REF!</f>
        <v>#REF!</v>
      </c>
      <c r="B159" s="485" t="str">
        <f t="shared" si="172"/>
        <v>#REF!</v>
      </c>
      <c r="C159" s="486" t="str">
        <f t="shared" si="172"/>
        <v>#REF!</v>
      </c>
      <c r="D159" s="486"/>
      <c r="E159" s="486"/>
      <c r="F159" s="528"/>
      <c r="G159" s="486"/>
      <c r="H159" s="486" t="s">
        <v>5917</v>
      </c>
      <c r="I159" s="491"/>
      <c r="J159" s="491"/>
      <c r="K159" s="491"/>
      <c r="L159" s="491"/>
      <c r="M159" s="486"/>
      <c r="N159" s="422"/>
      <c r="O159" s="422"/>
      <c r="P159" s="422"/>
      <c r="Q159" s="486"/>
      <c r="R159" s="491"/>
      <c r="S159" s="491"/>
      <c r="T159" s="491"/>
      <c r="U159" s="491"/>
      <c r="V159" s="491"/>
      <c r="W159" s="493"/>
      <c r="X159" s="486"/>
      <c r="Y159" s="442"/>
      <c r="Z159" s="491"/>
      <c r="AA159" s="524" t="str">
        <f t="shared" si="173"/>
        <v>#REF!</v>
      </c>
      <c r="AB159" s="494"/>
      <c r="AC159" s="436"/>
      <c r="AD159" s="495"/>
      <c r="AE159" s="491"/>
      <c r="AF159" s="491"/>
      <c r="AG159" s="525" t="str">
        <f t="shared" si="174"/>
        <v>#REF!</v>
      </c>
      <c r="AH159" s="491"/>
      <c r="AI159" s="446"/>
      <c r="AJ159" s="491"/>
      <c r="AK159" s="500"/>
      <c r="AL159" s="436"/>
      <c r="AM159" s="438"/>
      <c r="AN159" s="531"/>
      <c r="AO159" s="491"/>
      <c r="AP159" s="438"/>
      <c r="AQ159" s="438"/>
      <c r="AR159" s="438"/>
      <c r="AS159" s="438"/>
      <c r="AT159" s="438"/>
      <c r="AU159" s="438"/>
      <c r="AV159" s="438"/>
      <c r="AW159" s="450" t="str">
        <f t="shared" si="175"/>
        <v>#REF!</v>
      </c>
    </row>
    <row r="160">
      <c r="A160" s="419" t="s">
        <v>238</v>
      </c>
      <c r="B160" s="435" t="s">
        <v>239</v>
      </c>
      <c r="C160" s="421" t="s">
        <v>662</v>
      </c>
      <c r="D160" s="420" t="s">
        <v>199</v>
      </c>
      <c r="E160" s="420"/>
      <c r="F160" s="420" t="s">
        <v>2266</v>
      </c>
      <c r="G160" s="420" t="s">
        <v>169</v>
      </c>
      <c r="H160" s="420" t="s">
        <v>201</v>
      </c>
      <c r="I160" s="420" t="s">
        <v>2207</v>
      </c>
      <c r="J160" s="436">
        <v>2900.0</v>
      </c>
      <c r="K160" s="438"/>
      <c r="L160" s="420" t="s">
        <v>240</v>
      </c>
      <c r="M160" s="429"/>
      <c r="N160" s="422">
        <v>12.168</v>
      </c>
      <c r="O160" s="422">
        <v>10.332</v>
      </c>
      <c r="P160" s="422"/>
      <c r="Q160" s="420" t="s">
        <v>2208</v>
      </c>
      <c r="R160" s="438" t="s">
        <v>2209</v>
      </c>
      <c r="S160" s="420" t="s">
        <v>2229</v>
      </c>
      <c r="T160" s="454" t="s">
        <v>162</v>
      </c>
      <c r="U160" s="420" t="s">
        <v>2210</v>
      </c>
      <c r="V160" s="436">
        <v>4.4</v>
      </c>
      <c r="W160" s="458"/>
      <c r="X160" s="438"/>
      <c r="Y160" s="442" t="str">
        <f t="shared" ref="Y160:Y162" si="176">IF((W160/((J160/5780)^4))^0.5&gt;0,(W160/((J160/5780)^4))^0.5,"")</f>
        <v/>
      </c>
      <c r="Z160" s="442"/>
      <c r="AA160" s="443"/>
      <c r="AB160" s="443"/>
      <c r="AC160" s="469">
        <f>IF(ISNUMBER(VLOOKUP(B160,'New Masses'!A:C,3,FALSE)),VLOOKUP(B160,'New Masses'!A:C,3,FALSE),"")</f>
        <v>0.53496</v>
      </c>
      <c r="AD160" s="423">
        <f t="shared" ref="AD160:AD162" si="177">10^AE160</f>
        <v>0</v>
      </c>
      <c r="AE160" s="420">
        <v>-10.7</v>
      </c>
      <c r="AF160" s="438"/>
      <c r="AG160" s="459">
        <v>0.06</v>
      </c>
      <c r="AH160" s="438"/>
      <c r="AI160" s="446">
        <f>IF(ISNUMBER(VLOOKUP(B160,'New Masses'!A:C,2, FALSE)),VLOOKUP(B160,'New Masses'!A:C,2, FALSE),"")</f>
        <v>0.038933</v>
      </c>
      <c r="AJ160" s="438"/>
      <c r="AK160" s="438"/>
      <c r="AL160" s="438"/>
      <c r="AM160" s="438"/>
      <c r="AN160" s="436">
        <v>1.0</v>
      </c>
      <c r="AO160" s="438"/>
      <c r="AP160" s="436">
        <v>6.37</v>
      </c>
      <c r="AQ160" s="436">
        <v>0.85</v>
      </c>
      <c r="AR160" s="420" t="s">
        <v>2246</v>
      </c>
      <c r="AS160" s="420"/>
      <c r="AT160" s="438"/>
      <c r="AU160" s="420" t="s">
        <v>207</v>
      </c>
      <c r="AV160" s="438"/>
      <c r="AW160" s="450">
        <v>147.132389724273</v>
      </c>
    </row>
    <row r="161">
      <c r="A161" s="419" t="s">
        <v>238</v>
      </c>
      <c r="B161" s="435" t="s">
        <v>239</v>
      </c>
      <c r="C161" s="421" t="s">
        <v>662</v>
      </c>
      <c r="D161" s="420" t="s">
        <v>199</v>
      </c>
      <c r="E161" s="420"/>
      <c r="F161" s="420" t="s">
        <v>2266</v>
      </c>
      <c r="G161" s="420" t="s">
        <v>169</v>
      </c>
      <c r="H161" s="420" t="s">
        <v>201</v>
      </c>
      <c r="I161" s="420" t="s">
        <v>2207</v>
      </c>
      <c r="J161" s="436">
        <v>2900.0</v>
      </c>
      <c r="K161" s="438"/>
      <c r="L161" s="420" t="s">
        <v>240</v>
      </c>
      <c r="M161" s="429"/>
      <c r="N161" s="422">
        <v>12.168</v>
      </c>
      <c r="O161" s="422">
        <v>10.332</v>
      </c>
      <c r="P161" s="422"/>
      <c r="Q161" s="420" t="s">
        <v>2208</v>
      </c>
      <c r="R161" s="438" t="s">
        <v>2209</v>
      </c>
      <c r="S161" s="420" t="s">
        <v>2229</v>
      </c>
      <c r="T161" s="454" t="s">
        <v>162</v>
      </c>
      <c r="U161" s="420" t="s">
        <v>2210</v>
      </c>
      <c r="V161" s="436">
        <v>4.4</v>
      </c>
      <c r="W161" s="458"/>
      <c r="X161" s="438"/>
      <c r="Y161" s="442" t="str">
        <f t="shared" si="176"/>
        <v/>
      </c>
      <c r="Z161" s="442"/>
      <c r="AA161" s="443"/>
      <c r="AB161" s="443"/>
      <c r="AC161" s="469">
        <f>IF(ISNUMBER(VLOOKUP(B161,'New Masses'!A:C,3,FALSE)),VLOOKUP(B161,'New Masses'!A:C,3,FALSE),"")</f>
        <v>0.53496</v>
      </c>
      <c r="AD161" s="423">
        <f t="shared" si="177"/>
        <v>0</v>
      </c>
      <c r="AE161" s="438">
        <v>-10.9</v>
      </c>
      <c r="AF161" s="438"/>
      <c r="AG161" s="459">
        <v>0.06</v>
      </c>
      <c r="AH161" s="438"/>
      <c r="AI161" s="446">
        <f>IF(ISNUMBER(VLOOKUP(B161,'New Masses'!A:C,2, FALSE)),VLOOKUP(B161,'New Masses'!A:C,2, FALSE),"")</f>
        <v>0.038933</v>
      </c>
      <c r="AJ161" s="438"/>
      <c r="AK161" s="438"/>
      <c r="AL161" s="438"/>
      <c r="AM161" s="438"/>
      <c r="AN161" s="436">
        <v>1.0</v>
      </c>
      <c r="AO161" s="438"/>
      <c r="AP161" s="436">
        <v>6.37</v>
      </c>
      <c r="AQ161" s="436">
        <v>0.85</v>
      </c>
      <c r="AR161" s="420" t="s">
        <v>2246</v>
      </c>
      <c r="AS161" s="420"/>
      <c r="AT161" s="438"/>
      <c r="AU161" s="420" t="s">
        <v>206</v>
      </c>
      <c r="AV161" s="438"/>
      <c r="AW161" s="450">
        <v>147.132389724273</v>
      </c>
    </row>
    <row r="162">
      <c r="A162" s="419" t="s">
        <v>238</v>
      </c>
      <c r="B162" s="478" t="s">
        <v>662</v>
      </c>
      <c r="C162" s="428" t="s">
        <v>239</v>
      </c>
      <c r="D162" s="420" t="s">
        <v>199</v>
      </c>
      <c r="E162" s="420"/>
      <c r="F162" s="423" t="s">
        <v>2266</v>
      </c>
      <c r="G162" s="420" t="s">
        <v>169</v>
      </c>
      <c r="H162" s="420" t="s">
        <v>598</v>
      </c>
      <c r="I162" s="467">
        <v>37985.0</v>
      </c>
      <c r="J162" s="436">
        <v>2880.0</v>
      </c>
      <c r="K162" s="436"/>
      <c r="L162" s="420" t="s">
        <v>345</v>
      </c>
      <c r="M162" s="429"/>
      <c r="N162" s="422">
        <v>12.168</v>
      </c>
      <c r="O162" s="422">
        <v>10.332</v>
      </c>
      <c r="P162" s="422"/>
      <c r="Q162" s="420" t="s">
        <v>2194</v>
      </c>
      <c r="R162" s="420" t="s">
        <v>2195</v>
      </c>
      <c r="S162" s="420" t="s">
        <v>2196</v>
      </c>
      <c r="T162" s="420" t="s">
        <v>596</v>
      </c>
      <c r="U162" s="420" t="s">
        <v>597</v>
      </c>
      <c r="V162" s="440"/>
      <c r="W162" s="468"/>
      <c r="X162" s="436"/>
      <c r="Y162" s="442" t="str">
        <f t="shared" si="176"/>
        <v/>
      </c>
      <c r="Z162" s="469"/>
      <c r="AA162" s="470">
        <v>0.94</v>
      </c>
      <c r="AB162" s="470"/>
      <c r="AC162" s="469">
        <f>IF(ISNUMBER(VLOOKUP(B162,'New Masses'!A:C,3,FALSE)),VLOOKUP(B162,'New Masses'!A:C,3,FALSE),"")</f>
        <v>0.53496</v>
      </c>
      <c r="AD162" s="440">
        <f t="shared" si="177"/>
        <v>0</v>
      </c>
      <c r="AE162" s="436">
        <v>-11.3</v>
      </c>
      <c r="AF162" s="438"/>
      <c r="AG162" s="459">
        <v>0.06</v>
      </c>
      <c r="AH162" s="436"/>
      <c r="AI162" s="446">
        <f>IF(ISNUMBER(VLOOKUP(B162,'New Masses'!A:C,2, FALSE)),VLOOKUP(B162,'New Masses'!A:C,2, FALSE),"")</f>
        <v>0.038933</v>
      </c>
      <c r="AJ162" s="436"/>
      <c r="AK162" s="438"/>
      <c r="AL162" s="438"/>
      <c r="AM162" s="438"/>
      <c r="AN162" s="436">
        <v>1.0</v>
      </c>
      <c r="AO162" s="438"/>
      <c r="AP162" s="436">
        <v>6.37</v>
      </c>
      <c r="AQ162" s="436">
        <v>0.85</v>
      </c>
      <c r="AR162" s="420" t="s">
        <v>2246</v>
      </c>
      <c r="AS162" s="420"/>
      <c r="AT162" s="438"/>
      <c r="AU162" s="420" t="s">
        <v>599</v>
      </c>
      <c r="AV162" s="420" t="s">
        <v>2267</v>
      </c>
      <c r="AW162" s="450">
        <v>147.132389724273</v>
      </c>
    </row>
    <row r="163">
      <c r="A163" s="435" t="str">
        <f t="shared" ref="A163:C163" si="178">#REF!</f>
        <v>#REF!</v>
      </c>
      <c r="B163" s="485" t="str">
        <f t="shared" si="178"/>
        <v>#REF!</v>
      </c>
      <c r="C163" s="486" t="str">
        <f t="shared" si="178"/>
        <v>#REF!</v>
      </c>
      <c r="D163" s="486"/>
      <c r="E163" s="486"/>
      <c r="F163" s="528"/>
      <c r="G163" s="486"/>
      <c r="H163" s="486" t="s">
        <v>5917</v>
      </c>
      <c r="I163" s="491"/>
      <c r="J163" s="491"/>
      <c r="K163" s="491"/>
      <c r="L163" s="491"/>
      <c r="M163" s="486"/>
      <c r="N163" s="422"/>
      <c r="O163" s="422"/>
      <c r="P163" s="422"/>
      <c r="Q163" s="486"/>
      <c r="R163" s="491"/>
      <c r="S163" s="491"/>
      <c r="T163" s="491"/>
      <c r="U163" s="491"/>
      <c r="V163" s="491"/>
      <c r="W163" s="493"/>
      <c r="X163" s="486"/>
      <c r="Y163" s="442"/>
      <c r="Z163" s="491"/>
      <c r="AA163" s="524" t="str">
        <f t="shared" ref="AA163:AA165" si="180">#REF!</f>
        <v>#REF!</v>
      </c>
      <c r="AB163" s="494"/>
      <c r="AC163" s="436"/>
      <c r="AD163" s="495"/>
      <c r="AE163" s="491"/>
      <c r="AF163" s="491"/>
      <c r="AG163" s="525" t="str">
        <f t="shared" ref="AG163:AG165" si="181">#REF!</f>
        <v>#REF!</v>
      </c>
      <c r="AH163" s="491"/>
      <c r="AI163" s="446"/>
      <c r="AJ163" s="491"/>
      <c r="AK163" s="500"/>
      <c r="AL163" s="436"/>
      <c r="AM163" s="438"/>
      <c r="AN163" s="531"/>
      <c r="AO163" s="491"/>
      <c r="AP163" s="438"/>
      <c r="AQ163" s="438"/>
      <c r="AR163" s="438"/>
      <c r="AS163" s="438"/>
      <c r="AT163" s="438"/>
      <c r="AU163" s="438"/>
      <c r="AV163" s="438"/>
      <c r="AW163" s="450" t="str">
        <f t="shared" ref="AW163:AW165" si="182">#REF!</f>
        <v>#REF!</v>
      </c>
    </row>
    <row r="164">
      <c r="A164" s="435" t="str">
        <f t="shared" ref="A164:C164" si="179">#REF!</f>
        <v>#REF!</v>
      </c>
      <c r="B164" s="485" t="str">
        <f t="shared" si="179"/>
        <v>#REF!</v>
      </c>
      <c r="C164" s="486" t="str">
        <f t="shared" si="179"/>
        <v>#REF!</v>
      </c>
      <c r="D164" s="486"/>
      <c r="E164" s="486"/>
      <c r="F164" s="528"/>
      <c r="G164" s="486"/>
      <c r="H164" s="486" t="s">
        <v>5917</v>
      </c>
      <c r="I164" s="491"/>
      <c r="J164" s="491"/>
      <c r="K164" s="491"/>
      <c r="L164" s="491"/>
      <c r="M164" s="486"/>
      <c r="N164" s="422"/>
      <c r="O164" s="422"/>
      <c r="P164" s="422"/>
      <c r="Q164" s="486"/>
      <c r="R164" s="491"/>
      <c r="S164" s="491"/>
      <c r="T164" s="491"/>
      <c r="U164" s="491"/>
      <c r="V164" s="491"/>
      <c r="W164" s="493"/>
      <c r="X164" s="486"/>
      <c r="Y164" s="442"/>
      <c r="Z164" s="491"/>
      <c r="AA164" s="524" t="str">
        <f t="shared" si="180"/>
        <v>#REF!</v>
      </c>
      <c r="AB164" s="494"/>
      <c r="AC164" s="436"/>
      <c r="AD164" s="495"/>
      <c r="AE164" s="491"/>
      <c r="AF164" s="491"/>
      <c r="AG164" s="525" t="str">
        <f t="shared" si="181"/>
        <v>#REF!</v>
      </c>
      <c r="AH164" s="491"/>
      <c r="AI164" s="446"/>
      <c r="AJ164" s="491"/>
      <c r="AK164" s="500"/>
      <c r="AL164" s="436"/>
      <c r="AM164" s="438"/>
      <c r="AN164" s="531"/>
      <c r="AO164" s="491"/>
      <c r="AP164" s="438"/>
      <c r="AQ164" s="438"/>
      <c r="AR164" s="438"/>
      <c r="AS164" s="438"/>
      <c r="AT164" s="438"/>
      <c r="AU164" s="438"/>
      <c r="AV164" s="438"/>
      <c r="AW164" s="450" t="str">
        <f t="shared" si="182"/>
        <v>#REF!</v>
      </c>
    </row>
    <row r="165">
      <c r="A165" s="435" t="str">
        <f t="shared" ref="A165:C165" si="183">#REF!</f>
        <v>#REF!</v>
      </c>
      <c r="B165" s="485" t="str">
        <f t="shared" si="183"/>
        <v>#REF!</v>
      </c>
      <c r="C165" s="486" t="str">
        <f t="shared" si="183"/>
        <v>#REF!</v>
      </c>
      <c r="D165" s="486"/>
      <c r="E165" s="486"/>
      <c r="F165" s="528"/>
      <c r="G165" s="486"/>
      <c r="H165" s="486" t="s">
        <v>5917</v>
      </c>
      <c r="I165" s="491"/>
      <c r="J165" s="491"/>
      <c r="K165" s="491"/>
      <c r="L165" s="491"/>
      <c r="M165" s="486"/>
      <c r="N165" s="422"/>
      <c r="O165" s="422"/>
      <c r="P165" s="422"/>
      <c r="Q165" s="486"/>
      <c r="R165" s="491"/>
      <c r="S165" s="491"/>
      <c r="T165" s="491"/>
      <c r="U165" s="491"/>
      <c r="V165" s="491"/>
      <c r="W165" s="493"/>
      <c r="X165" s="486"/>
      <c r="Y165" s="442"/>
      <c r="Z165" s="491"/>
      <c r="AA165" s="524" t="str">
        <f t="shared" si="180"/>
        <v>#REF!</v>
      </c>
      <c r="AB165" s="494"/>
      <c r="AC165" s="436"/>
      <c r="AD165" s="495"/>
      <c r="AE165" s="491"/>
      <c r="AF165" s="491"/>
      <c r="AG165" s="525" t="str">
        <f t="shared" si="181"/>
        <v>#REF!</v>
      </c>
      <c r="AH165" s="491"/>
      <c r="AI165" s="446"/>
      <c r="AJ165" s="491"/>
      <c r="AK165" s="500"/>
      <c r="AL165" s="436"/>
      <c r="AM165" s="438"/>
      <c r="AN165" s="531"/>
      <c r="AO165" s="491"/>
      <c r="AP165" s="438"/>
      <c r="AQ165" s="438"/>
      <c r="AR165" s="438"/>
      <c r="AS165" s="438"/>
      <c r="AT165" s="438"/>
      <c r="AU165" s="438"/>
      <c r="AV165" s="438"/>
      <c r="AW165" s="450" t="str">
        <f t="shared" si="182"/>
        <v>#REF!</v>
      </c>
    </row>
    <row r="166">
      <c r="A166" s="436" t="s">
        <v>333</v>
      </c>
      <c r="B166" s="436" t="s">
        <v>333</v>
      </c>
      <c r="C166" s="438"/>
      <c r="D166" s="420" t="s">
        <v>199</v>
      </c>
      <c r="E166" s="420"/>
      <c r="F166" s="477" t="s">
        <v>2268</v>
      </c>
      <c r="G166" s="420"/>
      <c r="H166" s="420" t="s">
        <v>225</v>
      </c>
      <c r="I166" s="467">
        <v>39044.0</v>
      </c>
      <c r="J166" s="436">
        <v>2752.0</v>
      </c>
      <c r="K166" s="420"/>
      <c r="L166" s="420" t="s">
        <v>334</v>
      </c>
      <c r="M166" s="422">
        <v>0.5</v>
      </c>
      <c r="N166" s="422">
        <v>13.73</v>
      </c>
      <c r="O166" s="422">
        <v>12.22</v>
      </c>
      <c r="P166" s="422"/>
      <c r="Q166" s="420" t="s">
        <v>2239</v>
      </c>
      <c r="R166" s="420" t="s">
        <v>2240</v>
      </c>
      <c r="S166" s="420" t="s">
        <v>307</v>
      </c>
      <c r="T166" s="420" t="s">
        <v>293</v>
      </c>
      <c r="U166" s="420" t="s">
        <v>294</v>
      </c>
      <c r="V166" s="440"/>
      <c r="W166" s="468"/>
      <c r="X166" s="436"/>
      <c r="Y166" s="442" t="str">
        <f t="shared" ref="Y166:Y167" si="184">IF((W166/((J166/5780)^4))^0.5&gt;0,(W166/((J166/5780)^4))^0.5,"")</f>
        <v/>
      </c>
      <c r="Z166" s="469"/>
      <c r="AA166" s="470">
        <v>0.25</v>
      </c>
      <c r="AB166" s="426"/>
      <c r="AC166" s="469">
        <f>IF(ISNUMBER(VLOOKUP(B166,'New Masses'!A:C,3,FALSE)),VLOOKUP(B166,'New Masses'!A:C,3,FALSE),"")</f>
        <v>0.283246</v>
      </c>
      <c r="AD166" s="451">
        <v>1.9E-11</v>
      </c>
      <c r="AE166" s="618">
        <f>log10(AD166)</f>
        <v>-10.7212464</v>
      </c>
      <c r="AF166" s="438"/>
      <c r="AG166" s="459">
        <v>0.035</v>
      </c>
      <c r="AH166" s="421">
        <v>0.017</v>
      </c>
      <c r="AI166" s="446">
        <f>IF(ISNUMBER(VLOOKUP(B166,'New Masses'!A:C,2, FALSE)),VLOOKUP(B166,'New Masses'!A:C,2, FALSE),"")</f>
        <v>0.031573</v>
      </c>
      <c r="AJ166" s="420"/>
      <c r="AK166" s="420"/>
      <c r="AL166" s="436">
        <f>log10(0.000067)</f>
        <v>-4.173925197</v>
      </c>
      <c r="AM166" s="438"/>
      <c r="AN166" s="436">
        <f>10^7/10^6</f>
        <v>10</v>
      </c>
      <c r="AO166" s="438"/>
      <c r="AP166" s="436">
        <v>1.0</v>
      </c>
      <c r="AQ166" s="438"/>
      <c r="AR166" s="420" t="s">
        <v>2241</v>
      </c>
      <c r="AS166" s="420"/>
      <c r="AT166" s="438"/>
      <c r="AU166" s="438"/>
      <c r="AV166" s="438"/>
      <c r="AW166" s="450">
        <v>136.0</v>
      </c>
    </row>
    <row r="167">
      <c r="A167" s="436" t="s">
        <v>333</v>
      </c>
      <c r="B167" s="436" t="s">
        <v>333</v>
      </c>
      <c r="C167" s="438"/>
      <c r="D167" s="420" t="s">
        <v>199</v>
      </c>
      <c r="E167" s="420"/>
      <c r="F167" s="420" t="s">
        <v>2269</v>
      </c>
      <c r="G167" s="420" t="s">
        <v>169</v>
      </c>
      <c r="H167" s="420" t="s">
        <v>598</v>
      </c>
      <c r="I167" s="467">
        <v>37985.0</v>
      </c>
      <c r="J167" s="436">
        <v>2752.0</v>
      </c>
      <c r="K167" s="436"/>
      <c r="L167" s="420" t="s">
        <v>334</v>
      </c>
      <c r="M167" s="422">
        <v>0.25</v>
      </c>
      <c r="N167" s="422">
        <v>13.73</v>
      </c>
      <c r="O167" s="422">
        <v>12.22</v>
      </c>
      <c r="P167" s="422"/>
      <c r="Q167" s="420" t="s">
        <v>2194</v>
      </c>
      <c r="R167" s="420" t="s">
        <v>2195</v>
      </c>
      <c r="S167" s="420" t="s">
        <v>2196</v>
      </c>
      <c r="T167" s="420" t="s">
        <v>596</v>
      </c>
      <c r="U167" s="420" t="s">
        <v>597</v>
      </c>
      <c r="V167" s="440"/>
      <c r="W167" s="468"/>
      <c r="X167" s="436"/>
      <c r="Y167" s="442" t="str">
        <f t="shared" si="184"/>
        <v/>
      </c>
      <c r="Z167" s="469"/>
      <c r="AA167" s="470">
        <v>0.41</v>
      </c>
      <c r="AB167" s="470"/>
      <c r="AC167" s="469">
        <f>IF(ISNUMBER(VLOOKUP(B167,'New Masses'!A:C,3,FALSE)),VLOOKUP(B167,'New Masses'!A:C,3,FALSE),"")</f>
        <v>0.283246</v>
      </c>
      <c r="AD167" s="440">
        <f>10^AE167</f>
        <v>0</v>
      </c>
      <c r="AE167" s="436">
        <v>-11.3</v>
      </c>
      <c r="AF167" s="438"/>
      <c r="AG167" s="459">
        <v>0.035</v>
      </c>
      <c r="AH167" s="436"/>
      <c r="AI167" s="446">
        <f>IF(ISNUMBER(VLOOKUP(B167,'New Masses'!A:C,2, FALSE)),VLOOKUP(B167,'New Masses'!A:C,2, FALSE),"")</f>
        <v>0.031573</v>
      </c>
      <c r="AJ167" s="436"/>
      <c r="AK167" s="438"/>
      <c r="AL167" s="438"/>
      <c r="AM167" s="438"/>
      <c r="AN167" s="436">
        <v>1.0</v>
      </c>
      <c r="AO167" s="438"/>
      <c r="AP167" s="436">
        <v>1.0</v>
      </c>
      <c r="AQ167" s="438"/>
      <c r="AR167" s="420" t="s">
        <v>2241</v>
      </c>
      <c r="AS167" s="420"/>
      <c r="AT167" s="438"/>
      <c r="AU167" s="420" t="s">
        <v>599</v>
      </c>
      <c r="AV167" s="438"/>
      <c r="AW167" s="450">
        <v>136.0</v>
      </c>
    </row>
    <row r="168">
      <c r="A168" s="435" t="str">
        <f t="shared" ref="A168:C168" si="185">#REF!</f>
        <v>#REF!</v>
      </c>
      <c r="B168" s="485" t="str">
        <f t="shared" si="185"/>
        <v>#REF!</v>
      </c>
      <c r="C168" s="486" t="str">
        <f t="shared" si="185"/>
        <v>#REF!</v>
      </c>
      <c r="D168" s="486"/>
      <c r="E168" s="486"/>
      <c r="F168" s="528"/>
      <c r="G168" s="486"/>
      <c r="H168" s="486" t="s">
        <v>5917</v>
      </c>
      <c r="I168" s="491"/>
      <c r="J168" s="491"/>
      <c r="K168" s="491"/>
      <c r="L168" s="491"/>
      <c r="M168" s="486"/>
      <c r="N168" s="422"/>
      <c r="O168" s="422"/>
      <c r="P168" s="422"/>
      <c r="Q168" s="486"/>
      <c r="R168" s="491"/>
      <c r="S168" s="491"/>
      <c r="T168" s="491"/>
      <c r="U168" s="491"/>
      <c r="V168" s="491"/>
      <c r="W168" s="493"/>
      <c r="X168" s="486"/>
      <c r="Y168" s="442"/>
      <c r="Z168" s="491"/>
      <c r="AA168" s="524" t="str">
        <f t="shared" ref="AA168:AA169" si="187">#REF!</f>
        <v>#REF!</v>
      </c>
      <c r="AB168" s="494"/>
      <c r="AC168" s="436"/>
      <c r="AD168" s="495"/>
      <c r="AE168" s="491"/>
      <c r="AF168" s="491"/>
      <c r="AG168" s="525" t="str">
        <f t="shared" ref="AG168:AG169" si="188">#REF!</f>
        <v>#REF!</v>
      </c>
      <c r="AH168" s="491"/>
      <c r="AI168" s="446"/>
      <c r="AJ168" s="491"/>
      <c r="AK168" s="500"/>
      <c r="AL168" s="436"/>
      <c r="AM168" s="438"/>
      <c r="AN168" s="531"/>
      <c r="AO168" s="491"/>
      <c r="AP168" s="438"/>
      <c r="AQ168" s="438"/>
      <c r="AR168" s="438"/>
      <c r="AS168" s="438"/>
      <c r="AT168" s="438"/>
      <c r="AU168" s="438"/>
      <c r="AV168" s="438"/>
      <c r="AW168" s="450" t="str">
        <f t="shared" ref="AW168:AW169" si="189">#REF!</f>
        <v>#REF!</v>
      </c>
    </row>
    <row r="169">
      <c r="A169" s="435" t="str">
        <f t="shared" ref="A169:C169" si="186">#REF!</f>
        <v>#REF!</v>
      </c>
      <c r="B169" s="485" t="str">
        <f t="shared" si="186"/>
        <v>#REF!</v>
      </c>
      <c r="C169" s="486" t="str">
        <f t="shared" si="186"/>
        <v>#REF!</v>
      </c>
      <c r="D169" s="486"/>
      <c r="E169" s="486"/>
      <c r="F169" s="528"/>
      <c r="G169" s="486"/>
      <c r="H169" s="486" t="s">
        <v>5917</v>
      </c>
      <c r="I169" s="491"/>
      <c r="J169" s="491"/>
      <c r="K169" s="491"/>
      <c r="L169" s="491"/>
      <c r="M169" s="486"/>
      <c r="N169" s="422"/>
      <c r="O169" s="422"/>
      <c r="P169" s="422"/>
      <c r="Q169" s="486"/>
      <c r="R169" s="491"/>
      <c r="S169" s="491"/>
      <c r="T169" s="491"/>
      <c r="U169" s="491"/>
      <c r="V169" s="491"/>
      <c r="W169" s="493"/>
      <c r="X169" s="486"/>
      <c r="Y169" s="442"/>
      <c r="Z169" s="491"/>
      <c r="AA169" s="524" t="str">
        <f t="shared" si="187"/>
        <v>#REF!</v>
      </c>
      <c r="AB169" s="494"/>
      <c r="AC169" s="436"/>
      <c r="AD169" s="495"/>
      <c r="AE169" s="491"/>
      <c r="AF169" s="491"/>
      <c r="AG169" s="525" t="str">
        <f t="shared" si="188"/>
        <v>#REF!</v>
      </c>
      <c r="AH169" s="491"/>
      <c r="AI169" s="446"/>
      <c r="AJ169" s="491"/>
      <c r="AK169" s="500"/>
      <c r="AL169" s="436"/>
      <c r="AM169" s="438"/>
      <c r="AN169" s="531"/>
      <c r="AO169" s="491"/>
      <c r="AP169" s="438"/>
      <c r="AQ169" s="438"/>
      <c r="AR169" s="438"/>
      <c r="AS169" s="438"/>
      <c r="AT169" s="438"/>
      <c r="AU169" s="438"/>
      <c r="AV169" s="438"/>
      <c r="AW169" s="450" t="str">
        <f t="shared" si="189"/>
        <v>#REF!</v>
      </c>
    </row>
    <row r="170">
      <c r="A170" s="436" t="s">
        <v>335</v>
      </c>
      <c r="B170" s="436" t="s">
        <v>335</v>
      </c>
      <c r="C170" s="438"/>
      <c r="D170" s="420" t="s">
        <v>199</v>
      </c>
      <c r="E170" s="420"/>
      <c r="F170" s="477" t="s">
        <v>2270</v>
      </c>
      <c r="G170" s="420"/>
      <c r="H170" s="420" t="s">
        <v>225</v>
      </c>
      <c r="I170" s="467">
        <v>39044.0</v>
      </c>
      <c r="J170" s="436">
        <v>2838.0</v>
      </c>
      <c r="K170" s="420"/>
      <c r="L170" s="420" t="s">
        <v>237</v>
      </c>
      <c r="M170" s="422">
        <v>0.5</v>
      </c>
      <c r="N170" s="422">
        <v>12.195</v>
      </c>
      <c r="O170" s="422">
        <v>10.761</v>
      </c>
      <c r="P170" s="422"/>
      <c r="Q170" s="420" t="s">
        <v>2239</v>
      </c>
      <c r="R170" s="420" t="s">
        <v>2240</v>
      </c>
      <c r="S170" s="420" t="s">
        <v>307</v>
      </c>
      <c r="T170" s="420" t="s">
        <v>293</v>
      </c>
      <c r="U170" s="420" t="s">
        <v>294</v>
      </c>
      <c r="V170" s="440"/>
      <c r="W170" s="468"/>
      <c r="X170" s="436"/>
      <c r="Y170" s="442" t="str">
        <f>IF((W170/((J170/5780)^4))^0.5&gt;0,(W170/((J170/5780)^4))^0.5,"")</f>
        <v/>
      </c>
      <c r="Z170" s="469"/>
      <c r="AA170" s="470">
        <v>0.45</v>
      </c>
      <c r="AB170" s="426"/>
      <c r="AC170" s="436" t="str">
        <f>IF(ISNUMBER(VLOOKUP(B170,'New Masses'!A:C,3,FALSE)),VLOOKUP(B170,'New Masses'!A:C,3,FALSE),"")</f>
        <v/>
      </c>
      <c r="AD170" s="451">
        <v>9.2E-12</v>
      </c>
      <c r="AE170" s="618">
        <f>log10(AD170)</f>
        <v>-11.03621217</v>
      </c>
      <c r="AF170" s="438"/>
      <c r="AG170" s="459">
        <v>0.05</v>
      </c>
      <c r="AH170" s="421">
        <v>0.024</v>
      </c>
      <c r="AI170" s="446" t="str">
        <f>IF(ISNUMBER(VLOOKUP(B170,'New Masses'!A:C,2, FALSE)),VLOOKUP(B170,'New Masses'!A:C,2, FALSE),"")</f>
        <v/>
      </c>
      <c r="AJ170" s="420"/>
      <c r="AK170" s="420"/>
      <c r="AL170" s="436">
        <f>log10(0.000026)</f>
        <v>-4.585026652</v>
      </c>
      <c r="AM170" s="438"/>
      <c r="AN170" s="436">
        <f>10^6.6/10^6</f>
        <v>3.981071706</v>
      </c>
      <c r="AO170" s="438"/>
      <c r="AP170" s="438"/>
      <c r="AQ170" s="438"/>
      <c r="AR170" s="438"/>
      <c r="AS170" s="438"/>
      <c r="AT170" s="438"/>
      <c r="AU170" s="438"/>
      <c r="AV170" s="438"/>
      <c r="AW170" s="450">
        <v>141.0</v>
      </c>
    </row>
    <row r="171">
      <c r="A171" s="435" t="str">
        <f t="shared" ref="A171:C171" si="190">#REF!</f>
        <v>#REF!</v>
      </c>
      <c r="B171" s="485" t="str">
        <f t="shared" si="190"/>
        <v>#REF!</v>
      </c>
      <c r="C171" s="486" t="str">
        <f t="shared" si="190"/>
        <v>#REF!</v>
      </c>
      <c r="D171" s="486"/>
      <c r="E171" s="486"/>
      <c r="F171" s="528"/>
      <c r="G171" s="486"/>
      <c r="H171" s="486" t="s">
        <v>5917</v>
      </c>
      <c r="I171" s="491"/>
      <c r="J171" s="491"/>
      <c r="K171" s="491"/>
      <c r="L171" s="491"/>
      <c r="M171" s="486"/>
      <c r="N171" s="422"/>
      <c r="O171" s="422"/>
      <c r="P171" s="422"/>
      <c r="Q171" s="486"/>
      <c r="R171" s="491"/>
      <c r="S171" s="491"/>
      <c r="T171" s="491"/>
      <c r="U171" s="491"/>
      <c r="V171" s="491"/>
      <c r="W171" s="493"/>
      <c r="X171" s="486"/>
      <c r="Y171" s="442"/>
      <c r="Z171" s="491"/>
      <c r="AA171" s="524" t="str">
        <f>#REF!</f>
        <v>#REF!</v>
      </c>
      <c r="AB171" s="494"/>
      <c r="AC171" s="436"/>
      <c r="AD171" s="495"/>
      <c r="AE171" s="491"/>
      <c r="AF171" s="491"/>
      <c r="AG171" s="525" t="str">
        <f>#REF!</f>
        <v>#REF!</v>
      </c>
      <c r="AH171" s="491"/>
      <c r="AI171" s="446"/>
      <c r="AJ171" s="491"/>
      <c r="AK171" s="500"/>
      <c r="AL171" s="436"/>
      <c r="AM171" s="438"/>
      <c r="AN171" s="531"/>
      <c r="AO171" s="491"/>
      <c r="AP171" s="438"/>
      <c r="AQ171" s="438"/>
      <c r="AR171" s="438"/>
      <c r="AS171" s="438"/>
      <c r="AT171" s="438"/>
      <c r="AU171" s="438"/>
      <c r="AV171" s="438"/>
      <c r="AW171" s="450" t="str">
        <f>#REF!</f>
        <v>#REF!</v>
      </c>
    </row>
    <row r="172">
      <c r="A172" s="419" t="s">
        <v>445</v>
      </c>
      <c r="B172" s="419" t="s">
        <v>446</v>
      </c>
      <c r="C172" s="419"/>
      <c r="D172" s="436" t="s">
        <v>199</v>
      </c>
      <c r="E172" s="436"/>
      <c r="F172" s="436" t="s">
        <v>2271</v>
      </c>
      <c r="G172" s="436" t="s">
        <v>169</v>
      </c>
      <c r="H172" s="436" t="s">
        <v>413</v>
      </c>
      <c r="I172" s="456">
        <v>35400.0</v>
      </c>
      <c r="J172" s="438"/>
      <c r="K172" s="438"/>
      <c r="L172" s="436" t="s">
        <v>434</v>
      </c>
      <c r="M172" s="439"/>
      <c r="N172" s="422">
        <v>9.341</v>
      </c>
      <c r="O172" s="422">
        <v>8.283</v>
      </c>
      <c r="P172" s="422"/>
      <c r="Q172" s="436" t="s">
        <v>2189</v>
      </c>
      <c r="R172" s="436" t="s">
        <v>2257</v>
      </c>
      <c r="S172" s="436" t="s">
        <v>414</v>
      </c>
      <c r="T172" s="436" t="s">
        <v>293</v>
      </c>
      <c r="U172" s="436" t="s">
        <v>294</v>
      </c>
      <c r="V172" s="440"/>
      <c r="W172" s="468"/>
      <c r="X172" s="436"/>
      <c r="Y172" s="442"/>
      <c r="Z172" s="469"/>
      <c r="AA172" s="470">
        <v>1.78</v>
      </c>
      <c r="AB172" s="470"/>
      <c r="AC172" s="436" t="str">
        <f>IF(ISNUMBER(VLOOKUP(B172,'New Masses'!A:C,3,FALSE)),VLOOKUP(B172,'New Masses'!A:C,3,FALSE),"")</f>
        <v/>
      </c>
      <c r="AD172" s="451">
        <v>9.6E-9</v>
      </c>
      <c r="AE172" s="438">
        <f>LOG10(AD172)</f>
        <v>-8.017728767</v>
      </c>
      <c r="AF172" s="438"/>
      <c r="AG172" s="459">
        <v>0.524</v>
      </c>
      <c r="AH172" s="436"/>
      <c r="AI172" s="446" t="str">
        <f>IF(ISNUMBER(VLOOKUP(B172,'New Masses'!A:C,2, FALSE)),VLOOKUP(B172,'New Masses'!A:C,2, FALSE),"")</f>
        <v/>
      </c>
      <c r="AJ172" s="436"/>
      <c r="AK172" s="436"/>
      <c r="AL172" s="436">
        <v>0.071</v>
      </c>
      <c r="AM172" s="438"/>
      <c r="AN172" s="436">
        <v>1.0</v>
      </c>
      <c r="AO172" s="438"/>
      <c r="AP172" s="438"/>
      <c r="AQ172" s="438"/>
      <c r="AR172" s="438"/>
      <c r="AS172" s="438"/>
      <c r="AT172" s="438"/>
      <c r="AU172" s="438"/>
      <c r="AV172" s="438"/>
      <c r="AW172" s="450">
        <v>159.637304045209</v>
      </c>
    </row>
    <row r="173">
      <c r="A173" s="435" t="str">
        <f t="shared" ref="A173:C173" si="191">#REF!</f>
        <v>#REF!</v>
      </c>
      <c r="B173" s="485" t="str">
        <f t="shared" si="191"/>
        <v>#REF!</v>
      </c>
      <c r="C173" s="486" t="str">
        <f t="shared" si="191"/>
        <v>#REF!</v>
      </c>
      <c r="D173" s="486"/>
      <c r="E173" s="486"/>
      <c r="F173" s="528"/>
      <c r="G173" s="486"/>
      <c r="H173" s="486" t="s">
        <v>5917</v>
      </c>
      <c r="I173" s="491"/>
      <c r="J173" s="491"/>
      <c r="K173" s="491"/>
      <c r="L173" s="491"/>
      <c r="M173" s="486"/>
      <c r="N173" s="422"/>
      <c r="O173" s="422"/>
      <c r="P173" s="422"/>
      <c r="Q173" s="486"/>
      <c r="R173" s="491"/>
      <c r="S173" s="491"/>
      <c r="T173" s="491"/>
      <c r="U173" s="491"/>
      <c r="V173" s="491"/>
      <c r="W173" s="493"/>
      <c r="X173" s="486"/>
      <c r="Y173" s="442"/>
      <c r="Z173" s="491"/>
      <c r="AA173" s="524" t="str">
        <f>#REF!</f>
        <v>#REF!</v>
      </c>
      <c r="AB173" s="494"/>
      <c r="AC173" s="436"/>
      <c r="AD173" s="495"/>
      <c r="AE173" s="491"/>
      <c r="AF173" s="491"/>
      <c r="AG173" s="525" t="str">
        <f>#REF!</f>
        <v>#REF!</v>
      </c>
      <c r="AH173" s="491"/>
      <c r="AI173" s="446"/>
      <c r="AJ173" s="491"/>
      <c r="AK173" s="500"/>
      <c r="AL173" s="436"/>
      <c r="AM173" s="438"/>
      <c r="AN173" s="531"/>
      <c r="AO173" s="491"/>
      <c r="AP173" s="438"/>
      <c r="AQ173" s="438"/>
      <c r="AR173" s="438"/>
      <c r="AS173" s="438"/>
      <c r="AT173" s="438"/>
      <c r="AU173" s="438"/>
      <c r="AV173" s="438"/>
      <c r="AW173" s="450" t="str">
        <f>#REF!</f>
        <v>#REF!</v>
      </c>
    </row>
    <row r="174">
      <c r="A174" s="419" t="s">
        <v>396</v>
      </c>
      <c r="B174" s="419" t="s">
        <v>396</v>
      </c>
      <c r="C174" s="436"/>
      <c r="D174" s="436" t="s">
        <v>199</v>
      </c>
      <c r="E174" s="436"/>
      <c r="F174" s="436" t="s">
        <v>2272</v>
      </c>
      <c r="G174" s="436" t="s">
        <v>159</v>
      </c>
      <c r="H174" s="436" t="s">
        <v>598</v>
      </c>
      <c r="I174" s="467">
        <v>37985.0</v>
      </c>
      <c r="J174" s="436">
        <v>3161.0</v>
      </c>
      <c r="K174" s="436"/>
      <c r="L174" s="436" t="s">
        <v>398</v>
      </c>
      <c r="M174" s="439"/>
      <c r="N174" s="422">
        <v>11.051</v>
      </c>
      <c r="O174" s="422">
        <v>9.984</v>
      </c>
      <c r="P174" s="422"/>
      <c r="Q174" s="436" t="s">
        <v>2194</v>
      </c>
      <c r="R174" s="436" t="s">
        <v>2195</v>
      </c>
      <c r="S174" s="436" t="s">
        <v>2196</v>
      </c>
      <c r="T174" s="436" t="s">
        <v>596</v>
      </c>
      <c r="U174" s="436" t="s">
        <v>597</v>
      </c>
      <c r="V174" s="451"/>
      <c r="W174" s="468"/>
      <c r="X174" s="436"/>
      <c r="Y174" s="442" t="str">
        <f>IF((W174/((J174/5780)^4))^0.5&gt;0,(W174/((J174/5780)^4))^0.5,"")</f>
        <v/>
      </c>
      <c r="Z174" s="469"/>
      <c r="AA174" s="470">
        <v>1.0</v>
      </c>
      <c r="AB174" s="470"/>
      <c r="AC174" s="436" t="str">
        <f>IF(ISNUMBER(VLOOKUP(B174,'New Masses'!A:C,3,FALSE)),VLOOKUP(B174,'New Masses'!A:C,3,FALSE),"")</f>
        <v/>
      </c>
      <c r="AD174" s="440"/>
      <c r="AE174" s="436"/>
      <c r="AF174" s="436"/>
      <c r="AG174" s="459">
        <v>0.2</v>
      </c>
      <c r="AH174" s="436"/>
      <c r="AI174" s="446" t="str">
        <f>IF(ISNUMBER(VLOOKUP(B174,'New Masses'!A:C,2, FALSE)),VLOOKUP(B174,'New Masses'!A:C,2, FALSE),"")</f>
        <v/>
      </c>
      <c r="AJ174" s="436"/>
      <c r="AK174" s="436"/>
      <c r="AL174" s="436"/>
      <c r="AM174" s="436"/>
      <c r="AN174" s="436">
        <v>1.0</v>
      </c>
      <c r="AO174" s="436"/>
      <c r="AP174" s="436"/>
      <c r="AQ174" s="436"/>
      <c r="AR174" s="438"/>
      <c r="AS174" s="438"/>
      <c r="AT174" s="438"/>
      <c r="AU174" s="438" t="s">
        <v>599</v>
      </c>
      <c r="AV174" s="438"/>
      <c r="AW174" s="450">
        <v>156.737355213868</v>
      </c>
    </row>
    <row r="175">
      <c r="A175" s="435" t="str">
        <f t="shared" ref="A175:C175" si="192">#REF!</f>
        <v>#REF!</v>
      </c>
      <c r="B175" s="485" t="str">
        <f t="shared" si="192"/>
        <v>#REF!</v>
      </c>
      <c r="C175" s="486" t="str">
        <f t="shared" si="192"/>
        <v>#REF!</v>
      </c>
      <c r="D175" s="486"/>
      <c r="E175" s="486"/>
      <c r="F175" s="528"/>
      <c r="G175" s="486"/>
      <c r="H175" s="486" t="s">
        <v>5917</v>
      </c>
      <c r="I175" s="491"/>
      <c r="J175" s="491"/>
      <c r="K175" s="491"/>
      <c r="L175" s="491"/>
      <c r="M175" s="486"/>
      <c r="N175" s="422"/>
      <c r="O175" s="422"/>
      <c r="P175" s="422"/>
      <c r="Q175" s="486"/>
      <c r="R175" s="491"/>
      <c r="S175" s="491"/>
      <c r="T175" s="491"/>
      <c r="U175" s="491"/>
      <c r="V175" s="491"/>
      <c r="W175" s="493"/>
      <c r="X175" s="486"/>
      <c r="Y175" s="442"/>
      <c r="Z175" s="491"/>
      <c r="AA175" s="524" t="str">
        <f>#REF!</f>
        <v>#REF!</v>
      </c>
      <c r="AB175" s="494"/>
      <c r="AC175" s="436"/>
      <c r="AD175" s="495"/>
      <c r="AE175" s="491"/>
      <c r="AF175" s="491"/>
      <c r="AG175" s="525" t="str">
        <f>#REF!</f>
        <v>#REF!</v>
      </c>
      <c r="AH175" s="491"/>
      <c r="AI175" s="446"/>
      <c r="AJ175" s="491"/>
      <c r="AK175" s="500"/>
      <c r="AL175" s="436"/>
      <c r="AM175" s="438"/>
      <c r="AN175" s="531"/>
      <c r="AO175" s="491"/>
      <c r="AP175" s="438"/>
      <c r="AQ175" s="438"/>
      <c r="AR175" s="438"/>
      <c r="AS175" s="438"/>
      <c r="AT175" s="438"/>
      <c r="AU175" s="438"/>
      <c r="AV175" s="438"/>
      <c r="AW175" s="450" t="str">
        <f>#REF!</f>
        <v>#REF!</v>
      </c>
    </row>
    <row r="176">
      <c r="A176" s="436" t="s">
        <v>673</v>
      </c>
      <c r="B176" s="436" t="s">
        <v>673</v>
      </c>
      <c r="C176" s="438"/>
      <c r="D176" s="420" t="s">
        <v>199</v>
      </c>
      <c r="E176" s="420"/>
      <c r="F176" s="420" t="s">
        <v>2273</v>
      </c>
      <c r="G176" s="420" t="s">
        <v>169</v>
      </c>
      <c r="H176" s="420" t="s">
        <v>598</v>
      </c>
      <c r="I176" s="467">
        <v>37985.0</v>
      </c>
      <c r="J176" s="436">
        <v>3014.0</v>
      </c>
      <c r="K176" s="436"/>
      <c r="L176" s="420" t="s">
        <v>674</v>
      </c>
      <c r="M176" s="422">
        <v>0.25</v>
      </c>
      <c r="N176" s="422">
        <v>13.18</v>
      </c>
      <c r="O176" s="422">
        <v>12.155</v>
      </c>
      <c r="P176" s="422"/>
      <c r="Q176" s="420" t="s">
        <v>2194</v>
      </c>
      <c r="R176" s="420" t="s">
        <v>2195</v>
      </c>
      <c r="S176" s="420" t="s">
        <v>2196</v>
      </c>
      <c r="T176" s="420" t="s">
        <v>596</v>
      </c>
      <c r="U176" s="420" t="s">
        <v>597</v>
      </c>
      <c r="V176" s="440"/>
      <c r="W176" s="468"/>
      <c r="X176" s="436"/>
      <c r="Y176" s="442" t="str">
        <f>IF((W176/((J176/5780)^4))^0.5&gt;0,(W176/((J176/5780)^4))^0.5,"")</f>
        <v/>
      </c>
      <c r="Z176" s="469"/>
      <c r="AA176" s="470">
        <v>0.44</v>
      </c>
      <c r="AB176" s="470"/>
      <c r="AC176" s="469">
        <f>IF(ISNUMBER(VLOOKUP(B176,'New Masses'!A:C,3,FALSE)),VLOOKUP(B176,'New Masses'!A:C,3,FALSE),"")</f>
        <v>0.690178</v>
      </c>
      <c r="AD176" s="440">
        <f>10^AE176</f>
        <v>0</v>
      </c>
      <c r="AE176" s="436">
        <v>-12.0</v>
      </c>
      <c r="AF176" s="438"/>
      <c r="AG176" s="459">
        <v>0.075</v>
      </c>
      <c r="AH176" s="436"/>
      <c r="AI176" s="446">
        <f>IF(ISNUMBER(VLOOKUP(B176,'New Masses'!A:C,2, FALSE)),VLOOKUP(B176,'New Masses'!A:C,2, FALSE),"")</f>
        <v>0.058417</v>
      </c>
      <c r="AJ176" s="436"/>
      <c r="AK176" s="438"/>
      <c r="AL176" s="438"/>
      <c r="AM176" s="438"/>
      <c r="AN176" s="436">
        <v>1.0</v>
      </c>
      <c r="AO176" s="438"/>
      <c r="AP176" s="436">
        <v>1.0</v>
      </c>
      <c r="AQ176" s="420"/>
      <c r="AR176" s="420" t="s">
        <v>2241</v>
      </c>
      <c r="AS176" s="420"/>
      <c r="AT176" s="420" t="s">
        <v>5916</v>
      </c>
      <c r="AU176" s="438"/>
      <c r="AV176" s="438"/>
      <c r="AW176" s="450">
        <v>164.828825264962</v>
      </c>
    </row>
    <row r="177">
      <c r="A177" s="435" t="str">
        <f t="shared" ref="A177:C177" si="193">#REF!</f>
        <v>#REF!</v>
      </c>
      <c r="B177" s="485" t="str">
        <f t="shared" si="193"/>
        <v>#REF!</v>
      </c>
      <c r="C177" s="486" t="str">
        <f t="shared" si="193"/>
        <v>#REF!</v>
      </c>
      <c r="D177" s="486"/>
      <c r="E177" s="486"/>
      <c r="F177" s="528"/>
      <c r="G177" s="486"/>
      <c r="H177" s="486" t="s">
        <v>5917</v>
      </c>
      <c r="I177" s="491"/>
      <c r="J177" s="491"/>
      <c r="K177" s="491"/>
      <c r="L177" s="491"/>
      <c r="M177" s="486"/>
      <c r="N177" s="422"/>
      <c r="O177" s="422"/>
      <c r="P177" s="422"/>
      <c r="Q177" s="486"/>
      <c r="R177" s="491"/>
      <c r="S177" s="491"/>
      <c r="T177" s="491"/>
      <c r="U177" s="491"/>
      <c r="V177" s="491"/>
      <c r="W177" s="493"/>
      <c r="X177" s="486"/>
      <c r="Y177" s="442"/>
      <c r="Z177" s="491"/>
      <c r="AA177" s="524" t="str">
        <f>#REF!</f>
        <v>#REF!</v>
      </c>
      <c r="AB177" s="494"/>
      <c r="AC177" s="436"/>
      <c r="AD177" s="495"/>
      <c r="AE177" s="491"/>
      <c r="AF177" s="491"/>
      <c r="AG177" s="525" t="str">
        <f>#REF!</f>
        <v>#REF!</v>
      </c>
      <c r="AH177" s="491"/>
      <c r="AI177" s="446"/>
      <c r="AJ177" s="491"/>
      <c r="AK177" s="500"/>
      <c r="AL177" s="436"/>
      <c r="AM177" s="438"/>
      <c r="AN177" s="531"/>
      <c r="AO177" s="491"/>
      <c r="AP177" s="438"/>
      <c r="AQ177" s="438"/>
      <c r="AR177" s="438"/>
      <c r="AS177" s="438"/>
      <c r="AT177" s="438"/>
      <c r="AU177" s="438"/>
      <c r="AV177" s="438"/>
      <c r="AW177" s="450" t="str">
        <f>#REF!</f>
        <v>#REF!</v>
      </c>
    </row>
    <row r="178">
      <c r="A178" s="435" t="s">
        <v>1664</v>
      </c>
      <c r="B178" s="436" t="s">
        <v>1665</v>
      </c>
      <c r="C178" s="436"/>
      <c r="D178" s="436" t="s">
        <v>350</v>
      </c>
      <c r="E178" s="436"/>
      <c r="F178" s="436" t="s">
        <v>2274</v>
      </c>
      <c r="G178" s="437" t="s">
        <v>169</v>
      </c>
      <c r="H178" s="437" t="s">
        <v>702</v>
      </c>
      <c r="I178" s="437" t="s">
        <v>1999</v>
      </c>
      <c r="J178" s="437">
        <v>3100.0</v>
      </c>
      <c r="K178" s="438"/>
      <c r="L178" s="436" t="s">
        <v>1285</v>
      </c>
      <c r="M178" s="439"/>
      <c r="N178" s="422">
        <v>12.824</v>
      </c>
      <c r="O178" s="422">
        <v>11.931</v>
      </c>
      <c r="P178" s="422">
        <v>15.57</v>
      </c>
      <c r="Q178" s="436" t="s">
        <v>1632</v>
      </c>
      <c r="R178" s="438"/>
      <c r="S178" s="436" t="s">
        <v>2000</v>
      </c>
      <c r="T178" s="436" t="s">
        <v>1632</v>
      </c>
      <c r="U178" s="436" t="s">
        <v>1633</v>
      </c>
      <c r="V178" s="440"/>
      <c r="W178" s="441">
        <v>0.09</v>
      </c>
      <c r="X178" s="438"/>
      <c r="Y178" s="442">
        <f t="shared" ref="Y178:Y179" si="194">IF((W178/((J178/5780)^4))^0.5&gt;0,(W178/((J178/5780)^4))^0.5,"")</f>
        <v>1.042926119</v>
      </c>
      <c r="Z178" s="442"/>
      <c r="AA178" s="443"/>
      <c r="AB178" s="443"/>
      <c r="AC178" s="436" t="str">
        <f>IF(ISNUMBER(VLOOKUP(B178,'New Masses'!A:C,3,FALSE)),VLOOKUP(B178,'New Masses'!A:C,3,FALSE),"")</f>
        <v/>
      </c>
      <c r="AD178" s="440">
        <f t="shared" ref="AD178:AD179" si="195">10^AE178</f>
        <v>0.0000000002454708916</v>
      </c>
      <c r="AE178" s="437">
        <v>-9.61</v>
      </c>
      <c r="AF178" s="438"/>
      <c r="AG178" s="445">
        <v>0.15</v>
      </c>
      <c r="AH178" s="438"/>
      <c r="AI178" s="446" t="str">
        <f>IF(ISNUMBER(VLOOKUP(B178,'New Masses'!A:C,2, FALSE)),VLOOKUP(B178,'New Masses'!A:C,2, FALSE),"")</f>
        <v/>
      </c>
      <c r="AJ178" s="438"/>
      <c r="AK178" s="437"/>
      <c r="AL178" s="447">
        <v>-3.07</v>
      </c>
      <c r="AM178" s="438"/>
      <c r="AN178" s="436">
        <v>3.0</v>
      </c>
      <c r="AO178" s="438"/>
      <c r="AP178" s="438"/>
      <c r="AQ178" s="436"/>
      <c r="AR178" s="438"/>
      <c r="AS178" s="438"/>
      <c r="AT178" s="438"/>
      <c r="AU178" s="438" t="s">
        <v>705</v>
      </c>
      <c r="AV178" s="438"/>
      <c r="AW178" s="450">
        <v>349.198589237699</v>
      </c>
    </row>
    <row r="179">
      <c r="A179" s="435" t="s">
        <v>1664</v>
      </c>
      <c r="B179" s="436" t="s">
        <v>1717</v>
      </c>
      <c r="C179" s="436"/>
      <c r="D179" s="436" t="s">
        <v>350</v>
      </c>
      <c r="E179" s="436"/>
      <c r="F179" s="436" t="s">
        <v>2275</v>
      </c>
      <c r="G179" s="437" t="s">
        <v>712</v>
      </c>
      <c r="H179" s="437" t="s">
        <v>702</v>
      </c>
      <c r="I179" s="437" t="s">
        <v>1999</v>
      </c>
      <c r="J179" s="437">
        <v>3400.0</v>
      </c>
      <c r="K179" s="438"/>
      <c r="L179" s="438"/>
      <c r="M179" s="453"/>
      <c r="N179" s="422">
        <v>12.824</v>
      </c>
      <c r="O179" s="422">
        <v>11.931</v>
      </c>
      <c r="P179" s="422">
        <v>15.57</v>
      </c>
      <c r="Q179" s="436" t="s">
        <v>1632</v>
      </c>
      <c r="R179" s="438"/>
      <c r="S179" s="436" t="s">
        <v>2000</v>
      </c>
      <c r="T179" s="436" t="s">
        <v>1632</v>
      </c>
      <c r="U179" s="436" t="s">
        <v>1633</v>
      </c>
      <c r="V179" s="451"/>
      <c r="W179" s="441">
        <v>0.14</v>
      </c>
      <c r="X179" s="438"/>
      <c r="Y179" s="442">
        <f t="shared" si="194"/>
        <v>1.081338985</v>
      </c>
      <c r="Z179" s="442"/>
      <c r="AA179" s="443"/>
      <c r="AB179" s="443"/>
      <c r="AC179" s="436" t="str">
        <f>IF(ISNUMBER(VLOOKUP(B179,'New Masses'!A:C,3,FALSE)),VLOOKUP(B179,'New Masses'!A:C,3,FALSE),"")</f>
        <v/>
      </c>
      <c r="AD179" s="440">
        <f t="shared" si="195"/>
        <v>0.0000000001513561248</v>
      </c>
      <c r="AE179" s="437">
        <v>-9.82</v>
      </c>
      <c r="AF179" s="438"/>
      <c r="AG179" s="445">
        <v>0.35</v>
      </c>
      <c r="AH179" s="438"/>
      <c r="AI179" s="446" t="str">
        <f>IF(ISNUMBER(VLOOKUP(B179,'New Masses'!A:C,2, FALSE)),VLOOKUP(B179,'New Masses'!A:C,2, FALSE),"")</f>
        <v/>
      </c>
      <c r="AJ179" s="438"/>
      <c r="AK179" s="437"/>
      <c r="AL179" s="447">
        <v>-2.93</v>
      </c>
      <c r="AM179" s="438"/>
      <c r="AN179" s="436">
        <v>3.0</v>
      </c>
      <c r="AO179" s="438"/>
      <c r="AP179" s="438"/>
      <c r="AQ179" s="436"/>
      <c r="AR179" s="438"/>
      <c r="AS179" s="438"/>
      <c r="AT179" s="438"/>
      <c r="AU179" s="480" t="s">
        <v>1718</v>
      </c>
      <c r="AV179" s="480"/>
      <c r="AW179" s="450">
        <v>349.198589237699</v>
      </c>
    </row>
    <row r="180">
      <c r="A180" s="435" t="str">
        <f t="shared" ref="A180:C180" si="196">#REF!</f>
        <v>#REF!</v>
      </c>
      <c r="B180" s="485" t="str">
        <f t="shared" si="196"/>
        <v>#REF!</v>
      </c>
      <c r="C180" s="486" t="str">
        <f t="shared" si="196"/>
        <v>#REF!</v>
      </c>
      <c r="D180" s="486"/>
      <c r="E180" s="486"/>
      <c r="F180" s="528"/>
      <c r="G180" s="486"/>
      <c r="H180" s="486" t="s">
        <v>5917</v>
      </c>
      <c r="I180" s="491"/>
      <c r="J180" s="491"/>
      <c r="K180" s="491"/>
      <c r="L180" s="491"/>
      <c r="M180" s="486"/>
      <c r="N180" s="422"/>
      <c r="O180" s="422"/>
      <c r="P180" s="422"/>
      <c r="Q180" s="486"/>
      <c r="R180" s="491"/>
      <c r="S180" s="491"/>
      <c r="T180" s="491"/>
      <c r="U180" s="491"/>
      <c r="V180" s="491"/>
      <c r="W180" s="493"/>
      <c r="X180" s="486"/>
      <c r="Y180" s="442"/>
      <c r="Z180" s="491"/>
      <c r="AA180" s="524" t="str">
        <f t="shared" ref="AA180:AA181" si="198">#REF!</f>
        <v>#REF!</v>
      </c>
      <c r="AB180" s="494"/>
      <c r="AC180" s="436"/>
      <c r="AD180" s="495"/>
      <c r="AE180" s="491"/>
      <c r="AF180" s="491"/>
      <c r="AG180" s="525" t="str">
        <f t="shared" ref="AG180:AG181" si="199">#REF!</f>
        <v>#REF!</v>
      </c>
      <c r="AH180" s="491"/>
      <c r="AI180" s="446"/>
      <c r="AJ180" s="491"/>
      <c r="AK180" s="500"/>
      <c r="AL180" s="436"/>
      <c r="AM180" s="438"/>
      <c r="AN180" s="531"/>
      <c r="AO180" s="491"/>
      <c r="AP180" s="438"/>
      <c r="AQ180" s="438"/>
      <c r="AR180" s="438"/>
      <c r="AS180" s="438"/>
      <c r="AT180" s="438"/>
      <c r="AU180" s="480"/>
      <c r="AV180" s="480"/>
      <c r="AW180" s="450" t="str">
        <f t="shared" ref="AW180:AW181" si="200">#REF!</f>
        <v>#REF!</v>
      </c>
    </row>
    <row r="181">
      <c r="A181" s="435" t="str">
        <f t="shared" ref="A181:C181" si="197">#REF!</f>
        <v>#REF!</v>
      </c>
      <c r="B181" s="485" t="str">
        <f t="shared" si="197"/>
        <v>#REF!</v>
      </c>
      <c r="C181" s="486" t="str">
        <f t="shared" si="197"/>
        <v>#REF!</v>
      </c>
      <c r="D181" s="486"/>
      <c r="E181" s="486"/>
      <c r="F181" s="528"/>
      <c r="G181" s="486"/>
      <c r="H181" s="486" t="s">
        <v>5917</v>
      </c>
      <c r="I181" s="491"/>
      <c r="J181" s="491"/>
      <c r="K181" s="491"/>
      <c r="L181" s="491"/>
      <c r="M181" s="486"/>
      <c r="N181" s="422"/>
      <c r="O181" s="422"/>
      <c r="P181" s="422"/>
      <c r="Q181" s="486"/>
      <c r="R181" s="491"/>
      <c r="S181" s="491"/>
      <c r="T181" s="491"/>
      <c r="U181" s="491"/>
      <c r="V181" s="491"/>
      <c r="W181" s="493"/>
      <c r="X181" s="486"/>
      <c r="Y181" s="442"/>
      <c r="Z181" s="491"/>
      <c r="AA181" s="524" t="str">
        <f t="shared" si="198"/>
        <v>#REF!</v>
      </c>
      <c r="AB181" s="494"/>
      <c r="AC181" s="436"/>
      <c r="AD181" s="495"/>
      <c r="AE181" s="491"/>
      <c r="AF181" s="491"/>
      <c r="AG181" s="525" t="str">
        <f t="shared" si="199"/>
        <v>#REF!</v>
      </c>
      <c r="AH181" s="491"/>
      <c r="AI181" s="446"/>
      <c r="AJ181" s="491"/>
      <c r="AK181" s="500"/>
      <c r="AL181" s="436"/>
      <c r="AM181" s="438"/>
      <c r="AN181" s="531"/>
      <c r="AO181" s="491"/>
      <c r="AP181" s="438"/>
      <c r="AQ181" s="438"/>
      <c r="AR181" s="438"/>
      <c r="AS181" s="438"/>
      <c r="AT181" s="438"/>
      <c r="AU181" s="438"/>
      <c r="AV181" s="438"/>
      <c r="AW181" s="450" t="str">
        <f t="shared" si="200"/>
        <v>#REF!</v>
      </c>
    </row>
    <row r="182">
      <c r="A182" s="435" t="s">
        <v>405</v>
      </c>
      <c r="B182" s="436" t="s">
        <v>406</v>
      </c>
      <c r="C182" s="436"/>
      <c r="D182" s="436" t="s">
        <v>350</v>
      </c>
      <c r="E182" s="436"/>
      <c r="F182" s="436" t="s">
        <v>2277</v>
      </c>
      <c r="G182" s="437" t="s">
        <v>169</v>
      </c>
      <c r="H182" s="437" t="s">
        <v>702</v>
      </c>
      <c r="I182" s="437" t="s">
        <v>1999</v>
      </c>
      <c r="J182" s="437">
        <v>3300.0</v>
      </c>
      <c r="K182" s="438"/>
      <c r="L182" s="438"/>
      <c r="M182" s="453"/>
      <c r="N182" s="422">
        <v>12.479</v>
      </c>
      <c r="O182" s="422">
        <v>11.551</v>
      </c>
      <c r="P182" s="422">
        <v>15.67</v>
      </c>
      <c r="Q182" s="436" t="s">
        <v>1632</v>
      </c>
      <c r="R182" s="438"/>
      <c r="S182" s="436" t="s">
        <v>2000</v>
      </c>
      <c r="T182" s="436" t="s">
        <v>1632</v>
      </c>
      <c r="U182" s="436" t="s">
        <v>1633</v>
      </c>
      <c r="V182" s="451"/>
      <c r="W182" s="441">
        <v>0.18</v>
      </c>
      <c r="X182" s="438"/>
      <c r="Y182" s="442">
        <f t="shared" ref="Y182:Y183" si="201">IF((W182/((J182/5780)^4))^0.5&gt;0,(W182/((J182/5780)^4))^0.5,"")</f>
        <v>1.30155957</v>
      </c>
      <c r="Z182" s="442"/>
      <c r="AA182" s="443"/>
      <c r="AB182" s="443"/>
      <c r="AC182" s="436" t="str">
        <f>IF(ISNUMBER(VLOOKUP(B182,'New Masses'!A:C,3,FALSE)),VLOOKUP(B182,'New Masses'!A:C,3,FALSE),"")</f>
        <v/>
      </c>
      <c r="AD182" s="440">
        <f t="shared" ref="AD182:AD183" si="202">10^AE182</f>
        <v>0.0000000003311311215</v>
      </c>
      <c r="AE182" s="437">
        <v>-9.48</v>
      </c>
      <c r="AF182" s="438"/>
      <c r="AG182" s="445">
        <v>0.3</v>
      </c>
      <c r="AH182" s="438"/>
      <c r="AI182" s="446" t="str">
        <f>IF(ISNUMBER(VLOOKUP(B182,'New Masses'!A:C,2, FALSE)),VLOOKUP(B182,'New Masses'!A:C,2, FALSE),"")</f>
        <v/>
      </c>
      <c r="AJ182" s="438"/>
      <c r="AK182" s="437"/>
      <c r="AL182" s="447">
        <v>-2.73</v>
      </c>
      <c r="AM182" s="438"/>
      <c r="AN182" s="436">
        <v>3.0</v>
      </c>
      <c r="AO182" s="438"/>
      <c r="AP182" s="438"/>
      <c r="AQ182" s="438"/>
      <c r="AR182" s="438"/>
      <c r="AS182" s="438"/>
      <c r="AT182" s="438"/>
      <c r="AU182" s="438"/>
      <c r="AV182" s="438"/>
      <c r="AW182" s="450"/>
    </row>
    <row r="183">
      <c r="A183" s="435" t="s">
        <v>405</v>
      </c>
      <c r="B183" s="436" t="s">
        <v>406</v>
      </c>
      <c r="C183" s="436"/>
      <c r="D183" s="436" t="s">
        <v>350</v>
      </c>
      <c r="E183" s="436"/>
      <c r="F183" s="436" t="s">
        <v>2276</v>
      </c>
      <c r="G183" s="436" t="s">
        <v>169</v>
      </c>
      <c r="H183" s="436" t="s">
        <v>352</v>
      </c>
      <c r="I183" s="436" t="s">
        <v>2223</v>
      </c>
      <c r="J183" s="436">
        <v>3200.0</v>
      </c>
      <c r="K183" s="436"/>
      <c r="L183" s="436" t="s">
        <v>402</v>
      </c>
      <c r="M183" s="439"/>
      <c r="N183" s="422">
        <v>12.479</v>
      </c>
      <c r="O183" s="422">
        <v>11.551</v>
      </c>
      <c r="P183" s="422">
        <v>15.67</v>
      </c>
      <c r="Q183" s="436" t="s">
        <v>2224</v>
      </c>
      <c r="R183" s="436" t="s">
        <v>2225</v>
      </c>
      <c r="S183" s="436" t="s">
        <v>2191</v>
      </c>
      <c r="T183" s="436" t="s">
        <v>293</v>
      </c>
      <c r="U183" s="436" t="s">
        <v>294</v>
      </c>
      <c r="V183" s="440"/>
      <c r="W183" s="474">
        <v>0.18</v>
      </c>
      <c r="X183" s="436"/>
      <c r="Y183" s="442">
        <f t="shared" si="201"/>
        <v>1.384178097</v>
      </c>
      <c r="Z183" s="469"/>
      <c r="AA183" s="470">
        <v>1.45</v>
      </c>
      <c r="AB183" s="470"/>
      <c r="AC183" s="436" t="str">
        <f>IF(ISNUMBER(VLOOKUP(B183,'New Masses'!A:C,3,FALSE)),VLOOKUP(B183,'New Masses'!A:C,3,FALSE),"")</f>
        <v/>
      </c>
      <c r="AD183" s="440">
        <f t="shared" si="202"/>
        <v>0.0000000003801893963</v>
      </c>
      <c r="AE183" s="436">
        <v>-9.42</v>
      </c>
      <c r="AF183" s="438"/>
      <c r="AG183" s="459">
        <v>0.2</v>
      </c>
      <c r="AH183" s="436"/>
      <c r="AI183" s="446" t="str">
        <f>IF(ISNUMBER(VLOOKUP(B183,'New Masses'!A:C,2, FALSE)),VLOOKUP(B183,'New Masses'!A:C,2, FALSE),"")</f>
        <v/>
      </c>
      <c r="AJ183" s="436"/>
      <c r="AK183" s="436"/>
      <c r="AL183" s="419">
        <v>-2.71</v>
      </c>
      <c r="AM183" s="466">
        <v>43864.0</v>
      </c>
      <c r="AN183" s="436">
        <v>3.0</v>
      </c>
      <c r="AO183" s="438"/>
      <c r="AP183" s="438"/>
      <c r="AQ183" s="438"/>
      <c r="AR183" s="438"/>
      <c r="AS183" s="438"/>
      <c r="AT183" s="438"/>
      <c r="AU183" s="438"/>
      <c r="AV183" s="438"/>
      <c r="AW183" s="450"/>
    </row>
    <row r="184">
      <c r="A184" s="435" t="str">
        <f t="shared" ref="A184:C184" si="203">#REF!</f>
        <v>#REF!</v>
      </c>
      <c r="B184" s="485" t="str">
        <f t="shared" si="203"/>
        <v>#REF!</v>
      </c>
      <c r="C184" s="486" t="str">
        <f t="shared" si="203"/>
        <v>#REF!</v>
      </c>
      <c r="D184" s="486"/>
      <c r="E184" s="486"/>
      <c r="F184" s="528"/>
      <c r="G184" s="486"/>
      <c r="H184" s="486" t="s">
        <v>5917</v>
      </c>
      <c r="I184" s="491"/>
      <c r="J184" s="491"/>
      <c r="K184" s="491"/>
      <c r="L184" s="491"/>
      <c r="M184" s="486"/>
      <c r="N184" s="422"/>
      <c r="O184" s="422"/>
      <c r="P184" s="422"/>
      <c r="Q184" s="486"/>
      <c r="R184" s="491"/>
      <c r="S184" s="491"/>
      <c r="T184" s="491"/>
      <c r="U184" s="491"/>
      <c r="V184" s="491"/>
      <c r="W184" s="493"/>
      <c r="X184" s="486"/>
      <c r="Y184" s="442"/>
      <c r="Z184" s="491"/>
      <c r="AA184" s="524" t="str">
        <f t="shared" ref="AA184:AA185" si="205">#REF!</f>
        <v>#REF!</v>
      </c>
      <c r="AB184" s="494"/>
      <c r="AC184" s="436"/>
      <c r="AD184" s="495"/>
      <c r="AE184" s="491"/>
      <c r="AF184" s="491"/>
      <c r="AG184" s="525" t="str">
        <f t="shared" ref="AG184:AG185" si="206">#REF!</f>
        <v>#REF!</v>
      </c>
      <c r="AH184" s="491"/>
      <c r="AI184" s="446"/>
      <c r="AJ184" s="491"/>
      <c r="AK184" s="500"/>
      <c r="AL184" s="436"/>
      <c r="AM184" s="438"/>
      <c r="AN184" s="531"/>
      <c r="AO184" s="491"/>
      <c r="AP184" s="438"/>
      <c r="AQ184" s="438"/>
      <c r="AR184" s="438"/>
      <c r="AS184" s="438"/>
      <c r="AT184" s="438"/>
      <c r="AU184" s="438"/>
      <c r="AV184" s="438"/>
      <c r="AW184" s="450" t="str">
        <f t="shared" ref="AW184:AW185" si="207">#REF!</f>
        <v>#REF!</v>
      </c>
    </row>
    <row r="185">
      <c r="A185" s="435" t="str">
        <f t="shared" ref="A185:C185" si="204">#REF!</f>
        <v>#REF!</v>
      </c>
      <c r="B185" s="485" t="str">
        <f t="shared" si="204"/>
        <v>#REF!</v>
      </c>
      <c r="C185" s="486" t="str">
        <f t="shared" si="204"/>
        <v>#REF!</v>
      </c>
      <c r="D185" s="486"/>
      <c r="E185" s="486"/>
      <c r="F185" s="528"/>
      <c r="G185" s="486"/>
      <c r="H185" s="486" t="s">
        <v>5917</v>
      </c>
      <c r="I185" s="491"/>
      <c r="J185" s="491"/>
      <c r="K185" s="491"/>
      <c r="L185" s="491"/>
      <c r="M185" s="486"/>
      <c r="N185" s="422"/>
      <c r="O185" s="422"/>
      <c r="P185" s="422"/>
      <c r="Q185" s="486"/>
      <c r="R185" s="491"/>
      <c r="S185" s="491"/>
      <c r="T185" s="491"/>
      <c r="U185" s="491"/>
      <c r="V185" s="491"/>
      <c r="W185" s="493"/>
      <c r="X185" s="486"/>
      <c r="Y185" s="442"/>
      <c r="Z185" s="491"/>
      <c r="AA185" s="524" t="str">
        <f t="shared" si="205"/>
        <v>#REF!</v>
      </c>
      <c r="AB185" s="494"/>
      <c r="AC185" s="436"/>
      <c r="AD185" s="495"/>
      <c r="AE185" s="491"/>
      <c r="AF185" s="491"/>
      <c r="AG185" s="525" t="str">
        <f t="shared" si="206"/>
        <v>#REF!</v>
      </c>
      <c r="AH185" s="491"/>
      <c r="AI185" s="446"/>
      <c r="AJ185" s="491"/>
      <c r="AK185" s="500"/>
      <c r="AL185" s="436"/>
      <c r="AM185" s="438"/>
      <c r="AN185" s="531"/>
      <c r="AO185" s="491"/>
      <c r="AP185" s="438"/>
      <c r="AQ185" s="438"/>
      <c r="AR185" s="438"/>
      <c r="AS185" s="438"/>
      <c r="AT185" s="438"/>
      <c r="AU185" s="438"/>
      <c r="AV185" s="438"/>
      <c r="AW185" s="450" t="str">
        <f t="shared" si="207"/>
        <v>#REF!</v>
      </c>
    </row>
    <row r="186">
      <c r="A186" s="435" t="s">
        <v>1686</v>
      </c>
      <c r="B186" s="436" t="s">
        <v>1687</v>
      </c>
      <c r="C186" s="436"/>
      <c r="D186" s="436" t="s">
        <v>350</v>
      </c>
      <c r="E186" s="436"/>
      <c r="F186" s="436" t="s">
        <v>2278</v>
      </c>
      <c r="G186" s="437" t="s">
        <v>169</v>
      </c>
      <c r="H186" s="437" t="s">
        <v>702</v>
      </c>
      <c r="I186" s="437" t="s">
        <v>1999</v>
      </c>
      <c r="J186" s="437">
        <v>3200.0</v>
      </c>
      <c r="K186" s="438"/>
      <c r="L186" s="436" t="s">
        <v>288</v>
      </c>
      <c r="M186" s="439"/>
      <c r="N186" s="422">
        <v>13.204</v>
      </c>
      <c r="O186" s="422">
        <v>12.241</v>
      </c>
      <c r="P186" s="422">
        <v>16.76</v>
      </c>
      <c r="Q186" s="436" t="s">
        <v>1632</v>
      </c>
      <c r="R186" s="438"/>
      <c r="S186" s="436" t="s">
        <v>2000</v>
      </c>
      <c r="T186" s="436" t="s">
        <v>1632</v>
      </c>
      <c r="U186" s="436" t="s">
        <v>1633</v>
      </c>
      <c r="V186" s="451"/>
      <c r="W186" s="441">
        <v>0.09</v>
      </c>
      <c r="X186" s="438"/>
      <c r="Y186" s="442">
        <f>IF((W186/((J186/5780)^4))^0.5&gt;0,(W186/((J186/5780)^4))^0.5,"")</f>
        <v>0.9787617188</v>
      </c>
      <c r="Z186" s="442"/>
      <c r="AA186" s="443"/>
      <c r="AB186" s="443"/>
      <c r="AC186" s="436" t="str">
        <f>IF(ISNUMBER(VLOOKUP(B186,'New Masses'!A:C,3,FALSE)),VLOOKUP(B186,'New Masses'!A:C,3,FALSE),"")</f>
        <v/>
      </c>
      <c r="AD186" s="440">
        <f>10^AE186</f>
        <v>0</v>
      </c>
      <c r="AE186" s="437">
        <v>-10.07</v>
      </c>
      <c r="AF186" s="438"/>
      <c r="AG186" s="445">
        <v>0.2</v>
      </c>
      <c r="AH186" s="438"/>
      <c r="AI186" s="446" t="str">
        <f>IF(ISNUMBER(VLOOKUP(B186,'New Masses'!A:C,2, FALSE)),VLOOKUP(B186,'New Masses'!A:C,2, FALSE),"")</f>
        <v/>
      </c>
      <c r="AJ186" s="438"/>
      <c r="AK186" s="437"/>
      <c r="AL186" s="447">
        <v>-3.38</v>
      </c>
      <c r="AM186" s="438"/>
      <c r="AN186" s="436">
        <v>3.0</v>
      </c>
      <c r="AO186" s="438"/>
      <c r="AP186" s="436"/>
      <c r="AQ186" s="436"/>
      <c r="AR186" s="438"/>
      <c r="AS186" s="438"/>
      <c r="AT186" s="438" t="s">
        <v>5916</v>
      </c>
      <c r="AU186" s="438" t="s">
        <v>705</v>
      </c>
      <c r="AV186" s="438"/>
      <c r="AW186" s="450"/>
    </row>
    <row r="187">
      <c r="A187" s="435" t="str">
        <f t="shared" ref="A187:C187" si="208">#REF!</f>
        <v>#REF!</v>
      </c>
      <c r="B187" s="485" t="str">
        <f t="shared" si="208"/>
        <v>#REF!</v>
      </c>
      <c r="C187" s="486" t="str">
        <f t="shared" si="208"/>
        <v>#REF!</v>
      </c>
      <c r="D187" s="486"/>
      <c r="E187" s="486"/>
      <c r="F187" s="528"/>
      <c r="G187" s="486"/>
      <c r="H187" s="486" t="s">
        <v>5917</v>
      </c>
      <c r="I187" s="491"/>
      <c r="J187" s="491"/>
      <c r="K187" s="491"/>
      <c r="L187" s="491"/>
      <c r="M187" s="486"/>
      <c r="N187" s="422"/>
      <c r="O187" s="422"/>
      <c r="P187" s="422"/>
      <c r="Q187" s="486"/>
      <c r="R187" s="491"/>
      <c r="S187" s="491"/>
      <c r="T187" s="491"/>
      <c r="U187" s="491"/>
      <c r="V187" s="491"/>
      <c r="W187" s="493"/>
      <c r="X187" s="486"/>
      <c r="Y187" s="442"/>
      <c r="Z187" s="491"/>
      <c r="AA187" s="524" t="str">
        <f>#REF!</f>
        <v>#REF!</v>
      </c>
      <c r="AB187" s="494"/>
      <c r="AC187" s="436"/>
      <c r="AD187" s="495"/>
      <c r="AE187" s="491"/>
      <c r="AF187" s="491"/>
      <c r="AG187" s="525" t="str">
        <f>#REF!</f>
        <v>#REF!</v>
      </c>
      <c r="AH187" s="491"/>
      <c r="AI187" s="446"/>
      <c r="AJ187" s="491"/>
      <c r="AK187" s="500"/>
      <c r="AL187" s="436"/>
      <c r="AM187" s="438"/>
      <c r="AN187" s="531"/>
      <c r="AO187" s="491"/>
      <c r="AP187" s="438"/>
      <c r="AQ187" s="438"/>
      <c r="AR187" s="438"/>
      <c r="AS187" s="438"/>
      <c r="AT187" s="438"/>
      <c r="AU187" s="438"/>
      <c r="AV187" s="438"/>
      <c r="AW187" s="450" t="str">
        <f>#REF!</f>
        <v>#REF!</v>
      </c>
    </row>
    <row r="188">
      <c r="A188" s="435" t="s">
        <v>1715</v>
      </c>
      <c r="B188" s="436" t="s">
        <v>1716</v>
      </c>
      <c r="C188" s="436"/>
      <c r="D188" s="436" t="s">
        <v>350</v>
      </c>
      <c r="E188" s="436"/>
      <c r="F188" s="436" t="s">
        <v>2279</v>
      </c>
      <c r="G188" s="437" t="s">
        <v>515</v>
      </c>
      <c r="H188" s="437" t="s">
        <v>702</v>
      </c>
      <c r="I188" s="437" t="s">
        <v>1999</v>
      </c>
      <c r="J188" s="437">
        <v>3400.0</v>
      </c>
      <c r="K188" s="438"/>
      <c r="L188" s="436" t="s">
        <v>704</v>
      </c>
      <c r="M188" s="439"/>
      <c r="N188" s="422">
        <v>12.76</v>
      </c>
      <c r="O188" s="422">
        <v>11.803</v>
      </c>
      <c r="P188" s="422">
        <v>15.54</v>
      </c>
      <c r="Q188" s="436" t="s">
        <v>1632</v>
      </c>
      <c r="R188" s="438"/>
      <c r="S188" s="436" t="s">
        <v>2000</v>
      </c>
      <c r="T188" s="436" t="s">
        <v>1632</v>
      </c>
      <c r="U188" s="436" t="s">
        <v>1633</v>
      </c>
      <c r="V188" s="440"/>
      <c r="W188" s="441">
        <v>0.16</v>
      </c>
      <c r="X188" s="438"/>
      <c r="Y188" s="442">
        <f>IF((W188/((J188/5780)^4))^0.5&gt;0,(W188/((J188/5780)^4))^0.5,"")</f>
        <v>1.156</v>
      </c>
      <c r="Z188" s="442"/>
      <c r="AA188" s="443"/>
      <c r="AB188" s="443"/>
      <c r="AC188" s="436" t="str">
        <f>IF(ISNUMBER(VLOOKUP(B188,'New Masses'!A:C,3,FALSE)),VLOOKUP(B188,'New Masses'!A:C,3,FALSE),"")</f>
        <v/>
      </c>
      <c r="AD188" s="440">
        <f>10^AE188</f>
        <v>0.0000000001659586907</v>
      </c>
      <c r="AE188" s="437">
        <v>-9.78</v>
      </c>
      <c r="AF188" s="438"/>
      <c r="AG188" s="445">
        <v>0.35</v>
      </c>
      <c r="AH188" s="438"/>
      <c r="AI188" s="446" t="str">
        <f>IF(ISNUMBER(VLOOKUP(B188,'New Masses'!A:C,2, FALSE)),VLOOKUP(B188,'New Masses'!A:C,2, FALSE),"")</f>
        <v/>
      </c>
      <c r="AJ188" s="438"/>
      <c r="AK188" s="437"/>
      <c r="AL188" s="447">
        <v>-2.9</v>
      </c>
      <c r="AM188" s="438"/>
      <c r="AN188" s="436">
        <v>3.0</v>
      </c>
      <c r="AO188" s="438"/>
      <c r="AP188" s="436"/>
      <c r="AQ188" s="436"/>
      <c r="AR188" s="438"/>
      <c r="AS188" s="438"/>
      <c r="AT188" s="438" t="s">
        <v>5916</v>
      </c>
      <c r="AU188" s="438" t="s">
        <v>705</v>
      </c>
      <c r="AV188" s="438"/>
      <c r="AW188" s="450">
        <v>402.933354823112</v>
      </c>
    </row>
    <row r="189">
      <c r="A189" s="435" t="str">
        <f t="shared" ref="A189:C189" si="209">#REF!</f>
        <v>#REF!</v>
      </c>
      <c r="B189" s="485" t="str">
        <f t="shared" si="209"/>
        <v>#REF!</v>
      </c>
      <c r="C189" s="486" t="str">
        <f t="shared" si="209"/>
        <v>#REF!</v>
      </c>
      <c r="D189" s="486"/>
      <c r="E189" s="486"/>
      <c r="F189" s="528"/>
      <c r="G189" s="486"/>
      <c r="H189" s="486" t="s">
        <v>5917</v>
      </c>
      <c r="I189" s="491"/>
      <c r="J189" s="491"/>
      <c r="K189" s="491"/>
      <c r="L189" s="491"/>
      <c r="M189" s="486"/>
      <c r="N189" s="422"/>
      <c r="O189" s="422"/>
      <c r="P189" s="422"/>
      <c r="Q189" s="486"/>
      <c r="R189" s="491"/>
      <c r="S189" s="491"/>
      <c r="T189" s="491"/>
      <c r="U189" s="491"/>
      <c r="V189" s="491"/>
      <c r="W189" s="493"/>
      <c r="X189" s="486"/>
      <c r="Y189" s="442"/>
      <c r="Z189" s="491"/>
      <c r="AA189" s="524" t="str">
        <f>#REF!</f>
        <v>#REF!</v>
      </c>
      <c r="AB189" s="494"/>
      <c r="AC189" s="436"/>
      <c r="AD189" s="495"/>
      <c r="AE189" s="491"/>
      <c r="AF189" s="491"/>
      <c r="AG189" s="525" t="str">
        <f>#REF!</f>
        <v>#REF!</v>
      </c>
      <c r="AH189" s="491"/>
      <c r="AI189" s="446"/>
      <c r="AJ189" s="491"/>
      <c r="AK189" s="500"/>
      <c r="AL189" s="436"/>
      <c r="AM189" s="438"/>
      <c r="AN189" s="531"/>
      <c r="AO189" s="491"/>
      <c r="AP189" s="438"/>
      <c r="AQ189" s="438"/>
      <c r="AR189" s="438"/>
      <c r="AS189" s="438"/>
      <c r="AT189" s="438"/>
      <c r="AU189" s="438"/>
      <c r="AV189" s="438"/>
      <c r="AW189" s="450" t="str">
        <f>#REF!</f>
        <v>#REF!</v>
      </c>
    </row>
    <row r="190">
      <c r="A190" s="435" t="s">
        <v>1692</v>
      </c>
      <c r="B190" s="436" t="s">
        <v>1693</v>
      </c>
      <c r="C190" s="436"/>
      <c r="D190" s="436" t="s">
        <v>350</v>
      </c>
      <c r="E190" s="436"/>
      <c r="F190" s="436" t="s">
        <v>2280</v>
      </c>
      <c r="G190" s="437" t="s">
        <v>169</v>
      </c>
      <c r="H190" s="437" t="s">
        <v>702</v>
      </c>
      <c r="I190" s="437" t="s">
        <v>1999</v>
      </c>
      <c r="J190" s="437">
        <v>3200.0</v>
      </c>
      <c r="K190" s="438"/>
      <c r="L190" s="438"/>
      <c r="M190" s="453"/>
      <c r="N190" s="422">
        <v>13.796</v>
      </c>
      <c r="O190" s="422">
        <v>12.776</v>
      </c>
      <c r="P190" s="422">
        <v>17.01</v>
      </c>
      <c r="Q190" s="436" t="s">
        <v>1632</v>
      </c>
      <c r="R190" s="438"/>
      <c r="S190" s="436" t="s">
        <v>2000</v>
      </c>
      <c r="T190" s="436" t="s">
        <v>1632</v>
      </c>
      <c r="U190" s="436" t="s">
        <v>1633</v>
      </c>
      <c r="V190" s="440"/>
      <c r="W190" s="441">
        <v>0.05</v>
      </c>
      <c r="X190" s="438"/>
      <c r="Y190" s="442">
        <f>IF((W190/((J190/5780)^4))^0.5&gt;0,(W190/((J190/5780)^4))^0.5,"")</f>
        <v>0.7295259123</v>
      </c>
      <c r="Z190" s="442"/>
      <c r="AA190" s="443"/>
      <c r="AB190" s="443"/>
      <c r="AC190" s="436" t="str">
        <f>IF(ISNUMBER(VLOOKUP(B190,'New Masses'!A:C,3,FALSE)),VLOOKUP(B190,'New Masses'!A:C,3,FALSE),"")</f>
        <v/>
      </c>
      <c r="AD190" s="440">
        <f>10^AE190</f>
        <v>0.0000000001230268771</v>
      </c>
      <c r="AE190" s="437">
        <v>-9.91</v>
      </c>
      <c r="AF190" s="438"/>
      <c r="AG190" s="445">
        <v>0.2</v>
      </c>
      <c r="AH190" s="438"/>
      <c r="AI190" s="446" t="str">
        <f>IF(ISNUMBER(VLOOKUP(B190,'New Masses'!A:C,2, FALSE)),VLOOKUP(B190,'New Masses'!A:C,2, FALSE),"")</f>
        <v/>
      </c>
      <c r="AJ190" s="438"/>
      <c r="AK190" s="437"/>
      <c r="AL190" s="447">
        <v>-3.08</v>
      </c>
      <c r="AM190" s="438"/>
      <c r="AN190" s="436">
        <v>3.0</v>
      </c>
      <c r="AO190" s="438"/>
      <c r="AP190" s="438"/>
      <c r="AQ190" s="438"/>
      <c r="AR190" s="438"/>
      <c r="AS190" s="438"/>
      <c r="AT190" s="438"/>
      <c r="AU190" s="438"/>
      <c r="AV190" s="438"/>
      <c r="AW190" s="450"/>
    </row>
    <row r="191">
      <c r="A191" s="435" t="str">
        <f t="shared" ref="A191:C191" si="210">#REF!</f>
        <v>#REF!</v>
      </c>
      <c r="B191" s="485" t="str">
        <f t="shared" si="210"/>
        <v>#REF!</v>
      </c>
      <c r="C191" s="486" t="str">
        <f t="shared" si="210"/>
        <v>#REF!</v>
      </c>
      <c r="D191" s="486"/>
      <c r="E191" s="486"/>
      <c r="F191" s="528"/>
      <c r="G191" s="486"/>
      <c r="H191" s="486" t="s">
        <v>5917</v>
      </c>
      <c r="I191" s="491"/>
      <c r="J191" s="491"/>
      <c r="K191" s="491"/>
      <c r="L191" s="491"/>
      <c r="M191" s="486"/>
      <c r="N191" s="422"/>
      <c r="O191" s="422"/>
      <c r="P191" s="422"/>
      <c r="Q191" s="486"/>
      <c r="R191" s="491"/>
      <c r="S191" s="491"/>
      <c r="T191" s="491"/>
      <c r="U191" s="491"/>
      <c r="V191" s="491"/>
      <c r="W191" s="493"/>
      <c r="X191" s="486"/>
      <c r="Y191" s="442"/>
      <c r="Z191" s="491"/>
      <c r="AA191" s="524" t="str">
        <f>#REF!</f>
        <v>#REF!</v>
      </c>
      <c r="AB191" s="494"/>
      <c r="AC191" s="436"/>
      <c r="AD191" s="495"/>
      <c r="AE191" s="491"/>
      <c r="AF191" s="491"/>
      <c r="AG191" s="525" t="str">
        <f>#REF!</f>
        <v>#REF!</v>
      </c>
      <c r="AH191" s="491"/>
      <c r="AI191" s="446"/>
      <c r="AJ191" s="491"/>
      <c r="AK191" s="500"/>
      <c r="AL191" s="436"/>
      <c r="AM191" s="438"/>
      <c r="AN191" s="531"/>
      <c r="AO191" s="491"/>
      <c r="AP191" s="438"/>
      <c r="AQ191" s="438"/>
      <c r="AR191" s="438"/>
      <c r="AS191" s="438"/>
      <c r="AT191" s="438"/>
      <c r="AU191" s="438"/>
      <c r="AV191" s="438"/>
      <c r="AW191" s="450" t="str">
        <f>#REF!</f>
        <v>#REF!</v>
      </c>
    </row>
    <row r="192">
      <c r="A192" s="435" t="s">
        <v>424</v>
      </c>
      <c r="B192" s="436" t="s">
        <v>425</v>
      </c>
      <c r="C192" s="436"/>
      <c r="D192" s="436" t="s">
        <v>350</v>
      </c>
      <c r="E192" s="436"/>
      <c r="F192" s="436" t="s">
        <v>2281</v>
      </c>
      <c r="G192" s="437" t="s">
        <v>169</v>
      </c>
      <c r="H192" s="437" t="s">
        <v>702</v>
      </c>
      <c r="I192" s="437" t="s">
        <v>1999</v>
      </c>
      <c r="J192" s="437">
        <v>3300.0</v>
      </c>
      <c r="K192" s="438"/>
      <c r="L192" s="436" t="s">
        <v>1285</v>
      </c>
      <c r="M192" s="439"/>
      <c r="N192" s="422">
        <v>12.913</v>
      </c>
      <c r="O192" s="422">
        <v>11.89</v>
      </c>
      <c r="P192" s="422">
        <v>15.92</v>
      </c>
      <c r="Q192" s="436" t="s">
        <v>1632</v>
      </c>
      <c r="R192" s="438"/>
      <c r="S192" s="436" t="s">
        <v>2000</v>
      </c>
      <c r="T192" s="436" t="s">
        <v>1632</v>
      </c>
      <c r="U192" s="436" t="s">
        <v>1633</v>
      </c>
      <c r="V192" s="451"/>
      <c r="W192" s="441">
        <v>0.12</v>
      </c>
      <c r="X192" s="438"/>
      <c r="Y192" s="442">
        <f t="shared" ref="Y192:Y193" si="211">IF((W192/((J192/5780)^4))^0.5&gt;0,(W192/((J192/5780)^4))^0.5,"")</f>
        <v>1.062718938</v>
      </c>
      <c r="Z192" s="442"/>
      <c r="AA192" s="443"/>
      <c r="AB192" s="443"/>
      <c r="AC192" s="436" t="str">
        <f>IF(ISNUMBER(VLOOKUP(B192,'New Masses'!A:C,3,FALSE)),VLOOKUP(B192,'New Masses'!A:C,3,FALSE),"")</f>
        <v/>
      </c>
      <c r="AD192" s="440">
        <f t="shared" ref="AD192:AD193" si="212">10^AE192</f>
        <v>0.000000001288249552</v>
      </c>
      <c r="AE192" s="437">
        <v>-8.89</v>
      </c>
      <c r="AF192" s="438"/>
      <c r="AG192" s="445">
        <v>0.3</v>
      </c>
      <c r="AH192" s="438"/>
      <c r="AI192" s="446" t="str">
        <f>IF(ISNUMBER(VLOOKUP(B192,'New Masses'!A:C,2, FALSE)),VLOOKUP(B192,'New Masses'!A:C,2, FALSE),"")</f>
        <v/>
      </c>
      <c r="AJ192" s="438"/>
      <c r="AK192" s="437"/>
      <c r="AL192" s="447">
        <v>-2.05</v>
      </c>
      <c r="AM192" s="438"/>
      <c r="AN192" s="436">
        <v>3.0</v>
      </c>
      <c r="AO192" s="438"/>
      <c r="AP192" s="438"/>
      <c r="AQ192" s="436"/>
      <c r="AR192" s="438"/>
      <c r="AS192" s="438"/>
      <c r="AT192" s="438"/>
      <c r="AU192" s="438" t="s">
        <v>705</v>
      </c>
      <c r="AV192" s="438"/>
      <c r="AW192" s="450">
        <v>428.338901739055</v>
      </c>
    </row>
    <row r="193">
      <c r="A193" s="435" t="s">
        <v>424</v>
      </c>
      <c r="B193" s="436" t="s">
        <v>425</v>
      </c>
      <c r="C193" s="436"/>
      <c r="D193" s="436" t="s">
        <v>350</v>
      </c>
      <c r="E193" s="436"/>
      <c r="F193" s="436" t="s">
        <v>2282</v>
      </c>
      <c r="G193" s="436" t="s">
        <v>169</v>
      </c>
      <c r="H193" s="436" t="s">
        <v>352</v>
      </c>
      <c r="I193" s="436" t="s">
        <v>2223</v>
      </c>
      <c r="J193" s="436">
        <v>3350.0</v>
      </c>
      <c r="K193" s="436"/>
      <c r="L193" s="436" t="s">
        <v>422</v>
      </c>
      <c r="M193" s="439"/>
      <c r="N193" s="422">
        <v>12.913</v>
      </c>
      <c r="O193" s="422">
        <v>11.89</v>
      </c>
      <c r="P193" s="422">
        <v>15.92</v>
      </c>
      <c r="Q193" s="436" t="s">
        <v>2224</v>
      </c>
      <c r="R193" s="436" t="s">
        <v>2225</v>
      </c>
      <c r="S193" s="436" t="s">
        <v>2191</v>
      </c>
      <c r="T193" s="436" t="s">
        <v>293</v>
      </c>
      <c r="U193" s="436" t="s">
        <v>294</v>
      </c>
      <c r="V193" s="440"/>
      <c r="W193" s="474">
        <v>0.12</v>
      </c>
      <c r="X193" s="436"/>
      <c r="Y193" s="442">
        <f t="shared" si="211"/>
        <v>1.031232724</v>
      </c>
      <c r="Z193" s="469"/>
      <c r="AA193" s="470">
        <v>0.97</v>
      </c>
      <c r="AB193" s="470"/>
      <c r="AC193" s="436" t="str">
        <f>IF(ISNUMBER(VLOOKUP(B193,'New Masses'!A:C,3,FALSE)),VLOOKUP(B193,'New Masses'!A:C,3,FALSE),"")</f>
        <v/>
      </c>
      <c r="AD193" s="440">
        <f t="shared" si="212"/>
        <v>0.0000000002089296131</v>
      </c>
      <c r="AE193" s="436">
        <v>-9.68</v>
      </c>
      <c r="AF193" s="438"/>
      <c r="AG193" s="459">
        <v>0.3</v>
      </c>
      <c r="AH193" s="436"/>
      <c r="AI193" s="446" t="str">
        <f>IF(ISNUMBER(VLOOKUP(B193,'New Masses'!A:C,2, FALSE)),VLOOKUP(B193,'New Masses'!A:C,2, FALSE),"")</f>
        <v/>
      </c>
      <c r="AJ193" s="436"/>
      <c r="AK193" s="436"/>
      <c r="AL193" s="436">
        <v>-3.0</v>
      </c>
      <c r="AM193" s="466">
        <v>43864.0</v>
      </c>
      <c r="AN193" s="436">
        <v>3.0</v>
      </c>
      <c r="AO193" s="438"/>
      <c r="AP193" s="438"/>
      <c r="AQ193" s="438"/>
      <c r="AR193" s="438"/>
      <c r="AS193" s="438"/>
      <c r="AT193" s="438"/>
      <c r="AU193" s="438"/>
      <c r="AV193" s="438"/>
      <c r="AW193" s="450">
        <v>428.338901739055</v>
      </c>
    </row>
    <row r="194">
      <c r="A194" s="435" t="str">
        <f t="shared" ref="A194:C194" si="213">#REF!</f>
        <v>#REF!</v>
      </c>
      <c r="B194" s="485" t="str">
        <f t="shared" si="213"/>
        <v>#REF!</v>
      </c>
      <c r="C194" s="486" t="str">
        <f t="shared" si="213"/>
        <v>#REF!</v>
      </c>
      <c r="D194" s="486"/>
      <c r="E194" s="486"/>
      <c r="F194" s="528"/>
      <c r="G194" s="486"/>
      <c r="H194" s="486" t="s">
        <v>5917</v>
      </c>
      <c r="I194" s="491"/>
      <c r="J194" s="491"/>
      <c r="K194" s="491"/>
      <c r="L194" s="491"/>
      <c r="M194" s="486"/>
      <c r="N194" s="422"/>
      <c r="O194" s="422"/>
      <c r="P194" s="422"/>
      <c r="Q194" s="486"/>
      <c r="R194" s="491"/>
      <c r="S194" s="491"/>
      <c r="T194" s="491"/>
      <c r="U194" s="491"/>
      <c r="V194" s="491"/>
      <c r="W194" s="493"/>
      <c r="X194" s="486"/>
      <c r="Y194" s="442"/>
      <c r="Z194" s="491"/>
      <c r="AA194" s="524" t="str">
        <f t="shared" ref="AA194:AA195" si="215">#REF!</f>
        <v>#REF!</v>
      </c>
      <c r="AB194" s="494"/>
      <c r="AC194" s="436"/>
      <c r="AD194" s="495"/>
      <c r="AE194" s="491"/>
      <c r="AF194" s="491"/>
      <c r="AG194" s="525" t="str">
        <f t="shared" ref="AG194:AG195" si="216">#REF!</f>
        <v>#REF!</v>
      </c>
      <c r="AH194" s="491"/>
      <c r="AI194" s="446"/>
      <c r="AJ194" s="491"/>
      <c r="AK194" s="500"/>
      <c r="AL194" s="436"/>
      <c r="AM194" s="438"/>
      <c r="AN194" s="531"/>
      <c r="AO194" s="491"/>
      <c r="AP194" s="438"/>
      <c r="AQ194" s="438"/>
      <c r="AR194" s="438"/>
      <c r="AS194" s="438"/>
      <c r="AT194" s="438"/>
      <c r="AU194" s="438"/>
      <c r="AV194" s="438"/>
      <c r="AW194" s="450" t="str">
        <f t="shared" ref="AW194:AW195" si="217">#REF!</f>
        <v>#REF!</v>
      </c>
    </row>
    <row r="195">
      <c r="A195" s="435" t="str">
        <f t="shared" ref="A195:C195" si="214">#REF!</f>
        <v>#REF!</v>
      </c>
      <c r="B195" s="485" t="str">
        <f t="shared" si="214"/>
        <v>#REF!</v>
      </c>
      <c r="C195" s="486" t="str">
        <f t="shared" si="214"/>
        <v>#REF!</v>
      </c>
      <c r="D195" s="486"/>
      <c r="E195" s="486"/>
      <c r="F195" s="528"/>
      <c r="G195" s="486"/>
      <c r="H195" s="486" t="s">
        <v>5917</v>
      </c>
      <c r="I195" s="491"/>
      <c r="J195" s="491"/>
      <c r="K195" s="491"/>
      <c r="L195" s="491"/>
      <c r="M195" s="486"/>
      <c r="N195" s="422"/>
      <c r="O195" s="422"/>
      <c r="P195" s="422"/>
      <c r="Q195" s="486"/>
      <c r="R195" s="491"/>
      <c r="S195" s="491"/>
      <c r="T195" s="491"/>
      <c r="U195" s="491"/>
      <c r="V195" s="491"/>
      <c r="W195" s="493"/>
      <c r="X195" s="486"/>
      <c r="Y195" s="442"/>
      <c r="Z195" s="491"/>
      <c r="AA195" s="524" t="str">
        <f t="shared" si="215"/>
        <v>#REF!</v>
      </c>
      <c r="AB195" s="494"/>
      <c r="AC195" s="436"/>
      <c r="AD195" s="495"/>
      <c r="AE195" s="491"/>
      <c r="AF195" s="491"/>
      <c r="AG195" s="525" t="str">
        <f t="shared" si="216"/>
        <v>#REF!</v>
      </c>
      <c r="AH195" s="491"/>
      <c r="AI195" s="446"/>
      <c r="AJ195" s="491"/>
      <c r="AK195" s="500"/>
      <c r="AL195" s="436"/>
      <c r="AM195" s="438"/>
      <c r="AN195" s="531"/>
      <c r="AO195" s="491"/>
      <c r="AP195" s="438"/>
      <c r="AQ195" s="438"/>
      <c r="AR195" s="438"/>
      <c r="AS195" s="438"/>
      <c r="AT195" s="438"/>
      <c r="AU195" s="438"/>
      <c r="AV195" s="438"/>
      <c r="AW195" s="450" t="str">
        <f t="shared" si="217"/>
        <v>#REF!</v>
      </c>
    </row>
    <row r="196">
      <c r="A196" s="435" t="s">
        <v>1629</v>
      </c>
      <c r="B196" s="436" t="s">
        <v>1630</v>
      </c>
      <c r="C196" s="436"/>
      <c r="D196" s="436" t="s">
        <v>350</v>
      </c>
      <c r="E196" s="436"/>
      <c r="F196" s="436" t="s">
        <v>2283</v>
      </c>
      <c r="G196" s="437" t="s">
        <v>169</v>
      </c>
      <c r="H196" s="437" t="s">
        <v>702</v>
      </c>
      <c r="I196" s="437" t="s">
        <v>1999</v>
      </c>
      <c r="J196" s="437">
        <v>2900.0</v>
      </c>
      <c r="K196" s="438"/>
      <c r="L196" s="438"/>
      <c r="M196" s="453"/>
      <c r="N196" s="422">
        <v>14.89</v>
      </c>
      <c r="O196" s="422">
        <v>13.94</v>
      </c>
      <c r="P196" s="422">
        <v>19.72</v>
      </c>
      <c r="Q196" s="436" t="s">
        <v>1632</v>
      </c>
      <c r="R196" s="438"/>
      <c r="S196" s="436" t="s">
        <v>2000</v>
      </c>
      <c r="T196" s="436" t="s">
        <v>1632</v>
      </c>
      <c r="U196" s="436" t="s">
        <v>1633</v>
      </c>
      <c r="V196" s="451"/>
      <c r="W196" s="441">
        <v>0.02</v>
      </c>
      <c r="X196" s="438"/>
      <c r="Y196" s="442">
        <f>IF((W196/((J196/5780)^4))^0.5&gt;0,(W196/((J196/5780)^4))^0.5,"")</f>
        <v>0.5617908725</v>
      </c>
      <c r="Z196" s="442"/>
      <c r="AA196" s="443"/>
      <c r="AB196" s="443"/>
      <c r="AC196" s="436" t="str">
        <f>IF(ISNUMBER(VLOOKUP(B196,'New Masses'!A:C,3,FALSE)),VLOOKUP(B196,'New Masses'!A:C,3,FALSE),"")</f>
        <v/>
      </c>
      <c r="AD196" s="440">
        <f>10^AE196</f>
        <v>0</v>
      </c>
      <c r="AE196" s="437">
        <v>-10.91</v>
      </c>
      <c r="AF196" s="438"/>
      <c r="AG196" s="445">
        <v>0.06</v>
      </c>
      <c r="AH196" s="438"/>
      <c r="AI196" s="446" t="str">
        <f>IF(ISNUMBER(VLOOKUP(B196,'New Masses'!A:C,2, FALSE)),VLOOKUP(B196,'New Masses'!A:C,2, FALSE),"")</f>
        <v/>
      </c>
      <c r="AJ196" s="438"/>
      <c r="AK196" s="437"/>
      <c r="AL196" s="447">
        <v>-4.49</v>
      </c>
      <c r="AM196" s="438"/>
      <c r="AN196" s="436">
        <v>3.0</v>
      </c>
      <c r="AO196" s="438"/>
      <c r="AP196" s="454">
        <v>0.73</v>
      </c>
      <c r="AR196" s="454" t="s">
        <v>2173</v>
      </c>
      <c r="AS196" s="454">
        <v>0.19</v>
      </c>
      <c r="AT196" s="438" t="s">
        <v>5916</v>
      </c>
      <c r="AU196" s="438"/>
      <c r="AV196" s="438"/>
      <c r="AW196" s="450"/>
    </row>
    <row r="197">
      <c r="A197" s="435" t="str">
        <f t="shared" ref="A197:C197" si="218">#REF!</f>
        <v>#REF!</v>
      </c>
      <c r="B197" s="485" t="str">
        <f t="shared" si="218"/>
        <v>#REF!</v>
      </c>
      <c r="C197" s="486" t="str">
        <f t="shared" si="218"/>
        <v>#REF!</v>
      </c>
      <c r="D197" s="486"/>
      <c r="E197" s="486"/>
      <c r="F197" s="528"/>
      <c r="G197" s="486"/>
      <c r="H197" s="486" t="s">
        <v>5917</v>
      </c>
      <c r="I197" s="491"/>
      <c r="J197" s="491"/>
      <c r="K197" s="491"/>
      <c r="L197" s="491"/>
      <c r="M197" s="486"/>
      <c r="N197" s="422"/>
      <c r="O197" s="422"/>
      <c r="P197" s="422"/>
      <c r="Q197" s="486"/>
      <c r="R197" s="491"/>
      <c r="S197" s="491"/>
      <c r="T197" s="491"/>
      <c r="U197" s="491"/>
      <c r="V197" s="491"/>
      <c r="W197" s="493"/>
      <c r="X197" s="486"/>
      <c r="Y197" s="442"/>
      <c r="Z197" s="491"/>
      <c r="AA197" s="524" t="str">
        <f>#REF!</f>
        <v>#REF!</v>
      </c>
      <c r="AB197" s="494"/>
      <c r="AC197" s="436"/>
      <c r="AD197" s="495"/>
      <c r="AE197" s="491"/>
      <c r="AF197" s="491"/>
      <c r="AG197" s="525" t="str">
        <f>#REF!</f>
        <v>#REF!</v>
      </c>
      <c r="AH197" s="491"/>
      <c r="AI197" s="446"/>
      <c r="AJ197" s="491"/>
      <c r="AK197" s="500"/>
      <c r="AL197" s="436"/>
      <c r="AM197" s="438"/>
      <c r="AN197" s="531"/>
      <c r="AO197" s="491"/>
      <c r="AP197" s="438"/>
      <c r="AQ197" s="438"/>
      <c r="AR197" s="438"/>
      <c r="AS197" s="438"/>
      <c r="AT197" s="438"/>
      <c r="AU197" s="438"/>
      <c r="AV197" s="438"/>
      <c r="AW197" s="450" t="str">
        <f>#REF!</f>
        <v>#REF!</v>
      </c>
    </row>
    <row r="198">
      <c r="A198" s="435" t="s">
        <v>1677</v>
      </c>
      <c r="B198" s="436" t="s">
        <v>1678</v>
      </c>
      <c r="C198" s="436"/>
      <c r="D198" s="436" t="s">
        <v>350</v>
      </c>
      <c r="E198" s="436"/>
      <c r="F198" s="436" t="s">
        <v>2284</v>
      </c>
      <c r="G198" s="437" t="s">
        <v>169</v>
      </c>
      <c r="H198" s="437" t="s">
        <v>702</v>
      </c>
      <c r="I198" s="437" t="s">
        <v>1999</v>
      </c>
      <c r="J198" s="437">
        <v>3200.0</v>
      </c>
      <c r="K198" s="438"/>
      <c r="L198" s="438"/>
      <c r="M198" s="453"/>
      <c r="N198" s="422">
        <v>12.795</v>
      </c>
      <c r="O198" s="422">
        <v>11.858</v>
      </c>
      <c r="P198" s="422">
        <v>16.28</v>
      </c>
      <c r="Q198" s="436" t="s">
        <v>1632</v>
      </c>
      <c r="R198" s="438"/>
      <c r="S198" s="436" t="s">
        <v>2000</v>
      </c>
      <c r="T198" s="436" t="s">
        <v>1632</v>
      </c>
      <c r="U198" s="436" t="s">
        <v>1633</v>
      </c>
      <c r="V198" s="451"/>
      <c r="W198" s="441">
        <v>0.14</v>
      </c>
      <c r="X198" s="438"/>
      <c r="Y198" s="442">
        <f>IF((W198/((J198/5780)^4))^0.5&gt;0,(W198/((J198/5780)^4))^0.5,"")</f>
        <v>1.220730338</v>
      </c>
      <c r="Z198" s="442"/>
      <c r="AA198" s="443"/>
      <c r="AB198" s="443"/>
      <c r="AC198" s="436" t="str">
        <f>IF(ISNUMBER(VLOOKUP(B198,'New Masses'!A:C,3,FALSE)),VLOOKUP(B198,'New Masses'!A:C,3,FALSE),"")</f>
        <v/>
      </c>
      <c r="AD198" s="440">
        <f>10^AE198</f>
        <v>0.0000000001513561248</v>
      </c>
      <c r="AE198" s="437">
        <v>-9.82</v>
      </c>
      <c r="AF198" s="438"/>
      <c r="AG198" s="445">
        <v>0.2</v>
      </c>
      <c r="AH198" s="438"/>
      <c r="AI198" s="446" t="str">
        <f>IF(ISNUMBER(VLOOKUP(B198,'New Masses'!A:C,2, FALSE)),VLOOKUP(B198,'New Masses'!A:C,2, FALSE),"")</f>
        <v/>
      </c>
      <c r="AJ198" s="438"/>
      <c r="AK198" s="437"/>
      <c r="AL198" s="447">
        <v>-3.2</v>
      </c>
      <c r="AM198" s="438"/>
      <c r="AN198" s="436">
        <v>3.0</v>
      </c>
      <c r="AO198" s="438"/>
      <c r="AP198" s="436"/>
      <c r="AQ198" s="438"/>
      <c r="AR198" s="438"/>
      <c r="AS198" s="438"/>
      <c r="AT198" s="438" t="s">
        <v>5916</v>
      </c>
      <c r="AU198" s="438"/>
      <c r="AV198" s="438"/>
      <c r="AW198" s="450">
        <v>372.106869092803</v>
      </c>
    </row>
    <row r="199">
      <c r="A199" s="435" t="str">
        <f t="shared" ref="A199:C199" si="219">#REF!</f>
        <v>#REF!</v>
      </c>
      <c r="B199" s="485" t="str">
        <f t="shared" si="219"/>
        <v>#REF!</v>
      </c>
      <c r="C199" s="486" t="str">
        <f t="shared" si="219"/>
        <v>#REF!</v>
      </c>
      <c r="D199" s="486"/>
      <c r="E199" s="486"/>
      <c r="F199" s="528"/>
      <c r="G199" s="486"/>
      <c r="H199" s="486" t="s">
        <v>5917</v>
      </c>
      <c r="I199" s="491"/>
      <c r="J199" s="491"/>
      <c r="K199" s="491"/>
      <c r="L199" s="491"/>
      <c r="M199" s="486"/>
      <c r="N199" s="422"/>
      <c r="O199" s="422"/>
      <c r="P199" s="422"/>
      <c r="Q199" s="486"/>
      <c r="R199" s="491"/>
      <c r="S199" s="491"/>
      <c r="T199" s="491"/>
      <c r="U199" s="491"/>
      <c r="V199" s="491"/>
      <c r="W199" s="493"/>
      <c r="X199" s="486"/>
      <c r="Y199" s="442"/>
      <c r="Z199" s="491"/>
      <c r="AA199" s="524" t="str">
        <f>#REF!</f>
        <v>#REF!</v>
      </c>
      <c r="AB199" s="494"/>
      <c r="AC199" s="436"/>
      <c r="AD199" s="495"/>
      <c r="AE199" s="491"/>
      <c r="AF199" s="491"/>
      <c r="AG199" s="525" t="str">
        <f>#REF!</f>
        <v>#REF!</v>
      </c>
      <c r="AH199" s="491"/>
      <c r="AI199" s="446"/>
      <c r="AJ199" s="491"/>
      <c r="AK199" s="500"/>
      <c r="AL199" s="436"/>
      <c r="AM199" s="438"/>
      <c r="AN199" s="531"/>
      <c r="AO199" s="491"/>
      <c r="AP199" s="438"/>
      <c r="AQ199" s="438"/>
      <c r="AR199" s="438"/>
      <c r="AS199" s="438"/>
      <c r="AT199" s="438"/>
      <c r="AU199" s="438"/>
      <c r="AV199" s="438"/>
      <c r="AW199" s="450" t="str">
        <f>#REF!</f>
        <v>#REF!</v>
      </c>
    </row>
    <row r="200">
      <c r="A200" s="435" t="s">
        <v>1640</v>
      </c>
      <c r="B200" s="436" t="s">
        <v>1641</v>
      </c>
      <c r="C200" s="436"/>
      <c r="D200" s="436" t="s">
        <v>350</v>
      </c>
      <c r="E200" s="436"/>
      <c r="F200" s="436" t="s">
        <v>2285</v>
      </c>
      <c r="G200" s="437" t="s">
        <v>515</v>
      </c>
      <c r="H200" s="437" t="s">
        <v>702</v>
      </c>
      <c r="I200" s="437" t="s">
        <v>1999</v>
      </c>
      <c r="J200" s="437">
        <v>3000.0</v>
      </c>
      <c r="K200" s="438"/>
      <c r="L200" s="438"/>
      <c r="M200" s="453"/>
      <c r="N200" s="422">
        <v>14.8</v>
      </c>
      <c r="O200" s="422">
        <v>13.94</v>
      </c>
      <c r="P200" s="422">
        <v>19.41</v>
      </c>
      <c r="Q200" s="436" t="s">
        <v>1632</v>
      </c>
      <c r="R200" s="438"/>
      <c r="S200" s="436" t="s">
        <v>2000</v>
      </c>
      <c r="T200" s="436" t="s">
        <v>1632</v>
      </c>
      <c r="U200" s="436" t="s">
        <v>1633</v>
      </c>
      <c r="V200" s="440"/>
      <c r="W200" s="441">
        <v>0.01</v>
      </c>
      <c r="X200" s="438"/>
      <c r="Y200" s="442">
        <f>IF((W200/((J200/5780)^4))^0.5&gt;0,(W200/((J200/5780)^4))^0.5,"")</f>
        <v>0.3712044444</v>
      </c>
      <c r="Z200" s="442"/>
      <c r="AA200" s="443"/>
      <c r="AB200" s="443"/>
      <c r="AC200" s="436" t="str">
        <f>IF(ISNUMBER(VLOOKUP(B200,'New Masses'!A:C,3,FALSE)),VLOOKUP(B200,'New Masses'!A:C,3,FALSE),"")</f>
        <v/>
      </c>
      <c r="AD200" s="440">
        <f>10^AE200</f>
        <v>0</v>
      </c>
      <c r="AE200" s="437">
        <v>-11.11</v>
      </c>
      <c r="AF200" s="438"/>
      <c r="AG200" s="445">
        <v>0.08</v>
      </c>
      <c r="AH200" s="438"/>
      <c r="AI200" s="446" t="str">
        <f>IF(ISNUMBER(VLOOKUP(B200,'New Masses'!A:C,2, FALSE)),VLOOKUP(B200,'New Masses'!A:C,2, FALSE),"")</f>
        <v/>
      </c>
      <c r="AJ200" s="438"/>
      <c r="AK200" s="437"/>
      <c r="AL200" s="447">
        <v>-4.46</v>
      </c>
      <c r="AM200" s="438"/>
      <c r="AN200" s="436">
        <v>3.0</v>
      </c>
      <c r="AO200" s="438"/>
      <c r="AP200" s="436"/>
      <c r="AQ200" s="438"/>
      <c r="AR200" s="438"/>
      <c r="AS200" s="438"/>
      <c r="AT200" s="438" t="s">
        <v>5916</v>
      </c>
      <c r="AU200" s="438"/>
      <c r="AV200" s="438"/>
      <c r="AW200" s="450">
        <v>314.851547495355</v>
      </c>
    </row>
    <row r="201">
      <c r="A201" s="435" t="str">
        <f t="shared" ref="A201:C201" si="220">#REF!</f>
        <v>#REF!</v>
      </c>
      <c r="B201" s="485" t="str">
        <f t="shared" si="220"/>
        <v>#REF!</v>
      </c>
      <c r="C201" s="486" t="str">
        <f t="shared" si="220"/>
        <v>#REF!</v>
      </c>
      <c r="D201" s="486"/>
      <c r="E201" s="486"/>
      <c r="F201" s="528"/>
      <c r="G201" s="486"/>
      <c r="H201" s="486" t="s">
        <v>5917</v>
      </c>
      <c r="I201" s="491"/>
      <c r="J201" s="491"/>
      <c r="K201" s="491"/>
      <c r="L201" s="491"/>
      <c r="M201" s="486"/>
      <c r="N201" s="422"/>
      <c r="O201" s="422"/>
      <c r="P201" s="422"/>
      <c r="Q201" s="486"/>
      <c r="R201" s="491"/>
      <c r="S201" s="491"/>
      <c r="T201" s="491"/>
      <c r="U201" s="491"/>
      <c r="V201" s="491"/>
      <c r="W201" s="493"/>
      <c r="X201" s="486"/>
      <c r="Y201" s="442"/>
      <c r="Z201" s="491"/>
      <c r="AA201" s="524" t="str">
        <f>#REF!</f>
        <v>#REF!</v>
      </c>
      <c r="AB201" s="494"/>
      <c r="AC201" s="436"/>
      <c r="AD201" s="495"/>
      <c r="AE201" s="491"/>
      <c r="AF201" s="491"/>
      <c r="AG201" s="525" t="str">
        <f>#REF!</f>
        <v>#REF!</v>
      </c>
      <c r="AH201" s="491"/>
      <c r="AI201" s="446"/>
      <c r="AJ201" s="491"/>
      <c r="AK201" s="500"/>
      <c r="AL201" s="436"/>
      <c r="AM201" s="438"/>
      <c r="AN201" s="531"/>
      <c r="AO201" s="491"/>
      <c r="AP201" s="438"/>
      <c r="AQ201" s="438"/>
      <c r="AR201" s="438"/>
      <c r="AS201" s="438"/>
      <c r="AT201" s="438"/>
      <c r="AU201" s="438"/>
      <c r="AV201" s="438"/>
      <c r="AW201" s="450" t="str">
        <f>#REF!</f>
        <v>#REF!</v>
      </c>
    </row>
    <row r="202">
      <c r="A202" s="435" t="s">
        <v>1671</v>
      </c>
      <c r="B202" s="436" t="s">
        <v>1672</v>
      </c>
      <c r="C202" s="436"/>
      <c r="D202" s="436" t="s">
        <v>350</v>
      </c>
      <c r="E202" s="436"/>
      <c r="F202" s="436" t="s">
        <v>2286</v>
      </c>
      <c r="G202" s="437" t="s">
        <v>515</v>
      </c>
      <c r="H202" s="437" t="s">
        <v>702</v>
      </c>
      <c r="I202" s="437" t="s">
        <v>1999</v>
      </c>
      <c r="J202" s="437">
        <v>3100.0</v>
      </c>
      <c r="K202" s="438"/>
      <c r="L202" s="438"/>
      <c r="M202" s="453"/>
      <c r="N202" s="422">
        <v>12.14</v>
      </c>
      <c r="O202" s="422">
        <v>11.27</v>
      </c>
      <c r="P202" s="422">
        <v>16.0</v>
      </c>
      <c r="Q202" s="436" t="s">
        <v>1632</v>
      </c>
      <c r="R202" s="438"/>
      <c r="S202" s="436" t="s">
        <v>2000</v>
      </c>
      <c r="T202" s="436" t="s">
        <v>1632</v>
      </c>
      <c r="U202" s="436" t="s">
        <v>1633</v>
      </c>
      <c r="V202" s="440"/>
      <c r="W202" s="441">
        <v>0.25</v>
      </c>
      <c r="X202" s="438"/>
      <c r="Y202" s="442">
        <f>IF((W202/((J202/5780)^4))^0.5&gt;0,(W202/((J202/5780)^4))^0.5,"")</f>
        <v>1.738210198</v>
      </c>
      <c r="Z202" s="442"/>
      <c r="AA202" s="443"/>
      <c r="AB202" s="443"/>
      <c r="AC202" s="436" t="str">
        <f>IF(ISNUMBER(VLOOKUP(B202,'New Masses'!A:C,3,FALSE)),VLOOKUP(B202,'New Masses'!A:C,3,FALSE),"")</f>
        <v/>
      </c>
      <c r="AD202" s="440">
        <f>10^AE202</f>
        <v>0.0000000002951209227</v>
      </c>
      <c r="AE202" s="437">
        <v>-9.53</v>
      </c>
      <c r="AF202" s="438"/>
      <c r="AG202" s="445">
        <v>0.2</v>
      </c>
      <c r="AH202" s="438"/>
      <c r="AI202" s="446" t="str">
        <f>IF(ISNUMBER(VLOOKUP(B202,'New Masses'!A:C,2, FALSE)),VLOOKUP(B202,'New Masses'!A:C,2, FALSE),"")</f>
        <v/>
      </c>
      <c r="AJ202" s="438"/>
      <c r="AK202" s="437"/>
      <c r="AL202" s="447">
        <v>-3.08</v>
      </c>
      <c r="AM202" s="438"/>
      <c r="AN202" s="436">
        <v>3.0</v>
      </c>
      <c r="AO202" s="438"/>
      <c r="AP202" s="436"/>
      <c r="AQ202" s="438"/>
      <c r="AR202" s="438"/>
      <c r="AS202" s="438"/>
      <c r="AT202" s="438" t="s">
        <v>5916</v>
      </c>
      <c r="AU202" s="438"/>
      <c r="AV202" s="438"/>
      <c r="AW202" s="450">
        <v>380.676843427614</v>
      </c>
    </row>
    <row r="203">
      <c r="A203" s="435" t="str">
        <f t="shared" ref="A203:C203" si="221">#REF!</f>
        <v>#REF!</v>
      </c>
      <c r="B203" s="485" t="str">
        <f t="shared" si="221"/>
        <v>#REF!</v>
      </c>
      <c r="C203" s="486" t="str">
        <f t="shared" si="221"/>
        <v>#REF!</v>
      </c>
      <c r="D203" s="486"/>
      <c r="E203" s="486"/>
      <c r="F203" s="528"/>
      <c r="G203" s="486"/>
      <c r="H203" s="486" t="s">
        <v>5917</v>
      </c>
      <c r="I203" s="491"/>
      <c r="J203" s="491"/>
      <c r="K203" s="491"/>
      <c r="L203" s="491"/>
      <c r="M203" s="486"/>
      <c r="N203" s="422"/>
      <c r="O203" s="422"/>
      <c r="P203" s="422"/>
      <c r="Q203" s="486"/>
      <c r="R203" s="491"/>
      <c r="S203" s="491"/>
      <c r="T203" s="491"/>
      <c r="U203" s="491"/>
      <c r="V203" s="491"/>
      <c r="W203" s="493"/>
      <c r="X203" s="486"/>
      <c r="Y203" s="442"/>
      <c r="Z203" s="491"/>
      <c r="AA203" s="524" t="str">
        <f>#REF!</f>
        <v>#REF!</v>
      </c>
      <c r="AB203" s="494"/>
      <c r="AC203" s="436"/>
      <c r="AD203" s="495"/>
      <c r="AE203" s="491"/>
      <c r="AF203" s="491"/>
      <c r="AG203" s="525" t="str">
        <f>#REF!</f>
        <v>#REF!</v>
      </c>
      <c r="AH203" s="491"/>
      <c r="AI203" s="446"/>
      <c r="AJ203" s="491"/>
      <c r="AK203" s="500"/>
      <c r="AL203" s="436"/>
      <c r="AM203" s="438"/>
      <c r="AN203" s="531"/>
      <c r="AO203" s="491"/>
      <c r="AP203" s="438"/>
      <c r="AQ203" s="438"/>
      <c r="AR203" s="438"/>
      <c r="AS203" s="438"/>
      <c r="AT203" s="438"/>
      <c r="AU203" s="438"/>
      <c r="AV203" s="438"/>
      <c r="AW203" s="450" t="str">
        <f>#REF!</f>
        <v>#REF!</v>
      </c>
    </row>
    <row r="204">
      <c r="A204" s="435" t="s">
        <v>1650</v>
      </c>
      <c r="B204" s="436" t="s">
        <v>1651</v>
      </c>
      <c r="C204" s="436"/>
      <c r="D204" s="436" t="s">
        <v>350</v>
      </c>
      <c r="E204" s="436"/>
      <c r="F204" s="436" t="s">
        <v>2287</v>
      </c>
      <c r="G204" s="437" t="s">
        <v>169</v>
      </c>
      <c r="H204" s="437" t="s">
        <v>702</v>
      </c>
      <c r="I204" s="437" t="s">
        <v>1999</v>
      </c>
      <c r="J204" s="437">
        <v>3000.0</v>
      </c>
      <c r="K204" s="438"/>
      <c r="L204" s="438"/>
      <c r="M204" s="453"/>
      <c r="N204" s="422">
        <v>14.07</v>
      </c>
      <c r="O204" s="422">
        <v>13.15</v>
      </c>
      <c r="P204" s="422">
        <v>18.11</v>
      </c>
      <c r="Q204" s="436" t="s">
        <v>1632</v>
      </c>
      <c r="R204" s="438"/>
      <c r="S204" s="436" t="s">
        <v>2000</v>
      </c>
      <c r="T204" s="436" t="s">
        <v>1632</v>
      </c>
      <c r="U204" s="436" t="s">
        <v>1633</v>
      </c>
      <c r="V204" s="451"/>
      <c r="W204" s="441">
        <v>0.04</v>
      </c>
      <c r="X204" s="438"/>
      <c r="Y204" s="442">
        <f>IF((W204/((J204/5780)^4))^0.5&gt;0,(W204/((J204/5780)^4))^0.5,"")</f>
        <v>0.7424088889</v>
      </c>
      <c r="Z204" s="442"/>
      <c r="AA204" s="443"/>
      <c r="AB204" s="443"/>
      <c r="AC204" s="436" t="str">
        <f>IF(ISNUMBER(VLOOKUP(B204,'New Masses'!A:C,3,FALSE)),VLOOKUP(B204,'New Masses'!A:C,3,FALSE),"")</f>
        <v/>
      </c>
      <c r="AD204" s="440">
        <f>10^AE204</f>
        <v>0</v>
      </c>
      <c r="AE204" s="437">
        <v>-10.54</v>
      </c>
      <c r="AF204" s="438"/>
      <c r="AG204" s="445">
        <v>0.1</v>
      </c>
      <c r="AH204" s="438"/>
      <c r="AI204" s="446" t="str">
        <f>IF(ISNUMBER(VLOOKUP(B204,'New Masses'!A:C,2, FALSE)),VLOOKUP(B204,'New Masses'!A:C,2, FALSE),"")</f>
        <v/>
      </c>
      <c r="AJ204" s="438"/>
      <c r="AK204" s="437"/>
      <c r="AL204" s="447">
        <v>-4.03</v>
      </c>
      <c r="AM204" s="438"/>
      <c r="AN204" s="436">
        <v>3.0</v>
      </c>
      <c r="AO204" s="438"/>
      <c r="AP204" s="436"/>
      <c r="AQ204" s="438"/>
      <c r="AR204" s="438"/>
      <c r="AS204" s="438"/>
      <c r="AT204" s="438" t="s">
        <v>5916</v>
      </c>
      <c r="AU204" s="438"/>
      <c r="AV204" s="438"/>
      <c r="AW204" s="450">
        <v>427.478305475997</v>
      </c>
    </row>
    <row r="205">
      <c r="A205" s="435" t="str">
        <f t="shared" ref="A205:C205" si="222">#REF!</f>
        <v>#REF!</v>
      </c>
      <c r="B205" s="485" t="str">
        <f t="shared" si="222"/>
        <v>#REF!</v>
      </c>
      <c r="C205" s="486" t="str">
        <f t="shared" si="222"/>
        <v>#REF!</v>
      </c>
      <c r="D205" s="486"/>
      <c r="E205" s="486"/>
      <c r="F205" s="528"/>
      <c r="G205" s="486"/>
      <c r="H205" s="486" t="s">
        <v>5917</v>
      </c>
      <c r="I205" s="491"/>
      <c r="J205" s="491"/>
      <c r="K205" s="491"/>
      <c r="L205" s="491"/>
      <c r="M205" s="486"/>
      <c r="N205" s="422"/>
      <c r="O205" s="422"/>
      <c r="P205" s="422"/>
      <c r="Q205" s="486"/>
      <c r="R205" s="491"/>
      <c r="S205" s="491"/>
      <c r="T205" s="491"/>
      <c r="U205" s="491"/>
      <c r="V205" s="491"/>
      <c r="W205" s="493"/>
      <c r="X205" s="486"/>
      <c r="Y205" s="442"/>
      <c r="Z205" s="491"/>
      <c r="AA205" s="524" t="str">
        <f>#REF!</f>
        <v>#REF!</v>
      </c>
      <c r="AB205" s="494"/>
      <c r="AC205" s="436"/>
      <c r="AD205" s="495"/>
      <c r="AE205" s="491"/>
      <c r="AF205" s="491"/>
      <c r="AG205" s="525" t="str">
        <f>#REF!</f>
        <v>#REF!</v>
      </c>
      <c r="AH205" s="491"/>
      <c r="AI205" s="446"/>
      <c r="AJ205" s="491"/>
      <c r="AK205" s="500"/>
      <c r="AL205" s="436"/>
      <c r="AM205" s="438"/>
      <c r="AN205" s="531"/>
      <c r="AO205" s="491"/>
      <c r="AP205" s="438"/>
      <c r="AQ205" s="438"/>
      <c r="AR205" s="438"/>
      <c r="AS205" s="438"/>
      <c r="AT205" s="438"/>
      <c r="AU205" s="438"/>
      <c r="AV205" s="438"/>
      <c r="AW205" s="450" t="str">
        <f>#REF!</f>
        <v>#REF!</v>
      </c>
    </row>
    <row r="206">
      <c r="A206" s="435" t="s">
        <v>1657</v>
      </c>
      <c r="B206" s="436" t="s">
        <v>1658</v>
      </c>
      <c r="C206" s="436"/>
      <c r="D206" s="436" t="s">
        <v>350</v>
      </c>
      <c r="E206" s="436"/>
      <c r="F206" s="436" t="s">
        <v>2288</v>
      </c>
      <c r="G206" s="437" t="s">
        <v>169</v>
      </c>
      <c r="H206" s="437" t="s">
        <v>702</v>
      </c>
      <c r="I206" s="437" t="s">
        <v>1999</v>
      </c>
      <c r="J206" s="437">
        <v>3100.0</v>
      </c>
      <c r="K206" s="438"/>
      <c r="L206" s="438"/>
      <c r="M206" s="453"/>
      <c r="N206" s="422">
        <v>13.84</v>
      </c>
      <c r="O206" s="422">
        <v>12.96</v>
      </c>
      <c r="P206" s="422">
        <v>17.8</v>
      </c>
      <c r="Q206" s="436" t="s">
        <v>1632</v>
      </c>
      <c r="R206" s="438"/>
      <c r="S206" s="436" t="s">
        <v>2000</v>
      </c>
      <c r="T206" s="436" t="s">
        <v>1632</v>
      </c>
      <c r="U206" s="436" t="s">
        <v>1633</v>
      </c>
      <c r="V206" s="440"/>
      <c r="W206" s="441">
        <v>0.05</v>
      </c>
      <c r="X206" s="438"/>
      <c r="Y206" s="442">
        <f>IF((W206/((J206/5780)^4))^0.5&gt;0,(W206/((J206/5780)^4))^0.5,"")</f>
        <v>0.7773512323</v>
      </c>
      <c r="Z206" s="442"/>
      <c r="AA206" s="443"/>
      <c r="AB206" s="443"/>
      <c r="AC206" s="436" t="str">
        <f>IF(ISNUMBER(VLOOKUP(B206,'New Masses'!A:C,3,FALSE)),VLOOKUP(B206,'New Masses'!A:C,3,FALSE),"")</f>
        <v/>
      </c>
      <c r="AD206" s="440">
        <f>10^AE206</f>
        <v>0</v>
      </c>
      <c r="AE206" s="437">
        <v>-10.44</v>
      </c>
      <c r="AF206" s="438"/>
      <c r="AG206" s="445">
        <v>0.13</v>
      </c>
      <c r="AH206" s="438"/>
      <c r="AI206" s="446" t="str">
        <f>IF(ISNUMBER(VLOOKUP(B206,'New Masses'!A:C,2, FALSE)),VLOOKUP(B206,'New Masses'!A:C,2, FALSE),"")</f>
        <v/>
      </c>
      <c r="AJ206" s="438"/>
      <c r="AK206" s="437"/>
      <c r="AL206" s="447">
        <v>-3.82</v>
      </c>
      <c r="AM206" s="438"/>
      <c r="AN206" s="436">
        <v>3.0</v>
      </c>
      <c r="AO206" s="438"/>
      <c r="AP206" s="436"/>
      <c r="AQ206" s="438"/>
      <c r="AR206" s="438"/>
      <c r="AS206" s="438"/>
      <c r="AT206" s="438" t="s">
        <v>5916</v>
      </c>
      <c r="AU206" s="438"/>
      <c r="AV206" s="438"/>
      <c r="AW206" s="450">
        <v>398.851308232291</v>
      </c>
    </row>
    <row r="207">
      <c r="A207" s="435" t="str">
        <f t="shared" ref="A207:C207" si="223">#REF!</f>
        <v>#REF!</v>
      </c>
      <c r="B207" s="485" t="str">
        <f t="shared" si="223"/>
        <v>#REF!</v>
      </c>
      <c r="C207" s="486" t="str">
        <f t="shared" si="223"/>
        <v>#REF!</v>
      </c>
      <c r="D207" s="486"/>
      <c r="E207" s="486"/>
      <c r="F207" s="528"/>
      <c r="G207" s="486"/>
      <c r="H207" s="486" t="s">
        <v>5917</v>
      </c>
      <c r="I207" s="491"/>
      <c r="J207" s="491"/>
      <c r="K207" s="491"/>
      <c r="L207" s="491"/>
      <c r="M207" s="486"/>
      <c r="N207" s="422"/>
      <c r="O207" s="422"/>
      <c r="P207" s="422"/>
      <c r="Q207" s="486"/>
      <c r="R207" s="491"/>
      <c r="S207" s="491"/>
      <c r="T207" s="491"/>
      <c r="U207" s="491"/>
      <c r="V207" s="491"/>
      <c r="W207" s="493"/>
      <c r="X207" s="486"/>
      <c r="Y207" s="442"/>
      <c r="Z207" s="491"/>
      <c r="AA207" s="524" t="str">
        <f>#REF!</f>
        <v>#REF!</v>
      </c>
      <c r="AB207" s="494"/>
      <c r="AC207" s="436"/>
      <c r="AD207" s="495"/>
      <c r="AE207" s="491"/>
      <c r="AF207" s="491"/>
      <c r="AG207" s="525" t="str">
        <f>#REF!</f>
        <v>#REF!</v>
      </c>
      <c r="AH207" s="491"/>
      <c r="AI207" s="446"/>
      <c r="AJ207" s="491"/>
      <c r="AK207" s="500"/>
      <c r="AL207" s="436"/>
      <c r="AM207" s="438"/>
      <c r="AN207" s="531"/>
      <c r="AO207" s="491"/>
      <c r="AP207" s="438"/>
      <c r="AQ207" s="438"/>
      <c r="AR207" s="438"/>
      <c r="AS207" s="438"/>
      <c r="AT207" s="438"/>
      <c r="AU207" s="438"/>
      <c r="AV207" s="438"/>
      <c r="AW207" s="450" t="str">
        <f>#REF!</f>
        <v>#REF!</v>
      </c>
    </row>
    <row r="208">
      <c r="A208" s="435" t="s">
        <v>710</v>
      </c>
      <c r="B208" s="436" t="s">
        <v>711</v>
      </c>
      <c r="C208" s="436"/>
      <c r="D208" s="436" t="s">
        <v>350</v>
      </c>
      <c r="E208" s="436"/>
      <c r="F208" s="436" t="s">
        <v>2289</v>
      </c>
      <c r="G208" s="437" t="s">
        <v>712</v>
      </c>
      <c r="H208" s="437" t="s">
        <v>702</v>
      </c>
      <c r="I208" s="437" t="s">
        <v>1999</v>
      </c>
      <c r="J208" s="437">
        <v>3700.0</v>
      </c>
      <c r="K208" s="438"/>
      <c r="L208" s="436" t="s">
        <v>713</v>
      </c>
      <c r="M208" s="439"/>
      <c r="N208" s="422">
        <v>12.338</v>
      </c>
      <c r="O208" s="422">
        <v>11.282</v>
      </c>
      <c r="P208" s="422">
        <v>14.62</v>
      </c>
      <c r="Q208" s="436" t="s">
        <v>1632</v>
      </c>
      <c r="R208" s="438"/>
      <c r="S208" s="436" t="s">
        <v>2000</v>
      </c>
      <c r="T208" s="436" t="s">
        <v>1632</v>
      </c>
      <c r="U208" s="436" t="s">
        <v>1633</v>
      </c>
      <c r="V208" s="440"/>
      <c r="W208" s="441">
        <v>0.21</v>
      </c>
      <c r="X208" s="438"/>
      <c r="Y208" s="442">
        <f>IF((W208/((J208/5780)^4))^0.5&gt;0,(W208/((J208/5780)^4))^0.5,"")</f>
        <v>1.118309144</v>
      </c>
      <c r="Z208" s="442"/>
      <c r="AA208" s="443"/>
      <c r="AB208" s="443"/>
      <c r="AC208" s="436" t="str">
        <f>IF(ISNUMBER(VLOOKUP(B208,'New Masses'!A:C,3,FALSE)),VLOOKUP(B208,'New Masses'!A:C,3,FALSE),"")</f>
        <v/>
      </c>
      <c r="AD208" s="440">
        <f>10^AE208</f>
        <v>0.0000000003548133892</v>
      </c>
      <c r="AE208" s="437">
        <v>-9.45</v>
      </c>
      <c r="AF208" s="438"/>
      <c r="AG208" s="445">
        <v>0.7</v>
      </c>
      <c r="AH208" s="438"/>
      <c r="AI208" s="446" t="str">
        <f>IF(ISNUMBER(VLOOKUP(B208,'New Masses'!A:C,2, FALSE)),VLOOKUP(B208,'New Masses'!A:C,2, FALSE),"")</f>
        <v/>
      </c>
      <c r="AJ208" s="438"/>
      <c r="AK208" s="437"/>
      <c r="AL208" s="447">
        <v>-2.26</v>
      </c>
      <c r="AM208" s="438"/>
      <c r="AN208" s="436">
        <v>3.0</v>
      </c>
      <c r="AO208" s="438"/>
      <c r="AP208" s="438"/>
      <c r="AQ208" s="436"/>
      <c r="AR208" s="438"/>
      <c r="AS208" s="438"/>
      <c r="AT208" s="438"/>
      <c r="AU208" s="438" t="s">
        <v>705</v>
      </c>
      <c r="AV208" s="438"/>
      <c r="AW208" s="450">
        <v>398.692289291125</v>
      </c>
    </row>
    <row r="209">
      <c r="A209" s="435" t="str">
        <f t="shared" ref="A209:C209" si="224">#REF!</f>
        <v>#REF!</v>
      </c>
      <c r="B209" s="485" t="str">
        <f t="shared" si="224"/>
        <v>#REF!</v>
      </c>
      <c r="C209" s="486" t="str">
        <f t="shared" si="224"/>
        <v>#REF!</v>
      </c>
      <c r="D209" s="486"/>
      <c r="E209" s="486"/>
      <c r="F209" s="528"/>
      <c r="G209" s="486"/>
      <c r="H209" s="486" t="s">
        <v>5917</v>
      </c>
      <c r="I209" s="491"/>
      <c r="J209" s="491"/>
      <c r="K209" s="491"/>
      <c r="L209" s="491"/>
      <c r="M209" s="486"/>
      <c r="N209" s="422"/>
      <c r="O209" s="422"/>
      <c r="P209" s="422"/>
      <c r="Q209" s="486"/>
      <c r="R209" s="491"/>
      <c r="S209" s="491"/>
      <c r="T209" s="491"/>
      <c r="U209" s="491"/>
      <c r="V209" s="491"/>
      <c r="W209" s="493"/>
      <c r="X209" s="486"/>
      <c r="Y209" s="442"/>
      <c r="Z209" s="491"/>
      <c r="AA209" s="524" t="str">
        <f>#REF!</f>
        <v>#REF!</v>
      </c>
      <c r="AB209" s="494"/>
      <c r="AC209" s="436"/>
      <c r="AD209" s="495"/>
      <c r="AE209" s="491"/>
      <c r="AF209" s="491"/>
      <c r="AG209" s="525" t="str">
        <f>#REF!</f>
        <v>#REF!</v>
      </c>
      <c r="AH209" s="491"/>
      <c r="AI209" s="446"/>
      <c r="AJ209" s="491"/>
      <c r="AK209" s="500"/>
      <c r="AL209" s="436"/>
      <c r="AM209" s="438"/>
      <c r="AN209" s="531"/>
      <c r="AO209" s="491"/>
      <c r="AP209" s="438"/>
      <c r="AQ209" s="438"/>
      <c r="AR209" s="438"/>
      <c r="AS209" s="438"/>
      <c r="AT209" s="438"/>
      <c r="AU209" s="438"/>
      <c r="AV209" s="438"/>
      <c r="AW209" s="450" t="str">
        <f>#REF!</f>
        <v>#REF!</v>
      </c>
    </row>
    <row r="210">
      <c r="A210" s="435" t="s">
        <v>393</v>
      </c>
      <c r="B210" s="436" t="s">
        <v>394</v>
      </c>
      <c r="C210" s="436"/>
      <c r="D210" s="436" t="s">
        <v>350</v>
      </c>
      <c r="E210" s="436"/>
      <c r="F210" s="436" t="s">
        <v>2291</v>
      </c>
      <c r="G210" s="437" t="s">
        <v>169</v>
      </c>
      <c r="H210" s="437" t="s">
        <v>702</v>
      </c>
      <c r="I210" s="437" t="s">
        <v>1999</v>
      </c>
      <c r="J210" s="437">
        <v>3300.0</v>
      </c>
      <c r="K210" s="438"/>
      <c r="L210" s="438"/>
      <c r="M210" s="453"/>
      <c r="N210" s="422">
        <v>14.45</v>
      </c>
      <c r="O210" s="422">
        <v>12.61</v>
      </c>
      <c r="P210" s="422">
        <v>18.46</v>
      </c>
      <c r="Q210" s="436" t="s">
        <v>1632</v>
      </c>
      <c r="R210" s="438"/>
      <c r="S210" s="436" t="s">
        <v>2000</v>
      </c>
      <c r="T210" s="436" t="s">
        <v>1632</v>
      </c>
      <c r="U210" s="436" t="s">
        <v>1633</v>
      </c>
      <c r="V210" s="451"/>
      <c r="W210" s="441">
        <v>0.03</v>
      </c>
      <c r="X210" s="438"/>
      <c r="Y210" s="442">
        <f t="shared" ref="Y210:Y211" si="225">IF((W210/((J210/5780)^4))^0.5&gt;0,(W210/((J210/5780)^4))^0.5,"")</f>
        <v>0.5313594692</v>
      </c>
      <c r="Z210" s="442"/>
      <c r="AA210" s="443"/>
      <c r="AB210" s="443"/>
      <c r="AC210" s="436" t="str">
        <f>IF(ISNUMBER(VLOOKUP(B210,'New Masses'!A:C,3,FALSE)),VLOOKUP(B210,'New Masses'!A:C,3,FALSE),"")</f>
        <v/>
      </c>
      <c r="AD210" s="440">
        <f t="shared" ref="AD210:AD211" si="226">10^AE210</f>
        <v>0.0000000001380384265</v>
      </c>
      <c r="AE210" s="437">
        <v>-9.86</v>
      </c>
      <c r="AF210" s="438"/>
      <c r="AG210" s="445">
        <v>0.2</v>
      </c>
      <c r="AH210" s="438"/>
      <c r="AI210" s="446" t="str">
        <f>IF(ISNUMBER(VLOOKUP(B210,'New Masses'!A:C,2, FALSE)),VLOOKUP(B210,'New Masses'!A:C,2, FALSE),"")</f>
        <v/>
      </c>
      <c r="AJ210" s="438"/>
      <c r="AK210" s="437"/>
      <c r="AL210" s="447">
        <v>-2.85</v>
      </c>
      <c r="AM210" s="438"/>
      <c r="AN210" s="436">
        <v>3.0</v>
      </c>
      <c r="AO210" s="438"/>
      <c r="AP210" s="438"/>
      <c r="AQ210" s="438"/>
      <c r="AR210" s="438"/>
      <c r="AS210" s="438"/>
      <c r="AT210" s="438"/>
      <c r="AU210" s="438"/>
      <c r="AV210" s="438"/>
      <c r="AW210" s="450">
        <v>335.863505071538</v>
      </c>
    </row>
    <row r="211">
      <c r="A211" s="435" t="s">
        <v>393</v>
      </c>
      <c r="B211" s="436" t="s">
        <v>394</v>
      </c>
      <c r="C211" s="436"/>
      <c r="D211" s="436" t="s">
        <v>350</v>
      </c>
      <c r="E211" s="436"/>
      <c r="F211" s="436" t="s">
        <v>2290</v>
      </c>
      <c r="G211" s="436" t="s">
        <v>169</v>
      </c>
      <c r="H211" s="436" t="s">
        <v>352</v>
      </c>
      <c r="I211" s="436" t="s">
        <v>2223</v>
      </c>
      <c r="J211" s="436">
        <v>3270.0</v>
      </c>
      <c r="K211" s="436"/>
      <c r="L211" s="436" t="s">
        <v>395</v>
      </c>
      <c r="M211" s="439"/>
      <c r="N211" s="422">
        <v>14.45</v>
      </c>
      <c r="O211" s="422">
        <v>12.61</v>
      </c>
      <c r="P211" s="422">
        <v>18.46</v>
      </c>
      <c r="Q211" s="436" t="s">
        <v>2224</v>
      </c>
      <c r="R211" s="436" t="s">
        <v>2225</v>
      </c>
      <c r="S211" s="436" t="s">
        <v>2191</v>
      </c>
      <c r="T211" s="436" t="s">
        <v>293</v>
      </c>
      <c r="U211" s="436" t="s">
        <v>294</v>
      </c>
      <c r="V211" s="440"/>
      <c r="W211" s="474">
        <v>0.03</v>
      </c>
      <c r="X211" s="436"/>
      <c r="Y211" s="442">
        <f t="shared" si="225"/>
        <v>0.5411539077</v>
      </c>
      <c r="Z211" s="469"/>
      <c r="AA211" s="470">
        <v>0.46</v>
      </c>
      <c r="AB211" s="470"/>
      <c r="AC211" s="436" t="str">
        <f>IF(ISNUMBER(VLOOKUP(B211,'New Masses'!A:C,3,FALSE)),VLOOKUP(B211,'New Masses'!A:C,3,FALSE),"")</f>
        <v/>
      </c>
      <c r="AD211" s="440">
        <f t="shared" si="226"/>
        <v>0</v>
      </c>
      <c r="AE211" s="436">
        <v>-10.39</v>
      </c>
      <c r="AF211" s="438"/>
      <c r="AG211" s="459">
        <v>0.19</v>
      </c>
      <c r="AH211" s="436"/>
      <c r="AI211" s="446" t="str">
        <f>IF(ISNUMBER(VLOOKUP(B211,'New Masses'!A:C,2, FALSE)),VLOOKUP(B211,'New Masses'!A:C,2, FALSE),"")</f>
        <v/>
      </c>
      <c r="AJ211" s="436"/>
      <c r="AK211" s="436"/>
      <c r="AL211" s="436">
        <v>-3.5</v>
      </c>
      <c r="AM211" s="466">
        <v>43864.0</v>
      </c>
      <c r="AN211" s="436">
        <v>3.0</v>
      </c>
      <c r="AO211" s="438"/>
      <c r="AP211" s="438"/>
      <c r="AQ211" s="438"/>
      <c r="AR211" s="438"/>
      <c r="AS211" s="438"/>
      <c r="AT211" s="438"/>
      <c r="AU211" s="438"/>
      <c r="AV211" s="438"/>
      <c r="AW211" s="450">
        <v>335.863505071538</v>
      </c>
    </row>
    <row r="212">
      <c r="A212" s="435" t="str">
        <f t="shared" ref="A212:C212" si="227">#REF!</f>
        <v>#REF!</v>
      </c>
      <c r="B212" s="485" t="str">
        <f t="shared" si="227"/>
        <v>#REF!</v>
      </c>
      <c r="C212" s="486" t="str">
        <f t="shared" si="227"/>
        <v>#REF!</v>
      </c>
      <c r="D212" s="486"/>
      <c r="E212" s="486"/>
      <c r="F212" s="528"/>
      <c r="G212" s="486"/>
      <c r="H212" s="486" t="s">
        <v>5917</v>
      </c>
      <c r="I212" s="491"/>
      <c r="J212" s="491"/>
      <c r="K212" s="491"/>
      <c r="L212" s="491"/>
      <c r="M212" s="486"/>
      <c r="N212" s="422"/>
      <c r="O212" s="422"/>
      <c r="P212" s="422"/>
      <c r="Q212" s="486"/>
      <c r="R212" s="491"/>
      <c r="S212" s="491"/>
      <c r="T212" s="491"/>
      <c r="U212" s="491"/>
      <c r="V212" s="491"/>
      <c r="W212" s="493"/>
      <c r="X212" s="486"/>
      <c r="Y212" s="442"/>
      <c r="Z212" s="491"/>
      <c r="AA212" s="524" t="str">
        <f t="shared" ref="AA212:AA213" si="229">#REF!</f>
        <v>#REF!</v>
      </c>
      <c r="AB212" s="494"/>
      <c r="AC212" s="436"/>
      <c r="AD212" s="495"/>
      <c r="AE212" s="491"/>
      <c r="AF212" s="491"/>
      <c r="AG212" s="525" t="str">
        <f t="shared" ref="AG212:AG213" si="230">#REF!</f>
        <v>#REF!</v>
      </c>
      <c r="AH212" s="491"/>
      <c r="AI212" s="446"/>
      <c r="AJ212" s="491"/>
      <c r="AK212" s="500"/>
      <c r="AL212" s="436"/>
      <c r="AM212" s="438"/>
      <c r="AN212" s="531"/>
      <c r="AO212" s="491"/>
      <c r="AP212" s="438"/>
      <c r="AQ212" s="438"/>
      <c r="AR212" s="438"/>
      <c r="AS212" s="438"/>
      <c r="AT212" s="438"/>
      <c r="AU212" s="438"/>
      <c r="AV212" s="438"/>
      <c r="AW212" s="450" t="str">
        <f t="shared" ref="AW212:AW213" si="231">#REF!</f>
        <v>#REF!</v>
      </c>
    </row>
    <row r="213">
      <c r="A213" s="435" t="str">
        <f t="shared" ref="A213:C213" si="228">#REF!</f>
        <v>#REF!</v>
      </c>
      <c r="B213" s="485" t="str">
        <f t="shared" si="228"/>
        <v>#REF!</v>
      </c>
      <c r="C213" s="486" t="str">
        <f t="shared" si="228"/>
        <v>#REF!</v>
      </c>
      <c r="D213" s="486"/>
      <c r="E213" s="486"/>
      <c r="F213" s="528"/>
      <c r="G213" s="486"/>
      <c r="H213" s="486" t="s">
        <v>5917</v>
      </c>
      <c r="I213" s="491"/>
      <c r="J213" s="491"/>
      <c r="K213" s="491"/>
      <c r="L213" s="491"/>
      <c r="M213" s="486"/>
      <c r="N213" s="422"/>
      <c r="O213" s="422"/>
      <c r="P213" s="422"/>
      <c r="Q213" s="486"/>
      <c r="R213" s="491"/>
      <c r="S213" s="491"/>
      <c r="T213" s="491"/>
      <c r="U213" s="491"/>
      <c r="V213" s="491"/>
      <c r="W213" s="493"/>
      <c r="X213" s="486"/>
      <c r="Y213" s="442"/>
      <c r="Z213" s="491"/>
      <c r="AA213" s="524" t="str">
        <f t="shared" si="229"/>
        <v>#REF!</v>
      </c>
      <c r="AB213" s="494"/>
      <c r="AC213" s="436"/>
      <c r="AD213" s="495"/>
      <c r="AE213" s="491"/>
      <c r="AF213" s="491"/>
      <c r="AG213" s="525" t="str">
        <f t="shared" si="230"/>
        <v>#REF!</v>
      </c>
      <c r="AH213" s="491"/>
      <c r="AI213" s="446"/>
      <c r="AJ213" s="491"/>
      <c r="AK213" s="500"/>
      <c r="AL213" s="436"/>
      <c r="AM213" s="438"/>
      <c r="AN213" s="531"/>
      <c r="AO213" s="491"/>
      <c r="AP213" s="438"/>
      <c r="AQ213" s="438"/>
      <c r="AR213" s="438"/>
      <c r="AS213" s="438"/>
      <c r="AT213" s="438"/>
      <c r="AU213" s="438"/>
      <c r="AV213" s="438"/>
      <c r="AW213" s="450" t="str">
        <f t="shared" si="231"/>
        <v>#REF!</v>
      </c>
    </row>
    <row r="214">
      <c r="A214" s="435" t="s">
        <v>1713</v>
      </c>
      <c r="B214" s="436" t="s">
        <v>1714</v>
      </c>
      <c r="C214" s="436"/>
      <c r="D214" s="436" t="s">
        <v>350</v>
      </c>
      <c r="E214" s="436"/>
      <c r="F214" s="436" t="s">
        <v>2292</v>
      </c>
      <c r="G214" s="437" t="s">
        <v>169</v>
      </c>
      <c r="H214" s="437" t="s">
        <v>702</v>
      </c>
      <c r="I214" s="437" t="s">
        <v>1999</v>
      </c>
      <c r="J214" s="437">
        <v>3400.0</v>
      </c>
      <c r="K214" s="438"/>
      <c r="L214" s="436" t="s">
        <v>1285</v>
      </c>
      <c r="M214" s="439"/>
      <c r="N214" s="422">
        <v>12.438</v>
      </c>
      <c r="O214" s="422">
        <v>11.156</v>
      </c>
      <c r="P214" s="422">
        <v>15.33</v>
      </c>
      <c r="Q214" s="436" t="s">
        <v>1632</v>
      </c>
      <c r="R214" s="438"/>
      <c r="S214" s="436" t="s">
        <v>2000</v>
      </c>
      <c r="T214" s="436" t="s">
        <v>1632</v>
      </c>
      <c r="U214" s="436" t="s">
        <v>1633</v>
      </c>
      <c r="V214" s="451"/>
      <c r="W214" s="441">
        <v>0.17</v>
      </c>
      <c r="X214" s="438"/>
      <c r="Y214" s="442">
        <f>IF((W214/((J214/5780)^4))^0.5&gt;0,(W214/((J214/5780)^4))^0.5,"")</f>
        <v>1.191577526</v>
      </c>
      <c r="Z214" s="442"/>
      <c r="AA214" s="443"/>
      <c r="AB214" s="443"/>
      <c r="AC214" s="436" t="str">
        <f>IF(ISNUMBER(VLOOKUP(B214,'New Masses'!A:C,3,FALSE)),VLOOKUP(B214,'New Masses'!A:C,3,FALSE),"")</f>
        <v/>
      </c>
      <c r="AD214" s="440">
        <f>10^AE214</f>
        <v>0.0000000002454708916</v>
      </c>
      <c r="AE214" s="437">
        <v>-9.61</v>
      </c>
      <c r="AF214" s="438"/>
      <c r="AG214" s="445">
        <v>0.35</v>
      </c>
      <c r="AH214" s="438"/>
      <c r="AI214" s="446" t="str">
        <f>IF(ISNUMBER(VLOOKUP(B214,'New Masses'!A:C,2, FALSE)),VLOOKUP(B214,'New Masses'!A:C,2, FALSE),"")</f>
        <v/>
      </c>
      <c r="AJ214" s="438"/>
      <c r="AK214" s="437"/>
      <c r="AL214" s="447">
        <v>-2.75</v>
      </c>
      <c r="AM214" s="438"/>
      <c r="AN214" s="436">
        <v>3.0</v>
      </c>
      <c r="AO214" s="438"/>
      <c r="AP214" s="438"/>
      <c r="AQ214" s="436"/>
      <c r="AR214" s="438"/>
      <c r="AS214" s="438"/>
      <c r="AT214" s="438"/>
      <c r="AU214" s="438" t="s">
        <v>705</v>
      </c>
      <c r="AV214" s="438"/>
      <c r="AW214" s="450">
        <v>410.205923373533</v>
      </c>
    </row>
    <row r="215">
      <c r="A215" s="435" t="str">
        <f t="shared" ref="A215:C215" si="232">#REF!</f>
        <v>#REF!</v>
      </c>
      <c r="B215" s="485" t="str">
        <f t="shared" si="232"/>
        <v>#REF!</v>
      </c>
      <c r="C215" s="486" t="str">
        <f t="shared" si="232"/>
        <v>#REF!</v>
      </c>
      <c r="D215" s="486"/>
      <c r="E215" s="486"/>
      <c r="F215" s="528"/>
      <c r="G215" s="486"/>
      <c r="H215" s="486" t="s">
        <v>5917</v>
      </c>
      <c r="I215" s="491"/>
      <c r="J215" s="491"/>
      <c r="K215" s="491"/>
      <c r="L215" s="491"/>
      <c r="M215" s="486"/>
      <c r="N215" s="422"/>
      <c r="O215" s="422"/>
      <c r="P215" s="422"/>
      <c r="Q215" s="486"/>
      <c r="R215" s="491"/>
      <c r="S215" s="491"/>
      <c r="T215" s="491"/>
      <c r="U215" s="491"/>
      <c r="V215" s="491"/>
      <c r="W215" s="493"/>
      <c r="X215" s="486"/>
      <c r="Y215" s="442"/>
      <c r="Z215" s="491"/>
      <c r="AA215" s="524" t="str">
        <f>#REF!</f>
        <v>#REF!</v>
      </c>
      <c r="AB215" s="494"/>
      <c r="AC215" s="436"/>
      <c r="AD215" s="495"/>
      <c r="AE215" s="491"/>
      <c r="AF215" s="491"/>
      <c r="AG215" s="525" t="str">
        <f>#REF!</f>
        <v>#REF!</v>
      </c>
      <c r="AH215" s="491"/>
      <c r="AI215" s="446"/>
      <c r="AJ215" s="491"/>
      <c r="AK215" s="500"/>
      <c r="AL215" s="436"/>
      <c r="AM215" s="438"/>
      <c r="AN215" s="531"/>
      <c r="AO215" s="491"/>
      <c r="AP215" s="438"/>
      <c r="AQ215" s="438"/>
      <c r="AR215" s="438"/>
      <c r="AS215" s="438"/>
      <c r="AT215" s="438"/>
      <c r="AU215" s="438"/>
      <c r="AV215" s="438"/>
      <c r="AW215" s="450" t="str">
        <f>#REF!</f>
        <v>#REF!</v>
      </c>
    </row>
    <row r="216">
      <c r="A216" s="435" t="s">
        <v>1694</v>
      </c>
      <c r="B216" s="436" t="s">
        <v>1695</v>
      </c>
      <c r="C216" s="436"/>
      <c r="D216" s="436" t="s">
        <v>350</v>
      </c>
      <c r="E216" s="436"/>
      <c r="F216" s="436" t="s">
        <v>2293</v>
      </c>
      <c r="G216" s="437" t="s">
        <v>169</v>
      </c>
      <c r="H216" s="437" t="s">
        <v>702</v>
      </c>
      <c r="I216" s="437" t="s">
        <v>1999</v>
      </c>
      <c r="J216" s="437">
        <v>3200.0</v>
      </c>
      <c r="K216" s="438"/>
      <c r="L216" s="436" t="s">
        <v>402</v>
      </c>
      <c r="M216" s="439"/>
      <c r="N216" s="422">
        <v>13.83</v>
      </c>
      <c r="O216" s="422">
        <v>12.88</v>
      </c>
      <c r="P216" s="422">
        <v>17.38</v>
      </c>
      <c r="Q216" s="436" t="s">
        <v>1632</v>
      </c>
      <c r="R216" s="438"/>
      <c r="S216" s="436" t="s">
        <v>2000</v>
      </c>
      <c r="T216" s="436" t="s">
        <v>1632</v>
      </c>
      <c r="U216" s="436" t="s">
        <v>1633</v>
      </c>
      <c r="V216" s="451"/>
      <c r="W216" s="441">
        <v>0.05</v>
      </c>
      <c r="X216" s="438"/>
      <c r="Y216" s="442">
        <f>IF((W216/((J216/5780)^4))^0.5&gt;0,(W216/((J216/5780)^4))^0.5,"")</f>
        <v>0.7295259123</v>
      </c>
      <c r="Z216" s="442"/>
      <c r="AA216" s="443"/>
      <c r="AB216" s="443"/>
      <c r="AC216" s="436" t="str">
        <f>IF(ISNUMBER(VLOOKUP(B216,'New Masses'!A:C,3,FALSE)),VLOOKUP(B216,'New Masses'!A:C,3,FALSE),"")</f>
        <v/>
      </c>
      <c r="AD216" s="440">
        <f>10^AE216</f>
        <v>0</v>
      </c>
      <c r="AE216" s="437">
        <v>-10.12</v>
      </c>
      <c r="AF216" s="438"/>
      <c r="AG216" s="445">
        <v>0.2</v>
      </c>
      <c r="AH216" s="438"/>
      <c r="AI216" s="446" t="str">
        <f>IF(ISNUMBER(VLOOKUP(B216,'New Masses'!A:C,2, FALSE)),VLOOKUP(B216,'New Masses'!A:C,2, FALSE),"")</f>
        <v/>
      </c>
      <c r="AJ216" s="438"/>
      <c r="AK216" s="437"/>
      <c r="AL216" s="447">
        <v>-3.28</v>
      </c>
      <c r="AM216" s="438"/>
      <c r="AN216" s="436">
        <v>3.0</v>
      </c>
      <c r="AO216" s="438"/>
      <c r="AP216" s="438"/>
      <c r="AQ216" s="436"/>
      <c r="AR216" s="438"/>
      <c r="AS216" s="438"/>
      <c r="AT216" s="438"/>
      <c r="AU216" s="438" t="s">
        <v>705</v>
      </c>
      <c r="AV216" s="438"/>
      <c r="AW216" s="450">
        <v>347.258394971698</v>
      </c>
    </row>
    <row r="217">
      <c r="A217" s="435" t="str">
        <f t="shared" ref="A217:C217" si="233">#REF!</f>
        <v>#REF!</v>
      </c>
      <c r="B217" s="485" t="str">
        <f t="shared" si="233"/>
        <v>#REF!</v>
      </c>
      <c r="C217" s="486" t="str">
        <f t="shared" si="233"/>
        <v>#REF!</v>
      </c>
      <c r="D217" s="486"/>
      <c r="E217" s="486"/>
      <c r="F217" s="528"/>
      <c r="G217" s="486"/>
      <c r="H217" s="486" t="s">
        <v>5917</v>
      </c>
      <c r="I217" s="491"/>
      <c r="J217" s="491"/>
      <c r="K217" s="491"/>
      <c r="L217" s="491"/>
      <c r="M217" s="486"/>
      <c r="N217" s="422"/>
      <c r="O217" s="422"/>
      <c r="P217" s="422"/>
      <c r="Q217" s="486"/>
      <c r="R217" s="491"/>
      <c r="S217" s="491"/>
      <c r="T217" s="491"/>
      <c r="U217" s="491"/>
      <c r="V217" s="491"/>
      <c r="W217" s="493"/>
      <c r="X217" s="486"/>
      <c r="Y217" s="442"/>
      <c r="Z217" s="491"/>
      <c r="AA217" s="524" t="str">
        <f>#REF!</f>
        <v>#REF!</v>
      </c>
      <c r="AB217" s="494"/>
      <c r="AC217" s="436"/>
      <c r="AD217" s="495"/>
      <c r="AE217" s="491"/>
      <c r="AF217" s="491"/>
      <c r="AG217" s="525" t="str">
        <f>#REF!</f>
        <v>#REF!</v>
      </c>
      <c r="AH217" s="491"/>
      <c r="AI217" s="446"/>
      <c r="AJ217" s="491"/>
      <c r="AK217" s="500"/>
      <c r="AL217" s="436"/>
      <c r="AM217" s="438"/>
      <c r="AN217" s="531"/>
      <c r="AO217" s="491"/>
      <c r="AP217" s="438"/>
      <c r="AQ217" s="438"/>
      <c r="AR217" s="438"/>
      <c r="AS217" s="438"/>
      <c r="AT217" s="438"/>
      <c r="AU217" s="438"/>
      <c r="AV217" s="438"/>
      <c r="AW217" s="450" t="str">
        <f>#REF!</f>
        <v>#REF!</v>
      </c>
    </row>
    <row r="218">
      <c r="A218" s="435" t="s">
        <v>1737</v>
      </c>
      <c r="B218" s="436" t="s">
        <v>1738</v>
      </c>
      <c r="C218" s="436"/>
      <c r="D218" s="436" t="s">
        <v>350</v>
      </c>
      <c r="E218" s="436"/>
      <c r="F218" s="436" t="s">
        <v>2294</v>
      </c>
      <c r="G218" s="437" t="s">
        <v>515</v>
      </c>
      <c r="H218" s="437" t="s">
        <v>702</v>
      </c>
      <c r="I218" s="437" t="s">
        <v>1999</v>
      </c>
      <c r="J218" s="437">
        <v>3600.0</v>
      </c>
      <c r="K218" s="438"/>
      <c r="L218" s="436" t="s">
        <v>571</v>
      </c>
      <c r="M218" s="439"/>
      <c r="N218" s="422">
        <v>11.948</v>
      </c>
      <c r="O218" s="422">
        <v>11.028</v>
      </c>
      <c r="P218" s="422">
        <v>14.21</v>
      </c>
      <c r="Q218" s="436" t="s">
        <v>1632</v>
      </c>
      <c r="R218" s="438"/>
      <c r="S218" s="436" t="s">
        <v>2000</v>
      </c>
      <c r="T218" s="436" t="s">
        <v>1632</v>
      </c>
      <c r="U218" s="436" t="s">
        <v>1633</v>
      </c>
      <c r="V218" s="451"/>
      <c r="W218" s="441">
        <v>0.35</v>
      </c>
      <c r="X218" s="438"/>
      <c r="Y218" s="442">
        <f>IF((W218/((J218/5780)^4))^0.5&gt;0,(W218/((J218/5780)^4))^0.5,"")</f>
        <v>1.525052159</v>
      </c>
      <c r="Z218" s="442"/>
      <c r="AA218" s="443"/>
      <c r="AB218" s="443"/>
      <c r="AC218" s="436" t="str">
        <f>IF(ISNUMBER(VLOOKUP(B218,'New Masses'!A:C,3,FALSE)),VLOOKUP(B218,'New Masses'!A:C,3,FALSE),"")</f>
        <v/>
      </c>
      <c r="AD218" s="440">
        <f>10^AE218</f>
        <v>0.0000000004168693835</v>
      </c>
      <c r="AE218" s="437">
        <v>-9.38</v>
      </c>
      <c r="AF218" s="438"/>
      <c r="AG218" s="445">
        <v>0.6</v>
      </c>
      <c r="AH218" s="438"/>
      <c r="AI218" s="446" t="str">
        <f>IF(ISNUMBER(VLOOKUP(B218,'New Masses'!A:C,2, FALSE)),VLOOKUP(B218,'New Masses'!A:C,2, FALSE),"")</f>
        <v/>
      </c>
      <c r="AJ218" s="438"/>
      <c r="AK218" s="437"/>
      <c r="AL218" s="447">
        <v>-2.39</v>
      </c>
      <c r="AM218" s="438"/>
      <c r="AN218" s="436">
        <v>3.0</v>
      </c>
      <c r="AO218" s="438"/>
      <c r="AP218" s="438"/>
      <c r="AQ218" s="436"/>
      <c r="AR218" s="438"/>
      <c r="AS218" s="438"/>
      <c r="AT218" s="438"/>
      <c r="AU218" s="438" t="s">
        <v>705</v>
      </c>
      <c r="AV218" s="438"/>
      <c r="AW218" s="450">
        <v>429.922613929492</v>
      </c>
    </row>
    <row r="219">
      <c r="A219" s="435" t="str">
        <f t="shared" ref="A219:C219" si="234">#REF!</f>
        <v>#REF!</v>
      </c>
      <c r="B219" s="485" t="str">
        <f t="shared" si="234"/>
        <v>#REF!</v>
      </c>
      <c r="C219" s="486" t="str">
        <f t="shared" si="234"/>
        <v>#REF!</v>
      </c>
      <c r="D219" s="486"/>
      <c r="E219" s="486"/>
      <c r="F219" s="528"/>
      <c r="G219" s="486"/>
      <c r="H219" s="486" t="s">
        <v>5917</v>
      </c>
      <c r="I219" s="491"/>
      <c r="J219" s="491"/>
      <c r="K219" s="491"/>
      <c r="L219" s="491"/>
      <c r="M219" s="486"/>
      <c r="N219" s="422"/>
      <c r="O219" s="422"/>
      <c r="P219" s="422"/>
      <c r="Q219" s="486"/>
      <c r="R219" s="491"/>
      <c r="S219" s="491"/>
      <c r="T219" s="491"/>
      <c r="U219" s="491"/>
      <c r="V219" s="491"/>
      <c r="W219" s="493"/>
      <c r="X219" s="486"/>
      <c r="Y219" s="442"/>
      <c r="Z219" s="491"/>
      <c r="AA219" s="524" t="str">
        <f>#REF!</f>
        <v>#REF!</v>
      </c>
      <c r="AB219" s="494"/>
      <c r="AC219" s="436"/>
      <c r="AD219" s="495"/>
      <c r="AE219" s="491"/>
      <c r="AF219" s="491"/>
      <c r="AG219" s="525" t="str">
        <f>#REF!</f>
        <v>#REF!</v>
      </c>
      <c r="AH219" s="491"/>
      <c r="AI219" s="446"/>
      <c r="AJ219" s="491"/>
      <c r="AK219" s="500"/>
      <c r="AL219" s="436"/>
      <c r="AM219" s="438"/>
      <c r="AN219" s="531"/>
      <c r="AO219" s="491"/>
      <c r="AP219" s="438"/>
      <c r="AQ219" s="438"/>
      <c r="AR219" s="438"/>
      <c r="AS219" s="438"/>
      <c r="AT219" s="438"/>
      <c r="AU219" s="438"/>
      <c r="AV219" s="438"/>
      <c r="AW219" s="450" t="str">
        <f>#REF!</f>
        <v>#REF!</v>
      </c>
    </row>
    <row r="220">
      <c r="A220" s="435" t="s">
        <v>700</v>
      </c>
      <c r="B220" s="436" t="s">
        <v>701</v>
      </c>
      <c r="C220" s="436"/>
      <c r="D220" s="436" t="s">
        <v>350</v>
      </c>
      <c r="E220" s="436"/>
      <c r="F220" s="436" t="s">
        <v>2295</v>
      </c>
      <c r="G220" s="437" t="s">
        <v>515</v>
      </c>
      <c r="H220" s="437" t="s">
        <v>702</v>
      </c>
      <c r="I220" s="437" t="s">
        <v>1999</v>
      </c>
      <c r="J220" s="437">
        <v>3200.0</v>
      </c>
      <c r="K220" s="438"/>
      <c r="L220" s="436" t="s">
        <v>704</v>
      </c>
      <c r="M220" s="439"/>
      <c r="N220" s="422">
        <v>13.036</v>
      </c>
      <c r="O220" s="422">
        <v>11.702</v>
      </c>
      <c r="P220" s="422">
        <v>16.82</v>
      </c>
      <c r="Q220" s="436" t="s">
        <v>1632</v>
      </c>
      <c r="R220" s="438"/>
      <c r="S220" s="436" t="s">
        <v>2000</v>
      </c>
      <c r="T220" s="436" t="s">
        <v>1632</v>
      </c>
      <c r="U220" s="436" t="s">
        <v>1633</v>
      </c>
      <c r="V220" s="440"/>
      <c r="W220" s="441">
        <v>0.1</v>
      </c>
      <c r="X220" s="438"/>
      <c r="Y220" s="442">
        <f>IF((W220/((J220/5780)^4))^0.5&gt;0,(W220/((J220/5780)^4))^0.5,"")</f>
        <v>1.031705439</v>
      </c>
      <c r="Z220" s="442"/>
      <c r="AA220" s="443"/>
      <c r="AB220" s="443"/>
      <c r="AC220" s="436" t="str">
        <f>IF(ISNUMBER(VLOOKUP(B220,'New Masses'!A:C,3,FALSE)),VLOOKUP(B220,'New Masses'!A:C,3,FALSE),"")</f>
        <v/>
      </c>
      <c r="AD220" s="440">
        <f>10^AE220</f>
        <v>0.0000000004265795188</v>
      </c>
      <c r="AE220" s="437">
        <v>-9.37</v>
      </c>
      <c r="AF220" s="438"/>
      <c r="AG220" s="445">
        <v>0.2</v>
      </c>
      <c r="AH220" s="438"/>
      <c r="AI220" s="446" t="str">
        <f>IF(ISNUMBER(VLOOKUP(B220,'New Masses'!A:C,2, FALSE)),VLOOKUP(B220,'New Masses'!A:C,2, FALSE),"")</f>
        <v/>
      </c>
      <c r="AJ220" s="438"/>
      <c r="AK220" s="437"/>
      <c r="AL220" s="447">
        <v>-2.68</v>
      </c>
      <c r="AM220" s="438"/>
      <c r="AN220" s="436">
        <v>3.0</v>
      </c>
      <c r="AO220" s="438"/>
      <c r="AP220" s="438"/>
      <c r="AQ220" s="436"/>
      <c r="AR220" s="438"/>
      <c r="AS220" s="438"/>
      <c r="AT220" s="438"/>
      <c r="AU220" s="438" t="s">
        <v>705</v>
      </c>
      <c r="AV220" s="438"/>
      <c r="AW220" s="450">
        <v>335.334160490929</v>
      </c>
    </row>
    <row r="221">
      <c r="A221" s="435" t="str">
        <f t="shared" ref="A221:C221" si="235">#REF!</f>
        <v>#REF!</v>
      </c>
      <c r="B221" s="485" t="str">
        <f t="shared" si="235"/>
        <v>#REF!</v>
      </c>
      <c r="C221" s="486" t="str">
        <f t="shared" si="235"/>
        <v>#REF!</v>
      </c>
      <c r="D221" s="486"/>
      <c r="E221" s="486"/>
      <c r="F221" s="528"/>
      <c r="G221" s="486"/>
      <c r="H221" s="486" t="s">
        <v>5917</v>
      </c>
      <c r="I221" s="491"/>
      <c r="J221" s="491"/>
      <c r="K221" s="491"/>
      <c r="L221" s="491"/>
      <c r="M221" s="486"/>
      <c r="N221" s="422"/>
      <c r="O221" s="422"/>
      <c r="P221" s="422"/>
      <c r="Q221" s="486"/>
      <c r="R221" s="491"/>
      <c r="S221" s="491"/>
      <c r="T221" s="491"/>
      <c r="U221" s="491"/>
      <c r="V221" s="491"/>
      <c r="W221" s="493"/>
      <c r="X221" s="486"/>
      <c r="Y221" s="442"/>
      <c r="Z221" s="491"/>
      <c r="AA221" s="524" t="str">
        <f>#REF!</f>
        <v>#REF!</v>
      </c>
      <c r="AB221" s="494"/>
      <c r="AC221" s="436"/>
      <c r="AD221" s="495"/>
      <c r="AE221" s="491"/>
      <c r="AF221" s="491"/>
      <c r="AG221" s="525" t="str">
        <f>#REF!</f>
        <v>#REF!</v>
      </c>
      <c r="AH221" s="491"/>
      <c r="AI221" s="446"/>
      <c r="AJ221" s="491"/>
      <c r="AK221" s="500"/>
      <c r="AL221" s="436"/>
      <c r="AM221" s="438"/>
      <c r="AN221" s="531"/>
      <c r="AO221" s="491"/>
      <c r="AP221" s="438"/>
      <c r="AQ221" s="438"/>
      <c r="AR221" s="438"/>
      <c r="AS221" s="438"/>
      <c r="AT221" s="438"/>
      <c r="AU221" s="438"/>
      <c r="AV221" s="438"/>
      <c r="AW221" s="450" t="str">
        <f>#REF!</f>
        <v>#REF!</v>
      </c>
    </row>
    <row r="222">
      <c r="A222" s="435" t="s">
        <v>2014</v>
      </c>
      <c r="B222" s="436" t="s">
        <v>2015</v>
      </c>
      <c r="C222" s="436"/>
      <c r="D222" s="436" t="s">
        <v>350</v>
      </c>
      <c r="E222" s="436"/>
      <c r="F222" s="436" t="s">
        <v>2296</v>
      </c>
      <c r="G222" s="437" t="s">
        <v>515</v>
      </c>
      <c r="H222" s="437" t="s">
        <v>702</v>
      </c>
      <c r="I222" s="437" t="s">
        <v>1999</v>
      </c>
      <c r="J222" s="437">
        <v>4200.0</v>
      </c>
      <c r="K222" s="438"/>
      <c r="L222" s="436" t="s">
        <v>2016</v>
      </c>
      <c r="M222" s="439"/>
      <c r="N222" s="422">
        <v>10.721</v>
      </c>
      <c r="O222" s="422">
        <v>10.117</v>
      </c>
      <c r="P222" s="422">
        <v>12.05</v>
      </c>
      <c r="Q222" s="436" t="s">
        <v>1632</v>
      </c>
      <c r="R222" s="438"/>
      <c r="S222" s="436" t="s">
        <v>2000</v>
      </c>
      <c r="T222" s="436" t="s">
        <v>1632</v>
      </c>
      <c r="U222" s="436" t="s">
        <v>1633</v>
      </c>
      <c r="V222" s="451"/>
      <c r="W222" s="441">
        <v>1.17</v>
      </c>
      <c r="X222" s="438"/>
      <c r="Y222" s="442">
        <f>IF((W222/((J222/5780)^4))^0.5&gt;0,(W222/((J222/5780)^4))^0.5,"")</f>
        <v>2.048566313</v>
      </c>
      <c r="Z222" s="442"/>
      <c r="AA222" s="443"/>
      <c r="AB222" s="443"/>
      <c r="AC222" s="436" t="str">
        <f>IF(ISNUMBER(VLOOKUP(B222,'New Masses'!A:C,3,FALSE)),VLOOKUP(B222,'New Masses'!A:C,3,FALSE),"")</f>
        <v/>
      </c>
      <c r="AD222" s="440"/>
      <c r="AE222" s="437"/>
      <c r="AF222" s="438"/>
      <c r="AG222" s="445">
        <v>1.3</v>
      </c>
      <c r="AH222" s="438"/>
      <c r="AI222" s="446" t="str">
        <f>IF(ISNUMBER(VLOOKUP(B222,'New Masses'!A:C,2, FALSE)),VLOOKUP(B222,'New Masses'!A:C,2, FALSE),"")</f>
        <v/>
      </c>
      <c r="AJ222" s="438"/>
      <c r="AK222" s="437"/>
      <c r="AL222" s="447"/>
      <c r="AM222" s="438"/>
      <c r="AN222" s="436">
        <v>3.0</v>
      </c>
      <c r="AO222" s="438"/>
      <c r="AP222" s="438"/>
      <c r="AQ222" s="436"/>
      <c r="AR222" s="438"/>
      <c r="AS222" s="438"/>
      <c r="AT222" s="438"/>
      <c r="AU222" s="438" t="s">
        <v>705</v>
      </c>
      <c r="AV222" s="438"/>
      <c r="AW222" s="450">
        <v>373.468778010158</v>
      </c>
    </row>
    <row r="223">
      <c r="A223" s="435" t="str">
        <f t="shared" ref="A223:C223" si="236">#REF!</f>
        <v>#REF!</v>
      </c>
      <c r="B223" s="485" t="str">
        <f t="shared" si="236"/>
        <v>#REF!</v>
      </c>
      <c r="C223" s="486" t="str">
        <f t="shared" si="236"/>
        <v>#REF!</v>
      </c>
      <c r="D223" s="486"/>
      <c r="E223" s="486"/>
      <c r="F223" s="528"/>
      <c r="G223" s="486"/>
      <c r="H223" s="486" t="s">
        <v>5917</v>
      </c>
      <c r="I223" s="491"/>
      <c r="J223" s="491"/>
      <c r="K223" s="491"/>
      <c r="L223" s="491"/>
      <c r="M223" s="486"/>
      <c r="N223" s="422"/>
      <c r="O223" s="422"/>
      <c r="P223" s="422"/>
      <c r="Q223" s="486"/>
      <c r="R223" s="491"/>
      <c r="S223" s="491"/>
      <c r="T223" s="491"/>
      <c r="U223" s="491"/>
      <c r="V223" s="491"/>
      <c r="W223" s="493"/>
      <c r="X223" s="486"/>
      <c r="Y223" s="442"/>
      <c r="Z223" s="491"/>
      <c r="AA223" s="524" t="str">
        <f>#REF!</f>
        <v>#REF!</v>
      </c>
      <c r="AB223" s="494"/>
      <c r="AC223" s="436"/>
      <c r="AD223" s="495"/>
      <c r="AE223" s="491"/>
      <c r="AF223" s="491"/>
      <c r="AG223" s="525" t="str">
        <f>#REF!</f>
        <v>#REF!</v>
      </c>
      <c r="AH223" s="491"/>
      <c r="AI223" s="446"/>
      <c r="AJ223" s="491"/>
      <c r="AK223" s="500"/>
      <c r="AL223" s="436"/>
      <c r="AM223" s="438"/>
      <c r="AN223" s="531"/>
      <c r="AO223" s="491"/>
      <c r="AP223" s="438"/>
      <c r="AQ223" s="438"/>
      <c r="AR223" s="438"/>
      <c r="AS223" s="438"/>
      <c r="AT223" s="438"/>
      <c r="AU223" s="438"/>
      <c r="AV223" s="438"/>
      <c r="AW223" s="450" t="str">
        <f>#REF!</f>
        <v>#REF!</v>
      </c>
    </row>
    <row r="224">
      <c r="A224" s="435" t="s">
        <v>1661</v>
      </c>
      <c r="B224" s="436" t="s">
        <v>1662</v>
      </c>
      <c r="C224" s="436"/>
      <c r="D224" s="436" t="s">
        <v>350</v>
      </c>
      <c r="E224" s="436"/>
      <c r="F224" s="436" t="s">
        <v>2297</v>
      </c>
      <c r="G224" s="437" t="s">
        <v>515</v>
      </c>
      <c r="H224" s="437" t="s">
        <v>702</v>
      </c>
      <c r="I224" s="437" t="s">
        <v>1999</v>
      </c>
      <c r="J224" s="437">
        <v>3200.0</v>
      </c>
      <c r="K224" s="438"/>
      <c r="L224" s="436" t="s">
        <v>2298</v>
      </c>
      <c r="M224" s="439"/>
      <c r="N224" s="422">
        <v>11.097</v>
      </c>
      <c r="O224" s="422">
        <v>10.218</v>
      </c>
      <c r="P224" s="422">
        <v>13.22</v>
      </c>
      <c r="Q224" s="436" t="s">
        <v>1632</v>
      </c>
      <c r="R224" s="438"/>
      <c r="S224" s="436" t="s">
        <v>2000</v>
      </c>
      <c r="T224" s="436" t="s">
        <v>1632</v>
      </c>
      <c r="U224" s="436" t="s">
        <v>1633</v>
      </c>
      <c r="V224" s="451"/>
      <c r="W224" s="441">
        <v>0.02</v>
      </c>
      <c r="X224" s="438"/>
      <c r="Y224" s="442">
        <f>IF((W224/((J224/5780)^4))^0.5&gt;0,(W224/((J224/5780)^4))^0.5,"")</f>
        <v>0.461392699</v>
      </c>
      <c r="Z224" s="442"/>
      <c r="AA224" s="443"/>
      <c r="AB224" s="443"/>
      <c r="AC224" s="436" t="str">
        <f>IF(ISNUMBER(VLOOKUP(B224,'New Masses'!A:C,3,FALSE)),VLOOKUP(B224,'New Masses'!A:C,3,FALSE),"")</f>
        <v/>
      </c>
      <c r="AD224" s="440">
        <f>10^AE224</f>
        <v>0.000000001288249552</v>
      </c>
      <c r="AE224" s="437">
        <v>-8.89</v>
      </c>
      <c r="AF224" s="438"/>
      <c r="AG224" s="445">
        <v>0.15</v>
      </c>
      <c r="AH224" s="438"/>
      <c r="AI224" s="446" t="str">
        <f>IF(ISNUMBER(VLOOKUP(B224,'New Masses'!A:C,2, FALSE)),VLOOKUP(B224,'New Masses'!A:C,2, FALSE),"")</f>
        <v/>
      </c>
      <c r="AJ224" s="438"/>
      <c r="AK224" s="437"/>
      <c r="AL224" s="447">
        <v>-1.97</v>
      </c>
      <c r="AM224" s="438"/>
      <c r="AN224" s="436">
        <v>3.0</v>
      </c>
      <c r="AO224" s="438"/>
      <c r="AP224" s="438"/>
      <c r="AQ224" s="436"/>
      <c r="AR224" s="438"/>
      <c r="AS224" s="438"/>
      <c r="AT224" s="438"/>
      <c r="AU224" s="438" t="s">
        <v>705</v>
      </c>
      <c r="AV224" s="438"/>
      <c r="AW224" s="450">
        <v>1990.84212621939</v>
      </c>
    </row>
    <row r="225">
      <c r="A225" s="435" t="str">
        <f t="shared" ref="A225:C225" si="237">#REF!</f>
        <v>#REF!</v>
      </c>
      <c r="B225" s="485" t="str">
        <f t="shared" si="237"/>
        <v>#REF!</v>
      </c>
      <c r="C225" s="486" t="str">
        <f t="shared" si="237"/>
        <v>#REF!</v>
      </c>
      <c r="D225" s="486"/>
      <c r="E225" s="486"/>
      <c r="F225" s="528"/>
      <c r="G225" s="486"/>
      <c r="H225" s="486" t="s">
        <v>5917</v>
      </c>
      <c r="I225" s="491"/>
      <c r="J225" s="491"/>
      <c r="K225" s="491"/>
      <c r="L225" s="491"/>
      <c r="M225" s="486"/>
      <c r="N225" s="422"/>
      <c r="O225" s="422"/>
      <c r="P225" s="422"/>
      <c r="Q225" s="486"/>
      <c r="R225" s="491"/>
      <c r="S225" s="491"/>
      <c r="T225" s="491"/>
      <c r="U225" s="491"/>
      <c r="V225" s="491"/>
      <c r="W225" s="493"/>
      <c r="X225" s="486"/>
      <c r="Y225" s="442"/>
      <c r="Z225" s="491"/>
      <c r="AA225" s="524" t="str">
        <f>#REF!</f>
        <v>#REF!</v>
      </c>
      <c r="AB225" s="494"/>
      <c r="AC225" s="436"/>
      <c r="AD225" s="495"/>
      <c r="AE225" s="491"/>
      <c r="AF225" s="491"/>
      <c r="AG225" s="525" t="str">
        <f>#REF!</f>
        <v>#REF!</v>
      </c>
      <c r="AH225" s="491"/>
      <c r="AI225" s="446"/>
      <c r="AJ225" s="491"/>
      <c r="AK225" s="500"/>
      <c r="AL225" s="436"/>
      <c r="AM225" s="438"/>
      <c r="AN225" s="531"/>
      <c r="AO225" s="491"/>
      <c r="AP225" s="438"/>
      <c r="AQ225" s="438"/>
      <c r="AR225" s="438"/>
      <c r="AS225" s="438"/>
      <c r="AT225" s="438"/>
      <c r="AU225" s="438"/>
      <c r="AV225" s="438"/>
      <c r="AW225" s="450" t="str">
        <f>#REF!</f>
        <v>#REF!</v>
      </c>
    </row>
    <row r="226">
      <c r="A226" s="435" t="s">
        <v>1690</v>
      </c>
      <c r="B226" s="436" t="s">
        <v>1691</v>
      </c>
      <c r="C226" s="436"/>
      <c r="D226" s="436" t="s">
        <v>350</v>
      </c>
      <c r="E226" s="436"/>
      <c r="F226" s="436" t="s">
        <v>2299</v>
      </c>
      <c r="G226" s="437" t="s">
        <v>169</v>
      </c>
      <c r="H226" s="437" t="s">
        <v>702</v>
      </c>
      <c r="I226" s="437" t="s">
        <v>1999</v>
      </c>
      <c r="J226" s="437">
        <v>3200.0</v>
      </c>
      <c r="K226" s="438"/>
      <c r="L226" s="438"/>
      <c r="M226" s="453"/>
      <c r="N226" s="422">
        <v>13.496</v>
      </c>
      <c r="O226" s="422">
        <v>12.565</v>
      </c>
      <c r="P226" s="422">
        <v>16.96</v>
      </c>
      <c r="Q226" s="436" t="s">
        <v>1632</v>
      </c>
      <c r="R226" s="438"/>
      <c r="S226" s="436" t="s">
        <v>2000</v>
      </c>
      <c r="T226" s="436" t="s">
        <v>1632</v>
      </c>
      <c r="U226" s="436" t="s">
        <v>1633</v>
      </c>
      <c r="V226" s="451"/>
      <c r="W226" s="441">
        <v>0.08</v>
      </c>
      <c r="X226" s="438"/>
      <c r="Y226" s="442">
        <f>IF((W226/((J226/5780)^4))^0.5&gt;0,(W226/((J226/5780)^4))^0.5,"")</f>
        <v>0.922785398</v>
      </c>
      <c r="Z226" s="442"/>
      <c r="AA226" s="443"/>
      <c r="AB226" s="443"/>
      <c r="AC226" s="436" t="str">
        <f>IF(ISNUMBER(VLOOKUP(B226,'New Masses'!A:C,3,FALSE)),VLOOKUP(B226,'New Masses'!A:C,3,FALSE),"")</f>
        <v/>
      </c>
      <c r="AD226" s="440">
        <f>10^AE226</f>
        <v>0</v>
      </c>
      <c r="AE226" s="437">
        <v>-10.22</v>
      </c>
      <c r="AF226" s="438"/>
      <c r="AG226" s="445">
        <v>0.2</v>
      </c>
      <c r="AH226" s="438"/>
      <c r="AI226" s="446" t="str">
        <f>IF(ISNUMBER(VLOOKUP(B226,'New Masses'!A:C,2, FALSE)),VLOOKUP(B226,'New Masses'!A:C,2, FALSE),"")</f>
        <v/>
      </c>
      <c r="AJ226" s="438"/>
      <c r="AK226" s="437"/>
      <c r="AL226" s="447">
        <v>-3.49</v>
      </c>
      <c r="AM226" s="438"/>
      <c r="AN226" s="436">
        <v>3.0</v>
      </c>
      <c r="AO226" s="438"/>
      <c r="AP226" s="436"/>
      <c r="AQ226" s="438"/>
      <c r="AR226" s="438"/>
      <c r="AS226" s="438"/>
      <c r="AT226" s="438" t="s">
        <v>5916</v>
      </c>
      <c r="AU226" s="438"/>
      <c r="AV226" s="438"/>
      <c r="AW226" s="450">
        <v>370.356653457279</v>
      </c>
    </row>
    <row r="227">
      <c r="A227" s="435" t="str">
        <f t="shared" ref="A227:C227" si="238">#REF!</f>
        <v>#REF!</v>
      </c>
      <c r="B227" s="485" t="str">
        <f t="shared" si="238"/>
        <v>#REF!</v>
      </c>
      <c r="C227" s="486" t="str">
        <f t="shared" si="238"/>
        <v>#REF!</v>
      </c>
      <c r="D227" s="486"/>
      <c r="E227" s="486"/>
      <c r="F227" s="528"/>
      <c r="G227" s="486"/>
      <c r="H227" s="486" t="s">
        <v>5917</v>
      </c>
      <c r="I227" s="491"/>
      <c r="J227" s="491"/>
      <c r="K227" s="491"/>
      <c r="L227" s="491"/>
      <c r="M227" s="486"/>
      <c r="N227" s="422"/>
      <c r="O227" s="422"/>
      <c r="P227" s="422"/>
      <c r="Q227" s="486"/>
      <c r="R227" s="491"/>
      <c r="S227" s="491"/>
      <c r="T227" s="491"/>
      <c r="U227" s="491"/>
      <c r="V227" s="491"/>
      <c r="W227" s="493"/>
      <c r="X227" s="486"/>
      <c r="Y227" s="442"/>
      <c r="Z227" s="491"/>
      <c r="AA227" s="524" t="str">
        <f>#REF!</f>
        <v>#REF!</v>
      </c>
      <c r="AB227" s="494"/>
      <c r="AC227" s="436"/>
      <c r="AD227" s="495"/>
      <c r="AE227" s="491"/>
      <c r="AF227" s="491"/>
      <c r="AG227" s="525" t="str">
        <f>#REF!</f>
        <v>#REF!</v>
      </c>
      <c r="AH227" s="491"/>
      <c r="AI227" s="446"/>
      <c r="AJ227" s="491"/>
      <c r="AK227" s="500"/>
      <c r="AL227" s="436"/>
      <c r="AM227" s="438"/>
      <c r="AN227" s="531"/>
      <c r="AO227" s="491"/>
      <c r="AP227" s="438"/>
      <c r="AQ227" s="438"/>
      <c r="AR227" s="438"/>
      <c r="AS227" s="438"/>
      <c r="AT227" s="438"/>
      <c r="AU227" s="438"/>
      <c r="AV227" s="438"/>
      <c r="AW227" s="450" t="str">
        <f>#REF!</f>
        <v>#REF!</v>
      </c>
    </row>
    <row r="228">
      <c r="A228" s="435" t="s">
        <v>1666</v>
      </c>
      <c r="B228" s="436" t="s">
        <v>1667</v>
      </c>
      <c r="C228" s="436"/>
      <c r="D228" s="436" t="s">
        <v>350</v>
      </c>
      <c r="E228" s="436"/>
      <c r="F228" s="436" t="s">
        <v>2300</v>
      </c>
      <c r="G228" s="437" t="s">
        <v>515</v>
      </c>
      <c r="H228" s="437" t="s">
        <v>702</v>
      </c>
      <c r="I228" s="437" t="s">
        <v>1999</v>
      </c>
      <c r="J228" s="437">
        <v>3100.0</v>
      </c>
      <c r="K228" s="438"/>
      <c r="L228" s="438"/>
      <c r="M228" s="453"/>
      <c r="N228" s="422">
        <v>13.178</v>
      </c>
      <c r="O228" s="422">
        <v>12.118</v>
      </c>
      <c r="P228" s="422">
        <v>17.25</v>
      </c>
      <c r="Q228" s="436" t="s">
        <v>1632</v>
      </c>
      <c r="R228" s="438"/>
      <c r="S228" s="436" t="s">
        <v>2000</v>
      </c>
      <c r="T228" s="436" t="s">
        <v>1632</v>
      </c>
      <c r="U228" s="436" t="s">
        <v>1633</v>
      </c>
      <c r="V228" s="440"/>
      <c r="W228" s="441">
        <v>0.08</v>
      </c>
      <c r="X228" s="438"/>
      <c r="Y228" s="442">
        <f>IF((W228/((J228/5780)^4))^0.5&gt;0,(W228/((J228/5780)^4))^0.5,"")</f>
        <v>0.9832801743</v>
      </c>
      <c r="Z228" s="442"/>
      <c r="AA228" s="443"/>
      <c r="AB228" s="443"/>
      <c r="AC228" s="436" t="str">
        <f>IF(ISNUMBER(VLOOKUP(B228,'New Masses'!A:C,3,FALSE)),VLOOKUP(B228,'New Masses'!A:C,3,FALSE),"")</f>
        <v/>
      </c>
      <c r="AD228" s="440">
        <f>10^AE228</f>
        <v>0</v>
      </c>
      <c r="AE228" s="437">
        <v>-10.25</v>
      </c>
      <c r="AF228" s="438"/>
      <c r="AG228" s="445">
        <v>0.15</v>
      </c>
      <c r="AH228" s="438"/>
      <c r="AI228" s="446" t="str">
        <f>IF(ISNUMBER(VLOOKUP(B228,'New Masses'!A:C,2, FALSE)),VLOOKUP(B228,'New Masses'!A:C,2, FALSE),"")</f>
        <v/>
      </c>
      <c r="AJ228" s="438"/>
      <c r="AK228" s="437"/>
      <c r="AL228" s="447">
        <v>-3.67</v>
      </c>
      <c r="AM228" s="438"/>
      <c r="AN228" s="436">
        <v>3.0</v>
      </c>
      <c r="AO228" s="438"/>
      <c r="AP228" s="436"/>
      <c r="AQ228" s="438"/>
      <c r="AR228" s="438"/>
      <c r="AS228" s="438"/>
      <c r="AT228" s="438" t="s">
        <v>5916</v>
      </c>
      <c r="AU228" s="438"/>
      <c r="AV228" s="438"/>
      <c r="AW228" s="450">
        <v>419.023674837628</v>
      </c>
    </row>
    <row r="229">
      <c r="A229" s="435" t="str">
        <f t="shared" ref="A229:C229" si="239">#REF!</f>
        <v>#REF!</v>
      </c>
      <c r="B229" s="485" t="str">
        <f t="shared" si="239"/>
        <v>#REF!</v>
      </c>
      <c r="C229" s="486" t="str">
        <f t="shared" si="239"/>
        <v>#REF!</v>
      </c>
      <c r="D229" s="486"/>
      <c r="E229" s="486"/>
      <c r="F229" s="528"/>
      <c r="G229" s="486"/>
      <c r="H229" s="486" t="s">
        <v>5917</v>
      </c>
      <c r="I229" s="491"/>
      <c r="J229" s="491"/>
      <c r="K229" s="491"/>
      <c r="L229" s="491"/>
      <c r="M229" s="486"/>
      <c r="N229" s="422"/>
      <c r="O229" s="422"/>
      <c r="P229" s="422"/>
      <c r="Q229" s="486"/>
      <c r="R229" s="491"/>
      <c r="S229" s="491"/>
      <c r="T229" s="491"/>
      <c r="U229" s="491"/>
      <c r="V229" s="491"/>
      <c r="W229" s="493"/>
      <c r="X229" s="486"/>
      <c r="Y229" s="442"/>
      <c r="Z229" s="491"/>
      <c r="AA229" s="524" t="str">
        <f>#REF!</f>
        <v>#REF!</v>
      </c>
      <c r="AB229" s="494"/>
      <c r="AC229" s="436"/>
      <c r="AD229" s="495"/>
      <c r="AE229" s="491"/>
      <c r="AF229" s="491"/>
      <c r="AG229" s="525" t="str">
        <f>#REF!</f>
        <v>#REF!</v>
      </c>
      <c r="AH229" s="491"/>
      <c r="AI229" s="446"/>
      <c r="AJ229" s="491"/>
      <c r="AK229" s="500"/>
      <c r="AL229" s="436"/>
      <c r="AM229" s="438"/>
      <c r="AN229" s="531"/>
      <c r="AO229" s="491"/>
      <c r="AP229" s="438"/>
      <c r="AQ229" s="438"/>
      <c r="AR229" s="438"/>
      <c r="AS229" s="438"/>
      <c r="AT229" s="438"/>
      <c r="AU229" s="438"/>
      <c r="AV229" s="438"/>
      <c r="AW229" s="450" t="str">
        <f>#REF!</f>
        <v>#REF!</v>
      </c>
    </row>
    <row r="230">
      <c r="A230" s="435" t="s">
        <v>1668</v>
      </c>
      <c r="B230" s="436" t="s">
        <v>1669</v>
      </c>
      <c r="C230" s="436"/>
      <c r="D230" s="436" t="s">
        <v>350</v>
      </c>
      <c r="E230" s="436"/>
      <c r="F230" s="436" t="s">
        <v>2301</v>
      </c>
      <c r="G230" s="437" t="s">
        <v>169</v>
      </c>
      <c r="H230" s="437" t="s">
        <v>702</v>
      </c>
      <c r="I230" s="437" t="s">
        <v>1999</v>
      </c>
      <c r="J230" s="437">
        <v>3100.0</v>
      </c>
      <c r="K230" s="438"/>
      <c r="L230" s="436" t="s">
        <v>713</v>
      </c>
      <c r="M230" s="439"/>
      <c r="N230" s="422">
        <v>12.843</v>
      </c>
      <c r="O230" s="422">
        <v>11.462</v>
      </c>
      <c r="P230" s="422"/>
      <c r="Q230" s="436" t="s">
        <v>1632</v>
      </c>
      <c r="R230" s="438"/>
      <c r="S230" s="436" t="s">
        <v>2000</v>
      </c>
      <c r="T230" s="436" t="s">
        <v>1632</v>
      </c>
      <c r="U230" s="436" t="s">
        <v>1633</v>
      </c>
      <c r="V230" s="440"/>
      <c r="W230" s="441">
        <v>0.13</v>
      </c>
      <c r="X230" s="438"/>
      <c r="Y230" s="442">
        <f>IF((W230/((J230/5780)^4))^0.5&gt;0,(W230/((J230/5780)^4))^0.5,"")</f>
        <v>1.253441199</v>
      </c>
      <c r="Z230" s="442"/>
      <c r="AA230" s="443"/>
      <c r="AB230" s="443"/>
      <c r="AC230" s="436" t="str">
        <f>IF(ISNUMBER(VLOOKUP(B230,'New Masses'!A:C,3,FALSE)),VLOOKUP(B230,'New Masses'!A:C,3,FALSE),"")</f>
        <v/>
      </c>
      <c r="AD230" s="440">
        <f>10^AE230</f>
        <v>0.00000000660693448</v>
      </c>
      <c r="AE230" s="437">
        <v>-8.18</v>
      </c>
      <c r="AF230" s="438"/>
      <c r="AG230" s="445">
        <v>0.17</v>
      </c>
      <c r="AH230" s="438"/>
      <c r="AI230" s="446" t="str">
        <f>IF(ISNUMBER(VLOOKUP(B230,'New Masses'!A:C,2, FALSE)),VLOOKUP(B230,'New Masses'!A:C,2, FALSE),"")</f>
        <v/>
      </c>
      <c r="AJ230" s="438"/>
      <c r="AK230" s="437"/>
      <c r="AL230" s="447">
        <v>-1.66</v>
      </c>
      <c r="AM230" s="438"/>
      <c r="AN230" s="436">
        <v>3.0</v>
      </c>
      <c r="AO230" s="438"/>
      <c r="AP230" s="436"/>
      <c r="AQ230" s="436"/>
      <c r="AR230" s="438"/>
      <c r="AS230" s="438"/>
      <c r="AT230" s="438" t="s">
        <v>5920</v>
      </c>
      <c r="AU230" s="438" t="s">
        <v>705</v>
      </c>
      <c r="AV230" s="438"/>
      <c r="AW230" s="450">
        <v>387.23667905824</v>
      </c>
    </row>
    <row r="231">
      <c r="A231" s="435" t="str">
        <f t="shared" ref="A231:C231" si="240">#REF!</f>
        <v>#REF!</v>
      </c>
      <c r="B231" s="485" t="str">
        <f t="shared" si="240"/>
        <v>#REF!</v>
      </c>
      <c r="C231" s="486" t="str">
        <f t="shared" si="240"/>
        <v>#REF!</v>
      </c>
      <c r="D231" s="486"/>
      <c r="E231" s="486"/>
      <c r="F231" s="528"/>
      <c r="G231" s="486"/>
      <c r="H231" s="486" t="s">
        <v>5917</v>
      </c>
      <c r="I231" s="491"/>
      <c r="J231" s="491"/>
      <c r="K231" s="491"/>
      <c r="L231" s="491"/>
      <c r="M231" s="486"/>
      <c r="N231" s="422"/>
      <c r="O231" s="422"/>
      <c r="P231" s="422"/>
      <c r="Q231" s="486"/>
      <c r="R231" s="491"/>
      <c r="S231" s="491"/>
      <c r="T231" s="491"/>
      <c r="U231" s="491"/>
      <c r="V231" s="491"/>
      <c r="W231" s="493"/>
      <c r="X231" s="486"/>
      <c r="Y231" s="442"/>
      <c r="Z231" s="491"/>
      <c r="AA231" s="524" t="str">
        <f>#REF!</f>
        <v>#REF!</v>
      </c>
      <c r="AB231" s="494"/>
      <c r="AC231" s="436"/>
      <c r="AD231" s="495"/>
      <c r="AE231" s="491"/>
      <c r="AF231" s="491"/>
      <c r="AG231" s="525" t="str">
        <f>#REF!</f>
        <v>#REF!</v>
      </c>
      <c r="AH231" s="491"/>
      <c r="AI231" s="446"/>
      <c r="AJ231" s="491"/>
      <c r="AK231" s="500"/>
      <c r="AL231" s="436"/>
      <c r="AM231" s="438"/>
      <c r="AN231" s="531"/>
      <c r="AO231" s="491"/>
      <c r="AP231" s="438"/>
      <c r="AQ231" s="438"/>
      <c r="AR231" s="438"/>
      <c r="AS231" s="438"/>
      <c r="AT231" s="438"/>
      <c r="AU231" s="438"/>
      <c r="AV231" s="438"/>
      <c r="AW231" s="450" t="str">
        <f>#REF!</f>
        <v>#REF!</v>
      </c>
    </row>
    <row r="232">
      <c r="A232" s="435" t="s">
        <v>1679</v>
      </c>
      <c r="B232" s="436" t="s">
        <v>1680</v>
      </c>
      <c r="C232" s="436"/>
      <c r="D232" s="436" t="s">
        <v>350</v>
      </c>
      <c r="E232" s="436"/>
      <c r="F232" s="436" t="s">
        <v>2302</v>
      </c>
      <c r="G232" s="437" t="s">
        <v>169</v>
      </c>
      <c r="H232" s="437" t="s">
        <v>702</v>
      </c>
      <c r="I232" s="437" t="s">
        <v>1999</v>
      </c>
      <c r="J232" s="437">
        <v>3200.0</v>
      </c>
      <c r="K232" s="438"/>
      <c r="L232" s="438"/>
      <c r="M232" s="453"/>
      <c r="N232" s="422">
        <v>13.032</v>
      </c>
      <c r="O232" s="422">
        <v>11.913</v>
      </c>
      <c r="P232" s="422">
        <v>16.45</v>
      </c>
      <c r="Q232" s="436" t="s">
        <v>1632</v>
      </c>
      <c r="R232" s="438"/>
      <c r="S232" s="436" t="s">
        <v>2000</v>
      </c>
      <c r="T232" s="436" t="s">
        <v>1632</v>
      </c>
      <c r="U232" s="436" t="s">
        <v>1633</v>
      </c>
      <c r="V232" s="440"/>
      <c r="W232" s="441">
        <v>0.1</v>
      </c>
      <c r="X232" s="438"/>
      <c r="Y232" s="442">
        <f>IF((W232/((J232/5780)^4))^0.5&gt;0,(W232/((J232/5780)^4))^0.5,"")</f>
        <v>1.031705439</v>
      </c>
      <c r="Z232" s="442"/>
      <c r="AA232" s="443"/>
      <c r="AB232" s="443"/>
      <c r="AC232" s="436" t="str">
        <f>IF(ISNUMBER(VLOOKUP(B232,'New Masses'!A:C,3,FALSE)),VLOOKUP(B232,'New Masses'!A:C,3,FALSE),"")</f>
        <v/>
      </c>
      <c r="AD232" s="440">
        <f>10^AE232</f>
        <v>0.0000000001621810097</v>
      </c>
      <c r="AE232" s="437">
        <v>-9.79</v>
      </c>
      <c r="AF232" s="438"/>
      <c r="AG232" s="445">
        <v>0.2</v>
      </c>
      <c r="AH232" s="438"/>
      <c r="AI232" s="446" t="str">
        <f>IF(ISNUMBER(VLOOKUP(B232,'New Masses'!A:C,2, FALSE)),VLOOKUP(B232,'New Masses'!A:C,2, FALSE),"")</f>
        <v/>
      </c>
      <c r="AJ232" s="438"/>
      <c r="AK232" s="437"/>
      <c r="AL232" s="447">
        <v>-3.12</v>
      </c>
      <c r="AM232" s="438"/>
      <c r="AN232" s="436">
        <v>3.0</v>
      </c>
      <c r="AO232" s="438"/>
      <c r="AP232" s="438"/>
      <c r="AQ232" s="438"/>
      <c r="AR232" s="438"/>
      <c r="AS232" s="438"/>
      <c r="AT232" s="438"/>
      <c r="AU232" s="438"/>
      <c r="AV232" s="438"/>
      <c r="AW232" s="450">
        <v>362.818373122414</v>
      </c>
    </row>
    <row r="233">
      <c r="A233" s="435" t="str">
        <f t="shared" ref="A233:C233" si="241">#REF!</f>
        <v>#REF!</v>
      </c>
      <c r="B233" s="485" t="str">
        <f t="shared" si="241"/>
        <v>#REF!</v>
      </c>
      <c r="C233" s="486" t="str">
        <f t="shared" si="241"/>
        <v>#REF!</v>
      </c>
      <c r="D233" s="486"/>
      <c r="E233" s="486"/>
      <c r="F233" s="528"/>
      <c r="G233" s="486"/>
      <c r="H233" s="486" t="s">
        <v>5917</v>
      </c>
      <c r="I233" s="491"/>
      <c r="J233" s="491"/>
      <c r="K233" s="491"/>
      <c r="L233" s="491"/>
      <c r="M233" s="486"/>
      <c r="N233" s="422"/>
      <c r="O233" s="422"/>
      <c r="P233" s="422"/>
      <c r="Q233" s="486"/>
      <c r="R233" s="491"/>
      <c r="S233" s="491"/>
      <c r="T233" s="491"/>
      <c r="U233" s="491"/>
      <c r="V233" s="491"/>
      <c r="W233" s="493"/>
      <c r="X233" s="486"/>
      <c r="Y233" s="442"/>
      <c r="Z233" s="491"/>
      <c r="AA233" s="524" t="str">
        <f>#REF!</f>
        <v>#REF!</v>
      </c>
      <c r="AB233" s="494"/>
      <c r="AC233" s="436"/>
      <c r="AD233" s="495"/>
      <c r="AE233" s="491"/>
      <c r="AF233" s="491"/>
      <c r="AG233" s="525" t="str">
        <f>#REF!</f>
        <v>#REF!</v>
      </c>
      <c r="AH233" s="491"/>
      <c r="AI233" s="446"/>
      <c r="AJ233" s="491"/>
      <c r="AK233" s="500"/>
      <c r="AL233" s="436"/>
      <c r="AM233" s="438"/>
      <c r="AN233" s="531"/>
      <c r="AO233" s="491"/>
      <c r="AP233" s="438"/>
      <c r="AQ233" s="438"/>
      <c r="AR233" s="438"/>
      <c r="AS233" s="438"/>
      <c r="AT233" s="438"/>
      <c r="AU233" s="438"/>
      <c r="AV233" s="438"/>
      <c r="AW233" s="450" t="str">
        <f>#REF!</f>
        <v>#REF!</v>
      </c>
    </row>
    <row r="234">
      <c r="A234" s="435" t="s">
        <v>1688</v>
      </c>
      <c r="B234" s="436" t="s">
        <v>1689</v>
      </c>
      <c r="C234" s="436"/>
      <c r="D234" s="436" t="s">
        <v>350</v>
      </c>
      <c r="E234" s="436"/>
      <c r="F234" s="436" t="s">
        <v>2303</v>
      </c>
      <c r="G234" s="437" t="s">
        <v>169</v>
      </c>
      <c r="H234" s="437" t="s">
        <v>702</v>
      </c>
      <c r="I234" s="437" t="s">
        <v>1999</v>
      </c>
      <c r="J234" s="437">
        <v>3200.0</v>
      </c>
      <c r="K234" s="438"/>
      <c r="L234" s="436" t="s">
        <v>395</v>
      </c>
      <c r="M234" s="439"/>
      <c r="N234" s="422">
        <v>13.4</v>
      </c>
      <c r="O234" s="422">
        <v>12.44</v>
      </c>
      <c r="P234" s="422">
        <v>16.86</v>
      </c>
      <c r="Q234" s="436" t="s">
        <v>1632</v>
      </c>
      <c r="R234" s="438"/>
      <c r="S234" s="436" t="s">
        <v>2000</v>
      </c>
      <c r="T234" s="436" t="s">
        <v>1632</v>
      </c>
      <c r="U234" s="436" t="s">
        <v>1633</v>
      </c>
      <c r="V234" s="440"/>
      <c r="W234" s="441">
        <v>0.08</v>
      </c>
      <c r="X234" s="438"/>
      <c r="Y234" s="442">
        <f>IF((W234/((J234/5780)^4))^0.5&gt;0,(W234/((J234/5780)^4))^0.5,"")</f>
        <v>0.922785398</v>
      </c>
      <c r="Z234" s="442"/>
      <c r="AA234" s="443"/>
      <c r="AB234" s="443"/>
      <c r="AC234" s="436" t="str">
        <f>IF(ISNUMBER(VLOOKUP(B234,'New Masses'!A:C,3,FALSE)),VLOOKUP(B234,'New Masses'!A:C,3,FALSE),"")</f>
        <v/>
      </c>
      <c r="AD234" s="440">
        <f>10^AE234</f>
        <v>0</v>
      </c>
      <c r="AE234" s="437">
        <v>-10.06</v>
      </c>
      <c r="AF234" s="438"/>
      <c r="AG234" s="445">
        <v>0.2</v>
      </c>
      <c r="AH234" s="438"/>
      <c r="AI234" s="446" t="str">
        <f>IF(ISNUMBER(VLOOKUP(B234,'New Masses'!A:C,2, FALSE)),VLOOKUP(B234,'New Masses'!A:C,2, FALSE),"")</f>
        <v/>
      </c>
      <c r="AJ234" s="438"/>
      <c r="AK234" s="437"/>
      <c r="AL234" s="447">
        <v>-3.32</v>
      </c>
      <c r="AM234" s="438"/>
      <c r="AN234" s="436">
        <v>3.0</v>
      </c>
      <c r="AO234" s="438"/>
      <c r="AP234" s="438"/>
      <c r="AQ234" s="436"/>
      <c r="AR234" s="438"/>
      <c r="AS234" s="438"/>
      <c r="AT234" s="438"/>
      <c r="AU234" s="438" t="s">
        <v>1676</v>
      </c>
      <c r="AV234" s="438"/>
      <c r="AW234" s="450">
        <v>436.395374209033</v>
      </c>
    </row>
    <row r="235">
      <c r="A235" s="435" t="str">
        <f t="shared" ref="A235:C235" si="242">#REF!</f>
        <v>#REF!</v>
      </c>
      <c r="B235" s="485" t="str">
        <f t="shared" si="242"/>
        <v>#REF!</v>
      </c>
      <c r="C235" s="486" t="str">
        <f t="shared" si="242"/>
        <v>#REF!</v>
      </c>
      <c r="D235" s="486"/>
      <c r="E235" s="486"/>
      <c r="F235" s="528"/>
      <c r="G235" s="486"/>
      <c r="H235" s="486" t="s">
        <v>5917</v>
      </c>
      <c r="I235" s="491"/>
      <c r="J235" s="491"/>
      <c r="K235" s="491"/>
      <c r="L235" s="491"/>
      <c r="M235" s="486"/>
      <c r="N235" s="422"/>
      <c r="O235" s="422"/>
      <c r="P235" s="422"/>
      <c r="Q235" s="486"/>
      <c r="R235" s="491"/>
      <c r="S235" s="491"/>
      <c r="T235" s="491"/>
      <c r="U235" s="491"/>
      <c r="V235" s="491"/>
      <c r="W235" s="493"/>
      <c r="X235" s="486"/>
      <c r="Y235" s="442"/>
      <c r="Z235" s="491"/>
      <c r="AA235" s="524" t="str">
        <f>#REF!</f>
        <v>#REF!</v>
      </c>
      <c r="AB235" s="494"/>
      <c r="AC235" s="436"/>
      <c r="AD235" s="495"/>
      <c r="AE235" s="491"/>
      <c r="AF235" s="491"/>
      <c r="AG235" s="525" t="str">
        <f>#REF!</f>
        <v>#REF!</v>
      </c>
      <c r="AH235" s="491"/>
      <c r="AI235" s="446"/>
      <c r="AJ235" s="491"/>
      <c r="AK235" s="500"/>
      <c r="AL235" s="436"/>
      <c r="AM235" s="438"/>
      <c r="AN235" s="531"/>
      <c r="AO235" s="491"/>
      <c r="AP235" s="438"/>
      <c r="AQ235" s="438"/>
      <c r="AR235" s="438"/>
      <c r="AS235" s="438"/>
      <c r="AT235" s="438"/>
      <c r="AU235" s="438"/>
      <c r="AV235" s="438"/>
      <c r="AW235" s="450" t="str">
        <f>#REF!</f>
        <v>#REF!</v>
      </c>
    </row>
    <row r="236">
      <c r="A236" s="435" t="s">
        <v>407</v>
      </c>
      <c r="B236" s="436" t="s">
        <v>408</v>
      </c>
      <c r="C236" s="436"/>
      <c r="D236" s="436" t="s">
        <v>350</v>
      </c>
      <c r="E236" s="436"/>
      <c r="F236" s="436" t="s">
        <v>2304</v>
      </c>
      <c r="G236" s="437" t="s">
        <v>169</v>
      </c>
      <c r="H236" s="437" t="s">
        <v>702</v>
      </c>
      <c r="I236" s="437" t="s">
        <v>1999</v>
      </c>
      <c r="J236" s="437">
        <v>3100.0</v>
      </c>
      <c r="K236" s="438"/>
      <c r="L236" s="438"/>
      <c r="M236" s="453"/>
      <c r="N236" s="422">
        <v>13.46</v>
      </c>
      <c r="O236" s="422">
        <v>12.67</v>
      </c>
      <c r="P236" s="422">
        <v>16.86</v>
      </c>
      <c r="Q236" s="436" t="s">
        <v>1632</v>
      </c>
      <c r="R236" s="438"/>
      <c r="S236" s="436" t="s">
        <v>2000</v>
      </c>
      <c r="T236" s="436" t="s">
        <v>1632</v>
      </c>
      <c r="U236" s="436" t="s">
        <v>1633</v>
      </c>
      <c r="V236" s="451"/>
      <c r="W236" s="441">
        <v>0.07</v>
      </c>
      <c r="X236" s="438"/>
      <c r="Y236" s="442">
        <f t="shared" ref="Y236:Y237" si="243">IF((W236/((J236/5780)^4))^0.5&gt;0,(W236/((J236/5780)^4))^0.5,"")</f>
        <v>0.9197743819</v>
      </c>
      <c r="Z236" s="442"/>
      <c r="AA236" s="443"/>
      <c r="AB236" s="443"/>
      <c r="AC236" s="436" t="str">
        <f>IF(ISNUMBER(VLOOKUP(B236,'New Masses'!A:C,3,FALSE)),VLOOKUP(B236,'New Masses'!A:C,3,FALSE),"")</f>
        <v/>
      </c>
      <c r="AD236" s="440">
        <f t="shared" ref="AD236:AD237" si="244">10^AE236</f>
        <v>0</v>
      </c>
      <c r="AE236" s="437">
        <v>-10.09</v>
      </c>
      <c r="AF236" s="438"/>
      <c r="AG236" s="445">
        <v>0.16</v>
      </c>
      <c r="AH236" s="438"/>
      <c r="AI236" s="446" t="str">
        <f>IF(ISNUMBER(VLOOKUP(B236,'New Masses'!A:C,2, FALSE)),VLOOKUP(B236,'New Masses'!A:C,2, FALSE),"")</f>
        <v/>
      </c>
      <c r="AJ236" s="438"/>
      <c r="AK236" s="437"/>
      <c r="AL236" s="447">
        <v>-3.47</v>
      </c>
      <c r="AM236" s="438"/>
      <c r="AN236" s="436">
        <v>3.0</v>
      </c>
      <c r="AO236" s="527"/>
      <c r="AP236" s="527"/>
      <c r="AQ236" s="438"/>
      <c r="AR236" s="438"/>
      <c r="AS236" s="438"/>
      <c r="AT236" s="438"/>
      <c r="AU236" s="480"/>
      <c r="AV236" s="480"/>
      <c r="AW236" s="450">
        <v>381.766816828281</v>
      </c>
    </row>
    <row r="237">
      <c r="A237" s="435" t="s">
        <v>407</v>
      </c>
      <c r="B237" s="436" t="s">
        <v>408</v>
      </c>
      <c r="C237" s="436"/>
      <c r="D237" s="436" t="s">
        <v>350</v>
      </c>
      <c r="E237" s="436"/>
      <c r="F237" s="436" t="s">
        <v>2305</v>
      </c>
      <c r="G237" s="436" t="s">
        <v>169</v>
      </c>
      <c r="H237" s="436" t="s">
        <v>352</v>
      </c>
      <c r="I237" s="436" t="s">
        <v>2223</v>
      </c>
      <c r="J237" s="436">
        <v>3200.0</v>
      </c>
      <c r="K237" s="436"/>
      <c r="L237" s="436" t="s">
        <v>402</v>
      </c>
      <c r="M237" s="439"/>
      <c r="N237" s="422">
        <v>13.46</v>
      </c>
      <c r="O237" s="422">
        <v>12.67</v>
      </c>
      <c r="P237" s="422">
        <v>16.86</v>
      </c>
      <c r="Q237" s="436" t="s">
        <v>2224</v>
      </c>
      <c r="R237" s="436" t="s">
        <v>2225</v>
      </c>
      <c r="S237" s="436" t="s">
        <v>2191</v>
      </c>
      <c r="T237" s="436" t="s">
        <v>293</v>
      </c>
      <c r="U237" s="436" t="s">
        <v>294</v>
      </c>
      <c r="V237" s="440"/>
      <c r="W237" s="474">
        <v>0.07</v>
      </c>
      <c r="X237" s="436"/>
      <c r="Y237" s="442">
        <f t="shared" si="243"/>
        <v>0.8631867002</v>
      </c>
      <c r="Z237" s="469"/>
      <c r="AA237" s="470">
        <v>0.84</v>
      </c>
      <c r="AB237" s="470"/>
      <c r="AC237" s="436" t="str">
        <f>IF(ISNUMBER(VLOOKUP(B237,'New Masses'!A:C,3,FALSE)),VLOOKUP(B237,'New Masses'!A:C,3,FALSE),"")</f>
        <v/>
      </c>
      <c r="AD237" s="440">
        <f t="shared" si="244"/>
        <v>0</v>
      </c>
      <c r="AE237" s="436">
        <v>-11.38</v>
      </c>
      <c r="AF237" s="438"/>
      <c r="AG237" s="459">
        <v>0.2</v>
      </c>
      <c r="AH237" s="436"/>
      <c r="AI237" s="446" t="str">
        <f>IF(ISNUMBER(VLOOKUP(B237,'New Masses'!A:C,2, FALSE)),VLOOKUP(B237,'New Masses'!A:C,2, FALSE),"")</f>
        <v/>
      </c>
      <c r="AJ237" s="436"/>
      <c r="AK237" s="436"/>
      <c r="AL237" s="419">
        <v>-4.85</v>
      </c>
      <c r="AM237" s="466">
        <v>43864.0</v>
      </c>
      <c r="AN237" s="436">
        <v>3.0</v>
      </c>
      <c r="AO237" s="438"/>
      <c r="AP237" s="436"/>
      <c r="AQ237" s="438"/>
      <c r="AR237" s="438"/>
      <c r="AS237" s="438"/>
      <c r="AT237" s="438" t="s">
        <v>5916</v>
      </c>
      <c r="AU237" s="438"/>
      <c r="AV237" s="438"/>
      <c r="AW237" s="450">
        <v>381.766816828281</v>
      </c>
    </row>
    <row r="238">
      <c r="A238" s="435" t="str">
        <f t="shared" ref="A238:C238" si="245">#REF!</f>
        <v>#REF!</v>
      </c>
      <c r="B238" s="485" t="str">
        <f t="shared" si="245"/>
        <v>#REF!</v>
      </c>
      <c r="C238" s="486" t="str">
        <f t="shared" si="245"/>
        <v>#REF!</v>
      </c>
      <c r="D238" s="486"/>
      <c r="E238" s="486"/>
      <c r="F238" s="528"/>
      <c r="G238" s="486"/>
      <c r="H238" s="486" t="s">
        <v>5917</v>
      </c>
      <c r="I238" s="491"/>
      <c r="J238" s="491"/>
      <c r="K238" s="491"/>
      <c r="L238" s="491"/>
      <c r="M238" s="486"/>
      <c r="N238" s="422"/>
      <c r="O238" s="422"/>
      <c r="P238" s="422"/>
      <c r="Q238" s="486"/>
      <c r="R238" s="491"/>
      <c r="S238" s="491"/>
      <c r="T238" s="491"/>
      <c r="U238" s="491"/>
      <c r="V238" s="491"/>
      <c r="W238" s="493"/>
      <c r="X238" s="486"/>
      <c r="Y238" s="442"/>
      <c r="Z238" s="491"/>
      <c r="AA238" s="524" t="str">
        <f t="shared" ref="AA238:AA239" si="247">#REF!</f>
        <v>#REF!</v>
      </c>
      <c r="AB238" s="494"/>
      <c r="AC238" s="436"/>
      <c r="AD238" s="495"/>
      <c r="AE238" s="491"/>
      <c r="AF238" s="491"/>
      <c r="AG238" s="525" t="str">
        <f t="shared" ref="AG238:AG239" si="248">#REF!</f>
        <v>#REF!</v>
      </c>
      <c r="AH238" s="491"/>
      <c r="AI238" s="446"/>
      <c r="AJ238" s="491"/>
      <c r="AK238" s="500"/>
      <c r="AL238" s="436"/>
      <c r="AM238" s="438"/>
      <c r="AN238" s="531"/>
      <c r="AO238" s="491"/>
      <c r="AP238" s="438"/>
      <c r="AQ238" s="438"/>
      <c r="AR238" s="438"/>
      <c r="AS238" s="438"/>
      <c r="AT238" s="438"/>
      <c r="AU238" s="438"/>
      <c r="AV238" s="438"/>
      <c r="AW238" s="450" t="str">
        <f t="shared" ref="AW238:AW239" si="249">#REF!</f>
        <v>#REF!</v>
      </c>
    </row>
    <row r="239">
      <c r="A239" s="435" t="str">
        <f t="shared" ref="A239:C239" si="246">#REF!</f>
        <v>#REF!</v>
      </c>
      <c r="B239" s="485" t="str">
        <f t="shared" si="246"/>
        <v>#REF!</v>
      </c>
      <c r="C239" s="486" t="str">
        <f t="shared" si="246"/>
        <v>#REF!</v>
      </c>
      <c r="D239" s="486"/>
      <c r="E239" s="486"/>
      <c r="F239" s="528"/>
      <c r="G239" s="486"/>
      <c r="H239" s="486" t="s">
        <v>5917</v>
      </c>
      <c r="I239" s="491"/>
      <c r="J239" s="491"/>
      <c r="K239" s="491"/>
      <c r="L239" s="491"/>
      <c r="M239" s="486"/>
      <c r="N239" s="422"/>
      <c r="O239" s="422"/>
      <c r="P239" s="422"/>
      <c r="Q239" s="486"/>
      <c r="R239" s="491"/>
      <c r="S239" s="491"/>
      <c r="T239" s="491"/>
      <c r="U239" s="491"/>
      <c r="V239" s="491"/>
      <c r="W239" s="493"/>
      <c r="X239" s="486"/>
      <c r="Y239" s="442"/>
      <c r="Z239" s="491"/>
      <c r="AA239" s="524" t="str">
        <f t="shared" si="247"/>
        <v>#REF!</v>
      </c>
      <c r="AB239" s="494"/>
      <c r="AC239" s="436"/>
      <c r="AD239" s="495"/>
      <c r="AE239" s="491"/>
      <c r="AF239" s="491"/>
      <c r="AG239" s="525" t="str">
        <f t="shared" si="248"/>
        <v>#REF!</v>
      </c>
      <c r="AH239" s="491"/>
      <c r="AI239" s="446"/>
      <c r="AJ239" s="491"/>
      <c r="AK239" s="500"/>
      <c r="AL239" s="436"/>
      <c r="AM239" s="438"/>
      <c r="AN239" s="531"/>
      <c r="AO239" s="491"/>
      <c r="AP239" s="438"/>
      <c r="AQ239" s="438"/>
      <c r="AR239" s="438"/>
      <c r="AS239" s="438"/>
      <c r="AT239" s="438"/>
      <c r="AU239" s="438"/>
      <c r="AV239" s="438"/>
      <c r="AW239" s="450" t="str">
        <f t="shared" si="249"/>
        <v>#REF!</v>
      </c>
    </row>
    <row r="240">
      <c r="A240" s="435" t="s">
        <v>1681</v>
      </c>
      <c r="B240" s="436" t="s">
        <v>1682</v>
      </c>
      <c r="C240" s="436"/>
      <c r="D240" s="436" t="s">
        <v>350</v>
      </c>
      <c r="E240" s="436"/>
      <c r="F240" s="436" t="s">
        <v>2306</v>
      </c>
      <c r="G240" s="437" t="s">
        <v>515</v>
      </c>
      <c r="H240" s="437" t="s">
        <v>702</v>
      </c>
      <c r="I240" s="437" t="s">
        <v>1999</v>
      </c>
      <c r="J240" s="437">
        <v>3200.0</v>
      </c>
      <c r="K240" s="438"/>
      <c r="L240" s="438"/>
      <c r="M240" s="453"/>
      <c r="N240" s="422">
        <v>13.096</v>
      </c>
      <c r="O240" s="422">
        <v>12.249</v>
      </c>
      <c r="P240" s="422">
        <v>17.08</v>
      </c>
      <c r="Q240" s="436" t="s">
        <v>1632</v>
      </c>
      <c r="R240" s="438"/>
      <c r="S240" s="436" t="s">
        <v>2000</v>
      </c>
      <c r="T240" s="436" t="s">
        <v>1632</v>
      </c>
      <c r="U240" s="436" t="s">
        <v>1633</v>
      </c>
      <c r="V240" s="451"/>
      <c r="W240" s="441">
        <v>0.07</v>
      </c>
      <c r="X240" s="438"/>
      <c r="Y240" s="442">
        <f>IF((W240/((J240/5780)^4))^0.5&gt;0,(W240/((J240/5780)^4))^0.5,"")</f>
        <v>0.8631867002</v>
      </c>
      <c r="Z240" s="442"/>
      <c r="AA240" s="443"/>
      <c r="AB240" s="443"/>
      <c r="AC240" s="436" t="str">
        <f>IF(ISNUMBER(VLOOKUP(B240,'New Masses'!A:C,3,FALSE)),VLOOKUP(B240,'New Masses'!A:C,3,FALSE),"")</f>
        <v/>
      </c>
      <c r="AD240" s="440">
        <f>10^AE240</f>
        <v>0</v>
      </c>
      <c r="AE240" s="437">
        <v>-10.25</v>
      </c>
      <c r="AF240" s="438"/>
      <c r="AG240" s="445">
        <v>0.2</v>
      </c>
      <c r="AH240" s="438"/>
      <c r="AI240" s="446" t="str">
        <f>IF(ISNUMBER(VLOOKUP(B240,'New Masses'!A:C,2, FALSE)),VLOOKUP(B240,'New Masses'!A:C,2, FALSE),"")</f>
        <v/>
      </c>
      <c r="AJ240" s="438"/>
      <c r="AK240" s="437"/>
      <c r="AL240" s="447">
        <v>-3.51</v>
      </c>
      <c r="AM240" s="438"/>
      <c r="AN240" s="436">
        <v>3.0</v>
      </c>
      <c r="AO240" s="438"/>
      <c r="AP240" s="436"/>
      <c r="AQ240" s="438"/>
      <c r="AR240" s="438"/>
      <c r="AS240" s="438"/>
      <c r="AT240" s="438" t="s">
        <v>5916</v>
      </c>
      <c r="AU240" s="438"/>
      <c r="AV240" s="438"/>
      <c r="AW240" s="450">
        <v>403.372191521116</v>
      </c>
    </row>
    <row r="241">
      <c r="A241" s="435" t="str">
        <f t="shared" ref="A241:C241" si="250">#REF!</f>
        <v>#REF!</v>
      </c>
      <c r="B241" s="485" t="str">
        <f t="shared" si="250"/>
        <v>#REF!</v>
      </c>
      <c r="C241" s="486" t="str">
        <f t="shared" si="250"/>
        <v>#REF!</v>
      </c>
      <c r="D241" s="486"/>
      <c r="E241" s="486"/>
      <c r="F241" s="528"/>
      <c r="G241" s="486"/>
      <c r="H241" s="486" t="s">
        <v>5917</v>
      </c>
      <c r="I241" s="491"/>
      <c r="J241" s="491"/>
      <c r="K241" s="491"/>
      <c r="L241" s="491"/>
      <c r="M241" s="486"/>
      <c r="N241" s="422"/>
      <c r="O241" s="422"/>
      <c r="P241" s="422"/>
      <c r="Q241" s="486"/>
      <c r="R241" s="491"/>
      <c r="S241" s="491"/>
      <c r="T241" s="491"/>
      <c r="U241" s="491"/>
      <c r="V241" s="491"/>
      <c r="W241" s="493"/>
      <c r="X241" s="486"/>
      <c r="Y241" s="442"/>
      <c r="Z241" s="491"/>
      <c r="AA241" s="524" t="str">
        <f>#REF!</f>
        <v>#REF!</v>
      </c>
      <c r="AB241" s="494"/>
      <c r="AC241" s="436"/>
      <c r="AD241" s="495"/>
      <c r="AE241" s="491"/>
      <c r="AF241" s="491"/>
      <c r="AG241" s="525" t="str">
        <f>#REF!</f>
        <v>#REF!</v>
      </c>
      <c r="AH241" s="491"/>
      <c r="AI241" s="446"/>
      <c r="AJ241" s="491"/>
      <c r="AK241" s="500"/>
      <c r="AL241" s="436"/>
      <c r="AM241" s="438"/>
      <c r="AN241" s="531"/>
      <c r="AO241" s="491"/>
      <c r="AP241" s="438"/>
      <c r="AQ241" s="438"/>
      <c r="AR241" s="438"/>
      <c r="AS241" s="438"/>
      <c r="AT241" s="438"/>
      <c r="AU241" s="438"/>
      <c r="AV241" s="438"/>
      <c r="AW241" s="450" t="str">
        <f>#REF!</f>
        <v>#REF!</v>
      </c>
    </row>
    <row r="242">
      <c r="A242" s="419" t="s">
        <v>793</v>
      </c>
      <c r="B242" s="419" t="s">
        <v>793</v>
      </c>
      <c r="C242" s="436"/>
      <c r="D242" s="436" t="s">
        <v>758</v>
      </c>
      <c r="E242" s="436"/>
      <c r="F242" s="436" t="s">
        <v>2307</v>
      </c>
      <c r="G242" s="437" t="s">
        <v>169</v>
      </c>
      <c r="H242" s="436" t="s">
        <v>759</v>
      </c>
      <c r="I242" s="456">
        <v>41609.0</v>
      </c>
      <c r="J242" s="436">
        <v>7244.3596</v>
      </c>
      <c r="K242" s="419">
        <v>850.0</v>
      </c>
      <c r="L242" s="436" t="s">
        <v>794</v>
      </c>
      <c r="M242" s="457">
        <v>1.0</v>
      </c>
      <c r="N242" s="422">
        <v>13.39</v>
      </c>
      <c r="O242" s="422">
        <v>11.22</v>
      </c>
      <c r="P242" s="422">
        <v>17.02</v>
      </c>
      <c r="Q242" s="436" t="s">
        <v>2175</v>
      </c>
      <c r="R242" s="436" t="s">
        <v>2176</v>
      </c>
      <c r="S242" s="436" t="s">
        <v>2177</v>
      </c>
      <c r="T242" s="419" t="s">
        <v>162</v>
      </c>
      <c r="U242" s="419" t="s">
        <v>2178</v>
      </c>
      <c r="V242" s="440"/>
      <c r="W242" s="441">
        <v>18.620871366628677</v>
      </c>
      <c r="X242" s="438"/>
      <c r="Y242" s="442">
        <f>IF((W242/((J242/5780)^4))^0.5&gt;0,(W242/((J242/5780)^4))^0.5,"")</f>
        <v>2.746981135</v>
      </c>
      <c r="Z242" s="442"/>
      <c r="AA242" s="443"/>
      <c r="AB242" s="443"/>
      <c r="AC242" s="436" t="str">
        <f>IF(ISNUMBER(VLOOKUP(B242,'New Masses'!A:C,3,FALSE)),VLOOKUP(B242,'New Masses'!A:C,3,FALSE),"")</f>
        <v/>
      </c>
      <c r="AD242" s="451">
        <f>10^(AE242)</f>
        <v>0.0000001202264435</v>
      </c>
      <c r="AE242" s="436">
        <v>-6.92</v>
      </c>
      <c r="AF242" s="438"/>
      <c r="AG242" s="459">
        <v>1.79</v>
      </c>
      <c r="AH242" s="436"/>
      <c r="AI242" s="446" t="str">
        <f>IF(ISNUMBER(VLOOKUP(B242,'New Masses'!A:C,2, FALSE)),VLOOKUP(B242,'New Masses'!A:C,2, FALSE),"")</f>
        <v/>
      </c>
      <c r="AJ242" s="436">
        <f>LOG10(AG242)</f>
        <v>0.252853031</v>
      </c>
      <c r="AK242" s="437"/>
      <c r="AL242" s="437">
        <v>0.28</v>
      </c>
      <c r="AM242" s="479">
        <v>43895.0</v>
      </c>
      <c r="AN242" s="437">
        <v>4.0</v>
      </c>
      <c r="AO242" s="438"/>
      <c r="AP242" s="454">
        <v>3.1</v>
      </c>
      <c r="AQ242" s="438"/>
      <c r="AR242" s="438"/>
      <c r="AS242" s="438"/>
      <c r="AT242" s="438"/>
      <c r="AU242" s="438"/>
      <c r="AV242" s="438"/>
      <c r="AW242" s="450"/>
    </row>
    <row r="243">
      <c r="A243" s="435" t="str">
        <f t="shared" ref="A243:C243" si="251">#REF!</f>
        <v>#REF!</v>
      </c>
      <c r="B243" s="485" t="str">
        <f t="shared" si="251"/>
        <v>#REF!</v>
      </c>
      <c r="C243" s="486" t="str">
        <f t="shared" si="251"/>
        <v>#REF!</v>
      </c>
      <c r="D243" s="486"/>
      <c r="E243" s="486"/>
      <c r="F243" s="528"/>
      <c r="G243" s="486"/>
      <c r="H243" s="486" t="s">
        <v>5917</v>
      </c>
      <c r="I243" s="491"/>
      <c r="J243" s="491"/>
      <c r="K243" s="491"/>
      <c r="L243" s="491"/>
      <c r="M243" s="486"/>
      <c r="N243" s="422"/>
      <c r="O243" s="422"/>
      <c r="P243" s="422"/>
      <c r="Q243" s="486"/>
      <c r="R243" s="491"/>
      <c r="S243" s="491"/>
      <c r="T243" s="491"/>
      <c r="U243" s="491"/>
      <c r="V243" s="491"/>
      <c r="W243" s="493"/>
      <c r="X243" s="486"/>
      <c r="Y243" s="442"/>
      <c r="Z243" s="491"/>
      <c r="AA243" s="524" t="str">
        <f>#REF!</f>
        <v>#REF!</v>
      </c>
      <c r="AB243" s="494"/>
      <c r="AC243" s="436"/>
      <c r="AD243" s="495"/>
      <c r="AE243" s="491"/>
      <c r="AF243" s="491"/>
      <c r="AG243" s="525" t="str">
        <f>#REF!</f>
        <v>#REF!</v>
      </c>
      <c r="AH243" s="491"/>
      <c r="AI243" s="446"/>
      <c r="AJ243" s="491"/>
      <c r="AK243" s="500"/>
      <c r="AL243" s="436"/>
      <c r="AM243" s="438"/>
      <c r="AN243" s="531"/>
      <c r="AO243" s="491"/>
      <c r="AP243" s="438"/>
      <c r="AQ243" s="438"/>
      <c r="AR243" s="438"/>
      <c r="AS243" s="438"/>
      <c r="AT243" s="438"/>
      <c r="AU243" s="438"/>
      <c r="AV243" s="438"/>
      <c r="AW243" s="450" t="str">
        <f>#REF!</f>
        <v>#REF!</v>
      </c>
    </row>
    <row r="244">
      <c r="A244" s="419" t="s">
        <v>796</v>
      </c>
      <c r="B244" s="419" t="s">
        <v>796</v>
      </c>
      <c r="C244" s="436"/>
      <c r="D244" s="436" t="s">
        <v>758</v>
      </c>
      <c r="E244" s="436"/>
      <c r="F244" s="436" t="s">
        <v>2308</v>
      </c>
      <c r="G244" s="437" t="s">
        <v>169</v>
      </c>
      <c r="H244" s="436" t="s">
        <v>759</v>
      </c>
      <c r="I244" s="456">
        <v>41609.0</v>
      </c>
      <c r="J244" s="436">
        <v>6456.54229</v>
      </c>
      <c r="K244" s="419">
        <v>750.0</v>
      </c>
      <c r="L244" s="436" t="s">
        <v>797</v>
      </c>
      <c r="M244" s="457">
        <v>1.0</v>
      </c>
      <c r="N244" s="422">
        <v>14.02</v>
      </c>
      <c r="O244" s="422">
        <v>12.23</v>
      </c>
      <c r="P244" s="422">
        <v>18.21</v>
      </c>
      <c r="Q244" s="436" t="s">
        <v>2175</v>
      </c>
      <c r="R244" s="436" t="s">
        <v>2176</v>
      </c>
      <c r="S244" s="436" t="s">
        <v>2177</v>
      </c>
      <c r="T244" s="419" t="s">
        <v>162</v>
      </c>
      <c r="U244" s="419" t="s">
        <v>2178</v>
      </c>
      <c r="V244" s="440"/>
      <c r="W244" s="458">
        <v>12.882495516931343</v>
      </c>
      <c r="X244" s="438"/>
      <c r="Y244" s="442">
        <f>IF((W244/((J244/5780)^4))^0.5&gt;0,(W244/((J244/5780)^4))^0.5,"")</f>
        <v>2.876442367</v>
      </c>
      <c r="Z244" s="442"/>
      <c r="AA244" s="443"/>
      <c r="AB244" s="443"/>
      <c r="AC244" s="436" t="str">
        <f>IF(ISNUMBER(VLOOKUP(B244,'New Masses'!A:C,3,FALSE)),VLOOKUP(B244,'New Masses'!A:C,3,FALSE),"")</f>
        <v/>
      </c>
      <c r="AD244" s="451">
        <f>10^(AE244)</f>
        <v>0.0000005754399373</v>
      </c>
      <c r="AE244" s="436">
        <v>-6.24</v>
      </c>
      <c r="AF244" s="438"/>
      <c r="AG244" s="459">
        <v>1.83</v>
      </c>
      <c r="AH244" s="436"/>
      <c r="AI244" s="446" t="str">
        <f>IF(ISNUMBER(VLOOKUP(B244,'New Masses'!A:C,2, FALSE)),VLOOKUP(B244,'New Masses'!A:C,2, FALSE),"")</f>
        <v/>
      </c>
      <c r="AJ244" s="436">
        <f>LOG10(AG244)</f>
        <v>0.2624510897</v>
      </c>
      <c r="AK244" s="437"/>
      <c r="AL244" s="437">
        <v>0.95</v>
      </c>
      <c r="AM244" s="454" t="s">
        <v>2309</v>
      </c>
      <c r="AN244" s="437">
        <v>3.5</v>
      </c>
      <c r="AO244" s="438"/>
      <c r="AP244" s="454">
        <v>3.64</v>
      </c>
      <c r="AQ244" s="438"/>
      <c r="AR244" s="438"/>
      <c r="AS244" s="438"/>
      <c r="AT244" s="438"/>
      <c r="AU244" s="438"/>
      <c r="AV244" s="438"/>
      <c r="AW244" s="450"/>
    </row>
    <row r="245">
      <c r="A245" s="435" t="str">
        <f t="shared" ref="A245:C245" si="252">#REF!</f>
        <v>#REF!</v>
      </c>
      <c r="B245" s="485" t="str">
        <f t="shared" si="252"/>
        <v>#REF!</v>
      </c>
      <c r="C245" s="486" t="str">
        <f t="shared" si="252"/>
        <v>#REF!</v>
      </c>
      <c r="D245" s="486"/>
      <c r="E245" s="486"/>
      <c r="F245" s="528"/>
      <c r="G245" s="486"/>
      <c r="H245" s="486" t="s">
        <v>5917</v>
      </c>
      <c r="I245" s="491"/>
      <c r="J245" s="491"/>
      <c r="K245" s="491"/>
      <c r="L245" s="491"/>
      <c r="M245" s="486"/>
      <c r="N245" s="422"/>
      <c r="O245" s="422"/>
      <c r="P245" s="422"/>
      <c r="Q245" s="486"/>
      <c r="R245" s="491"/>
      <c r="S245" s="491"/>
      <c r="T245" s="491"/>
      <c r="U245" s="491"/>
      <c r="V245" s="491"/>
      <c r="W245" s="493"/>
      <c r="X245" s="486"/>
      <c r="Y245" s="442"/>
      <c r="Z245" s="491"/>
      <c r="AA245" s="524" t="str">
        <f>#REF!</f>
        <v>#REF!</v>
      </c>
      <c r="AB245" s="494"/>
      <c r="AC245" s="436"/>
      <c r="AD245" s="495"/>
      <c r="AE245" s="491"/>
      <c r="AF245" s="491"/>
      <c r="AG245" s="525" t="str">
        <f>#REF!</f>
        <v>#REF!</v>
      </c>
      <c r="AH245" s="491"/>
      <c r="AI245" s="446"/>
      <c r="AJ245" s="491"/>
      <c r="AK245" s="500"/>
      <c r="AL245" s="436"/>
      <c r="AM245" s="438"/>
      <c r="AN245" s="531"/>
      <c r="AO245" s="491"/>
      <c r="AP245" s="438"/>
      <c r="AQ245" s="438"/>
      <c r="AR245" s="438"/>
      <c r="AS245" s="438"/>
      <c r="AT245" s="438"/>
      <c r="AU245" s="438"/>
      <c r="AV245" s="438"/>
      <c r="AW245" s="450" t="str">
        <f>#REF!</f>
        <v>#REF!</v>
      </c>
    </row>
    <row r="246">
      <c r="A246" s="419" t="s">
        <v>781</v>
      </c>
      <c r="B246" s="419" t="s">
        <v>781</v>
      </c>
      <c r="C246" s="436"/>
      <c r="D246" s="436" t="s">
        <v>758</v>
      </c>
      <c r="E246" s="436"/>
      <c r="F246" s="436" t="s">
        <v>2310</v>
      </c>
      <c r="G246" s="437" t="s">
        <v>159</v>
      </c>
      <c r="H246" s="436" t="s">
        <v>759</v>
      </c>
      <c r="I246" s="456">
        <v>41609.0</v>
      </c>
      <c r="J246" s="436">
        <v>6760.829754</v>
      </c>
      <c r="K246" s="419">
        <v>800.0</v>
      </c>
      <c r="L246" s="436" t="s">
        <v>776</v>
      </c>
      <c r="M246" s="457">
        <v>1.0</v>
      </c>
      <c r="N246" s="422">
        <v>14.74</v>
      </c>
      <c r="O246" s="422">
        <v>13.52</v>
      </c>
      <c r="P246" s="422">
        <v>17.4</v>
      </c>
      <c r="Q246" s="436" t="s">
        <v>2175</v>
      </c>
      <c r="R246" s="436" t="s">
        <v>2176</v>
      </c>
      <c r="S246" s="436" t="s">
        <v>2177</v>
      </c>
      <c r="T246" s="419" t="s">
        <v>162</v>
      </c>
      <c r="U246" s="419" t="s">
        <v>2178</v>
      </c>
      <c r="V246" s="440"/>
      <c r="W246" s="458">
        <v>10.0</v>
      </c>
      <c r="X246" s="438"/>
      <c r="Y246" s="442">
        <f>IF((W246/((J246/5780)^4))^0.5&gt;0,(W246/((J246/5780)^4))^0.5,"")</f>
        <v>2.311296581</v>
      </c>
      <c r="Z246" s="442"/>
      <c r="AA246" s="443"/>
      <c r="AB246" s="443"/>
      <c r="AC246" s="436" t="str">
        <f>IF(ISNUMBER(VLOOKUP(B246,'New Masses'!A:C,3,FALSE)),VLOOKUP(B246,'New Masses'!A:C,3,FALSE),"")</f>
        <v/>
      </c>
      <c r="AD246" s="451">
        <f>10^(AE246)</f>
        <v>0.00000001174897555</v>
      </c>
      <c r="AE246" s="436">
        <v>-7.93</v>
      </c>
      <c r="AF246" s="438"/>
      <c r="AG246" s="459">
        <v>1.57</v>
      </c>
      <c r="AH246" s="436"/>
      <c r="AI246" s="446" t="str">
        <f>IF(ISNUMBER(VLOOKUP(B246,'New Masses'!A:C,2, FALSE)),VLOOKUP(B246,'New Masses'!A:C,2, FALSE),"")</f>
        <v/>
      </c>
      <c r="AJ246" s="436">
        <f>LOG10(AG246)</f>
        <v>0.1958996524</v>
      </c>
      <c r="AK246" s="437"/>
      <c r="AL246" s="437">
        <v>-0.71</v>
      </c>
      <c r="AM246" s="454" t="s">
        <v>2311</v>
      </c>
      <c r="AN246" s="437">
        <v>5.6</v>
      </c>
      <c r="AO246" s="438"/>
      <c r="AP246" s="454">
        <v>3.0</v>
      </c>
      <c r="AQ246" s="438"/>
      <c r="AR246" s="438"/>
      <c r="AS246" s="438"/>
      <c r="AT246" s="438"/>
      <c r="AU246" s="438"/>
      <c r="AV246" s="438"/>
      <c r="AW246" s="450">
        <v>5327.65050612679</v>
      </c>
    </row>
    <row r="247">
      <c r="A247" s="435" t="str">
        <f t="shared" ref="A247:C247" si="253">#REF!</f>
        <v>#REF!</v>
      </c>
      <c r="B247" s="485" t="str">
        <f t="shared" si="253"/>
        <v>#REF!</v>
      </c>
      <c r="C247" s="486" t="str">
        <f t="shared" si="253"/>
        <v>#REF!</v>
      </c>
      <c r="D247" s="486"/>
      <c r="E247" s="486"/>
      <c r="F247" s="528"/>
      <c r="G247" s="486"/>
      <c r="H247" s="486" t="s">
        <v>5917</v>
      </c>
      <c r="I247" s="491"/>
      <c r="J247" s="491"/>
      <c r="K247" s="491"/>
      <c r="L247" s="491"/>
      <c r="M247" s="486"/>
      <c r="N247" s="422"/>
      <c r="O247" s="422"/>
      <c r="P247" s="422"/>
      <c r="Q247" s="486"/>
      <c r="R247" s="491"/>
      <c r="S247" s="491"/>
      <c r="T247" s="491"/>
      <c r="U247" s="491"/>
      <c r="V247" s="491"/>
      <c r="W247" s="493"/>
      <c r="X247" s="486"/>
      <c r="Y247" s="442"/>
      <c r="Z247" s="491"/>
      <c r="AA247" s="524" t="str">
        <f>#REF!</f>
        <v>#REF!</v>
      </c>
      <c r="AB247" s="494"/>
      <c r="AC247" s="436"/>
      <c r="AD247" s="495"/>
      <c r="AE247" s="491"/>
      <c r="AF247" s="491"/>
      <c r="AG247" s="525" t="str">
        <f>#REF!</f>
        <v>#REF!</v>
      </c>
      <c r="AH247" s="491"/>
      <c r="AI247" s="446"/>
      <c r="AJ247" s="491"/>
      <c r="AK247" s="500"/>
      <c r="AL247" s="436"/>
      <c r="AM247" s="438"/>
      <c r="AN247" s="531"/>
      <c r="AO247" s="491"/>
      <c r="AP247" s="438"/>
      <c r="AQ247" s="438"/>
      <c r="AR247" s="438"/>
      <c r="AS247" s="438"/>
      <c r="AT247" s="438"/>
      <c r="AU247" s="438"/>
      <c r="AV247" s="438"/>
      <c r="AW247" s="450" t="str">
        <f>#REF!</f>
        <v>#REF!</v>
      </c>
    </row>
    <row r="248">
      <c r="A248" s="419" t="s">
        <v>784</v>
      </c>
      <c r="B248" s="419" t="s">
        <v>784</v>
      </c>
      <c r="C248" s="436"/>
      <c r="D248" s="436" t="s">
        <v>758</v>
      </c>
      <c r="E248" s="436"/>
      <c r="F248" s="436" t="s">
        <v>2312</v>
      </c>
      <c r="G248" s="437" t="s">
        <v>169</v>
      </c>
      <c r="H248" s="436" t="s">
        <v>759</v>
      </c>
      <c r="I248" s="456">
        <v>41609.0</v>
      </c>
      <c r="J248" s="436">
        <v>7585.77575</v>
      </c>
      <c r="K248" s="419">
        <v>750.0</v>
      </c>
      <c r="L248" s="436" t="s">
        <v>786</v>
      </c>
      <c r="M248" s="457">
        <v>1.0</v>
      </c>
      <c r="N248" s="422">
        <v>14.58</v>
      </c>
      <c r="O248" s="422">
        <v>13.03</v>
      </c>
      <c r="P248" s="422">
        <v>16.98</v>
      </c>
      <c r="Q248" s="436" t="s">
        <v>2175</v>
      </c>
      <c r="R248" s="436" t="s">
        <v>2176</v>
      </c>
      <c r="S248" s="436" t="s">
        <v>2177</v>
      </c>
      <c r="T248" s="419" t="s">
        <v>162</v>
      </c>
      <c r="U248" s="419" t="s">
        <v>2178</v>
      </c>
      <c r="V248" s="440"/>
      <c r="W248" s="458">
        <v>9.549925860214358</v>
      </c>
      <c r="X248" s="438"/>
      <c r="Y248" s="442">
        <f>IF((W248/((J248/5780)^4))^0.5&gt;0,(W248/((J248/5780)^4))^0.5,"")</f>
        <v>1.794137307</v>
      </c>
      <c r="Z248" s="442"/>
      <c r="AA248" s="443"/>
      <c r="AB248" s="443"/>
      <c r="AC248" s="436" t="str">
        <f>IF(ISNUMBER(VLOOKUP(B248,'New Masses'!A:C,3,FALSE)),VLOOKUP(B248,'New Masses'!A:C,3,FALSE),"")</f>
        <v/>
      </c>
      <c r="AD248" s="451">
        <f>10^(AE248)</f>
        <v>0.0000000316227766</v>
      </c>
      <c r="AE248" s="436">
        <v>-7.5</v>
      </c>
      <c r="AF248" s="438"/>
      <c r="AG248" s="459">
        <v>1.6</v>
      </c>
      <c r="AH248" s="436"/>
      <c r="AI248" s="446" t="str">
        <f>IF(ISNUMBER(VLOOKUP(B248,'New Masses'!A:C,2, FALSE)),VLOOKUP(B248,'New Masses'!A:C,2, FALSE),"")</f>
        <v/>
      </c>
      <c r="AJ248" s="436">
        <f>LOG10(AG248)</f>
        <v>0.2041199827</v>
      </c>
      <c r="AK248" s="437"/>
      <c r="AL248" s="437">
        <v>-0.26</v>
      </c>
      <c r="AM248" s="454" t="s">
        <v>2313</v>
      </c>
      <c r="AN248" s="437">
        <v>5.5</v>
      </c>
      <c r="AO248" s="438"/>
      <c r="AP248" s="454">
        <v>1.9</v>
      </c>
      <c r="AQ248" s="438"/>
      <c r="AR248" s="438"/>
      <c r="AS248" s="438"/>
      <c r="AT248" s="438"/>
      <c r="AU248" s="438"/>
      <c r="AV248" s="438"/>
      <c r="AW248" s="450">
        <v>2926.54375182908</v>
      </c>
    </row>
    <row r="249">
      <c r="A249" s="435" t="str">
        <f t="shared" ref="A249:C249" si="254">#REF!</f>
        <v>#REF!</v>
      </c>
      <c r="B249" s="485" t="str">
        <f t="shared" si="254"/>
        <v>#REF!</v>
      </c>
      <c r="C249" s="486" t="str">
        <f t="shared" si="254"/>
        <v>#REF!</v>
      </c>
      <c r="D249" s="486"/>
      <c r="E249" s="486"/>
      <c r="F249" s="528"/>
      <c r="G249" s="486"/>
      <c r="H249" s="486" t="s">
        <v>5917</v>
      </c>
      <c r="I249" s="491"/>
      <c r="J249" s="491"/>
      <c r="K249" s="491"/>
      <c r="L249" s="491"/>
      <c r="M249" s="486"/>
      <c r="N249" s="422"/>
      <c r="O249" s="422"/>
      <c r="P249" s="422"/>
      <c r="Q249" s="486"/>
      <c r="R249" s="491"/>
      <c r="S249" s="491"/>
      <c r="T249" s="491"/>
      <c r="U249" s="491"/>
      <c r="V249" s="491"/>
      <c r="W249" s="493"/>
      <c r="X249" s="486"/>
      <c r="Y249" s="442"/>
      <c r="Z249" s="491"/>
      <c r="AA249" s="524" t="str">
        <f>#REF!</f>
        <v>#REF!</v>
      </c>
      <c r="AB249" s="494"/>
      <c r="AC249" s="436"/>
      <c r="AD249" s="495"/>
      <c r="AE249" s="491"/>
      <c r="AF249" s="491"/>
      <c r="AG249" s="525" t="str">
        <f>#REF!</f>
        <v>#REF!</v>
      </c>
      <c r="AH249" s="491"/>
      <c r="AI249" s="446"/>
      <c r="AJ249" s="491"/>
      <c r="AK249" s="500"/>
      <c r="AL249" s="436"/>
      <c r="AM249" s="438"/>
      <c r="AN249" s="531"/>
      <c r="AO249" s="491"/>
      <c r="AP249" s="438"/>
      <c r="AQ249" s="438"/>
      <c r="AR249" s="438"/>
      <c r="AS249" s="438"/>
      <c r="AT249" s="438"/>
      <c r="AU249" s="438"/>
      <c r="AV249" s="438"/>
      <c r="AW249" s="450" t="str">
        <f>#REF!</f>
        <v>#REF!</v>
      </c>
    </row>
    <row r="250">
      <c r="A250" s="419" t="s">
        <v>795</v>
      </c>
      <c r="B250" s="419" t="s">
        <v>795</v>
      </c>
      <c r="C250" s="436"/>
      <c r="D250" s="436" t="s">
        <v>758</v>
      </c>
      <c r="E250" s="436"/>
      <c r="F250" s="436" t="s">
        <v>2314</v>
      </c>
      <c r="G250" s="437" t="s">
        <v>159</v>
      </c>
      <c r="H250" s="436" t="s">
        <v>759</v>
      </c>
      <c r="I250" s="456">
        <v>41609.0</v>
      </c>
      <c r="J250" s="436">
        <v>7244.3596</v>
      </c>
      <c r="K250" s="419">
        <v>850.0</v>
      </c>
      <c r="L250" s="436" t="s">
        <v>794</v>
      </c>
      <c r="M250" s="457">
        <v>1.0</v>
      </c>
      <c r="N250" s="422">
        <v>13.87</v>
      </c>
      <c r="O250" s="422">
        <v>12.99</v>
      </c>
      <c r="P250" s="422">
        <v>16.3</v>
      </c>
      <c r="Q250" s="436" t="s">
        <v>2175</v>
      </c>
      <c r="R250" s="436" t="s">
        <v>2176</v>
      </c>
      <c r="S250" s="436" t="s">
        <v>2177</v>
      </c>
      <c r="T250" s="419" t="s">
        <v>162</v>
      </c>
      <c r="U250" s="419" t="s">
        <v>2178</v>
      </c>
      <c r="V250" s="440"/>
      <c r="W250" s="458">
        <v>18.620871366628677</v>
      </c>
      <c r="X250" s="438"/>
      <c r="Y250" s="442">
        <f>IF((W250/((J250/5780)^4))^0.5&gt;0,(W250/((J250/5780)^4))^0.5,"")</f>
        <v>2.746981135</v>
      </c>
      <c r="Z250" s="442"/>
      <c r="AA250" s="443"/>
      <c r="AB250" s="443"/>
      <c r="AC250" s="436" t="str">
        <f>IF(ISNUMBER(VLOOKUP(B250,'New Masses'!A:C,3,FALSE)),VLOOKUP(B250,'New Masses'!A:C,3,FALSE),"")</f>
        <v/>
      </c>
      <c r="AD250" s="451">
        <f>10^(AE250)</f>
        <v>0.00000001412537545</v>
      </c>
      <c r="AE250" s="436">
        <v>-7.85</v>
      </c>
      <c r="AF250" s="438"/>
      <c r="AG250" s="459">
        <v>1.79</v>
      </c>
      <c r="AH250" s="436"/>
      <c r="AI250" s="446" t="str">
        <f>IF(ISNUMBER(VLOOKUP(B250,'New Masses'!A:C,2, FALSE)),VLOOKUP(B250,'New Masses'!A:C,2, FALSE),"")</f>
        <v/>
      </c>
      <c r="AJ250" s="436">
        <f>LOG10(AG250)</f>
        <v>0.252853031</v>
      </c>
      <c r="AK250" s="437"/>
      <c r="AL250" s="437">
        <v>-0.65</v>
      </c>
      <c r="AM250" s="454" t="s">
        <v>2315</v>
      </c>
      <c r="AN250" s="437">
        <v>3.9</v>
      </c>
      <c r="AO250" s="438"/>
      <c r="AP250" s="454">
        <v>2.28</v>
      </c>
      <c r="AQ250" s="438"/>
      <c r="AR250" s="438"/>
      <c r="AS250" s="438"/>
      <c r="AT250" s="438"/>
      <c r="AU250" s="438"/>
      <c r="AV250" s="438"/>
      <c r="AW250" s="450">
        <v>6635.700066357</v>
      </c>
    </row>
    <row r="251">
      <c r="A251" s="435" t="str">
        <f t="shared" ref="A251:C251" si="255">#REF!</f>
        <v>#REF!</v>
      </c>
      <c r="B251" s="485" t="str">
        <f t="shared" si="255"/>
        <v>#REF!</v>
      </c>
      <c r="C251" s="486" t="str">
        <f t="shared" si="255"/>
        <v>#REF!</v>
      </c>
      <c r="D251" s="486"/>
      <c r="E251" s="486"/>
      <c r="F251" s="528"/>
      <c r="G251" s="486"/>
      <c r="H251" s="486" t="s">
        <v>5917</v>
      </c>
      <c r="I251" s="491"/>
      <c r="J251" s="491"/>
      <c r="K251" s="491"/>
      <c r="L251" s="491"/>
      <c r="M251" s="486"/>
      <c r="N251" s="422"/>
      <c r="O251" s="422"/>
      <c r="P251" s="422"/>
      <c r="Q251" s="486"/>
      <c r="R251" s="491"/>
      <c r="S251" s="491"/>
      <c r="T251" s="491"/>
      <c r="U251" s="491"/>
      <c r="V251" s="491"/>
      <c r="W251" s="493"/>
      <c r="X251" s="486"/>
      <c r="Y251" s="442"/>
      <c r="Z251" s="491"/>
      <c r="AA251" s="524" t="str">
        <f>#REF!</f>
        <v>#REF!</v>
      </c>
      <c r="AB251" s="494"/>
      <c r="AC251" s="436"/>
      <c r="AD251" s="495"/>
      <c r="AE251" s="491"/>
      <c r="AF251" s="491"/>
      <c r="AG251" s="525" t="str">
        <f>#REF!</f>
        <v>#REF!</v>
      </c>
      <c r="AH251" s="491"/>
      <c r="AI251" s="446"/>
      <c r="AJ251" s="491"/>
      <c r="AK251" s="500"/>
      <c r="AL251" s="436"/>
      <c r="AM251" s="438"/>
      <c r="AN251" s="531"/>
      <c r="AO251" s="491"/>
      <c r="AP251" s="438"/>
      <c r="AQ251" s="438"/>
      <c r="AR251" s="438"/>
      <c r="AS251" s="438"/>
      <c r="AT251" s="438"/>
      <c r="AU251" s="438"/>
      <c r="AV251" s="438"/>
      <c r="AW251" s="450" t="str">
        <f>#REF!</f>
        <v>#REF!</v>
      </c>
    </row>
    <row r="252">
      <c r="A252" s="419" t="s">
        <v>775</v>
      </c>
      <c r="B252" s="419" t="s">
        <v>775</v>
      </c>
      <c r="C252" s="436"/>
      <c r="D252" s="436" t="s">
        <v>758</v>
      </c>
      <c r="E252" s="436"/>
      <c r="F252" s="436" t="s">
        <v>2316</v>
      </c>
      <c r="G252" s="437" t="s">
        <v>169</v>
      </c>
      <c r="H252" s="436" t="s">
        <v>759</v>
      </c>
      <c r="I252" s="456">
        <v>41609.0</v>
      </c>
      <c r="J252" s="436">
        <v>6760.82975</v>
      </c>
      <c r="K252" s="419">
        <v>800.0</v>
      </c>
      <c r="L252" s="436" t="s">
        <v>776</v>
      </c>
      <c r="M252" s="457">
        <v>1.0</v>
      </c>
      <c r="N252" s="422">
        <v>15.31</v>
      </c>
      <c r="O252" s="422">
        <v>13.85</v>
      </c>
      <c r="P252" s="422">
        <v>17.08</v>
      </c>
      <c r="Q252" s="436" t="s">
        <v>2175</v>
      </c>
      <c r="R252" s="436" t="s">
        <v>2176</v>
      </c>
      <c r="S252" s="436" t="s">
        <v>2177</v>
      </c>
      <c r="T252" s="419" t="s">
        <v>162</v>
      </c>
      <c r="U252" s="419" t="s">
        <v>2178</v>
      </c>
      <c r="V252" s="440"/>
      <c r="W252" s="458">
        <v>4.570881896148751</v>
      </c>
      <c r="X252" s="438"/>
      <c r="Y252" s="442">
        <f>IF((W252/((J252/5780)^4))^0.5&gt;0,(W252/((J252/5780)^4))^0.5,"")</f>
        <v>1.562628271</v>
      </c>
      <c r="Z252" s="442"/>
      <c r="AA252" s="443"/>
      <c r="AB252" s="443"/>
      <c r="AC252" s="436" t="str">
        <f>IF(ISNUMBER(VLOOKUP(B252,'New Masses'!A:C,3,FALSE)),VLOOKUP(B252,'New Masses'!A:C,3,FALSE),"")</f>
        <v/>
      </c>
      <c r="AD252" s="451">
        <f>10^(AE252)</f>
        <v>0.00000001258925412</v>
      </c>
      <c r="AE252" s="436">
        <v>-7.9</v>
      </c>
      <c r="AF252" s="438"/>
      <c r="AG252" s="459">
        <v>1.26</v>
      </c>
      <c r="AH252" s="436"/>
      <c r="AI252" s="446" t="str">
        <f>IF(ISNUMBER(VLOOKUP(B252,'New Masses'!A:C,2, FALSE)),VLOOKUP(B252,'New Masses'!A:C,2, FALSE),"")</f>
        <v/>
      </c>
      <c r="AJ252" s="436">
        <f>LOG10(AG252)</f>
        <v>0.1003705451</v>
      </c>
      <c r="AK252" s="437"/>
      <c r="AL252" s="437">
        <v>-0.6</v>
      </c>
      <c r="AM252" s="454" t="s">
        <v>2317</v>
      </c>
      <c r="AN252" s="437">
        <v>10.9</v>
      </c>
      <c r="AO252" s="438"/>
      <c r="AP252" s="454">
        <v>1.3</v>
      </c>
      <c r="AQ252" s="438"/>
      <c r="AR252" s="438"/>
      <c r="AS252" s="438"/>
      <c r="AT252" s="438"/>
      <c r="AU252" s="438"/>
      <c r="AV252" s="438"/>
      <c r="AW252" s="450">
        <v>2652.5198938992</v>
      </c>
    </row>
    <row r="253">
      <c r="A253" s="435" t="str">
        <f t="shared" ref="A253:C253" si="256">#REF!</f>
        <v>#REF!</v>
      </c>
      <c r="B253" s="485" t="str">
        <f t="shared" si="256"/>
        <v>#REF!</v>
      </c>
      <c r="C253" s="486" t="str">
        <f t="shared" si="256"/>
        <v>#REF!</v>
      </c>
      <c r="D253" s="486"/>
      <c r="E253" s="486"/>
      <c r="F253" s="528"/>
      <c r="G253" s="486"/>
      <c r="H253" s="486" t="s">
        <v>5917</v>
      </c>
      <c r="I253" s="491"/>
      <c r="J253" s="491"/>
      <c r="K253" s="491"/>
      <c r="L253" s="491"/>
      <c r="M253" s="486"/>
      <c r="N253" s="422"/>
      <c r="O253" s="422"/>
      <c r="P253" s="422"/>
      <c r="Q253" s="486"/>
      <c r="R253" s="491"/>
      <c r="S253" s="491"/>
      <c r="T253" s="491"/>
      <c r="U253" s="491"/>
      <c r="V253" s="491"/>
      <c r="W253" s="493"/>
      <c r="X253" s="486"/>
      <c r="Y253" s="442"/>
      <c r="Z253" s="491"/>
      <c r="AA253" s="524" t="str">
        <f>#REF!</f>
        <v>#REF!</v>
      </c>
      <c r="AB253" s="494"/>
      <c r="AC253" s="436"/>
      <c r="AD253" s="495"/>
      <c r="AE253" s="491"/>
      <c r="AF253" s="491"/>
      <c r="AG253" s="525" t="str">
        <f>#REF!</f>
        <v>#REF!</v>
      </c>
      <c r="AH253" s="491"/>
      <c r="AI253" s="446"/>
      <c r="AJ253" s="491"/>
      <c r="AK253" s="500"/>
      <c r="AL253" s="436"/>
      <c r="AM253" s="438"/>
      <c r="AN253" s="531"/>
      <c r="AO253" s="491"/>
      <c r="AP253" s="438"/>
      <c r="AQ253" s="438"/>
      <c r="AR253" s="438"/>
      <c r="AS253" s="438"/>
      <c r="AT253" s="438"/>
      <c r="AU253" s="438"/>
      <c r="AV253" s="438"/>
      <c r="AW253" s="450" t="str">
        <f>#REF!</f>
        <v>#REF!</v>
      </c>
    </row>
    <row r="254">
      <c r="A254" s="419" t="s">
        <v>791</v>
      </c>
      <c r="B254" s="419" t="s">
        <v>791</v>
      </c>
      <c r="C254" s="436"/>
      <c r="D254" s="436" t="s">
        <v>758</v>
      </c>
      <c r="E254" s="436"/>
      <c r="F254" s="436" t="s">
        <v>2318</v>
      </c>
      <c r="G254" s="437" t="s">
        <v>169</v>
      </c>
      <c r="H254" s="436" t="s">
        <v>759</v>
      </c>
      <c r="I254" s="456">
        <v>41609.0</v>
      </c>
      <c r="J254" s="436">
        <v>6025.595861</v>
      </c>
      <c r="K254" s="419">
        <v>700.0</v>
      </c>
      <c r="L254" s="436" t="s">
        <v>792</v>
      </c>
      <c r="M254" s="457">
        <v>1.0</v>
      </c>
      <c r="N254" s="422">
        <v>14.83</v>
      </c>
      <c r="O254" s="422">
        <v>13.48</v>
      </c>
      <c r="P254" s="422">
        <v>17.26</v>
      </c>
      <c r="Q254" s="436" t="s">
        <v>2175</v>
      </c>
      <c r="R254" s="436" t="s">
        <v>2176</v>
      </c>
      <c r="S254" s="436" t="s">
        <v>2177</v>
      </c>
      <c r="T254" s="419" t="s">
        <v>162</v>
      </c>
      <c r="U254" s="419" t="s">
        <v>2178</v>
      </c>
      <c r="V254" s="440"/>
      <c r="W254" s="458">
        <v>7.5857757502918375</v>
      </c>
      <c r="X254" s="438"/>
      <c r="Y254" s="442">
        <f>IF((W254/((J254/5780)^4))^0.5&gt;0,(W254/((J254/5780)^4))^0.5,"")</f>
        <v>2.534286306</v>
      </c>
      <c r="Z254" s="442"/>
      <c r="AA254" s="443"/>
      <c r="AB254" s="443"/>
      <c r="AC254" s="436" t="str">
        <f>IF(ISNUMBER(VLOOKUP(B254,'New Masses'!A:C,3,FALSE)),VLOOKUP(B254,'New Masses'!A:C,3,FALSE),"")</f>
        <v/>
      </c>
      <c r="AD254" s="451">
        <f>10^(AE254)</f>
        <v>0.00000002041737945</v>
      </c>
      <c r="AE254" s="436">
        <v>-7.69</v>
      </c>
      <c r="AF254" s="438"/>
      <c r="AG254" s="459">
        <v>1.75</v>
      </c>
      <c r="AH254" s="436"/>
      <c r="AI254" s="446" t="str">
        <f>IF(ISNUMBER(VLOOKUP(B254,'New Masses'!A:C,2, FALSE)),VLOOKUP(B254,'New Masses'!A:C,2, FALSE),"")</f>
        <v/>
      </c>
      <c r="AJ254" s="436">
        <f>LOG10(AG254)</f>
        <v>0.2430380487</v>
      </c>
      <c r="AK254" s="437"/>
      <c r="AL254" s="437">
        <v>-0.46</v>
      </c>
      <c r="AM254" s="454" t="s">
        <v>2319</v>
      </c>
      <c r="AN254" s="437">
        <v>3.3</v>
      </c>
      <c r="AO254" s="438"/>
      <c r="AP254" s="454">
        <v>2.52</v>
      </c>
      <c r="AQ254" s="438"/>
      <c r="AR254" s="438"/>
      <c r="AS254" s="438"/>
      <c r="AT254" s="438"/>
      <c r="AU254" s="438"/>
      <c r="AV254" s="438"/>
      <c r="AW254" s="450"/>
    </row>
    <row r="255">
      <c r="A255" s="435" t="str">
        <f t="shared" ref="A255:C255" si="257">#REF!</f>
        <v>#REF!</v>
      </c>
      <c r="B255" s="485" t="str">
        <f t="shared" si="257"/>
        <v>#REF!</v>
      </c>
      <c r="C255" s="486" t="str">
        <f t="shared" si="257"/>
        <v>#REF!</v>
      </c>
      <c r="D255" s="486"/>
      <c r="E255" s="486"/>
      <c r="F255" s="528"/>
      <c r="G255" s="486"/>
      <c r="H255" s="486" t="s">
        <v>5917</v>
      </c>
      <c r="I255" s="491"/>
      <c r="J255" s="491"/>
      <c r="K255" s="491"/>
      <c r="L255" s="491"/>
      <c r="M255" s="486"/>
      <c r="N255" s="422"/>
      <c r="O255" s="422"/>
      <c r="P255" s="422"/>
      <c r="Q255" s="486"/>
      <c r="R255" s="491"/>
      <c r="S255" s="491"/>
      <c r="T255" s="491"/>
      <c r="U255" s="491"/>
      <c r="V255" s="491"/>
      <c r="W255" s="493"/>
      <c r="X255" s="486"/>
      <c r="Y255" s="442"/>
      <c r="Z255" s="491"/>
      <c r="AA255" s="524" t="str">
        <f>#REF!</f>
        <v>#REF!</v>
      </c>
      <c r="AB255" s="494"/>
      <c r="AC255" s="436"/>
      <c r="AD255" s="495"/>
      <c r="AE255" s="491"/>
      <c r="AF255" s="491"/>
      <c r="AG255" s="525" t="str">
        <f>#REF!</f>
        <v>#REF!</v>
      </c>
      <c r="AH255" s="491"/>
      <c r="AI255" s="446"/>
      <c r="AJ255" s="491"/>
      <c r="AK255" s="500"/>
      <c r="AL255" s="436"/>
      <c r="AM255" s="438"/>
      <c r="AN255" s="531"/>
      <c r="AO255" s="491"/>
      <c r="AP255" s="438"/>
      <c r="AQ255" s="438"/>
      <c r="AR255" s="438"/>
      <c r="AS255" s="438"/>
      <c r="AT255" s="438"/>
      <c r="AU255" s="438"/>
      <c r="AV255" s="438"/>
      <c r="AW255" s="450" t="str">
        <f>#REF!</f>
        <v>#REF!</v>
      </c>
    </row>
    <row r="256">
      <c r="A256" s="419" t="s">
        <v>778</v>
      </c>
      <c r="B256" s="419" t="s">
        <v>778</v>
      </c>
      <c r="C256" s="436"/>
      <c r="D256" s="436" t="s">
        <v>758</v>
      </c>
      <c r="E256" s="436"/>
      <c r="F256" s="436" t="s">
        <v>2320</v>
      </c>
      <c r="G256" s="437" t="s">
        <v>257</v>
      </c>
      <c r="H256" s="436" t="s">
        <v>759</v>
      </c>
      <c r="I256" s="456">
        <v>41609.0</v>
      </c>
      <c r="J256" s="436">
        <v>5623.41325</v>
      </c>
      <c r="K256" s="419">
        <v>650.0</v>
      </c>
      <c r="L256" s="436" t="s">
        <v>779</v>
      </c>
      <c r="M256" s="457">
        <v>1.0</v>
      </c>
      <c r="N256" s="422">
        <v>15.79</v>
      </c>
      <c r="O256" s="422">
        <v>14.0</v>
      </c>
      <c r="P256" s="422">
        <v>17.97</v>
      </c>
      <c r="Q256" s="436" t="s">
        <v>2175</v>
      </c>
      <c r="R256" s="436" t="s">
        <v>2176</v>
      </c>
      <c r="S256" s="436" t="s">
        <v>2177</v>
      </c>
      <c r="T256" s="419" t="s">
        <v>162</v>
      </c>
      <c r="U256" s="419" t="s">
        <v>2178</v>
      </c>
      <c r="V256" s="440"/>
      <c r="W256" s="458">
        <v>2.6302679918953817</v>
      </c>
      <c r="X256" s="438"/>
      <c r="Y256" s="442">
        <f>IF((W256/((J256/5780)^4))^0.5&gt;0,(W256/((J256/5780)^4))^0.5,"")</f>
        <v>1.713387827</v>
      </c>
      <c r="Z256" s="442"/>
      <c r="AA256" s="443"/>
      <c r="AB256" s="443"/>
      <c r="AC256" s="436" t="str">
        <f>IF(ISNUMBER(VLOOKUP(B256,'New Masses'!A:C,3,FALSE)),VLOOKUP(B256,'New Masses'!A:C,3,FALSE),"")</f>
        <v/>
      </c>
      <c r="AD256" s="451">
        <f>10^(AE256)</f>
        <v>0.00000001122018454</v>
      </c>
      <c r="AE256" s="436">
        <v>-7.95</v>
      </c>
      <c r="AF256" s="438"/>
      <c r="AG256" s="459">
        <v>1.36</v>
      </c>
      <c r="AH256" s="436"/>
      <c r="AI256" s="446" t="str">
        <f>IF(ISNUMBER(VLOOKUP(B256,'New Masses'!A:C,2, FALSE)),VLOOKUP(B256,'New Masses'!A:C,2, FALSE),"")</f>
        <v/>
      </c>
      <c r="AJ256" s="436">
        <f>LOG10(AG256)</f>
        <v>0.1335389084</v>
      </c>
      <c r="AK256" s="437"/>
      <c r="AL256" s="437">
        <v>-0.67</v>
      </c>
      <c r="AM256" s="454" t="s">
        <v>2321</v>
      </c>
      <c r="AN256" s="437">
        <v>4.3</v>
      </c>
      <c r="AO256" s="438"/>
      <c r="AP256" s="454">
        <v>1.7</v>
      </c>
      <c r="AQ256" s="438"/>
      <c r="AR256" s="438"/>
      <c r="AS256" s="438"/>
      <c r="AT256" s="438"/>
      <c r="AU256" s="438"/>
      <c r="AV256" s="438"/>
      <c r="AW256" s="450">
        <v>3827.01875239188</v>
      </c>
    </row>
    <row r="257">
      <c r="A257" s="435" t="str">
        <f t="shared" ref="A257:C257" si="258">#REF!</f>
        <v>#REF!</v>
      </c>
      <c r="B257" s="485" t="str">
        <f t="shared" si="258"/>
        <v>#REF!</v>
      </c>
      <c r="C257" s="486" t="str">
        <f t="shared" si="258"/>
        <v>#REF!</v>
      </c>
      <c r="D257" s="486"/>
      <c r="E257" s="486"/>
      <c r="F257" s="528"/>
      <c r="G257" s="486"/>
      <c r="H257" s="486" t="s">
        <v>5917</v>
      </c>
      <c r="I257" s="491"/>
      <c r="J257" s="491"/>
      <c r="K257" s="491"/>
      <c r="L257" s="491"/>
      <c r="M257" s="486"/>
      <c r="N257" s="422"/>
      <c r="O257" s="422"/>
      <c r="P257" s="422"/>
      <c r="Q257" s="486"/>
      <c r="R257" s="491"/>
      <c r="S257" s="491"/>
      <c r="T257" s="491"/>
      <c r="U257" s="491"/>
      <c r="V257" s="491"/>
      <c r="W257" s="493"/>
      <c r="X257" s="486"/>
      <c r="Y257" s="442"/>
      <c r="Z257" s="491"/>
      <c r="AA257" s="524" t="str">
        <f>#REF!</f>
        <v>#REF!</v>
      </c>
      <c r="AB257" s="494"/>
      <c r="AC257" s="436"/>
      <c r="AD257" s="495"/>
      <c r="AE257" s="491"/>
      <c r="AF257" s="491"/>
      <c r="AG257" s="525" t="str">
        <f>#REF!</f>
        <v>#REF!</v>
      </c>
      <c r="AH257" s="491"/>
      <c r="AI257" s="446"/>
      <c r="AJ257" s="491"/>
      <c r="AK257" s="500"/>
      <c r="AL257" s="436"/>
      <c r="AM257" s="438"/>
      <c r="AN257" s="531"/>
      <c r="AO257" s="491"/>
      <c r="AP257" s="438"/>
      <c r="AQ257" s="438"/>
      <c r="AR257" s="438"/>
      <c r="AS257" s="438"/>
      <c r="AT257" s="438"/>
      <c r="AU257" s="438"/>
      <c r="AV257" s="438"/>
      <c r="AW257" s="450" t="str">
        <f>#REF!</f>
        <v>#REF!</v>
      </c>
    </row>
    <row r="258">
      <c r="A258" s="419" t="s">
        <v>802</v>
      </c>
      <c r="B258" s="419" t="s">
        <v>802</v>
      </c>
      <c r="C258" s="436"/>
      <c r="D258" s="436" t="s">
        <v>758</v>
      </c>
      <c r="E258" s="436"/>
      <c r="F258" s="436" t="s">
        <v>2322</v>
      </c>
      <c r="G258" s="437" t="s">
        <v>257</v>
      </c>
      <c r="H258" s="436" t="s">
        <v>759</v>
      </c>
      <c r="I258" s="456">
        <v>41609.0</v>
      </c>
      <c r="J258" s="436">
        <f>10^3.87</f>
        <v>7413.102413</v>
      </c>
      <c r="K258" s="419">
        <v>800.0</v>
      </c>
      <c r="L258" s="436" t="s">
        <v>803</v>
      </c>
      <c r="M258" s="457">
        <v>1.5</v>
      </c>
      <c r="N258" s="422">
        <v>13.895</v>
      </c>
      <c r="O258" s="422">
        <v>12.901</v>
      </c>
      <c r="P258" s="422"/>
      <c r="Q258" s="436" t="s">
        <v>2175</v>
      </c>
      <c r="R258" s="436" t="s">
        <v>2176</v>
      </c>
      <c r="S258" s="436" t="s">
        <v>2177</v>
      </c>
      <c r="T258" s="419" t="s">
        <v>162</v>
      </c>
      <c r="U258" s="419" t="s">
        <v>2178</v>
      </c>
      <c r="V258" s="440"/>
      <c r="W258" s="458">
        <v>25.118864315095795</v>
      </c>
      <c r="X258" s="438"/>
      <c r="Y258" s="442">
        <f>IF((W258/((J258/5780)^4))^0.5&gt;0,(W258/((J258/5780)^4))^0.5,"")</f>
        <v>3.046882293</v>
      </c>
      <c r="Z258" s="442"/>
      <c r="AA258" s="443"/>
      <c r="AB258" s="443"/>
      <c r="AC258" s="436" t="str">
        <f>IF(ISNUMBER(VLOOKUP(B258,'New Masses'!A:C,3,FALSE)),VLOOKUP(B258,'New Masses'!A:C,3,FALSE),"")</f>
        <v/>
      </c>
      <c r="AD258" s="451">
        <f>10^(AE258)</f>
        <v>0.00000006309573445</v>
      </c>
      <c r="AE258" s="436">
        <v>-7.2</v>
      </c>
      <c r="AF258" s="438"/>
      <c r="AG258" s="459">
        <v>2.08</v>
      </c>
      <c r="AH258" s="436"/>
      <c r="AI258" s="446" t="str">
        <f>IF(ISNUMBER(VLOOKUP(B258,'New Masses'!A:C,2, FALSE)),VLOOKUP(B258,'New Masses'!A:C,2, FALSE),"")</f>
        <v/>
      </c>
      <c r="AJ258" s="436">
        <f>LOG10(AG258)</f>
        <v>0.318063335</v>
      </c>
      <c r="AK258" s="437"/>
      <c r="AL258" s="437">
        <v>-0.04</v>
      </c>
      <c r="AM258" s="454" t="s">
        <v>2323</v>
      </c>
      <c r="AN258" s="437">
        <v>2.7</v>
      </c>
      <c r="AO258" s="438"/>
      <c r="AP258" s="454">
        <v>1.93</v>
      </c>
      <c r="AQ258" s="454">
        <v>0.15</v>
      </c>
      <c r="AR258" s="438"/>
      <c r="AS258" s="438"/>
      <c r="AT258" s="438"/>
      <c r="AU258" s="438"/>
      <c r="AV258" s="438"/>
      <c r="AW258" s="450">
        <v>5263.15789473684</v>
      </c>
    </row>
    <row r="259">
      <c r="A259" s="435" t="str">
        <f t="shared" ref="A259:C259" si="259">#REF!</f>
        <v>#REF!</v>
      </c>
      <c r="B259" s="485" t="str">
        <f t="shared" si="259"/>
        <v>#REF!</v>
      </c>
      <c r="C259" s="486" t="str">
        <f t="shared" si="259"/>
        <v>#REF!</v>
      </c>
      <c r="D259" s="486"/>
      <c r="E259" s="486"/>
      <c r="F259" s="528"/>
      <c r="G259" s="486"/>
      <c r="H259" s="486" t="s">
        <v>5917</v>
      </c>
      <c r="I259" s="491"/>
      <c r="J259" s="491"/>
      <c r="K259" s="491"/>
      <c r="L259" s="491"/>
      <c r="M259" s="486"/>
      <c r="N259" s="422"/>
      <c r="O259" s="422"/>
      <c r="P259" s="422"/>
      <c r="Q259" s="486"/>
      <c r="R259" s="491"/>
      <c r="S259" s="491"/>
      <c r="T259" s="491"/>
      <c r="U259" s="491"/>
      <c r="V259" s="491"/>
      <c r="W259" s="493"/>
      <c r="X259" s="486"/>
      <c r="Y259" s="442"/>
      <c r="Z259" s="491"/>
      <c r="AA259" s="524" t="str">
        <f>#REF!</f>
        <v>#REF!</v>
      </c>
      <c r="AB259" s="494"/>
      <c r="AC259" s="436"/>
      <c r="AD259" s="495"/>
      <c r="AE259" s="491"/>
      <c r="AF259" s="491"/>
      <c r="AG259" s="525" t="str">
        <f>#REF!</f>
        <v>#REF!</v>
      </c>
      <c r="AH259" s="491"/>
      <c r="AI259" s="446"/>
      <c r="AJ259" s="491"/>
      <c r="AK259" s="500"/>
      <c r="AL259" s="436"/>
      <c r="AM259" s="438"/>
      <c r="AN259" s="531"/>
      <c r="AO259" s="491"/>
      <c r="AP259" s="438"/>
      <c r="AQ259" s="438"/>
      <c r="AR259" s="438"/>
      <c r="AS259" s="438"/>
      <c r="AT259" s="438"/>
      <c r="AU259" s="438"/>
      <c r="AV259" s="438"/>
      <c r="AW259" s="450" t="str">
        <f>#REF!</f>
        <v>#REF!</v>
      </c>
    </row>
    <row r="260">
      <c r="A260" s="419" t="s">
        <v>800</v>
      </c>
      <c r="B260" s="419" t="s">
        <v>800</v>
      </c>
      <c r="C260" s="419"/>
      <c r="D260" s="436" t="s">
        <v>758</v>
      </c>
      <c r="E260" s="436"/>
      <c r="F260" s="436" t="s">
        <v>2324</v>
      </c>
      <c r="G260" s="437" t="s">
        <v>257</v>
      </c>
      <c r="H260" s="436" t="s">
        <v>759</v>
      </c>
      <c r="I260" s="456">
        <v>41609.0</v>
      </c>
      <c r="J260" s="438">
        <f>10^3.85</f>
        <v>7079.457844</v>
      </c>
      <c r="K260" s="454">
        <v>800.0</v>
      </c>
      <c r="L260" s="419" t="s">
        <v>801</v>
      </c>
      <c r="M260" s="457">
        <v>1.5</v>
      </c>
      <c r="N260" s="422">
        <v>14.476</v>
      </c>
      <c r="O260" s="422">
        <v>13.671</v>
      </c>
      <c r="P260" s="422"/>
      <c r="Q260" s="436" t="s">
        <v>2175</v>
      </c>
      <c r="R260" s="436" t="s">
        <v>2176</v>
      </c>
      <c r="S260" s="436" t="s">
        <v>2177</v>
      </c>
      <c r="T260" s="419" t="s">
        <v>162</v>
      </c>
      <c r="U260" s="419" t="s">
        <v>2178</v>
      </c>
      <c r="V260" s="440"/>
      <c r="W260" s="458">
        <v>23.988329190194897</v>
      </c>
      <c r="X260" s="438"/>
      <c r="Y260" s="442">
        <f>IF((W260/((J260/5780)^4))^0.5&gt;0,(W260/((J260/5780)^4))^0.5,"")</f>
        <v>3.264793197</v>
      </c>
      <c r="Z260" s="442"/>
      <c r="AA260" s="443"/>
      <c r="AB260" s="443"/>
      <c r="AC260" s="436" t="str">
        <f>IF(ISNUMBER(VLOOKUP(B260,'New Masses'!A:C,3,FALSE)),VLOOKUP(B260,'New Masses'!A:C,3,FALSE),"")</f>
        <v/>
      </c>
      <c r="AD260" s="451">
        <f>10^(AE260)</f>
        <v>0.0000001621810097</v>
      </c>
      <c r="AE260" s="436">
        <v>-6.79</v>
      </c>
      <c r="AF260" s="438"/>
      <c r="AG260" s="459">
        <v>2.0</v>
      </c>
      <c r="AH260" s="436"/>
      <c r="AI260" s="446" t="str">
        <f>IF(ISNUMBER(VLOOKUP(B260,'New Masses'!A:C,2, FALSE)),VLOOKUP(B260,'New Masses'!A:C,2, FALSE),"")</f>
        <v/>
      </c>
      <c r="AJ260" s="436">
        <f>LOG10(AG260)</f>
        <v>0.3010299957</v>
      </c>
      <c r="AK260" s="437"/>
      <c r="AL260" s="437">
        <v>0.38</v>
      </c>
      <c r="AM260" s="479">
        <v>43865.0</v>
      </c>
      <c r="AN260" s="437">
        <v>3.0</v>
      </c>
      <c r="AO260" s="438"/>
      <c r="AP260" s="454">
        <v>2.45</v>
      </c>
      <c r="AQ260" s="454">
        <v>0.15</v>
      </c>
      <c r="AR260" s="438"/>
      <c r="AS260" s="438"/>
      <c r="AT260" s="438"/>
      <c r="AU260" s="438"/>
      <c r="AV260" s="438"/>
      <c r="AW260" s="450">
        <v>8333.33333333333</v>
      </c>
    </row>
    <row r="261">
      <c r="A261" s="435" t="str">
        <f t="shared" ref="A261:C261" si="260">#REF!</f>
        <v>#REF!</v>
      </c>
      <c r="B261" s="485" t="str">
        <f t="shared" si="260"/>
        <v>#REF!</v>
      </c>
      <c r="C261" s="486" t="str">
        <f t="shared" si="260"/>
        <v>#REF!</v>
      </c>
      <c r="D261" s="486"/>
      <c r="E261" s="486"/>
      <c r="F261" s="528"/>
      <c r="G261" s="486"/>
      <c r="H261" s="486" t="s">
        <v>5917</v>
      </c>
      <c r="I261" s="491"/>
      <c r="J261" s="491"/>
      <c r="K261" s="491"/>
      <c r="L261" s="491"/>
      <c r="M261" s="486"/>
      <c r="N261" s="422"/>
      <c r="O261" s="422"/>
      <c r="P261" s="422"/>
      <c r="Q261" s="486"/>
      <c r="R261" s="491"/>
      <c r="S261" s="491"/>
      <c r="T261" s="491"/>
      <c r="U261" s="491"/>
      <c r="V261" s="491"/>
      <c r="W261" s="493"/>
      <c r="X261" s="486"/>
      <c r="Y261" s="442"/>
      <c r="Z261" s="491"/>
      <c r="AA261" s="524" t="str">
        <f>#REF!</f>
        <v>#REF!</v>
      </c>
      <c r="AB261" s="494"/>
      <c r="AC261" s="436"/>
      <c r="AD261" s="495"/>
      <c r="AE261" s="491"/>
      <c r="AF261" s="491"/>
      <c r="AG261" s="525" t="str">
        <f>#REF!</f>
        <v>#REF!</v>
      </c>
      <c r="AH261" s="491"/>
      <c r="AI261" s="446"/>
      <c r="AJ261" s="491"/>
      <c r="AK261" s="500"/>
      <c r="AL261" s="436"/>
      <c r="AM261" s="438"/>
      <c r="AN261" s="531"/>
      <c r="AO261" s="491"/>
      <c r="AP261" s="438"/>
      <c r="AQ261" s="438"/>
      <c r="AR261" s="438"/>
      <c r="AS261" s="438"/>
      <c r="AT261" s="438"/>
      <c r="AU261" s="438"/>
      <c r="AV261" s="438"/>
      <c r="AW261" s="450" t="str">
        <f>#REF!</f>
        <v>#REF!</v>
      </c>
    </row>
    <row r="262">
      <c r="A262" s="419" t="s">
        <v>767</v>
      </c>
      <c r="B262" s="419" t="s">
        <v>767</v>
      </c>
      <c r="C262" s="436"/>
      <c r="D262" s="436" t="s">
        <v>758</v>
      </c>
      <c r="E262" s="436"/>
      <c r="F262" s="436" t="s">
        <v>2325</v>
      </c>
      <c r="G262" s="437" t="s">
        <v>169</v>
      </c>
      <c r="H262" s="436" t="s">
        <v>759</v>
      </c>
      <c r="I262" s="456">
        <v>41609.0</v>
      </c>
      <c r="J262" s="436">
        <v>4897.78819</v>
      </c>
      <c r="K262" s="419">
        <v>550.0</v>
      </c>
      <c r="L262" s="436" t="s">
        <v>768</v>
      </c>
      <c r="M262" s="457">
        <v>1.0</v>
      </c>
      <c r="N262" s="422">
        <v>16.27</v>
      </c>
      <c r="O262" s="422">
        <v>14.51</v>
      </c>
      <c r="P262" s="422">
        <v>20.24</v>
      </c>
      <c r="Q262" s="436" t="s">
        <v>2175</v>
      </c>
      <c r="R262" s="436" t="s">
        <v>2176</v>
      </c>
      <c r="S262" s="436" t="s">
        <v>2177</v>
      </c>
      <c r="T262" s="419" t="s">
        <v>162</v>
      </c>
      <c r="U262" s="419" t="s">
        <v>2178</v>
      </c>
      <c r="V262" s="440"/>
      <c r="W262" s="458">
        <v>1.9054607179632472</v>
      </c>
      <c r="X262" s="438"/>
      <c r="Y262" s="442">
        <f>IF((W262/((J262/5780)^4))^0.5&gt;0,(W262/((J262/5780)^4))^0.5,"")</f>
        <v>1.922452763</v>
      </c>
      <c r="Z262" s="442"/>
      <c r="AA262" s="443"/>
      <c r="AB262" s="443"/>
      <c r="AC262" s="436" t="str">
        <f>IF(ISNUMBER(VLOOKUP(B262,'New Masses'!A:C,3,FALSE)),VLOOKUP(B262,'New Masses'!A:C,3,FALSE),"")</f>
        <v/>
      </c>
      <c r="AD262" s="451">
        <f>10^(AE262)</f>
        <v>0.00000002454708916</v>
      </c>
      <c r="AE262" s="436">
        <v>-7.61</v>
      </c>
      <c r="AF262" s="454">
        <v>1100.0</v>
      </c>
      <c r="AG262" s="459">
        <v>1.05</v>
      </c>
      <c r="AH262" s="436"/>
      <c r="AI262" s="446" t="str">
        <f>IF(ISNUMBER(VLOOKUP(B262,'New Masses'!A:C,2, FALSE)),VLOOKUP(B262,'New Masses'!A:C,2, FALSE),"")</f>
        <v/>
      </c>
      <c r="AJ262" s="436">
        <f>LOG10(AG262)</f>
        <v>0.02118929907</v>
      </c>
      <c r="AK262" s="437"/>
      <c r="AL262" s="437">
        <v>-0.49</v>
      </c>
      <c r="AM262" s="454" t="s">
        <v>2326</v>
      </c>
      <c r="AN262" s="437">
        <v>1.5</v>
      </c>
      <c r="AO262" s="438"/>
      <c r="AP262" s="454">
        <v>1.89</v>
      </c>
      <c r="AQ262" s="438"/>
      <c r="AR262" s="438"/>
      <c r="AS262" s="438"/>
      <c r="AT262" s="438"/>
      <c r="AU262" s="438"/>
      <c r="AV262" s="438"/>
      <c r="AW262" s="450"/>
    </row>
    <row r="263">
      <c r="A263" s="435" t="str">
        <f t="shared" ref="A263:C263" si="261">#REF!</f>
        <v>#REF!</v>
      </c>
      <c r="B263" s="485" t="str">
        <f t="shared" si="261"/>
        <v>#REF!</v>
      </c>
      <c r="C263" s="486" t="str">
        <f t="shared" si="261"/>
        <v>#REF!</v>
      </c>
      <c r="D263" s="486"/>
      <c r="E263" s="486"/>
      <c r="F263" s="528"/>
      <c r="G263" s="486"/>
      <c r="H263" s="486" t="s">
        <v>5917</v>
      </c>
      <c r="I263" s="491"/>
      <c r="J263" s="491"/>
      <c r="K263" s="491"/>
      <c r="L263" s="491"/>
      <c r="M263" s="486"/>
      <c r="N263" s="422"/>
      <c r="O263" s="422"/>
      <c r="P263" s="422"/>
      <c r="Q263" s="486"/>
      <c r="R263" s="491"/>
      <c r="S263" s="491"/>
      <c r="T263" s="491"/>
      <c r="U263" s="491"/>
      <c r="V263" s="491"/>
      <c r="W263" s="493"/>
      <c r="X263" s="486"/>
      <c r="Y263" s="442"/>
      <c r="Z263" s="491"/>
      <c r="AA263" s="524" t="str">
        <f>#REF!</f>
        <v>#REF!</v>
      </c>
      <c r="AB263" s="494"/>
      <c r="AC263" s="436"/>
      <c r="AD263" s="495"/>
      <c r="AE263" s="491"/>
      <c r="AF263" s="491"/>
      <c r="AG263" s="525" t="str">
        <f>#REF!</f>
        <v>#REF!</v>
      </c>
      <c r="AH263" s="491"/>
      <c r="AI263" s="446"/>
      <c r="AJ263" s="491"/>
      <c r="AK263" s="500"/>
      <c r="AL263" s="436"/>
      <c r="AM263" s="438"/>
      <c r="AN263" s="531"/>
      <c r="AO263" s="491"/>
      <c r="AP263" s="438"/>
      <c r="AQ263" s="438"/>
      <c r="AR263" s="438"/>
      <c r="AS263" s="438"/>
      <c r="AT263" s="438"/>
      <c r="AU263" s="438"/>
      <c r="AV263" s="438"/>
      <c r="AW263" s="450" t="str">
        <f>#REF!</f>
        <v>#REF!</v>
      </c>
    </row>
    <row r="264">
      <c r="A264" s="419" t="s">
        <v>789</v>
      </c>
      <c r="B264" s="419" t="s">
        <v>789</v>
      </c>
      <c r="C264" s="436"/>
      <c r="D264" s="436" t="s">
        <v>758</v>
      </c>
      <c r="E264" s="436"/>
      <c r="F264" s="436" t="s">
        <v>2327</v>
      </c>
      <c r="G264" s="437" t="s">
        <v>257</v>
      </c>
      <c r="H264" s="436" t="s">
        <v>759</v>
      </c>
      <c r="I264" s="456">
        <v>41609.0</v>
      </c>
      <c r="J264" s="436">
        <v>8128.305162</v>
      </c>
      <c r="K264" s="419">
        <v>800.0</v>
      </c>
      <c r="L264" s="436" t="s">
        <v>790</v>
      </c>
      <c r="M264" s="457">
        <v>1.0</v>
      </c>
      <c r="N264" s="422">
        <v>14.624</v>
      </c>
      <c r="O264" s="422">
        <v>13.84</v>
      </c>
      <c r="P264" s="422">
        <v>16.56</v>
      </c>
      <c r="Q264" s="436" t="s">
        <v>2175</v>
      </c>
      <c r="R264" s="436" t="s">
        <v>2176</v>
      </c>
      <c r="S264" s="436" t="s">
        <v>2177</v>
      </c>
      <c r="T264" s="419" t="s">
        <v>162</v>
      </c>
      <c r="U264" s="419" t="s">
        <v>2178</v>
      </c>
      <c r="V264" s="440"/>
      <c r="W264" s="458">
        <v>33.884415613920254</v>
      </c>
      <c r="X264" s="438"/>
      <c r="Y264" s="442">
        <f>IF((W264/((J264/5780)^4))^0.5&gt;0,(W264/((J264/5780)^4))^0.5,"")</f>
        <v>2.943443317</v>
      </c>
      <c r="Z264" s="442"/>
      <c r="AA264" s="443"/>
      <c r="AB264" s="443"/>
      <c r="AC264" s="436" t="str">
        <f>IF(ISNUMBER(VLOOKUP(B264,'New Masses'!A:C,3,FALSE)),VLOOKUP(B264,'New Masses'!A:C,3,FALSE),"")</f>
        <v/>
      </c>
      <c r="AD264" s="451">
        <f>10^(AE264)</f>
        <v>0.0000001513561248</v>
      </c>
      <c r="AE264" s="436">
        <v>-6.82</v>
      </c>
      <c r="AF264" s="438"/>
      <c r="AG264" s="459">
        <v>1.75</v>
      </c>
      <c r="AH264" s="436"/>
      <c r="AI264" s="446" t="str">
        <f>IF(ISNUMBER(VLOOKUP(B264,'New Masses'!A:C,2, FALSE)),VLOOKUP(B264,'New Masses'!A:C,2, FALSE),"")</f>
        <v/>
      </c>
      <c r="AJ264" s="436">
        <f>LOG10(AG264)</f>
        <v>0.2430380487</v>
      </c>
      <c r="AK264" s="437"/>
      <c r="AL264" s="437">
        <v>0.48</v>
      </c>
      <c r="AM264" s="454" t="s">
        <v>2328</v>
      </c>
      <c r="AN264" s="437">
        <v>4.1</v>
      </c>
      <c r="AO264" s="438"/>
      <c r="AP264" s="454">
        <v>2.45</v>
      </c>
      <c r="AQ264" s="454">
        <v>0.15</v>
      </c>
      <c r="AR264" s="438"/>
      <c r="AS264" s="438"/>
      <c r="AT264" s="438"/>
      <c r="AU264" s="438"/>
      <c r="AV264" s="438"/>
      <c r="AW264" s="450">
        <v>8532.42320819112</v>
      </c>
    </row>
    <row r="265">
      <c r="A265" s="435" t="str">
        <f t="shared" ref="A265:C265" si="262">#REF!</f>
        <v>#REF!</v>
      </c>
      <c r="B265" s="485" t="str">
        <f t="shared" si="262"/>
        <v>#REF!</v>
      </c>
      <c r="C265" s="486" t="str">
        <f t="shared" si="262"/>
        <v>#REF!</v>
      </c>
      <c r="D265" s="486"/>
      <c r="E265" s="486"/>
      <c r="F265" s="528"/>
      <c r="G265" s="486"/>
      <c r="H265" s="486" t="s">
        <v>5917</v>
      </c>
      <c r="I265" s="491"/>
      <c r="J265" s="491"/>
      <c r="K265" s="491"/>
      <c r="L265" s="491"/>
      <c r="M265" s="486"/>
      <c r="N265" s="422"/>
      <c r="O265" s="422"/>
      <c r="P265" s="422"/>
      <c r="Q265" s="486"/>
      <c r="R265" s="491"/>
      <c r="S265" s="491"/>
      <c r="T265" s="491"/>
      <c r="U265" s="491"/>
      <c r="V265" s="491"/>
      <c r="W265" s="493"/>
      <c r="X265" s="486"/>
      <c r="Y265" s="442"/>
      <c r="Z265" s="491"/>
      <c r="AA265" s="524" t="str">
        <f>#REF!</f>
        <v>#REF!</v>
      </c>
      <c r="AB265" s="494"/>
      <c r="AC265" s="436"/>
      <c r="AD265" s="495"/>
      <c r="AE265" s="491"/>
      <c r="AF265" s="491"/>
      <c r="AG265" s="525" t="str">
        <f>#REF!</f>
        <v>#REF!</v>
      </c>
      <c r="AH265" s="491"/>
      <c r="AI265" s="446"/>
      <c r="AJ265" s="491"/>
      <c r="AK265" s="500"/>
      <c r="AL265" s="436"/>
      <c r="AM265" s="438"/>
      <c r="AN265" s="531"/>
      <c r="AO265" s="491"/>
      <c r="AP265" s="438"/>
      <c r="AQ265" s="438"/>
      <c r="AR265" s="438"/>
      <c r="AS265" s="438"/>
      <c r="AT265" s="438"/>
      <c r="AU265" s="438"/>
      <c r="AV265" s="438"/>
      <c r="AW265" s="450" t="str">
        <f>#REF!</f>
        <v>#REF!</v>
      </c>
    </row>
    <row r="266">
      <c r="A266" s="419" t="s">
        <v>777</v>
      </c>
      <c r="B266" s="419" t="s">
        <v>777</v>
      </c>
      <c r="C266" s="436"/>
      <c r="D266" s="436" t="s">
        <v>758</v>
      </c>
      <c r="E266" s="436"/>
      <c r="F266" s="436" t="s">
        <v>2329</v>
      </c>
      <c r="G266" s="437" t="s">
        <v>169</v>
      </c>
      <c r="H266" s="436" t="s">
        <v>759</v>
      </c>
      <c r="I266" s="456">
        <v>41609.0</v>
      </c>
      <c r="J266" s="436">
        <v>6918.30971</v>
      </c>
      <c r="K266" s="419">
        <v>800.0</v>
      </c>
      <c r="L266" s="436" t="s">
        <v>774</v>
      </c>
      <c r="M266" s="457">
        <v>1.0</v>
      </c>
      <c r="N266" s="422">
        <v>15.36</v>
      </c>
      <c r="O266" s="422">
        <v>13.77</v>
      </c>
      <c r="P266" s="422">
        <v>18.66</v>
      </c>
      <c r="Q266" s="436" t="s">
        <v>2175</v>
      </c>
      <c r="R266" s="436" t="s">
        <v>2176</v>
      </c>
      <c r="S266" s="436" t="s">
        <v>2177</v>
      </c>
      <c r="T266" s="419" t="s">
        <v>162</v>
      </c>
      <c r="U266" s="419" t="s">
        <v>2178</v>
      </c>
      <c r="V266" s="440"/>
      <c r="W266" s="458">
        <v>5.495408738576245</v>
      </c>
      <c r="X266" s="438"/>
      <c r="Y266" s="442">
        <f>IF((W266/((J266/5780)^4))^0.5&gt;0,(W266/((J266/5780)^4))^0.5,"")</f>
        <v>1.636272671</v>
      </c>
      <c r="Z266" s="442"/>
      <c r="AA266" s="443"/>
      <c r="AB266" s="443"/>
      <c r="AC266" s="436" t="str">
        <f>IF(ISNUMBER(VLOOKUP(B266,'New Masses'!A:C,3,FALSE)),VLOOKUP(B266,'New Masses'!A:C,3,FALSE),"")</f>
        <v/>
      </c>
      <c r="AD266" s="451">
        <f>10^(AE266)</f>
        <v>0.00000004365158322</v>
      </c>
      <c r="AE266" s="436">
        <v>-7.36</v>
      </c>
      <c r="AF266" s="438"/>
      <c r="AG266" s="459">
        <v>1.3</v>
      </c>
      <c r="AH266" s="436"/>
      <c r="AI266" s="446" t="str">
        <f>IF(ISNUMBER(VLOOKUP(B266,'New Masses'!A:C,2, FALSE)),VLOOKUP(B266,'New Masses'!A:C,2, FALSE),"")</f>
        <v/>
      </c>
      <c r="AJ266" s="436">
        <f>LOG10(AG266)</f>
        <v>0.1139433523</v>
      </c>
      <c r="AK266" s="437"/>
      <c r="AL266" s="437">
        <v>-0.07</v>
      </c>
      <c r="AM266" s="454" t="s">
        <v>2330</v>
      </c>
      <c r="AN266" s="437">
        <v>9.5</v>
      </c>
      <c r="AO266" s="438"/>
      <c r="AP266" s="454">
        <v>3.14</v>
      </c>
      <c r="AQ266" s="438"/>
      <c r="AR266" s="438"/>
      <c r="AS266" s="438"/>
      <c r="AT266" s="438"/>
      <c r="AU266" s="438"/>
      <c r="AV266" s="438"/>
      <c r="AW266" s="450"/>
    </row>
    <row r="267">
      <c r="A267" s="435" t="str">
        <f t="shared" ref="A267:C267" si="263">#REF!</f>
        <v>#REF!</v>
      </c>
      <c r="B267" s="485" t="str">
        <f t="shared" si="263"/>
        <v>#REF!</v>
      </c>
      <c r="C267" s="486" t="str">
        <f t="shared" si="263"/>
        <v>#REF!</v>
      </c>
      <c r="D267" s="486"/>
      <c r="E267" s="486"/>
      <c r="F267" s="528"/>
      <c r="G267" s="486"/>
      <c r="H267" s="486" t="s">
        <v>5917</v>
      </c>
      <c r="I267" s="491"/>
      <c r="J267" s="491"/>
      <c r="K267" s="491"/>
      <c r="L267" s="491"/>
      <c r="M267" s="486"/>
      <c r="N267" s="422"/>
      <c r="O267" s="422"/>
      <c r="P267" s="422"/>
      <c r="Q267" s="486"/>
      <c r="R267" s="491"/>
      <c r="S267" s="491"/>
      <c r="T267" s="491"/>
      <c r="U267" s="491"/>
      <c r="V267" s="491"/>
      <c r="W267" s="493"/>
      <c r="X267" s="486"/>
      <c r="Y267" s="442"/>
      <c r="Z267" s="491"/>
      <c r="AA267" s="524" t="str">
        <f>#REF!</f>
        <v>#REF!</v>
      </c>
      <c r="AB267" s="494"/>
      <c r="AC267" s="436"/>
      <c r="AD267" s="495"/>
      <c r="AE267" s="491"/>
      <c r="AF267" s="491"/>
      <c r="AG267" s="525" t="str">
        <f>#REF!</f>
        <v>#REF!</v>
      </c>
      <c r="AH267" s="491"/>
      <c r="AI267" s="446"/>
      <c r="AJ267" s="491"/>
      <c r="AK267" s="500"/>
      <c r="AL267" s="436"/>
      <c r="AM267" s="438"/>
      <c r="AN267" s="531"/>
      <c r="AO267" s="491"/>
      <c r="AP267" s="438"/>
      <c r="AQ267" s="438"/>
      <c r="AR267" s="438"/>
      <c r="AS267" s="438"/>
      <c r="AT267" s="438"/>
      <c r="AU267" s="438"/>
      <c r="AV267" s="438"/>
      <c r="AW267" s="450" t="str">
        <f>#REF!</f>
        <v>#REF!</v>
      </c>
    </row>
    <row r="268">
      <c r="A268" s="419" t="s">
        <v>804</v>
      </c>
      <c r="B268" s="419" t="s">
        <v>804</v>
      </c>
      <c r="C268" s="436"/>
      <c r="D268" s="436" t="s">
        <v>758</v>
      </c>
      <c r="E268" s="436"/>
      <c r="F268" s="436" t="s">
        <v>2331</v>
      </c>
      <c r="G268" s="437" t="s">
        <v>169</v>
      </c>
      <c r="H268" s="436" t="s">
        <v>759</v>
      </c>
      <c r="I268" s="456">
        <v>41609.0</v>
      </c>
      <c r="J268" s="436">
        <v>5888.43655</v>
      </c>
      <c r="K268" s="419">
        <v>700.0</v>
      </c>
      <c r="L268" s="436" t="s">
        <v>772</v>
      </c>
      <c r="M268" s="457">
        <v>1.0</v>
      </c>
      <c r="N268" s="422">
        <v>14.0</v>
      </c>
      <c r="O268" s="422">
        <v>12.62</v>
      </c>
      <c r="P268" s="422">
        <v>15.83</v>
      </c>
      <c r="Q268" s="436" t="s">
        <v>2175</v>
      </c>
      <c r="R268" s="436" t="s">
        <v>2176</v>
      </c>
      <c r="S268" s="436" t="s">
        <v>2177</v>
      </c>
      <c r="T268" s="419" t="s">
        <v>162</v>
      </c>
      <c r="U268" s="419" t="s">
        <v>2178</v>
      </c>
      <c r="V268" s="440"/>
      <c r="W268" s="458">
        <v>18.197008586099834</v>
      </c>
      <c r="X268" s="438"/>
      <c r="Y268" s="442">
        <f>IF((W268/((J268/5780)^4))^0.5&gt;0,(W268/((J268/5780)^4))^0.5,"")</f>
        <v>4.110131125</v>
      </c>
      <c r="Z268" s="442"/>
      <c r="AA268" s="443"/>
      <c r="AB268" s="443"/>
      <c r="AC268" s="436" t="str">
        <f>IF(ISNUMBER(VLOOKUP(B268,'New Masses'!A:C,3,FALSE)),VLOOKUP(B268,'New Masses'!A:C,3,FALSE),"")</f>
        <v/>
      </c>
      <c r="AD268" s="451">
        <f>10^(AE268)</f>
        <v>0.000000008511380382</v>
      </c>
      <c r="AE268" s="436">
        <v>-8.07</v>
      </c>
      <c r="AF268" s="438"/>
      <c r="AG268" s="459">
        <v>2.16</v>
      </c>
      <c r="AH268" s="436"/>
      <c r="AI268" s="446" t="str">
        <f>IF(ISNUMBER(VLOOKUP(B268,'New Masses'!A:C,2, FALSE)),VLOOKUP(B268,'New Masses'!A:C,2, FALSE),"")</f>
        <v/>
      </c>
      <c r="AJ268" s="436">
        <f>LOG10(AG268)</f>
        <v>0.3344537512</v>
      </c>
      <c r="AK268" s="437"/>
      <c r="AL268" s="437">
        <v>-0.92</v>
      </c>
      <c r="AM268" s="479">
        <v>43833.0</v>
      </c>
      <c r="AN268" s="437">
        <v>2.0</v>
      </c>
      <c r="AO268" s="438"/>
      <c r="AP268" s="454">
        <v>2.06</v>
      </c>
      <c r="AQ268" s="454">
        <v>0.15</v>
      </c>
      <c r="AR268" s="438"/>
      <c r="AS268" s="438"/>
      <c r="AT268" s="438"/>
      <c r="AU268" s="438"/>
      <c r="AV268" s="438"/>
      <c r="AW268" s="450">
        <v>17271.1571675302</v>
      </c>
    </row>
    <row r="269">
      <c r="A269" s="435" t="str">
        <f t="shared" ref="A269:C269" si="264">#REF!</f>
        <v>#REF!</v>
      </c>
      <c r="B269" s="485" t="str">
        <f t="shared" si="264"/>
        <v>#REF!</v>
      </c>
      <c r="C269" s="486" t="str">
        <f t="shared" si="264"/>
        <v>#REF!</v>
      </c>
      <c r="D269" s="486"/>
      <c r="E269" s="486"/>
      <c r="F269" s="528"/>
      <c r="G269" s="486"/>
      <c r="H269" s="486" t="s">
        <v>5917</v>
      </c>
      <c r="I269" s="491"/>
      <c r="J269" s="491"/>
      <c r="K269" s="491"/>
      <c r="L269" s="491"/>
      <c r="M269" s="486"/>
      <c r="N269" s="422"/>
      <c r="O269" s="422"/>
      <c r="P269" s="422"/>
      <c r="Q269" s="486"/>
      <c r="R269" s="491"/>
      <c r="S269" s="491"/>
      <c r="T269" s="491"/>
      <c r="U269" s="491"/>
      <c r="V269" s="491"/>
      <c r="W269" s="493"/>
      <c r="X269" s="486"/>
      <c r="Y269" s="442"/>
      <c r="Z269" s="491"/>
      <c r="AA269" s="524" t="str">
        <f>#REF!</f>
        <v>#REF!</v>
      </c>
      <c r="AB269" s="494"/>
      <c r="AC269" s="436"/>
      <c r="AD269" s="495"/>
      <c r="AE269" s="491"/>
      <c r="AF269" s="491"/>
      <c r="AG269" s="525" t="str">
        <f>#REF!</f>
        <v>#REF!</v>
      </c>
      <c r="AH269" s="491"/>
      <c r="AI269" s="446"/>
      <c r="AJ269" s="491"/>
      <c r="AK269" s="500"/>
      <c r="AL269" s="436"/>
      <c r="AM269" s="438"/>
      <c r="AN269" s="531"/>
      <c r="AO269" s="491"/>
      <c r="AP269" s="438"/>
      <c r="AQ269" s="438"/>
      <c r="AR269" s="438"/>
      <c r="AS269" s="438"/>
      <c r="AT269" s="438"/>
      <c r="AU269" s="438"/>
      <c r="AV269" s="438"/>
      <c r="AW269" s="450" t="str">
        <f>#REF!</f>
        <v>#REF!</v>
      </c>
    </row>
    <row r="270">
      <c r="A270" s="419" t="s">
        <v>805</v>
      </c>
      <c r="B270" s="419" t="s">
        <v>805</v>
      </c>
      <c r="C270" s="436"/>
      <c r="D270" s="436" t="s">
        <v>758</v>
      </c>
      <c r="E270" s="436"/>
      <c r="F270" s="436" t="s">
        <v>2332</v>
      </c>
      <c r="G270" s="437" t="s">
        <v>169</v>
      </c>
      <c r="H270" s="436" t="s">
        <v>759</v>
      </c>
      <c r="I270" s="456">
        <v>41609.0</v>
      </c>
      <c r="J270" s="436">
        <v>8128.305162</v>
      </c>
      <c r="K270" s="419">
        <v>950.0</v>
      </c>
      <c r="L270" s="436" t="s">
        <v>790</v>
      </c>
      <c r="M270" s="457">
        <v>1.0</v>
      </c>
      <c r="N270" s="422">
        <v>13.15</v>
      </c>
      <c r="O270" s="422">
        <v>12.535</v>
      </c>
      <c r="P270" s="422">
        <v>15.05</v>
      </c>
      <c r="Q270" s="436" t="s">
        <v>2175</v>
      </c>
      <c r="R270" s="436" t="s">
        <v>2176</v>
      </c>
      <c r="S270" s="436" t="s">
        <v>2177</v>
      </c>
      <c r="T270" s="419" t="s">
        <v>162</v>
      </c>
      <c r="U270" s="419" t="s">
        <v>2178</v>
      </c>
      <c r="V270" s="440"/>
      <c r="W270" s="458">
        <v>67.60829753919819</v>
      </c>
      <c r="X270" s="438"/>
      <c r="Y270" s="442">
        <f>IF((W270/((J270/5780)^4))^0.5&gt;0,(W270/((J270/5780)^4))^0.5,"")</f>
        <v>4.157724195</v>
      </c>
      <c r="Z270" s="442"/>
      <c r="AA270" s="443"/>
      <c r="AB270" s="443"/>
      <c r="AC270" s="436" t="str">
        <f>IF(ISNUMBER(VLOOKUP(B270,'New Masses'!A:C,3,FALSE)),VLOOKUP(B270,'New Masses'!A:C,3,FALSE),"")</f>
        <v/>
      </c>
      <c r="AD270" s="451">
        <f>10^(AE270)</f>
        <v>0.0000002187761624</v>
      </c>
      <c r="AE270" s="436">
        <v>-6.66</v>
      </c>
      <c r="AF270" s="438"/>
      <c r="AG270" s="459">
        <v>2.62</v>
      </c>
      <c r="AH270" s="436"/>
      <c r="AI270" s="446" t="str">
        <f>IF(ISNUMBER(VLOOKUP(B270,'New Masses'!A:C,2, FALSE)),VLOOKUP(B270,'New Masses'!A:C,2, FALSE),"")</f>
        <v/>
      </c>
      <c r="AJ270" s="436">
        <f>LOG10(AG270)</f>
        <v>0.4183012913</v>
      </c>
      <c r="AK270" s="437"/>
      <c r="AL270" s="437">
        <v>0.53</v>
      </c>
      <c r="AM270" s="454" t="s">
        <v>2326</v>
      </c>
      <c r="AN270" s="437">
        <v>1.5</v>
      </c>
      <c r="AO270" s="438"/>
      <c r="AP270" s="454">
        <v>2.11</v>
      </c>
      <c r="AQ270" s="438"/>
      <c r="AR270" s="438"/>
      <c r="AS270" s="438"/>
      <c r="AT270" s="438"/>
      <c r="AU270" s="438"/>
      <c r="AV270" s="438"/>
      <c r="AW270" s="450">
        <v>5540.16620498615</v>
      </c>
    </row>
    <row r="271">
      <c r="A271" s="435" t="str">
        <f t="shared" ref="A271:C271" si="265">#REF!</f>
        <v>#REF!</v>
      </c>
      <c r="B271" s="485" t="str">
        <f t="shared" si="265"/>
        <v>#REF!</v>
      </c>
      <c r="C271" s="486" t="str">
        <f t="shared" si="265"/>
        <v>#REF!</v>
      </c>
      <c r="D271" s="486"/>
      <c r="E271" s="486"/>
      <c r="F271" s="528"/>
      <c r="G271" s="486"/>
      <c r="H271" s="486" t="s">
        <v>5917</v>
      </c>
      <c r="I271" s="491"/>
      <c r="J271" s="491"/>
      <c r="K271" s="491"/>
      <c r="L271" s="491"/>
      <c r="M271" s="486"/>
      <c r="N271" s="422"/>
      <c r="O271" s="422"/>
      <c r="P271" s="422"/>
      <c r="Q271" s="486"/>
      <c r="R271" s="491"/>
      <c r="S271" s="491"/>
      <c r="T271" s="491"/>
      <c r="U271" s="491"/>
      <c r="V271" s="491"/>
      <c r="W271" s="493"/>
      <c r="X271" s="486"/>
      <c r="Y271" s="442"/>
      <c r="Z271" s="491"/>
      <c r="AA271" s="524" t="str">
        <f>#REF!</f>
        <v>#REF!</v>
      </c>
      <c r="AB271" s="494"/>
      <c r="AC271" s="436"/>
      <c r="AD271" s="495"/>
      <c r="AE271" s="491"/>
      <c r="AF271" s="491"/>
      <c r="AG271" s="525" t="str">
        <f>#REF!</f>
        <v>#REF!</v>
      </c>
      <c r="AH271" s="491"/>
      <c r="AI271" s="446"/>
      <c r="AJ271" s="491"/>
      <c r="AK271" s="500"/>
      <c r="AL271" s="436"/>
      <c r="AM271" s="438"/>
      <c r="AN271" s="531"/>
      <c r="AO271" s="491"/>
      <c r="AP271" s="438"/>
      <c r="AQ271" s="438"/>
      <c r="AR271" s="438"/>
      <c r="AS271" s="438"/>
      <c r="AT271" s="438"/>
      <c r="AU271" s="438"/>
      <c r="AV271" s="438"/>
      <c r="AW271" s="450" t="str">
        <f>#REF!</f>
        <v>#REF!</v>
      </c>
    </row>
    <row r="272">
      <c r="A272" s="419" t="s">
        <v>771</v>
      </c>
      <c r="B272" s="419" t="s">
        <v>771</v>
      </c>
      <c r="C272" s="436"/>
      <c r="D272" s="436" t="s">
        <v>758</v>
      </c>
      <c r="E272" s="436"/>
      <c r="F272" s="436" t="s">
        <v>2333</v>
      </c>
      <c r="G272" s="437" t="s">
        <v>169</v>
      </c>
      <c r="H272" s="436" t="s">
        <v>759</v>
      </c>
      <c r="I272" s="456">
        <v>41609.0</v>
      </c>
      <c r="J272" s="436">
        <v>5888.436554</v>
      </c>
      <c r="K272" s="419">
        <v>700.0</v>
      </c>
      <c r="L272" s="436" t="s">
        <v>772</v>
      </c>
      <c r="M272" s="457">
        <v>1.0</v>
      </c>
      <c r="N272" s="422">
        <v>16.343</v>
      </c>
      <c r="O272" s="422">
        <v>14.846</v>
      </c>
      <c r="P272" s="422">
        <v>19.21</v>
      </c>
      <c r="Q272" s="436" t="s">
        <v>2175</v>
      </c>
      <c r="R272" s="436" t="s">
        <v>2176</v>
      </c>
      <c r="S272" s="436" t="s">
        <v>2177</v>
      </c>
      <c r="T272" s="419" t="s">
        <v>162</v>
      </c>
      <c r="U272" s="419" t="s">
        <v>2178</v>
      </c>
      <c r="V272" s="440"/>
      <c r="W272" s="458">
        <v>1.9498445997580451</v>
      </c>
      <c r="X272" s="438"/>
      <c r="Y272" s="442">
        <f>IF((W272/((J272/5780)^4))^0.5&gt;0,(W272/((J272/5780)^4))^0.5,"")</f>
        <v>1.345413177</v>
      </c>
      <c r="Z272" s="442"/>
      <c r="AA272" s="443"/>
      <c r="AB272" s="443"/>
      <c r="AC272" s="436" t="str">
        <f>IF(ISNUMBER(VLOOKUP(B272,'New Masses'!A:C,3,FALSE)),VLOOKUP(B272,'New Masses'!A:C,3,FALSE),"")</f>
        <v/>
      </c>
      <c r="AD272" s="451">
        <f>10^(AE272)</f>
        <v>0.00000001995262315</v>
      </c>
      <c r="AE272" s="436">
        <v>-7.7</v>
      </c>
      <c r="AF272" s="438"/>
      <c r="AG272" s="459">
        <v>1.15</v>
      </c>
      <c r="AH272" s="436"/>
      <c r="AI272" s="446" t="str">
        <f>IF(ISNUMBER(VLOOKUP(B272,'New Masses'!A:C,2, FALSE)),VLOOKUP(B272,'New Masses'!A:C,2, FALSE),"")</f>
        <v/>
      </c>
      <c r="AJ272" s="436">
        <f>LOG10(AG272)</f>
        <v>0.06069784035</v>
      </c>
      <c r="AK272" s="437"/>
      <c r="AL272" s="437">
        <v>-0.38</v>
      </c>
      <c r="AM272" s="454" t="s">
        <v>2334</v>
      </c>
      <c r="AN272" s="437">
        <v>9.3</v>
      </c>
      <c r="AO272" s="438"/>
      <c r="AP272" s="454">
        <v>2.64</v>
      </c>
      <c r="AQ272" s="438"/>
      <c r="AR272" s="438"/>
      <c r="AS272" s="438"/>
      <c r="AT272" s="438"/>
      <c r="AU272" s="438"/>
      <c r="AV272" s="438"/>
      <c r="AW272" s="450"/>
    </row>
    <row r="273">
      <c r="A273" s="435" t="str">
        <f t="shared" ref="A273:C273" si="266">#REF!</f>
        <v>#REF!</v>
      </c>
      <c r="B273" s="485" t="str">
        <f t="shared" si="266"/>
        <v>#REF!</v>
      </c>
      <c r="C273" s="486" t="str">
        <f t="shared" si="266"/>
        <v>#REF!</v>
      </c>
      <c r="D273" s="486"/>
      <c r="E273" s="486"/>
      <c r="F273" s="528"/>
      <c r="G273" s="486"/>
      <c r="H273" s="486" t="s">
        <v>5917</v>
      </c>
      <c r="I273" s="491"/>
      <c r="J273" s="491"/>
      <c r="K273" s="491"/>
      <c r="L273" s="491"/>
      <c r="M273" s="486"/>
      <c r="N273" s="422"/>
      <c r="O273" s="422"/>
      <c r="P273" s="422"/>
      <c r="Q273" s="486"/>
      <c r="R273" s="491"/>
      <c r="S273" s="491"/>
      <c r="T273" s="491"/>
      <c r="U273" s="491"/>
      <c r="V273" s="491"/>
      <c r="W273" s="493"/>
      <c r="X273" s="486"/>
      <c r="Y273" s="442"/>
      <c r="Z273" s="491"/>
      <c r="AA273" s="524" t="str">
        <f>#REF!</f>
        <v>#REF!</v>
      </c>
      <c r="AB273" s="494"/>
      <c r="AC273" s="436"/>
      <c r="AD273" s="495"/>
      <c r="AE273" s="491"/>
      <c r="AF273" s="491"/>
      <c r="AG273" s="525" t="str">
        <f>#REF!</f>
        <v>#REF!</v>
      </c>
      <c r="AH273" s="491"/>
      <c r="AI273" s="446"/>
      <c r="AJ273" s="491"/>
      <c r="AK273" s="500"/>
      <c r="AL273" s="436"/>
      <c r="AM273" s="438"/>
      <c r="AN273" s="531"/>
      <c r="AO273" s="491"/>
      <c r="AP273" s="438"/>
      <c r="AQ273" s="438"/>
      <c r="AR273" s="438"/>
      <c r="AS273" s="438"/>
      <c r="AT273" s="438"/>
      <c r="AU273" s="438"/>
      <c r="AV273" s="438"/>
      <c r="AW273" s="450" t="str">
        <f>#REF!</f>
        <v>#REF!</v>
      </c>
    </row>
    <row r="274">
      <c r="A274" s="419" t="s">
        <v>773</v>
      </c>
      <c r="B274" s="419" t="s">
        <v>773</v>
      </c>
      <c r="C274" s="436"/>
      <c r="D274" s="436" t="s">
        <v>758</v>
      </c>
      <c r="E274" s="436"/>
      <c r="F274" s="436" t="s">
        <v>2335</v>
      </c>
      <c r="G274" s="437" t="s">
        <v>169</v>
      </c>
      <c r="H274" s="436" t="s">
        <v>759</v>
      </c>
      <c r="I274" s="456">
        <v>41609.0</v>
      </c>
      <c r="J274" s="436">
        <v>6918.30971</v>
      </c>
      <c r="K274" s="419">
        <v>800.0</v>
      </c>
      <c r="L274" s="436" t="s">
        <v>774</v>
      </c>
      <c r="M274" s="457">
        <v>1.0</v>
      </c>
      <c r="N274" s="422">
        <v>14.59</v>
      </c>
      <c r="O274" s="422"/>
      <c r="P274" s="422">
        <v>18.99</v>
      </c>
      <c r="Q274" s="436" t="s">
        <v>2175</v>
      </c>
      <c r="R274" s="436" t="s">
        <v>2176</v>
      </c>
      <c r="S274" s="436" t="s">
        <v>2177</v>
      </c>
      <c r="T274" s="419" t="s">
        <v>162</v>
      </c>
      <c r="U274" s="419" t="s">
        <v>2178</v>
      </c>
      <c r="V274" s="440"/>
      <c r="W274" s="458">
        <v>3.3884415613920256</v>
      </c>
      <c r="X274" s="438"/>
      <c r="Y274" s="442">
        <f>IF((W274/((J274/5780)^4))^0.5&gt;0,(W274/((J274/5780)^4))^0.5,"")</f>
        <v>1.284859609</v>
      </c>
      <c r="Z274" s="442"/>
      <c r="AA274" s="443"/>
      <c r="AB274" s="443"/>
      <c r="AC274" s="436" t="str">
        <f>IF(ISNUMBER(VLOOKUP(B274,'New Masses'!A:C,3,FALSE)),VLOOKUP(B274,'New Masses'!A:C,3,FALSE),"")</f>
        <v/>
      </c>
      <c r="AD274" s="451">
        <f>10^(AE274)</f>
        <v>0.000000003467368505</v>
      </c>
      <c r="AE274" s="436">
        <v>-8.46</v>
      </c>
      <c r="AF274" s="438"/>
      <c r="AG274" s="459">
        <v>1.23</v>
      </c>
      <c r="AH274" s="436"/>
      <c r="AI274" s="446" t="str">
        <f>IF(ISNUMBER(VLOOKUP(B274,'New Masses'!A:C,2, FALSE)),VLOOKUP(B274,'New Masses'!A:C,2, FALSE),"")</f>
        <v/>
      </c>
      <c r="AJ274" s="436">
        <f>LOG10(AG274)</f>
        <v>0.08990511144</v>
      </c>
      <c r="AK274" s="437"/>
      <c r="AL274" s="437">
        <v>-1.09</v>
      </c>
      <c r="AM274" s="454" t="s">
        <v>2336</v>
      </c>
      <c r="AN274" s="437">
        <v>14.8</v>
      </c>
      <c r="AO274" s="438"/>
      <c r="AP274" s="454">
        <v>3.84</v>
      </c>
      <c r="AQ274" s="438"/>
      <c r="AR274" s="438"/>
      <c r="AS274" s="438"/>
      <c r="AT274" s="438"/>
      <c r="AU274" s="438"/>
      <c r="AV274" s="438"/>
      <c r="AW274" s="450"/>
    </row>
    <row r="275">
      <c r="A275" s="435" t="str">
        <f t="shared" ref="A275:C275" si="267">#REF!</f>
        <v>#REF!</v>
      </c>
      <c r="B275" s="485" t="str">
        <f t="shared" si="267"/>
        <v>#REF!</v>
      </c>
      <c r="C275" s="486" t="str">
        <f t="shared" si="267"/>
        <v>#REF!</v>
      </c>
      <c r="D275" s="486"/>
      <c r="E275" s="486"/>
      <c r="F275" s="528"/>
      <c r="G275" s="486"/>
      <c r="H275" s="486" t="s">
        <v>5917</v>
      </c>
      <c r="I275" s="491"/>
      <c r="J275" s="491"/>
      <c r="K275" s="491"/>
      <c r="L275" s="491"/>
      <c r="M275" s="486"/>
      <c r="N275" s="422"/>
      <c r="O275" s="422"/>
      <c r="P275" s="422"/>
      <c r="Q275" s="486"/>
      <c r="R275" s="491"/>
      <c r="S275" s="491"/>
      <c r="T275" s="491"/>
      <c r="U275" s="491"/>
      <c r="V275" s="491"/>
      <c r="W275" s="493"/>
      <c r="X275" s="486"/>
      <c r="Y275" s="442"/>
      <c r="Z275" s="491"/>
      <c r="AA275" s="524" t="str">
        <f>#REF!</f>
        <v>#REF!</v>
      </c>
      <c r="AB275" s="494"/>
      <c r="AC275" s="436"/>
      <c r="AD275" s="495"/>
      <c r="AE275" s="491"/>
      <c r="AF275" s="491"/>
      <c r="AG275" s="525" t="str">
        <f>#REF!</f>
        <v>#REF!</v>
      </c>
      <c r="AH275" s="491"/>
      <c r="AI275" s="446"/>
      <c r="AJ275" s="491"/>
      <c r="AK275" s="500"/>
      <c r="AL275" s="436"/>
      <c r="AM275" s="438"/>
      <c r="AN275" s="531"/>
      <c r="AO275" s="491"/>
      <c r="AP275" s="438"/>
      <c r="AQ275" s="438"/>
      <c r="AR275" s="438"/>
      <c r="AS275" s="438"/>
      <c r="AT275" s="438"/>
      <c r="AU275" s="438"/>
      <c r="AV275" s="438"/>
      <c r="AW275" s="450" t="str">
        <f>#REF!</f>
        <v>#REF!</v>
      </c>
    </row>
    <row r="276">
      <c r="A276" s="419" t="s">
        <v>798</v>
      </c>
      <c r="B276" s="419" t="s">
        <v>798</v>
      </c>
      <c r="C276" s="436"/>
      <c r="D276" s="436" t="s">
        <v>758</v>
      </c>
      <c r="E276" s="436"/>
      <c r="F276" s="436" t="s">
        <v>2337</v>
      </c>
      <c r="G276" s="437" t="s">
        <v>169</v>
      </c>
      <c r="H276" s="436" t="s">
        <v>759</v>
      </c>
      <c r="I276" s="456">
        <v>41609.0</v>
      </c>
      <c r="J276" s="436">
        <v>9549.92586</v>
      </c>
      <c r="K276" s="419">
        <v>1100.0</v>
      </c>
      <c r="L276" s="436" t="s">
        <v>799</v>
      </c>
      <c r="M276" s="457">
        <v>1.0</v>
      </c>
      <c r="N276" s="422">
        <v>14.23</v>
      </c>
      <c r="O276" s="422">
        <v>12.99</v>
      </c>
      <c r="P276" s="422">
        <v>17.28</v>
      </c>
      <c r="Q276" s="436" t="s">
        <v>2175</v>
      </c>
      <c r="R276" s="436" t="s">
        <v>2176</v>
      </c>
      <c r="S276" s="436" t="s">
        <v>2177</v>
      </c>
      <c r="T276" s="419" t="s">
        <v>162</v>
      </c>
      <c r="U276" s="419" t="s">
        <v>2178</v>
      </c>
      <c r="V276" s="440"/>
      <c r="W276" s="458">
        <v>30.19951720402016</v>
      </c>
      <c r="X276" s="438"/>
      <c r="Y276" s="442">
        <f>IF((W276/((J276/5780)^4))^0.5&gt;0,(W276/((J276/5780)^4))^0.5,"")</f>
        <v>2.013055168</v>
      </c>
      <c r="Z276" s="442"/>
      <c r="AA276" s="443"/>
      <c r="AB276" s="443"/>
      <c r="AC276" s="436" t="str">
        <f>IF(ISNUMBER(VLOOKUP(B276,'New Masses'!A:C,3,FALSE)),VLOOKUP(B276,'New Masses'!A:C,3,FALSE),"")</f>
        <v/>
      </c>
      <c r="AD276" s="451">
        <f>10^(AE276)</f>
        <v>0.00000003548133892</v>
      </c>
      <c r="AE276" s="436">
        <v>-7.45</v>
      </c>
      <c r="AF276" s="438"/>
      <c r="AG276" s="459">
        <v>2.0</v>
      </c>
      <c r="AH276" s="436"/>
      <c r="AI276" s="446" t="str">
        <f>IF(ISNUMBER(VLOOKUP(B276,'New Masses'!A:C,2, FALSE)),VLOOKUP(B276,'New Masses'!A:C,2, FALSE),"")</f>
        <v/>
      </c>
      <c r="AJ276" s="436">
        <f>LOG10(AG276)</f>
        <v>0.3010299957</v>
      </c>
      <c r="AK276" s="437"/>
      <c r="AL276" s="437">
        <v>-0.07</v>
      </c>
      <c r="AM276" s="454" t="s">
        <v>2338</v>
      </c>
      <c r="AN276" s="437">
        <v>7.5</v>
      </c>
      <c r="AO276" s="438"/>
      <c r="AP276" s="454">
        <v>3.82</v>
      </c>
      <c r="AQ276" s="438"/>
      <c r="AR276" s="438"/>
      <c r="AS276" s="438"/>
      <c r="AT276" s="438"/>
      <c r="AU276" s="438"/>
      <c r="AV276" s="438"/>
      <c r="AW276" s="450">
        <v>3361.34453781512</v>
      </c>
    </row>
    <row r="277">
      <c r="A277" s="435" t="str">
        <f t="shared" ref="A277:C277" si="268">#REF!</f>
        <v>#REF!</v>
      </c>
      <c r="B277" s="485" t="str">
        <f t="shared" si="268"/>
        <v>#REF!</v>
      </c>
      <c r="C277" s="486" t="str">
        <f t="shared" si="268"/>
        <v>#REF!</v>
      </c>
      <c r="D277" s="486"/>
      <c r="E277" s="486"/>
      <c r="F277" s="528"/>
      <c r="G277" s="486"/>
      <c r="H277" s="486" t="s">
        <v>5917</v>
      </c>
      <c r="I277" s="491"/>
      <c r="J277" s="491"/>
      <c r="K277" s="491"/>
      <c r="L277" s="491"/>
      <c r="M277" s="486"/>
      <c r="N277" s="422"/>
      <c r="O277" s="422"/>
      <c r="P277" s="422"/>
      <c r="Q277" s="486"/>
      <c r="R277" s="491"/>
      <c r="S277" s="491"/>
      <c r="T277" s="491"/>
      <c r="U277" s="491"/>
      <c r="V277" s="491"/>
      <c r="W277" s="493"/>
      <c r="X277" s="486"/>
      <c r="Y277" s="442"/>
      <c r="Z277" s="491"/>
      <c r="AA277" s="524" t="str">
        <f>#REF!</f>
        <v>#REF!</v>
      </c>
      <c r="AB277" s="494"/>
      <c r="AC277" s="436"/>
      <c r="AD277" s="495"/>
      <c r="AE277" s="491"/>
      <c r="AF277" s="491"/>
      <c r="AG277" s="525" t="str">
        <f>#REF!</f>
        <v>#REF!</v>
      </c>
      <c r="AH277" s="491"/>
      <c r="AI277" s="446"/>
      <c r="AJ277" s="491"/>
      <c r="AK277" s="500"/>
      <c r="AL277" s="436"/>
      <c r="AM277" s="438"/>
      <c r="AN277" s="531"/>
      <c r="AO277" s="491"/>
      <c r="AP277" s="438"/>
      <c r="AQ277" s="438"/>
      <c r="AR277" s="438"/>
      <c r="AS277" s="438"/>
      <c r="AT277" s="438"/>
      <c r="AU277" s="438"/>
      <c r="AV277" s="438"/>
      <c r="AW277" s="450" t="str">
        <f>#REF!</f>
        <v>#REF!</v>
      </c>
    </row>
    <row r="278">
      <c r="A278" s="419" t="s">
        <v>780</v>
      </c>
      <c r="B278" s="419" t="s">
        <v>780</v>
      </c>
      <c r="C278" s="436"/>
      <c r="D278" s="436" t="s">
        <v>758</v>
      </c>
      <c r="E278" s="436"/>
      <c r="F278" s="436" t="s">
        <v>2339</v>
      </c>
      <c r="G278" s="437" t="s">
        <v>169</v>
      </c>
      <c r="H278" s="436" t="s">
        <v>759</v>
      </c>
      <c r="I278" s="456">
        <v>41609.0</v>
      </c>
      <c r="J278" s="436">
        <v>6760.82975</v>
      </c>
      <c r="K278" s="419">
        <v>800.0</v>
      </c>
      <c r="L278" s="436" t="s">
        <v>776</v>
      </c>
      <c r="M278" s="457">
        <v>1.0</v>
      </c>
      <c r="N278" s="422">
        <v>13.52</v>
      </c>
      <c r="O278" s="422">
        <v>10.599</v>
      </c>
      <c r="P278" s="422">
        <v>17.54</v>
      </c>
      <c r="Q278" s="436" t="s">
        <v>2175</v>
      </c>
      <c r="R278" s="436" t="s">
        <v>2176</v>
      </c>
      <c r="S278" s="436" t="s">
        <v>2177</v>
      </c>
      <c r="T278" s="419" t="s">
        <v>162</v>
      </c>
      <c r="U278" s="419" t="s">
        <v>2178</v>
      </c>
      <c r="V278" s="440"/>
      <c r="W278" s="458">
        <v>10.0</v>
      </c>
      <c r="X278" s="438"/>
      <c r="Y278" s="442">
        <f>IF((W278/((J278/5780)^4))^0.5&gt;0,(W278/((J278/5780)^4))^0.5,"")</f>
        <v>2.311296584</v>
      </c>
      <c r="Z278" s="442"/>
      <c r="AA278" s="443"/>
      <c r="AB278" s="443"/>
      <c r="AC278" s="436" t="str">
        <f>IF(ISNUMBER(VLOOKUP(B278,'New Masses'!A:C,3,FALSE)),VLOOKUP(B278,'New Masses'!A:C,3,FALSE),"")</f>
        <v/>
      </c>
      <c r="AD278" s="451">
        <f>10^(AE278)</f>
        <v>0.00000004677351413</v>
      </c>
      <c r="AE278" s="436">
        <v>-7.33</v>
      </c>
      <c r="AF278" s="438"/>
      <c r="AG278" s="459">
        <v>1.57</v>
      </c>
      <c r="AH278" s="436"/>
      <c r="AI278" s="446" t="str">
        <f>IF(ISNUMBER(VLOOKUP(B278,'New Masses'!A:C,2, FALSE)),VLOOKUP(B278,'New Masses'!A:C,2, FALSE),"")</f>
        <v/>
      </c>
      <c r="AJ278" s="436">
        <f>LOG10(AG278)</f>
        <v>0.1958996524</v>
      </c>
      <c r="AK278" s="437"/>
      <c r="AL278" s="437">
        <v>-0.11</v>
      </c>
      <c r="AM278" s="454" t="s">
        <v>2311</v>
      </c>
      <c r="AN278" s="437">
        <v>5.6</v>
      </c>
      <c r="AO278" s="438"/>
      <c r="AP278" s="454">
        <v>2.69</v>
      </c>
      <c r="AQ278" s="438"/>
      <c r="AR278" s="438"/>
      <c r="AS278" s="438"/>
      <c r="AT278" s="438"/>
      <c r="AU278" s="438"/>
      <c r="AV278" s="438"/>
      <c r="AW278" s="450">
        <v>1652.34633179114</v>
      </c>
    </row>
    <row r="279">
      <c r="A279" s="435" t="str">
        <f t="shared" ref="A279:C279" si="269">#REF!</f>
        <v>#REF!</v>
      </c>
      <c r="B279" s="485" t="str">
        <f t="shared" si="269"/>
        <v>#REF!</v>
      </c>
      <c r="C279" s="486" t="str">
        <f t="shared" si="269"/>
        <v>#REF!</v>
      </c>
      <c r="D279" s="486"/>
      <c r="E279" s="486"/>
      <c r="F279" s="528"/>
      <c r="G279" s="486"/>
      <c r="H279" s="486" t="s">
        <v>5917</v>
      </c>
      <c r="I279" s="491"/>
      <c r="J279" s="491"/>
      <c r="K279" s="491"/>
      <c r="L279" s="491"/>
      <c r="M279" s="486"/>
      <c r="N279" s="422"/>
      <c r="O279" s="422"/>
      <c r="P279" s="422"/>
      <c r="Q279" s="486"/>
      <c r="R279" s="491"/>
      <c r="S279" s="491"/>
      <c r="T279" s="491"/>
      <c r="U279" s="491"/>
      <c r="V279" s="491"/>
      <c r="W279" s="493"/>
      <c r="X279" s="486"/>
      <c r="Y279" s="442"/>
      <c r="Z279" s="491"/>
      <c r="AA279" s="524" t="str">
        <f>#REF!</f>
        <v>#REF!</v>
      </c>
      <c r="AB279" s="494"/>
      <c r="AC279" s="436"/>
      <c r="AD279" s="495"/>
      <c r="AE279" s="491"/>
      <c r="AF279" s="491"/>
      <c r="AG279" s="525" t="str">
        <f>#REF!</f>
        <v>#REF!</v>
      </c>
      <c r="AH279" s="491"/>
      <c r="AI279" s="446"/>
      <c r="AJ279" s="491"/>
      <c r="AK279" s="500"/>
      <c r="AL279" s="436"/>
      <c r="AM279" s="438"/>
      <c r="AN279" s="531"/>
      <c r="AO279" s="491"/>
      <c r="AP279" s="438"/>
      <c r="AQ279" s="438"/>
      <c r="AR279" s="438"/>
      <c r="AS279" s="438"/>
      <c r="AT279" s="438"/>
      <c r="AU279" s="438"/>
      <c r="AV279" s="438"/>
      <c r="AW279" s="450" t="str">
        <f>#REF!</f>
        <v>#REF!</v>
      </c>
    </row>
    <row r="280">
      <c r="A280" s="419" t="s">
        <v>769</v>
      </c>
      <c r="B280" s="419" t="s">
        <v>769</v>
      </c>
      <c r="C280" s="436"/>
      <c r="D280" s="436" t="s">
        <v>758</v>
      </c>
      <c r="E280" s="436"/>
      <c r="F280" s="436" t="s">
        <v>2340</v>
      </c>
      <c r="G280" s="437" t="s">
        <v>169</v>
      </c>
      <c r="H280" s="436" t="s">
        <v>759</v>
      </c>
      <c r="I280" s="456">
        <v>41609.0</v>
      </c>
      <c r="J280" s="436">
        <v>5623.413252</v>
      </c>
      <c r="K280" s="419">
        <v>650.0</v>
      </c>
      <c r="L280" s="436" t="s">
        <v>770</v>
      </c>
      <c r="M280" s="457">
        <v>1.0</v>
      </c>
      <c r="N280" s="422">
        <v>16.2</v>
      </c>
      <c r="O280" s="422">
        <v>15.24</v>
      </c>
      <c r="P280" s="422">
        <v>18.15</v>
      </c>
      <c r="Q280" s="436" t="s">
        <v>2175</v>
      </c>
      <c r="R280" s="436" t="s">
        <v>2176</v>
      </c>
      <c r="S280" s="436" t="s">
        <v>2177</v>
      </c>
      <c r="T280" s="419" t="s">
        <v>162</v>
      </c>
      <c r="U280" s="419" t="s">
        <v>2178</v>
      </c>
      <c r="V280" s="440"/>
      <c r="W280" s="458">
        <v>1.5488166189124812</v>
      </c>
      <c r="X280" s="438"/>
      <c r="Y280" s="442">
        <f>IF((W280/((J280/5780)^4))^0.5&gt;0,(W280/((J280/5780)^4))^0.5,"")</f>
        <v>1.314787834</v>
      </c>
      <c r="Z280" s="442"/>
      <c r="AA280" s="443"/>
      <c r="AB280" s="443"/>
      <c r="AC280" s="436" t="str">
        <f>IF(ISNUMBER(VLOOKUP(B280,'New Masses'!A:C,3,FALSE)),VLOOKUP(B280,'New Masses'!A:C,3,FALSE),"")</f>
        <v/>
      </c>
      <c r="AD280" s="451">
        <f>10^(AE280)</f>
        <v>0.000000002089296131</v>
      </c>
      <c r="AE280" s="436">
        <v>-8.68</v>
      </c>
      <c r="AF280" s="438"/>
      <c r="AG280" s="459">
        <v>1.12</v>
      </c>
      <c r="AH280" s="436"/>
      <c r="AI280" s="446" t="str">
        <f>IF(ISNUMBER(VLOOKUP(B280,'New Masses'!A:C,2, FALSE)),VLOOKUP(B280,'New Masses'!A:C,2, FALSE),"")</f>
        <v/>
      </c>
      <c r="AJ280" s="436">
        <f>LOG10(AG280)</f>
        <v>0.04921802267</v>
      </c>
      <c r="AK280" s="437"/>
      <c r="AL280" s="437">
        <v>-1.36</v>
      </c>
      <c r="AM280" s="454" t="s">
        <v>2341</v>
      </c>
      <c r="AN280" s="437">
        <v>8.5</v>
      </c>
      <c r="AO280" s="438"/>
      <c r="AP280" s="454">
        <v>1.05</v>
      </c>
      <c r="AQ280" s="438"/>
      <c r="AR280" s="438"/>
      <c r="AS280" s="438"/>
      <c r="AT280" s="438"/>
      <c r="AU280" s="438"/>
      <c r="AV280" s="438"/>
      <c r="AW280" s="450">
        <v>1478.85241052942</v>
      </c>
    </row>
    <row r="281">
      <c r="A281" s="435" t="str">
        <f t="shared" ref="A281:C281" si="270">#REF!</f>
        <v>#REF!</v>
      </c>
      <c r="B281" s="485" t="str">
        <f t="shared" si="270"/>
        <v>#REF!</v>
      </c>
      <c r="C281" s="486" t="str">
        <f t="shared" si="270"/>
        <v>#REF!</v>
      </c>
      <c r="D281" s="486"/>
      <c r="E281" s="486"/>
      <c r="F281" s="528"/>
      <c r="G281" s="486"/>
      <c r="H281" s="486" t="s">
        <v>5917</v>
      </c>
      <c r="I281" s="491"/>
      <c r="J281" s="491"/>
      <c r="K281" s="491"/>
      <c r="L281" s="491"/>
      <c r="M281" s="486"/>
      <c r="N281" s="422"/>
      <c r="O281" s="422"/>
      <c r="P281" s="422"/>
      <c r="Q281" s="486"/>
      <c r="R281" s="491"/>
      <c r="S281" s="491"/>
      <c r="T281" s="491"/>
      <c r="U281" s="491"/>
      <c r="V281" s="491"/>
      <c r="W281" s="493"/>
      <c r="X281" s="486"/>
      <c r="Y281" s="442"/>
      <c r="Z281" s="491"/>
      <c r="AA281" s="524" t="str">
        <f>#REF!</f>
        <v>#REF!</v>
      </c>
      <c r="AB281" s="494"/>
      <c r="AC281" s="436"/>
      <c r="AD281" s="495"/>
      <c r="AE281" s="491"/>
      <c r="AF281" s="491"/>
      <c r="AG281" s="525" t="str">
        <f>#REF!</f>
        <v>#REF!</v>
      </c>
      <c r="AH281" s="491"/>
      <c r="AI281" s="446"/>
      <c r="AJ281" s="491"/>
      <c r="AK281" s="500"/>
      <c r="AL281" s="436"/>
      <c r="AM281" s="438"/>
      <c r="AN281" s="531"/>
      <c r="AO281" s="491"/>
      <c r="AP281" s="438"/>
      <c r="AQ281" s="438"/>
      <c r="AR281" s="438"/>
      <c r="AS281" s="438"/>
      <c r="AT281" s="438"/>
      <c r="AU281" s="438"/>
      <c r="AV281" s="438"/>
      <c r="AW281" s="450" t="str">
        <f>#REF!</f>
        <v>#REF!</v>
      </c>
    </row>
    <row r="282">
      <c r="A282" s="419" t="s">
        <v>787</v>
      </c>
      <c r="B282" s="419" t="s">
        <v>787</v>
      </c>
      <c r="C282" s="436"/>
      <c r="D282" s="436" t="s">
        <v>758</v>
      </c>
      <c r="E282" s="436"/>
      <c r="F282" s="436" t="s">
        <v>2342</v>
      </c>
      <c r="G282" s="437" t="s">
        <v>169</v>
      </c>
      <c r="H282" s="436" t="s">
        <v>759</v>
      </c>
      <c r="I282" s="456">
        <v>41609.0</v>
      </c>
      <c r="J282" s="436">
        <v>5370.31796</v>
      </c>
      <c r="K282" s="419">
        <v>600.0</v>
      </c>
      <c r="L282" s="436" t="s">
        <v>788</v>
      </c>
      <c r="M282" s="457">
        <v>1.0</v>
      </c>
      <c r="N282" s="422">
        <v>16.17</v>
      </c>
      <c r="O282" s="422">
        <v>14.36</v>
      </c>
      <c r="P282" s="422">
        <v>18.97</v>
      </c>
      <c r="Q282" s="436" t="s">
        <v>2175</v>
      </c>
      <c r="R282" s="436" t="s">
        <v>2176</v>
      </c>
      <c r="S282" s="436" t="s">
        <v>2177</v>
      </c>
      <c r="T282" s="419" t="s">
        <v>162</v>
      </c>
      <c r="U282" s="419" t="s">
        <v>2178</v>
      </c>
      <c r="V282" s="440"/>
      <c r="W282" s="458">
        <v>5.623413251903491</v>
      </c>
      <c r="X282" s="438"/>
      <c r="Y282" s="442">
        <f>IF((W282/((J282/5780)^4))^0.5&gt;0,(W282/((J282/5780)^4))^0.5,"")</f>
        <v>2.746981138</v>
      </c>
      <c r="Z282" s="442"/>
      <c r="AA282" s="443"/>
      <c r="AB282" s="443"/>
      <c r="AC282" s="436" t="str">
        <f>IF(ISNUMBER(VLOOKUP(B282,'New Masses'!A:C,3,FALSE)),VLOOKUP(B282,'New Masses'!A:C,3,FALSE),"")</f>
        <v/>
      </c>
      <c r="AD282" s="451">
        <f>10^(AE282)</f>
        <v>0.00000004466835922</v>
      </c>
      <c r="AE282" s="436">
        <v>-7.35</v>
      </c>
      <c r="AF282" s="438"/>
      <c r="AG282" s="459">
        <v>1.66</v>
      </c>
      <c r="AH282" s="436"/>
      <c r="AI282" s="446" t="str">
        <f>IF(ISNUMBER(VLOOKUP(B282,'New Masses'!A:C,2, FALSE)),VLOOKUP(B282,'New Masses'!A:C,2, FALSE),"")</f>
        <v/>
      </c>
      <c r="AJ282" s="436">
        <f>LOG10(AG282)</f>
        <v>0.220108088</v>
      </c>
      <c r="AK282" s="437"/>
      <c r="AL282" s="437">
        <v>-0.18</v>
      </c>
      <c r="AM282" s="454" t="s">
        <v>2181</v>
      </c>
      <c r="AN282" s="437">
        <v>1.0</v>
      </c>
      <c r="AO282" s="438"/>
      <c r="AP282" s="454">
        <v>2.33</v>
      </c>
      <c r="AQ282" s="438"/>
      <c r="AR282" s="438"/>
      <c r="AS282" s="438"/>
      <c r="AT282" s="438"/>
      <c r="AU282" s="438"/>
      <c r="AV282" s="438"/>
      <c r="AW282" s="450">
        <v>326.274919246957</v>
      </c>
    </row>
    <row r="283">
      <c r="A283" s="435" t="str">
        <f t="shared" ref="A283:C283" si="271">#REF!</f>
        <v>#REF!</v>
      </c>
      <c r="B283" s="485" t="str">
        <f t="shared" si="271"/>
        <v>#REF!</v>
      </c>
      <c r="C283" s="486" t="str">
        <f t="shared" si="271"/>
        <v>#REF!</v>
      </c>
      <c r="D283" s="486"/>
      <c r="E283" s="486"/>
      <c r="F283" s="528"/>
      <c r="G283" s="486"/>
      <c r="H283" s="486" t="s">
        <v>5917</v>
      </c>
      <c r="I283" s="491"/>
      <c r="J283" s="491"/>
      <c r="K283" s="491"/>
      <c r="L283" s="491"/>
      <c r="M283" s="486"/>
      <c r="N283" s="422"/>
      <c r="O283" s="422"/>
      <c r="P283" s="422"/>
      <c r="Q283" s="486"/>
      <c r="R283" s="491"/>
      <c r="S283" s="491"/>
      <c r="T283" s="491"/>
      <c r="U283" s="491"/>
      <c r="V283" s="491"/>
      <c r="W283" s="493"/>
      <c r="X283" s="486"/>
      <c r="Y283" s="442"/>
      <c r="Z283" s="491"/>
      <c r="AA283" s="524" t="str">
        <f>#REF!</f>
        <v>#REF!</v>
      </c>
      <c r="AB283" s="494"/>
      <c r="AC283" s="436"/>
      <c r="AD283" s="495"/>
      <c r="AE283" s="491"/>
      <c r="AF283" s="491"/>
      <c r="AG283" s="525" t="str">
        <f>#REF!</f>
        <v>#REF!</v>
      </c>
      <c r="AH283" s="491"/>
      <c r="AI283" s="446"/>
      <c r="AJ283" s="491"/>
      <c r="AK283" s="500"/>
      <c r="AL283" s="436"/>
      <c r="AM283" s="438"/>
      <c r="AN283" s="531"/>
      <c r="AO283" s="491"/>
      <c r="AP283" s="438"/>
      <c r="AQ283" s="438"/>
      <c r="AR283" s="438"/>
      <c r="AS283" s="438"/>
      <c r="AT283" s="438"/>
      <c r="AU283" s="438"/>
      <c r="AV283" s="438"/>
      <c r="AW283" s="450" t="str">
        <f>#REF!</f>
        <v>#REF!</v>
      </c>
    </row>
    <row r="284">
      <c r="A284" s="419" t="s">
        <v>757</v>
      </c>
      <c r="B284" s="419" t="s">
        <v>757</v>
      </c>
      <c r="C284" s="436"/>
      <c r="D284" s="436" t="s">
        <v>758</v>
      </c>
      <c r="E284" s="436"/>
      <c r="F284" s="436" t="s">
        <v>2343</v>
      </c>
      <c r="G284" s="437" t="s">
        <v>169</v>
      </c>
      <c r="H284" s="436" t="s">
        <v>759</v>
      </c>
      <c r="I284" s="456">
        <v>41609.0</v>
      </c>
      <c r="J284" s="436">
        <v>4365.15832</v>
      </c>
      <c r="K284" s="419">
        <v>500.0</v>
      </c>
      <c r="L284" s="436" t="s">
        <v>761</v>
      </c>
      <c r="M284" s="457">
        <v>1.0</v>
      </c>
      <c r="N284" s="422">
        <v>16.75</v>
      </c>
      <c r="O284" s="422">
        <v>15.35</v>
      </c>
      <c r="P284" s="422">
        <v>20.22</v>
      </c>
      <c r="Q284" s="436" t="s">
        <v>2175</v>
      </c>
      <c r="R284" s="436" t="s">
        <v>2176</v>
      </c>
      <c r="S284" s="436" t="s">
        <v>2177</v>
      </c>
      <c r="T284" s="419" t="s">
        <v>162</v>
      </c>
      <c r="U284" s="419" t="s">
        <v>2178</v>
      </c>
      <c r="V284" s="440"/>
      <c r="W284" s="458">
        <v>1.1481536214968828</v>
      </c>
      <c r="X284" s="438"/>
      <c r="Y284" s="442">
        <f>IF((W284/((J284/5780)^4))^0.5&gt;0,(W284/((J284/5780)^4))^0.5,"")</f>
        <v>1.878692395</v>
      </c>
      <c r="Z284" s="442"/>
      <c r="AA284" s="443"/>
      <c r="AB284" s="443"/>
      <c r="AC284" s="436" t="str">
        <f>IF(ISNUMBER(VLOOKUP(B284,'New Masses'!A:C,3,FALSE)),VLOOKUP(B284,'New Masses'!A:C,3,FALSE),"")</f>
        <v/>
      </c>
      <c r="AD284" s="451">
        <f>10^(AE284)</f>
        <v>0.00000002187761624</v>
      </c>
      <c r="AE284" s="436">
        <v>-7.66</v>
      </c>
      <c r="AF284" s="438"/>
      <c r="AG284" s="459">
        <v>0.56</v>
      </c>
      <c r="AH284" s="436"/>
      <c r="AI284" s="446" t="str">
        <f>IF(ISNUMBER(VLOOKUP(B284,'New Masses'!A:C,2, FALSE)),VLOOKUP(B284,'New Masses'!A:C,2, FALSE),"")</f>
        <v/>
      </c>
      <c r="AJ284" s="436">
        <f>LOG10(AG284)</f>
        <v>-0.251811973</v>
      </c>
      <c r="AK284" s="437"/>
      <c r="AL284" s="437">
        <v>-0.8</v>
      </c>
      <c r="AM284" s="454" t="s">
        <v>2181</v>
      </c>
      <c r="AN284" s="437">
        <v>0.9</v>
      </c>
      <c r="AO284" s="438"/>
      <c r="AP284" s="454">
        <v>2.77</v>
      </c>
      <c r="AQ284" s="438"/>
      <c r="AR284" s="438"/>
      <c r="AS284" s="438"/>
      <c r="AT284" s="438"/>
      <c r="AU284" s="438"/>
      <c r="AV284" s="438"/>
      <c r="AW284" s="450">
        <v>3628.44702467343</v>
      </c>
    </row>
    <row r="285">
      <c r="A285" s="435" t="str">
        <f t="shared" ref="A285:C285" si="272">#REF!</f>
        <v>#REF!</v>
      </c>
      <c r="B285" s="485" t="str">
        <f t="shared" si="272"/>
        <v>#REF!</v>
      </c>
      <c r="C285" s="486" t="str">
        <f t="shared" si="272"/>
        <v>#REF!</v>
      </c>
      <c r="D285" s="486"/>
      <c r="E285" s="486"/>
      <c r="F285" s="528"/>
      <c r="G285" s="486"/>
      <c r="H285" s="486" t="s">
        <v>5917</v>
      </c>
      <c r="I285" s="491"/>
      <c r="J285" s="491"/>
      <c r="K285" s="491"/>
      <c r="L285" s="491"/>
      <c r="M285" s="486"/>
      <c r="N285" s="422"/>
      <c r="O285" s="422"/>
      <c r="P285" s="422"/>
      <c r="Q285" s="486"/>
      <c r="R285" s="491"/>
      <c r="S285" s="491"/>
      <c r="T285" s="491"/>
      <c r="U285" s="491"/>
      <c r="V285" s="491"/>
      <c r="W285" s="493"/>
      <c r="X285" s="486"/>
      <c r="Y285" s="442"/>
      <c r="Z285" s="491"/>
      <c r="AA285" s="524" t="str">
        <f>#REF!</f>
        <v>#REF!</v>
      </c>
      <c r="AB285" s="494"/>
      <c r="AC285" s="436"/>
      <c r="AD285" s="495"/>
      <c r="AE285" s="491"/>
      <c r="AF285" s="491"/>
      <c r="AG285" s="525" t="str">
        <f>#REF!</f>
        <v>#REF!</v>
      </c>
      <c r="AH285" s="491"/>
      <c r="AI285" s="446"/>
      <c r="AJ285" s="491"/>
      <c r="AK285" s="500"/>
      <c r="AL285" s="436"/>
      <c r="AM285" s="438"/>
      <c r="AN285" s="531"/>
      <c r="AO285" s="491"/>
      <c r="AP285" s="438"/>
      <c r="AQ285" s="438"/>
      <c r="AR285" s="438"/>
      <c r="AS285" s="438"/>
      <c r="AT285" s="438"/>
      <c r="AU285" s="438"/>
      <c r="AV285" s="438"/>
      <c r="AW285" s="450" t="str">
        <f>#REF!</f>
        <v>#REF!</v>
      </c>
    </row>
    <row r="286">
      <c r="A286" s="419" t="s">
        <v>692</v>
      </c>
      <c r="B286" s="419" t="s">
        <v>692</v>
      </c>
      <c r="C286" s="436"/>
      <c r="D286" s="436" t="s">
        <v>676</v>
      </c>
      <c r="E286" s="436"/>
      <c r="F286" s="436" t="s">
        <v>2344</v>
      </c>
      <c r="G286" s="436" t="s">
        <v>189</v>
      </c>
      <c r="H286" s="436" t="s">
        <v>598</v>
      </c>
      <c r="I286" s="467">
        <v>37985.0</v>
      </c>
      <c r="J286" s="436">
        <v>3014.0</v>
      </c>
      <c r="K286" s="436"/>
      <c r="L286" s="436" t="s">
        <v>674</v>
      </c>
      <c r="M286" s="439"/>
      <c r="N286" s="422">
        <v>12.542</v>
      </c>
      <c r="O286" s="422">
        <v>11.516</v>
      </c>
      <c r="P286" s="422"/>
      <c r="Q286" s="436" t="s">
        <v>2194</v>
      </c>
      <c r="R286" s="436" t="s">
        <v>2195</v>
      </c>
      <c r="S286" s="436" t="s">
        <v>2196</v>
      </c>
      <c r="T286" s="436" t="s">
        <v>596</v>
      </c>
      <c r="U286" s="436" t="s">
        <v>597</v>
      </c>
      <c r="V286" s="451"/>
      <c r="W286" s="468"/>
      <c r="X286" s="436"/>
      <c r="Y286" s="442" t="str">
        <f>IF((W286/((J286/5780)^4))^0.5&gt;0,(W286/((J286/5780)^4))^0.5,"")</f>
        <v/>
      </c>
      <c r="Z286" s="469"/>
      <c r="AA286" s="470">
        <v>0.64</v>
      </c>
      <c r="AB286" s="470"/>
      <c r="AC286" s="436" t="str">
        <f>IF(ISNUMBER(VLOOKUP(B286,'New Masses'!A:C,3,FALSE)),VLOOKUP(B286,'New Masses'!A:C,3,FALSE),"")</f>
        <v/>
      </c>
      <c r="AD286" s="440">
        <f>10^AE286</f>
        <v>0</v>
      </c>
      <c r="AE286" s="436">
        <v>-10.8</v>
      </c>
      <c r="AF286" s="436"/>
      <c r="AG286" s="459">
        <v>0.1</v>
      </c>
      <c r="AH286" s="436"/>
      <c r="AI286" s="446" t="str">
        <f>IF(ISNUMBER(VLOOKUP(B286,'New Masses'!A:C,2, FALSE)),VLOOKUP(B286,'New Masses'!A:C,2, FALSE),"")</f>
        <v/>
      </c>
      <c r="AJ286" s="436"/>
      <c r="AK286" s="436"/>
      <c r="AL286" s="436"/>
      <c r="AM286" s="436"/>
      <c r="AN286" s="436">
        <v>2.0</v>
      </c>
      <c r="AO286" s="436"/>
      <c r="AP286" s="436"/>
      <c r="AQ286" s="438"/>
      <c r="AR286" s="438"/>
      <c r="AS286" s="438"/>
      <c r="AT286" s="438"/>
      <c r="AU286" s="438"/>
      <c r="AV286" s="438"/>
      <c r="AW286" s="450">
        <v>196.482955103644</v>
      </c>
    </row>
    <row r="287">
      <c r="A287" s="435" t="str">
        <f t="shared" ref="A287:C287" si="273">#REF!</f>
        <v>#REF!</v>
      </c>
      <c r="B287" s="485" t="str">
        <f t="shared" si="273"/>
        <v>#REF!</v>
      </c>
      <c r="C287" s="486" t="str">
        <f t="shared" si="273"/>
        <v>#REF!</v>
      </c>
      <c r="D287" s="486"/>
      <c r="E287" s="486"/>
      <c r="F287" s="528"/>
      <c r="G287" s="486"/>
      <c r="H287" s="486" t="s">
        <v>5917</v>
      </c>
      <c r="I287" s="491"/>
      <c r="J287" s="491"/>
      <c r="K287" s="491"/>
      <c r="L287" s="491"/>
      <c r="M287" s="486"/>
      <c r="N287" s="422"/>
      <c r="O287" s="422"/>
      <c r="P287" s="422"/>
      <c r="Q287" s="486"/>
      <c r="R287" s="491"/>
      <c r="S287" s="491"/>
      <c r="T287" s="491"/>
      <c r="U287" s="491"/>
      <c r="V287" s="491"/>
      <c r="W287" s="493"/>
      <c r="X287" s="486"/>
      <c r="Y287" s="442"/>
      <c r="Z287" s="491"/>
      <c r="AA287" s="524" t="str">
        <f>#REF!</f>
        <v>#REF!</v>
      </c>
      <c r="AB287" s="494"/>
      <c r="AC287" s="436"/>
      <c r="AD287" s="495"/>
      <c r="AE287" s="491"/>
      <c r="AF287" s="491"/>
      <c r="AG287" s="525" t="str">
        <f>#REF!</f>
        <v>#REF!</v>
      </c>
      <c r="AH287" s="491"/>
      <c r="AI287" s="446"/>
      <c r="AJ287" s="491"/>
      <c r="AK287" s="500"/>
      <c r="AL287" s="436"/>
      <c r="AM287" s="438"/>
      <c r="AN287" s="531"/>
      <c r="AO287" s="491"/>
      <c r="AP287" s="438"/>
      <c r="AQ287" s="438"/>
      <c r="AR287" s="438"/>
      <c r="AS287" s="438"/>
      <c r="AT287" s="438"/>
      <c r="AU287" s="438"/>
      <c r="AV287" s="438"/>
      <c r="AW287" s="450" t="str">
        <f>#REF!</f>
        <v>#REF!</v>
      </c>
    </row>
    <row r="288">
      <c r="A288" s="419" t="s">
        <v>695</v>
      </c>
      <c r="B288" s="419" t="s">
        <v>695</v>
      </c>
      <c r="C288" s="436"/>
      <c r="D288" s="436" t="s">
        <v>676</v>
      </c>
      <c r="E288" s="436"/>
      <c r="F288" s="436" t="s">
        <v>2345</v>
      </c>
      <c r="G288" s="436" t="s">
        <v>169</v>
      </c>
      <c r="H288" s="436" t="s">
        <v>598</v>
      </c>
      <c r="I288" s="467">
        <v>37985.0</v>
      </c>
      <c r="J288" s="436">
        <v>3091.0</v>
      </c>
      <c r="K288" s="436"/>
      <c r="L288" s="436" t="s">
        <v>283</v>
      </c>
      <c r="M288" s="439"/>
      <c r="N288" s="422">
        <v>13.405</v>
      </c>
      <c r="O288" s="422">
        <v>12.272</v>
      </c>
      <c r="P288" s="422"/>
      <c r="Q288" s="436" t="s">
        <v>2194</v>
      </c>
      <c r="R288" s="436" t="s">
        <v>2195</v>
      </c>
      <c r="S288" s="436" t="s">
        <v>2196</v>
      </c>
      <c r="T288" s="436" t="s">
        <v>596</v>
      </c>
      <c r="U288" s="436" t="s">
        <v>597</v>
      </c>
      <c r="V288" s="451"/>
      <c r="W288" s="468"/>
      <c r="X288" s="436"/>
      <c r="Y288" s="442" t="str">
        <f>IF((W288/((J288/5780)^4))^0.5&gt;0,(W288/((J288/5780)^4))^0.5,"")</f>
        <v/>
      </c>
      <c r="Z288" s="469"/>
      <c r="AA288" s="470">
        <v>0.47</v>
      </c>
      <c r="AB288" s="470"/>
      <c r="AC288" s="436" t="str">
        <f>IF(ISNUMBER(VLOOKUP(B288,'New Masses'!A:C,3,FALSE)),VLOOKUP(B288,'New Masses'!A:C,3,FALSE),"")</f>
        <v/>
      </c>
      <c r="AD288" s="440">
        <f>10^AE288</f>
        <v>0</v>
      </c>
      <c r="AE288" s="436">
        <v>-12.0</v>
      </c>
      <c r="AF288" s="436"/>
      <c r="AG288" s="459">
        <v>0.1</v>
      </c>
      <c r="AH288" s="436"/>
      <c r="AI288" s="446" t="str">
        <f>IF(ISNUMBER(VLOOKUP(B288,'New Masses'!A:C,2, FALSE)),VLOOKUP(B288,'New Masses'!A:C,2, FALSE),"")</f>
        <v/>
      </c>
      <c r="AJ288" s="436"/>
      <c r="AK288" s="436"/>
      <c r="AL288" s="436"/>
      <c r="AM288" s="436"/>
      <c r="AN288" s="436">
        <v>2.0</v>
      </c>
      <c r="AO288" s="436"/>
      <c r="AP288" s="436"/>
      <c r="AQ288" s="436"/>
      <c r="AR288" s="438"/>
      <c r="AS288" s="438"/>
      <c r="AT288" s="438" t="s">
        <v>5916</v>
      </c>
      <c r="AU288" s="438" t="s">
        <v>629</v>
      </c>
      <c r="AV288" s="438"/>
      <c r="AW288" s="450">
        <v>186.570644974719</v>
      </c>
    </row>
    <row r="289">
      <c r="A289" s="435" t="str">
        <f t="shared" ref="A289:C289" si="274">#REF!</f>
        <v>#REF!</v>
      </c>
      <c r="B289" s="485" t="str">
        <f t="shared" si="274"/>
        <v>#REF!</v>
      </c>
      <c r="C289" s="486" t="str">
        <f t="shared" si="274"/>
        <v>#REF!</v>
      </c>
      <c r="D289" s="486"/>
      <c r="E289" s="486"/>
      <c r="F289" s="528"/>
      <c r="G289" s="486"/>
      <c r="H289" s="486" t="s">
        <v>5917</v>
      </c>
      <c r="I289" s="491"/>
      <c r="J289" s="491"/>
      <c r="K289" s="491"/>
      <c r="L289" s="491"/>
      <c r="M289" s="486"/>
      <c r="N289" s="422"/>
      <c r="O289" s="422"/>
      <c r="P289" s="422"/>
      <c r="Q289" s="486"/>
      <c r="R289" s="491"/>
      <c r="S289" s="491"/>
      <c r="T289" s="491"/>
      <c r="U289" s="491"/>
      <c r="V289" s="491"/>
      <c r="W289" s="493"/>
      <c r="X289" s="486"/>
      <c r="Y289" s="442"/>
      <c r="Z289" s="491"/>
      <c r="AA289" s="524" t="str">
        <f>#REF!</f>
        <v>#REF!</v>
      </c>
      <c r="AB289" s="494"/>
      <c r="AC289" s="436"/>
      <c r="AD289" s="495"/>
      <c r="AE289" s="491"/>
      <c r="AF289" s="491"/>
      <c r="AG289" s="525" t="str">
        <f>#REF!</f>
        <v>#REF!</v>
      </c>
      <c r="AH289" s="491"/>
      <c r="AI289" s="446"/>
      <c r="AJ289" s="491"/>
      <c r="AK289" s="500"/>
      <c r="AL289" s="436"/>
      <c r="AM289" s="438"/>
      <c r="AN289" s="531"/>
      <c r="AO289" s="491"/>
      <c r="AP289" s="438"/>
      <c r="AQ289" s="438"/>
      <c r="AR289" s="438"/>
      <c r="AS289" s="438"/>
      <c r="AT289" s="438"/>
      <c r="AU289" s="438"/>
      <c r="AV289" s="438"/>
      <c r="AW289" s="450" t="str">
        <f>#REF!</f>
        <v>#REF!</v>
      </c>
    </row>
    <row r="290">
      <c r="A290" s="436" t="s">
        <v>654</v>
      </c>
      <c r="B290" s="436" t="s">
        <v>654</v>
      </c>
      <c r="C290" s="438"/>
      <c r="D290" s="420" t="s">
        <v>268</v>
      </c>
      <c r="E290" s="420"/>
      <c r="F290" s="420" t="s">
        <v>2346</v>
      </c>
      <c r="G290" s="420" t="s">
        <v>159</v>
      </c>
      <c r="H290" s="420" t="s">
        <v>598</v>
      </c>
      <c r="I290" s="467">
        <v>37985.0</v>
      </c>
      <c r="J290" s="436">
        <v>2838.0</v>
      </c>
      <c r="K290" s="436"/>
      <c r="L290" s="420" t="s">
        <v>237</v>
      </c>
      <c r="M290" s="429"/>
      <c r="N290" s="422">
        <v>13.096</v>
      </c>
      <c r="O290" s="422">
        <v>11.632</v>
      </c>
      <c r="P290" s="422">
        <v>19.4</v>
      </c>
      <c r="Q290" s="420" t="s">
        <v>2194</v>
      </c>
      <c r="R290" s="420" t="s">
        <v>2195</v>
      </c>
      <c r="S290" s="420" t="s">
        <v>2196</v>
      </c>
      <c r="T290" s="420" t="s">
        <v>596</v>
      </c>
      <c r="U290" s="420" t="s">
        <v>597</v>
      </c>
      <c r="V290" s="440"/>
      <c r="W290" s="468"/>
      <c r="X290" s="436"/>
      <c r="Y290" s="442" t="str">
        <f>IF((W290/((J290/5780)^4))^0.5&gt;0,(W290/((J290/5780)^4))^0.5,"")</f>
        <v/>
      </c>
      <c r="Z290" s="469"/>
      <c r="AA290" s="470">
        <v>0.59</v>
      </c>
      <c r="AB290" s="470"/>
      <c r="AC290" s="469">
        <f>IF(ISNUMBER(VLOOKUP(B290,'New Masses'!A:C,3,FALSE)),VLOOKUP(B290,'New Masses'!A:C,3,FALSE),"")</f>
        <v>0.432801</v>
      </c>
      <c r="AD290" s="440">
        <f>10^AE290</f>
        <v>0</v>
      </c>
      <c r="AE290" s="436">
        <v>-12.0</v>
      </c>
      <c r="AF290" s="438"/>
      <c r="AG290" s="459">
        <v>0.05</v>
      </c>
      <c r="AH290" s="436"/>
      <c r="AI290" s="446">
        <f>IF(ISNUMBER(VLOOKUP(B290,'New Masses'!A:C,2, FALSE)),VLOOKUP(B290,'New Masses'!A:C,2, FALSE),"")</f>
        <v>0.034934</v>
      </c>
      <c r="AJ290" s="436"/>
      <c r="AK290" s="438"/>
      <c r="AL290" s="438"/>
      <c r="AM290" s="438"/>
      <c r="AN290" s="436">
        <v>2.0</v>
      </c>
      <c r="AO290" s="438"/>
      <c r="AP290" s="436">
        <v>1.59</v>
      </c>
      <c r="AQ290" s="420"/>
      <c r="AR290" s="420" t="s">
        <v>628</v>
      </c>
      <c r="AS290" s="420"/>
      <c r="AT290" s="420" t="s">
        <v>5916</v>
      </c>
      <c r="AU290" s="420" t="s">
        <v>629</v>
      </c>
      <c r="AV290" s="438"/>
      <c r="AW290" s="450">
        <v>184.90782345001</v>
      </c>
    </row>
    <row r="291">
      <c r="A291" s="435" t="str">
        <f t="shared" ref="A291:C291" si="275">#REF!</f>
        <v>#REF!</v>
      </c>
      <c r="B291" s="485" t="str">
        <f t="shared" si="275"/>
        <v>#REF!</v>
      </c>
      <c r="C291" s="486" t="str">
        <f t="shared" si="275"/>
        <v>#REF!</v>
      </c>
      <c r="D291" s="486"/>
      <c r="E291" s="486"/>
      <c r="F291" s="528"/>
      <c r="G291" s="486"/>
      <c r="H291" s="486" t="s">
        <v>5917</v>
      </c>
      <c r="I291" s="491"/>
      <c r="J291" s="491"/>
      <c r="K291" s="491"/>
      <c r="L291" s="491"/>
      <c r="M291" s="486"/>
      <c r="N291" s="422"/>
      <c r="O291" s="422"/>
      <c r="P291" s="422"/>
      <c r="Q291" s="486"/>
      <c r="R291" s="491"/>
      <c r="S291" s="491"/>
      <c r="T291" s="491"/>
      <c r="U291" s="491"/>
      <c r="V291" s="491"/>
      <c r="W291" s="493"/>
      <c r="X291" s="486"/>
      <c r="Y291" s="442"/>
      <c r="Z291" s="491"/>
      <c r="AA291" s="524" t="str">
        <f>#REF!</f>
        <v>#REF!</v>
      </c>
      <c r="AB291" s="494"/>
      <c r="AC291" s="436"/>
      <c r="AD291" s="495"/>
      <c r="AE291" s="491"/>
      <c r="AF291" s="491"/>
      <c r="AG291" s="525" t="str">
        <f>#REF!</f>
        <v>#REF!</v>
      </c>
      <c r="AH291" s="491"/>
      <c r="AI291" s="446"/>
      <c r="AJ291" s="491"/>
      <c r="AK291" s="500"/>
      <c r="AL291" s="436"/>
      <c r="AM291" s="438"/>
      <c r="AN291" s="531"/>
      <c r="AO291" s="491"/>
      <c r="AP291" s="438"/>
      <c r="AQ291" s="438"/>
      <c r="AR291" s="438"/>
      <c r="AS291" s="438"/>
      <c r="AT291" s="438"/>
      <c r="AU291" s="438"/>
      <c r="AV291" s="438"/>
      <c r="AW291" s="450" t="str">
        <f>#REF!</f>
        <v>#REF!</v>
      </c>
    </row>
    <row r="292">
      <c r="A292" s="436" t="s">
        <v>1950</v>
      </c>
      <c r="B292" s="481" t="s">
        <v>1951</v>
      </c>
      <c r="C292" s="420"/>
      <c r="D292" s="420" t="s">
        <v>268</v>
      </c>
      <c r="E292" s="420"/>
      <c r="F292" s="420" t="s">
        <v>2347</v>
      </c>
      <c r="G292" s="420" t="s">
        <v>169</v>
      </c>
      <c r="H292" s="420" t="s">
        <v>598</v>
      </c>
      <c r="I292" s="467">
        <v>37985.0</v>
      </c>
      <c r="J292" s="436">
        <v>2710.0</v>
      </c>
      <c r="K292" s="436"/>
      <c r="L292" s="420" t="s">
        <v>318</v>
      </c>
      <c r="M292" s="429"/>
      <c r="N292" s="422">
        <v>14.631</v>
      </c>
      <c r="O292" s="422">
        <v>13.54</v>
      </c>
      <c r="P292" s="422"/>
      <c r="Q292" s="420" t="s">
        <v>2194</v>
      </c>
      <c r="R292" s="420" t="s">
        <v>2195</v>
      </c>
      <c r="S292" s="420" t="s">
        <v>2196</v>
      </c>
      <c r="T292" s="420" t="s">
        <v>596</v>
      </c>
      <c r="U292" s="420" t="s">
        <v>597</v>
      </c>
      <c r="V292" s="440"/>
      <c r="W292" s="468"/>
      <c r="X292" s="436"/>
      <c r="Y292" s="442" t="str">
        <f>IF((W292/((J292/5780)^4))^0.5&gt;0,(W292/((J292/5780)^4))^0.5,"")</f>
        <v/>
      </c>
      <c r="Z292" s="469"/>
      <c r="AA292" s="470">
        <v>0.3</v>
      </c>
      <c r="AB292" s="470"/>
      <c r="AC292" s="469">
        <f>IF(ISNUMBER(VLOOKUP(B292,'New Masses'!A:C,3,FALSE)),VLOOKUP(B292,'New Masses'!A:C,3,FALSE),"")</f>
        <v>0.350018</v>
      </c>
      <c r="AD292" s="440"/>
      <c r="AE292" s="438"/>
      <c r="AF292" s="438"/>
      <c r="AG292" s="459">
        <v>0.035</v>
      </c>
      <c r="AH292" s="436"/>
      <c r="AI292" s="446">
        <f>IF(ISNUMBER(VLOOKUP(B292,'New Masses'!A:C,2, FALSE)),VLOOKUP(B292,'New Masses'!A:C,2, FALSE),"")</f>
        <v>0.025752</v>
      </c>
      <c r="AJ292" s="436"/>
      <c r="AK292" s="438"/>
      <c r="AL292" s="438"/>
      <c r="AM292" s="438"/>
      <c r="AN292" s="436">
        <v>2.0</v>
      </c>
      <c r="AO292" s="438"/>
      <c r="AP292" s="436">
        <v>0.0</v>
      </c>
      <c r="AQ292" s="438"/>
      <c r="AR292" s="420" t="s">
        <v>628</v>
      </c>
      <c r="AS292" s="420"/>
      <c r="AT292" s="438"/>
      <c r="AU292" s="438"/>
      <c r="AV292" s="438"/>
      <c r="AW292" s="450">
        <v>173.130193905817</v>
      </c>
    </row>
    <row r="293">
      <c r="A293" s="435" t="str">
        <f t="shared" ref="A293:C293" si="276">#REF!</f>
        <v>#REF!</v>
      </c>
      <c r="B293" s="485" t="str">
        <f t="shared" si="276"/>
        <v>#REF!</v>
      </c>
      <c r="C293" s="486" t="str">
        <f t="shared" si="276"/>
        <v>#REF!</v>
      </c>
      <c r="D293" s="486"/>
      <c r="E293" s="486"/>
      <c r="F293" s="528"/>
      <c r="G293" s="486"/>
      <c r="H293" s="486" t="s">
        <v>5917</v>
      </c>
      <c r="I293" s="491"/>
      <c r="J293" s="491"/>
      <c r="K293" s="491"/>
      <c r="L293" s="491"/>
      <c r="M293" s="486"/>
      <c r="N293" s="422"/>
      <c r="O293" s="422"/>
      <c r="P293" s="422"/>
      <c r="Q293" s="486"/>
      <c r="R293" s="491"/>
      <c r="S293" s="491"/>
      <c r="T293" s="491"/>
      <c r="U293" s="491"/>
      <c r="V293" s="491"/>
      <c r="W293" s="493"/>
      <c r="X293" s="486"/>
      <c r="Y293" s="442"/>
      <c r="Z293" s="491"/>
      <c r="AA293" s="524" t="str">
        <f>#REF!</f>
        <v>#REF!</v>
      </c>
      <c r="AB293" s="494"/>
      <c r="AC293" s="436"/>
      <c r="AD293" s="495"/>
      <c r="AE293" s="491"/>
      <c r="AF293" s="491"/>
      <c r="AG293" s="525" t="str">
        <f>#REF!</f>
        <v>#REF!</v>
      </c>
      <c r="AH293" s="491"/>
      <c r="AI293" s="446"/>
      <c r="AJ293" s="491"/>
      <c r="AK293" s="500"/>
      <c r="AL293" s="436"/>
      <c r="AM293" s="438"/>
      <c r="AN293" s="531"/>
      <c r="AO293" s="491"/>
      <c r="AP293" s="438"/>
      <c r="AQ293" s="438"/>
      <c r="AR293" s="438"/>
      <c r="AS293" s="438"/>
      <c r="AT293" s="438"/>
      <c r="AU293" s="438"/>
      <c r="AV293" s="438"/>
      <c r="AW293" s="450" t="str">
        <f>#REF!</f>
        <v>#REF!</v>
      </c>
    </row>
    <row r="294">
      <c r="A294" s="419" t="s">
        <v>322</v>
      </c>
      <c r="B294" s="421" t="s">
        <v>323</v>
      </c>
      <c r="C294" s="420"/>
      <c r="D294" s="420" t="s">
        <v>224</v>
      </c>
      <c r="E294" s="420"/>
      <c r="F294" s="420" t="s">
        <v>2348</v>
      </c>
      <c r="G294" s="420" t="s">
        <v>169</v>
      </c>
      <c r="H294" s="420" t="s">
        <v>306</v>
      </c>
      <c r="I294" s="467">
        <v>39596.0</v>
      </c>
      <c r="J294" s="436">
        <v>2550.0</v>
      </c>
      <c r="K294" s="420"/>
      <c r="L294" s="420" t="s">
        <v>213</v>
      </c>
      <c r="M294" s="429"/>
      <c r="N294" s="422">
        <v>13.034</v>
      </c>
      <c r="O294" s="422">
        <v>11.887</v>
      </c>
      <c r="P294" s="422">
        <v>19.14</v>
      </c>
      <c r="Q294" s="420" t="s">
        <v>2239</v>
      </c>
      <c r="R294" s="420" t="s">
        <v>2240</v>
      </c>
      <c r="S294" s="420" t="s">
        <v>307</v>
      </c>
      <c r="T294" s="420" t="s">
        <v>293</v>
      </c>
      <c r="U294" s="420" t="s">
        <v>294</v>
      </c>
      <c r="V294" s="440"/>
      <c r="W294" s="468"/>
      <c r="X294" s="436"/>
      <c r="Y294" s="442" t="str">
        <f>IF((W294/((J294/5780)^4))^0.5&gt;0,(W294/((J294/5780)^4))^0.5,"")</f>
        <v/>
      </c>
      <c r="Z294" s="469"/>
      <c r="AA294" s="470">
        <v>0.23</v>
      </c>
      <c r="AB294" s="426"/>
      <c r="AC294" s="436" t="str">
        <f>IF(ISNUMBER(VLOOKUP(B294,'New Masses'!A:C,3,FALSE)),VLOOKUP(B294,'New Masses'!A:C,3,FALSE),"")</f>
        <v/>
      </c>
      <c r="AD294" s="451">
        <f>10^(AE294)</f>
        <v>0</v>
      </c>
      <c r="AE294" s="436">
        <v>-12.8</v>
      </c>
      <c r="AF294" s="438"/>
      <c r="AG294" s="459">
        <v>0.026</v>
      </c>
      <c r="AH294" s="420"/>
      <c r="AI294" s="446" t="str">
        <f>IF(ISNUMBER(VLOOKUP(B294,'New Masses'!A:C,2, FALSE)),VLOOKUP(B294,'New Masses'!A:C,2, FALSE),"")</f>
        <v/>
      </c>
      <c r="AJ294" s="420"/>
      <c r="AK294" s="420"/>
      <c r="AL294" s="436">
        <v>-6.3</v>
      </c>
      <c r="AM294" s="438"/>
      <c r="AN294" s="436">
        <v>8.0</v>
      </c>
      <c r="AO294" s="438"/>
      <c r="AP294" s="436">
        <v>0.0</v>
      </c>
      <c r="AQ294" s="438"/>
      <c r="AR294" s="420" t="s">
        <v>2349</v>
      </c>
      <c r="AS294" s="420"/>
      <c r="AT294" s="438"/>
      <c r="AU294" s="438"/>
      <c r="AV294" s="438"/>
      <c r="AW294" s="450">
        <v>60.0</v>
      </c>
    </row>
    <row r="295">
      <c r="A295" s="435" t="str">
        <f t="shared" ref="A295:C295" si="277">#REF!</f>
        <v>#REF!</v>
      </c>
      <c r="B295" s="485" t="str">
        <f t="shared" si="277"/>
        <v>#REF!</v>
      </c>
      <c r="C295" s="486" t="str">
        <f t="shared" si="277"/>
        <v>#REF!</v>
      </c>
      <c r="D295" s="486"/>
      <c r="E295" s="486"/>
      <c r="F295" s="528"/>
      <c r="G295" s="486"/>
      <c r="H295" s="486" t="s">
        <v>5917</v>
      </c>
      <c r="I295" s="491"/>
      <c r="J295" s="491"/>
      <c r="K295" s="491"/>
      <c r="L295" s="491"/>
      <c r="M295" s="486"/>
      <c r="N295" s="422"/>
      <c r="O295" s="422"/>
      <c r="P295" s="422"/>
      <c r="Q295" s="486"/>
      <c r="R295" s="491"/>
      <c r="S295" s="491"/>
      <c r="T295" s="491"/>
      <c r="U295" s="491"/>
      <c r="V295" s="491"/>
      <c r="W295" s="493"/>
      <c r="X295" s="486"/>
      <c r="Y295" s="442"/>
      <c r="Z295" s="491"/>
      <c r="AA295" s="524" t="str">
        <f>#REF!</f>
        <v>#REF!</v>
      </c>
      <c r="AB295" s="494"/>
      <c r="AC295" s="436"/>
      <c r="AD295" s="495"/>
      <c r="AE295" s="491"/>
      <c r="AF295" s="491"/>
      <c r="AG295" s="525" t="str">
        <f>#REF!</f>
        <v>#REF!</v>
      </c>
      <c r="AH295" s="491"/>
      <c r="AI295" s="446"/>
      <c r="AJ295" s="491"/>
      <c r="AK295" s="500"/>
      <c r="AL295" s="436"/>
      <c r="AM295" s="438"/>
      <c r="AN295" s="531"/>
      <c r="AO295" s="491"/>
      <c r="AP295" s="438"/>
      <c r="AQ295" s="438"/>
      <c r="AR295" s="438"/>
      <c r="AS295" s="438"/>
      <c r="AT295" s="438"/>
      <c r="AU295" s="438"/>
      <c r="AV295" s="438"/>
      <c r="AW295" s="450" t="str">
        <f>#REF!</f>
        <v>#REF!</v>
      </c>
    </row>
    <row r="296">
      <c r="A296" s="436" t="s">
        <v>665</v>
      </c>
      <c r="B296" s="436" t="s">
        <v>665</v>
      </c>
      <c r="C296" s="438"/>
      <c r="D296" s="420" t="s">
        <v>268</v>
      </c>
      <c r="E296" s="420"/>
      <c r="F296" s="420" t="s">
        <v>2350</v>
      </c>
      <c r="G296" s="420" t="s">
        <v>159</v>
      </c>
      <c r="H296" s="420" t="s">
        <v>598</v>
      </c>
      <c r="I296" s="467">
        <v>37985.0</v>
      </c>
      <c r="J296" s="436">
        <v>2990.0</v>
      </c>
      <c r="K296" s="436"/>
      <c r="L296" s="420" t="s">
        <v>353</v>
      </c>
      <c r="M296" s="429"/>
      <c r="N296" s="422">
        <v>13.846</v>
      </c>
      <c r="O296" s="422">
        <v>12.752</v>
      </c>
      <c r="P296" s="422"/>
      <c r="Q296" s="420" t="s">
        <v>2194</v>
      </c>
      <c r="R296" s="420" t="s">
        <v>2195</v>
      </c>
      <c r="S296" s="420" t="s">
        <v>2196</v>
      </c>
      <c r="T296" s="420" t="s">
        <v>596</v>
      </c>
      <c r="U296" s="420" t="s">
        <v>597</v>
      </c>
      <c r="V296" s="440"/>
      <c r="W296" s="468"/>
      <c r="X296" s="436"/>
      <c r="Y296" s="442" t="str">
        <f>IF((W296/((J296/5780)^4))^0.5&gt;0,(W296/((J296/5780)^4))^0.5,"")</f>
        <v/>
      </c>
      <c r="Z296" s="469"/>
      <c r="AA296" s="470">
        <v>0.43</v>
      </c>
      <c r="AB296" s="470"/>
      <c r="AC296" s="469">
        <f>IF(ISNUMBER(VLOOKUP(B296,'New Masses'!A:C,3,FALSE)),VLOOKUP(B296,'New Masses'!A:C,3,FALSE),"")</f>
        <v>0.637798</v>
      </c>
      <c r="AD296" s="440">
        <f>10^AE296</f>
        <v>0</v>
      </c>
      <c r="AE296" s="436">
        <v>-12.0</v>
      </c>
      <c r="AF296" s="438"/>
      <c r="AG296" s="459">
        <v>0.07</v>
      </c>
      <c r="AH296" s="436"/>
      <c r="AI296" s="446">
        <f>IF(ISNUMBER(VLOOKUP(B296,'New Masses'!A:C,2, FALSE)),VLOOKUP(B296,'New Masses'!A:C,2, FALSE),"")</f>
        <v>0.057198</v>
      </c>
      <c r="AJ296" s="436"/>
      <c r="AK296" s="438"/>
      <c r="AL296" s="438"/>
      <c r="AM296" s="438"/>
      <c r="AN296" s="436">
        <v>2.0</v>
      </c>
      <c r="AO296" s="438"/>
      <c r="AP296" s="436">
        <v>0.39</v>
      </c>
      <c r="AQ296" s="420"/>
      <c r="AR296" s="420" t="s">
        <v>628</v>
      </c>
      <c r="AS296" s="420"/>
      <c r="AT296" s="420" t="s">
        <v>5916</v>
      </c>
      <c r="AU296" s="420" t="s">
        <v>629</v>
      </c>
      <c r="AV296" s="438"/>
      <c r="AW296" s="450">
        <v>201.853010637653</v>
      </c>
    </row>
    <row r="297">
      <c r="A297" s="435" t="str">
        <f t="shared" ref="A297:C297" si="278">#REF!</f>
        <v>#REF!</v>
      </c>
      <c r="B297" s="485" t="str">
        <f t="shared" si="278"/>
        <v>#REF!</v>
      </c>
      <c r="C297" s="486" t="str">
        <f t="shared" si="278"/>
        <v>#REF!</v>
      </c>
      <c r="D297" s="486"/>
      <c r="E297" s="486"/>
      <c r="F297" s="528"/>
      <c r="G297" s="486"/>
      <c r="H297" s="486" t="s">
        <v>5917</v>
      </c>
      <c r="I297" s="491"/>
      <c r="J297" s="491"/>
      <c r="K297" s="491"/>
      <c r="L297" s="491"/>
      <c r="M297" s="486"/>
      <c r="N297" s="422"/>
      <c r="O297" s="422"/>
      <c r="P297" s="422"/>
      <c r="Q297" s="486"/>
      <c r="R297" s="491"/>
      <c r="S297" s="491"/>
      <c r="T297" s="491"/>
      <c r="U297" s="491"/>
      <c r="V297" s="491"/>
      <c r="W297" s="493"/>
      <c r="X297" s="486"/>
      <c r="Y297" s="442"/>
      <c r="Z297" s="491"/>
      <c r="AA297" s="524" t="str">
        <f>#REF!</f>
        <v>#REF!</v>
      </c>
      <c r="AB297" s="494"/>
      <c r="AC297" s="436"/>
      <c r="AD297" s="495"/>
      <c r="AE297" s="491"/>
      <c r="AF297" s="491"/>
      <c r="AG297" s="525" t="str">
        <f>#REF!</f>
        <v>#REF!</v>
      </c>
      <c r="AH297" s="491"/>
      <c r="AI297" s="446"/>
      <c r="AJ297" s="491"/>
      <c r="AK297" s="500"/>
      <c r="AL297" s="436"/>
      <c r="AM297" s="438"/>
      <c r="AN297" s="531"/>
      <c r="AO297" s="491"/>
      <c r="AP297" s="438"/>
      <c r="AQ297" s="438"/>
      <c r="AR297" s="438"/>
      <c r="AS297" s="438"/>
      <c r="AT297" s="438"/>
      <c r="AU297" s="438"/>
      <c r="AV297" s="438"/>
      <c r="AW297" s="450" t="str">
        <f>#REF!</f>
        <v>#REF!</v>
      </c>
    </row>
    <row r="298">
      <c r="A298" s="419" t="s">
        <v>697</v>
      </c>
      <c r="B298" s="419" t="s">
        <v>697</v>
      </c>
      <c r="C298" s="436"/>
      <c r="D298" s="436" t="s">
        <v>676</v>
      </c>
      <c r="E298" s="436"/>
      <c r="F298" s="436" t="s">
        <v>2351</v>
      </c>
      <c r="G298" s="436" t="s">
        <v>159</v>
      </c>
      <c r="H298" s="436" t="s">
        <v>598</v>
      </c>
      <c r="I298" s="467">
        <v>37985.0</v>
      </c>
      <c r="J298" s="436">
        <v>3024.0</v>
      </c>
      <c r="K298" s="436"/>
      <c r="L298" s="436" t="s">
        <v>270</v>
      </c>
      <c r="M298" s="439"/>
      <c r="N298" s="422">
        <v>13.453</v>
      </c>
      <c r="O298" s="422">
        <v>11.835</v>
      </c>
      <c r="P298" s="422">
        <v>19.55</v>
      </c>
      <c r="Q298" s="436" t="s">
        <v>2194</v>
      </c>
      <c r="R298" s="436" t="s">
        <v>2195</v>
      </c>
      <c r="S298" s="436" t="s">
        <v>2196</v>
      </c>
      <c r="T298" s="436" t="s">
        <v>596</v>
      </c>
      <c r="U298" s="436" t="s">
        <v>597</v>
      </c>
      <c r="V298" s="451"/>
      <c r="W298" s="468"/>
      <c r="X298" s="436"/>
      <c r="Y298" s="442" t="str">
        <f>IF((W298/((J298/5780)^4))^0.5&gt;0,(W298/((J298/5780)^4))^0.5,"")</f>
        <v/>
      </c>
      <c r="Z298" s="469"/>
      <c r="AA298" s="470">
        <v>0.75</v>
      </c>
      <c r="AB298" s="470"/>
      <c r="AC298" s="436" t="str">
        <f>IF(ISNUMBER(VLOOKUP(B298,'New Masses'!A:C,3,FALSE)),VLOOKUP(B298,'New Masses'!A:C,3,FALSE),"")</f>
        <v/>
      </c>
      <c r="AD298" s="440">
        <f>10^AE298</f>
        <v>0</v>
      </c>
      <c r="AE298" s="436">
        <v>-12.0</v>
      </c>
      <c r="AF298" s="436"/>
      <c r="AG298" s="459">
        <v>0.11</v>
      </c>
      <c r="AH298" s="436"/>
      <c r="AI298" s="446" t="str">
        <f>IF(ISNUMBER(VLOOKUP(B298,'New Masses'!A:C,2, FALSE)),VLOOKUP(B298,'New Masses'!A:C,2, FALSE),"")</f>
        <v/>
      </c>
      <c r="AJ298" s="436"/>
      <c r="AK298" s="436"/>
      <c r="AL298" s="436"/>
      <c r="AM298" s="436"/>
      <c r="AN298" s="436">
        <v>2.0</v>
      </c>
      <c r="AO298" s="436"/>
      <c r="AP298" s="436"/>
      <c r="AQ298" s="436"/>
      <c r="AR298" s="438"/>
      <c r="AS298" s="438"/>
      <c r="AT298" s="438" t="s">
        <v>5916</v>
      </c>
      <c r="AU298" s="438" t="s">
        <v>629</v>
      </c>
      <c r="AV298" s="438"/>
      <c r="AW298" s="450">
        <v>193.307687846745</v>
      </c>
    </row>
    <row r="299">
      <c r="A299" s="435" t="str">
        <f t="shared" ref="A299:C299" si="279">#REF!</f>
        <v>#REF!</v>
      </c>
      <c r="B299" s="485" t="str">
        <f t="shared" si="279"/>
        <v>#REF!</v>
      </c>
      <c r="C299" s="486" t="str">
        <f t="shared" si="279"/>
        <v>#REF!</v>
      </c>
      <c r="D299" s="486"/>
      <c r="E299" s="486"/>
      <c r="F299" s="528"/>
      <c r="G299" s="486"/>
      <c r="H299" s="486" t="s">
        <v>5917</v>
      </c>
      <c r="I299" s="491"/>
      <c r="J299" s="491"/>
      <c r="K299" s="491"/>
      <c r="L299" s="491"/>
      <c r="M299" s="486"/>
      <c r="N299" s="422"/>
      <c r="O299" s="422"/>
      <c r="P299" s="422"/>
      <c r="Q299" s="486"/>
      <c r="R299" s="491"/>
      <c r="S299" s="491"/>
      <c r="T299" s="491"/>
      <c r="U299" s="491"/>
      <c r="V299" s="491"/>
      <c r="W299" s="493"/>
      <c r="X299" s="486"/>
      <c r="Y299" s="442"/>
      <c r="Z299" s="491"/>
      <c r="AA299" s="524" t="str">
        <f>#REF!</f>
        <v>#REF!</v>
      </c>
      <c r="AB299" s="494"/>
      <c r="AC299" s="436"/>
      <c r="AD299" s="495"/>
      <c r="AE299" s="491"/>
      <c r="AF299" s="491"/>
      <c r="AG299" s="525" t="str">
        <f>#REF!</f>
        <v>#REF!</v>
      </c>
      <c r="AH299" s="491"/>
      <c r="AI299" s="446"/>
      <c r="AJ299" s="491"/>
      <c r="AK299" s="500"/>
      <c r="AL299" s="436"/>
      <c r="AM299" s="438"/>
      <c r="AN299" s="531"/>
      <c r="AO299" s="491"/>
      <c r="AP299" s="438"/>
      <c r="AQ299" s="438"/>
      <c r="AR299" s="438"/>
      <c r="AS299" s="438"/>
      <c r="AT299" s="438"/>
      <c r="AU299" s="438"/>
      <c r="AV299" s="438"/>
      <c r="AW299" s="450" t="str">
        <f>#REF!</f>
        <v>#REF!</v>
      </c>
    </row>
    <row r="300">
      <c r="A300" s="419" t="s">
        <v>698</v>
      </c>
      <c r="B300" s="419" t="s">
        <v>698</v>
      </c>
      <c r="C300" s="436"/>
      <c r="D300" s="436" t="s">
        <v>676</v>
      </c>
      <c r="E300" s="436"/>
      <c r="F300" s="436" t="s">
        <v>2352</v>
      </c>
      <c r="G300" s="436" t="s">
        <v>159</v>
      </c>
      <c r="H300" s="436" t="s">
        <v>598</v>
      </c>
      <c r="I300" s="467">
        <v>37985.0</v>
      </c>
      <c r="J300" s="436">
        <v>3024.0</v>
      </c>
      <c r="K300" s="436"/>
      <c r="L300" s="436" t="s">
        <v>270</v>
      </c>
      <c r="M300" s="439"/>
      <c r="N300" s="422">
        <v>12.522</v>
      </c>
      <c r="O300" s="422">
        <v>11.167</v>
      </c>
      <c r="P300" s="422">
        <v>17.87</v>
      </c>
      <c r="Q300" s="436" t="s">
        <v>2194</v>
      </c>
      <c r="R300" s="436" t="s">
        <v>2195</v>
      </c>
      <c r="S300" s="436" t="s">
        <v>2196</v>
      </c>
      <c r="T300" s="436" t="s">
        <v>596</v>
      </c>
      <c r="U300" s="436" t="s">
        <v>597</v>
      </c>
      <c r="V300" s="451"/>
      <c r="W300" s="468"/>
      <c r="X300" s="436"/>
      <c r="Y300" s="442" t="str">
        <f>IF((W300/((J300/5780)^4))^0.5&gt;0,(W300/((J300/5780)^4))^0.5,"")</f>
        <v/>
      </c>
      <c r="Z300" s="469"/>
      <c r="AA300" s="470">
        <v>0.95</v>
      </c>
      <c r="AB300" s="470"/>
      <c r="AC300" s="436" t="str">
        <f>IF(ISNUMBER(VLOOKUP(B300,'New Masses'!A:C,3,FALSE)),VLOOKUP(B300,'New Masses'!A:C,3,FALSE),"")</f>
        <v/>
      </c>
      <c r="AD300" s="440">
        <f>10^AE300</f>
        <v>0</v>
      </c>
      <c r="AE300" s="436">
        <v>-12.0</v>
      </c>
      <c r="AF300" s="436"/>
      <c r="AG300" s="459">
        <v>0.12</v>
      </c>
      <c r="AH300" s="436"/>
      <c r="AI300" s="446" t="str">
        <f>IF(ISNUMBER(VLOOKUP(B300,'New Masses'!A:C,2, FALSE)),VLOOKUP(B300,'New Masses'!A:C,2, FALSE),"")</f>
        <v/>
      </c>
      <c r="AJ300" s="436"/>
      <c r="AK300" s="436"/>
      <c r="AL300" s="436"/>
      <c r="AM300" s="436"/>
      <c r="AN300" s="436">
        <v>2.0</v>
      </c>
      <c r="AO300" s="436"/>
      <c r="AP300" s="436"/>
      <c r="AQ300" s="436"/>
      <c r="AR300" s="438"/>
      <c r="AS300" s="438"/>
      <c r="AT300" s="438" t="s">
        <v>5916</v>
      </c>
      <c r="AU300" s="438" t="s">
        <v>629</v>
      </c>
      <c r="AV300" s="438"/>
      <c r="AW300" s="450">
        <v>194.23132951345</v>
      </c>
    </row>
    <row r="301">
      <c r="A301" s="435" t="str">
        <f t="shared" ref="A301:C301" si="280">#REF!</f>
        <v>#REF!</v>
      </c>
      <c r="B301" s="485" t="str">
        <f t="shared" si="280"/>
        <v>#REF!</v>
      </c>
      <c r="C301" s="486" t="str">
        <f t="shared" si="280"/>
        <v>#REF!</v>
      </c>
      <c r="D301" s="486"/>
      <c r="E301" s="486"/>
      <c r="F301" s="528"/>
      <c r="G301" s="486"/>
      <c r="H301" s="486" t="s">
        <v>5917</v>
      </c>
      <c r="I301" s="491"/>
      <c r="J301" s="491"/>
      <c r="K301" s="491"/>
      <c r="L301" s="491"/>
      <c r="M301" s="486"/>
      <c r="N301" s="422"/>
      <c r="O301" s="422"/>
      <c r="P301" s="422"/>
      <c r="Q301" s="486"/>
      <c r="R301" s="491"/>
      <c r="S301" s="491"/>
      <c r="T301" s="491"/>
      <c r="U301" s="491"/>
      <c r="V301" s="491"/>
      <c r="W301" s="493"/>
      <c r="X301" s="486"/>
      <c r="Y301" s="442"/>
      <c r="Z301" s="491"/>
      <c r="AA301" s="524" t="str">
        <f>#REF!</f>
        <v>#REF!</v>
      </c>
      <c r="AB301" s="494"/>
      <c r="AC301" s="436"/>
      <c r="AD301" s="495"/>
      <c r="AE301" s="491"/>
      <c r="AF301" s="491"/>
      <c r="AG301" s="525" t="str">
        <f>#REF!</f>
        <v>#REF!</v>
      </c>
      <c r="AH301" s="491"/>
      <c r="AI301" s="446"/>
      <c r="AJ301" s="491"/>
      <c r="AK301" s="500"/>
      <c r="AL301" s="436"/>
      <c r="AM301" s="438"/>
      <c r="AN301" s="531"/>
      <c r="AO301" s="491"/>
      <c r="AP301" s="438"/>
      <c r="AQ301" s="438"/>
      <c r="AR301" s="438"/>
      <c r="AS301" s="438"/>
      <c r="AT301" s="438"/>
      <c r="AU301" s="438"/>
      <c r="AV301" s="438"/>
      <c r="AW301" s="450" t="str">
        <f>#REF!</f>
        <v>#REF!</v>
      </c>
    </row>
    <row r="302">
      <c r="A302" s="419" t="s">
        <v>675</v>
      </c>
      <c r="B302" s="419" t="s">
        <v>675</v>
      </c>
      <c r="C302" s="436"/>
      <c r="D302" s="436" t="s">
        <v>676</v>
      </c>
      <c r="E302" s="436"/>
      <c r="F302" s="436" t="s">
        <v>2353</v>
      </c>
      <c r="G302" s="436" t="s">
        <v>159</v>
      </c>
      <c r="H302" s="436" t="s">
        <v>598</v>
      </c>
      <c r="I302" s="467">
        <v>37985.0</v>
      </c>
      <c r="J302" s="436">
        <v>2990.0</v>
      </c>
      <c r="K302" s="436"/>
      <c r="L302" s="436" t="s">
        <v>353</v>
      </c>
      <c r="M302" s="439"/>
      <c r="N302" s="422">
        <v>12.945</v>
      </c>
      <c r="O302" s="422">
        <v>11.945</v>
      </c>
      <c r="P302" s="422">
        <v>18.21</v>
      </c>
      <c r="Q302" s="436" t="s">
        <v>2194</v>
      </c>
      <c r="R302" s="436" t="s">
        <v>2195</v>
      </c>
      <c r="S302" s="436" t="s">
        <v>2196</v>
      </c>
      <c r="T302" s="436" t="s">
        <v>596</v>
      </c>
      <c r="U302" s="436" t="s">
        <v>597</v>
      </c>
      <c r="V302" s="451"/>
      <c r="W302" s="468"/>
      <c r="X302" s="436"/>
      <c r="Y302" s="442" t="str">
        <f>IF((W302/((J302/5780)^4))^0.5&gt;0,(W302/((J302/5780)^4))^0.5,"")</f>
        <v/>
      </c>
      <c r="Z302" s="469"/>
      <c r="AA302" s="470">
        <v>0.58</v>
      </c>
      <c r="AB302" s="470"/>
      <c r="AC302" s="436" t="str">
        <f>IF(ISNUMBER(VLOOKUP(B302,'New Masses'!A:C,3,FALSE)),VLOOKUP(B302,'New Masses'!A:C,3,FALSE),"")</f>
        <v/>
      </c>
      <c r="AD302" s="440">
        <f>10^AE302</f>
        <v>0</v>
      </c>
      <c r="AE302" s="436">
        <v>-12.0</v>
      </c>
      <c r="AF302" s="436"/>
      <c r="AG302" s="459">
        <v>0.08</v>
      </c>
      <c r="AH302" s="436"/>
      <c r="AI302" s="446" t="str">
        <f>IF(ISNUMBER(VLOOKUP(B302,'New Masses'!A:C,2, FALSE)),VLOOKUP(B302,'New Masses'!A:C,2, FALSE),"")</f>
        <v/>
      </c>
      <c r="AJ302" s="436"/>
      <c r="AK302" s="436"/>
      <c r="AL302" s="436"/>
      <c r="AM302" s="436"/>
      <c r="AN302" s="436">
        <v>2.0</v>
      </c>
      <c r="AO302" s="436"/>
      <c r="AP302" s="436"/>
      <c r="AQ302" s="436"/>
      <c r="AR302" s="438"/>
      <c r="AS302" s="438"/>
      <c r="AT302" s="438" t="s">
        <v>5916</v>
      </c>
      <c r="AU302" s="438" t="s">
        <v>629</v>
      </c>
      <c r="AV302" s="438"/>
      <c r="AW302" s="450">
        <v>193.285269729593</v>
      </c>
    </row>
    <row r="303">
      <c r="A303" s="435" t="str">
        <f t="shared" ref="A303:C303" si="281">#REF!</f>
        <v>#REF!</v>
      </c>
      <c r="B303" s="485" t="str">
        <f t="shared" si="281"/>
        <v>#REF!</v>
      </c>
      <c r="C303" s="486" t="str">
        <f t="shared" si="281"/>
        <v>#REF!</v>
      </c>
      <c r="D303" s="486"/>
      <c r="E303" s="486"/>
      <c r="F303" s="528"/>
      <c r="G303" s="486"/>
      <c r="H303" s="486" t="s">
        <v>5917</v>
      </c>
      <c r="I303" s="491"/>
      <c r="J303" s="491"/>
      <c r="K303" s="491"/>
      <c r="L303" s="491"/>
      <c r="M303" s="486"/>
      <c r="N303" s="422"/>
      <c r="O303" s="422"/>
      <c r="P303" s="422"/>
      <c r="Q303" s="486"/>
      <c r="R303" s="491"/>
      <c r="S303" s="491"/>
      <c r="T303" s="491"/>
      <c r="U303" s="491"/>
      <c r="V303" s="491"/>
      <c r="W303" s="493"/>
      <c r="X303" s="486"/>
      <c r="Y303" s="442"/>
      <c r="Z303" s="491"/>
      <c r="AA303" s="524" t="str">
        <f>#REF!</f>
        <v>#REF!</v>
      </c>
      <c r="AB303" s="494"/>
      <c r="AC303" s="436"/>
      <c r="AD303" s="495"/>
      <c r="AE303" s="491"/>
      <c r="AF303" s="491"/>
      <c r="AG303" s="525" t="str">
        <f>#REF!</f>
        <v>#REF!</v>
      </c>
      <c r="AH303" s="491"/>
      <c r="AI303" s="446"/>
      <c r="AJ303" s="491"/>
      <c r="AK303" s="500"/>
      <c r="AL303" s="436"/>
      <c r="AM303" s="438"/>
      <c r="AN303" s="531"/>
      <c r="AO303" s="491"/>
      <c r="AP303" s="438"/>
      <c r="AQ303" s="438"/>
      <c r="AR303" s="438"/>
      <c r="AS303" s="438"/>
      <c r="AT303" s="438"/>
      <c r="AU303" s="438"/>
      <c r="AV303" s="438"/>
      <c r="AW303" s="450" t="str">
        <f>#REF!</f>
        <v>#REF!</v>
      </c>
    </row>
    <row r="304">
      <c r="A304" s="419" t="s">
        <v>682</v>
      </c>
      <c r="B304" s="419" t="s">
        <v>2354</v>
      </c>
      <c r="C304" s="419"/>
      <c r="D304" s="436" t="s">
        <v>676</v>
      </c>
      <c r="E304" s="436"/>
      <c r="F304" s="436" t="s">
        <v>2355</v>
      </c>
      <c r="G304" s="436" t="s">
        <v>169</v>
      </c>
      <c r="H304" s="436" t="s">
        <v>598</v>
      </c>
      <c r="I304" s="467">
        <v>37985.0</v>
      </c>
      <c r="J304" s="436">
        <v>2962.0</v>
      </c>
      <c r="K304" s="436"/>
      <c r="L304" s="436" t="s">
        <v>642</v>
      </c>
      <c r="M304" s="439"/>
      <c r="N304" s="422">
        <v>13.532</v>
      </c>
      <c r="O304" s="422">
        <v>11.823</v>
      </c>
      <c r="P304" s="422"/>
      <c r="Q304" s="436" t="s">
        <v>2194</v>
      </c>
      <c r="R304" s="436" t="s">
        <v>2195</v>
      </c>
      <c r="S304" s="436" t="s">
        <v>2196</v>
      </c>
      <c r="T304" s="436" t="s">
        <v>596</v>
      </c>
      <c r="U304" s="436" t="s">
        <v>597</v>
      </c>
      <c r="V304" s="451"/>
      <c r="W304" s="468"/>
      <c r="X304" s="436"/>
      <c r="Y304" s="442" t="str">
        <f>IF((W304/((J304/5780)^4))^0.5&gt;0,(W304/((J304/5780)^4))^0.5,"")</f>
        <v/>
      </c>
      <c r="Z304" s="469"/>
      <c r="AA304" s="470">
        <v>0.64</v>
      </c>
      <c r="AB304" s="470"/>
      <c r="AC304" s="436" t="str">
        <f>IF(ISNUMBER(VLOOKUP(B304,'New Masses'!A:C,3,FALSE)),VLOOKUP(B304,'New Masses'!A:C,3,FALSE),"")</f>
        <v/>
      </c>
      <c r="AD304" s="440">
        <f>10^AE304</f>
        <v>0.0000000001</v>
      </c>
      <c r="AE304" s="436">
        <v>-10.0</v>
      </c>
      <c r="AF304" s="436"/>
      <c r="AG304" s="459">
        <v>0.08</v>
      </c>
      <c r="AH304" s="436"/>
      <c r="AI304" s="446" t="str">
        <f>IF(ISNUMBER(VLOOKUP(B304,'New Masses'!A:C,2, FALSE)),VLOOKUP(B304,'New Masses'!A:C,2, FALSE),"")</f>
        <v/>
      </c>
      <c r="AJ304" s="436"/>
      <c r="AK304" s="436"/>
      <c r="AL304" s="436"/>
      <c r="AM304" s="436"/>
      <c r="AN304" s="436">
        <v>2.0</v>
      </c>
      <c r="AO304" s="436"/>
      <c r="AP304" s="436"/>
      <c r="AQ304" s="436"/>
      <c r="AR304" s="438"/>
      <c r="AS304" s="438"/>
      <c r="AT304" s="438"/>
      <c r="AU304" s="438" t="s">
        <v>629</v>
      </c>
      <c r="AV304" s="438"/>
      <c r="AW304" s="450">
        <v>240.142164161183</v>
      </c>
    </row>
    <row r="305">
      <c r="A305" s="435" t="str">
        <f t="shared" ref="A305:C305" si="282">#REF!</f>
        <v>#REF!</v>
      </c>
      <c r="B305" s="485" t="str">
        <f t="shared" si="282"/>
        <v>#REF!</v>
      </c>
      <c r="C305" s="486" t="str">
        <f t="shared" si="282"/>
        <v>#REF!</v>
      </c>
      <c r="D305" s="486"/>
      <c r="E305" s="486"/>
      <c r="F305" s="528"/>
      <c r="G305" s="486"/>
      <c r="H305" s="486" t="s">
        <v>5917</v>
      </c>
      <c r="I305" s="491"/>
      <c r="J305" s="491"/>
      <c r="K305" s="491"/>
      <c r="L305" s="491"/>
      <c r="M305" s="486"/>
      <c r="N305" s="422"/>
      <c r="O305" s="422"/>
      <c r="P305" s="422"/>
      <c r="Q305" s="486"/>
      <c r="R305" s="491"/>
      <c r="S305" s="491"/>
      <c r="T305" s="491"/>
      <c r="U305" s="491"/>
      <c r="V305" s="491"/>
      <c r="W305" s="493"/>
      <c r="X305" s="486"/>
      <c r="Y305" s="442"/>
      <c r="Z305" s="491"/>
      <c r="AA305" s="524" t="str">
        <f>#REF!</f>
        <v>#REF!</v>
      </c>
      <c r="AB305" s="494"/>
      <c r="AC305" s="436"/>
      <c r="AD305" s="495"/>
      <c r="AE305" s="491"/>
      <c r="AF305" s="491"/>
      <c r="AG305" s="525" t="str">
        <f>#REF!</f>
        <v>#REF!</v>
      </c>
      <c r="AH305" s="491"/>
      <c r="AI305" s="446"/>
      <c r="AJ305" s="491"/>
      <c r="AK305" s="500"/>
      <c r="AL305" s="436"/>
      <c r="AM305" s="438"/>
      <c r="AN305" s="531"/>
      <c r="AO305" s="491"/>
      <c r="AP305" s="438"/>
      <c r="AQ305" s="438"/>
      <c r="AR305" s="438"/>
      <c r="AS305" s="438"/>
      <c r="AT305" s="438"/>
      <c r="AU305" s="438"/>
      <c r="AV305" s="438"/>
      <c r="AW305" s="450" t="str">
        <f>#REF!</f>
        <v>#REF!</v>
      </c>
    </row>
    <row r="306">
      <c r="A306" s="419" t="s">
        <v>685</v>
      </c>
      <c r="B306" s="419" t="s">
        <v>2356</v>
      </c>
      <c r="C306" s="419"/>
      <c r="D306" s="436" t="s">
        <v>676</v>
      </c>
      <c r="E306" s="436"/>
      <c r="F306" s="436" t="s">
        <v>2357</v>
      </c>
      <c r="G306" s="436" t="s">
        <v>169</v>
      </c>
      <c r="H306" s="436" t="s">
        <v>598</v>
      </c>
      <c r="I306" s="467">
        <v>37985.0</v>
      </c>
      <c r="J306" s="436">
        <v>2990.0</v>
      </c>
      <c r="K306" s="436"/>
      <c r="L306" s="436" t="s">
        <v>353</v>
      </c>
      <c r="M306" s="439"/>
      <c r="N306" s="422">
        <v>13.86</v>
      </c>
      <c r="O306" s="422">
        <v>12.266</v>
      </c>
      <c r="P306" s="422">
        <v>20.06</v>
      </c>
      <c r="Q306" s="436" t="s">
        <v>2194</v>
      </c>
      <c r="R306" s="436" t="s">
        <v>2195</v>
      </c>
      <c r="S306" s="436" t="s">
        <v>2196</v>
      </c>
      <c r="T306" s="436" t="s">
        <v>596</v>
      </c>
      <c r="U306" s="436" t="s">
        <v>597</v>
      </c>
      <c r="V306" s="451"/>
      <c r="W306" s="468"/>
      <c r="X306" s="436"/>
      <c r="Y306" s="442" t="str">
        <f>IF((W306/((J306/5780)^4))^0.5&gt;0,(W306/((J306/5780)^4))^0.5,"")</f>
        <v/>
      </c>
      <c r="Z306" s="469"/>
      <c r="AA306" s="470">
        <v>0.62</v>
      </c>
      <c r="AB306" s="470"/>
      <c r="AC306" s="436" t="str">
        <f>IF(ISNUMBER(VLOOKUP(B306,'New Masses'!A:C,3,FALSE)),VLOOKUP(B306,'New Masses'!A:C,3,FALSE),"")</f>
        <v/>
      </c>
      <c r="AD306" s="440">
        <f>10^AE306</f>
        <v>0.0000000001</v>
      </c>
      <c r="AE306" s="436">
        <v>-10.0</v>
      </c>
      <c r="AF306" s="436"/>
      <c r="AG306" s="459">
        <v>0.08</v>
      </c>
      <c r="AH306" s="436"/>
      <c r="AI306" s="446" t="str">
        <f>IF(ISNUMBER(VLOOKUP(B306,'New Masses'!A:C,2, FALSE)),VLOOKUP(B306,'New Masses'!A:C,2, FALSE),"")</f>
        <v/>
      </c>
      <c r="AJ306" s="436"/>
      <c r="AK306" s="436"/>
      <c r="AL306" s="436"/>
      <c r="AM306" s="436"/>
      <c r="AN306" s="436">
        <v>2.0</v>
      </c>
      <c r="AO306" s="436"/>
      <c r="AP306" s="436"/>
      <c r="AQ306" s="436"/>
      <c r="AR306" s="438"/>
      <c r="AS306" s="438"/>
      <c r="AT306" s="438"/>
      <c r="AU306" s="438" t="s">
        <v>629</v>
      </c>
      <c r="AV306" s="438"/>
      <c r="AW306" s="450">
        <v>204.22333864314</v>
      </c>
    </row>
    <row r="307">
      <c r="A307" s="435" t="str">
        <f t="shared" ref="A307:C307" si="283">#REF!</f>
        <v>#REF!</v>
      </c>
      <c r="B307" s="485" t="str">
        <f t="shared" si="283"/>
        <v>#REF!</v>
      </c>
      <c r="C307" s="486" t="str">
        <f t="shared" si="283"/>
        <v>#REF!</v>
      </c>
      <c r="D307" s="486"/>
      <c r="E307" s="486"/>
      <c r="F307" s="528"/>
      <c r="G307" s="486"/>
      <c r="H307" s="486" t="s">
        <v>5917</v>
      </c>
      <c r="I307" s="491"/>
      <c r="J307" s="491"/>
      <c r="K307" s="491"/>
      <c r="L307" s="491"/>
      <c r="M307" s="486"/>
      <c r="N307" s="422"/>
      <c r="O307" s="422"/>
      <c r="P307" s="422"/>
      <c r="Q307" s="486"/>
      <c r="R307" s="491"/>
      <c r="S307" s="491"/>
      <c r="T307" s="491"/>
      <c r="U307" s="491"/>
      <c r="V307" s="491"/>
      <c r="W307" s="493"/>
      <c r="X307" s="486"/>
      <c r="Y307" s="442"/>
      <c r="Z307" s="491"/>
      <c r="AA307" s="524" t="str">
        <f>#REF!</f>
        <v>#REF!</v>
      </c>
      <c r="AB307" s="494"/>
      <c r="AC307" s="436"/>
      <c r="AD307" s="495"/>
      <c r="AE307" s="491"/>
      <c r="AF307" s="491"/>
      <c r="AG307" s="525" t="str">
        <f>#REF!</f>
        <v>#REF!</v>
      </c>
      <c r="AH307" s="491"/>
      <c r="AI307" s="446"/>
      <c r="AJ307" s="491"/>
      <c r="AK307" s="500"/>
      <c r="AL307" s="436"/>
      <c r="AM307" s="438"/>
      <c r="AN307" s="531"/>
      <c r="AO307" s="491"/>
      <c r="AP307" s="438"/>
      <c r="AQ307" s="438"/>
      <c r="AR307" s="438"/>
      <c r="AS307" s="438"/>
      <c r="AT307" s="438"/>
      <c r="AU307" s="438"/>
      <c r="AV307" s="438"/>
      <c r="AW307" s="450" t="str">
        <f>#REF!</f>
        <v>#REF!</v>
      </c>
    </row>
    <row r="308">
      <c r="A308" s="419" t="s">
        <v>1952</v>
      </c>
      <c r="B308" s="436" t="s">
        <v>1953</v>
      </c>
      <c r="C308" s="436"/>
      <c r="D308" s="436" t="s">
        <v>676</v>
      </c>
      <c r="E308" s="436"/>
      <c r="F308" s="436" t="s">
        <v>2358</v>
      </c>
      <c r="G308" s="436" t="s">
        <v>189</v>
      </c>
      <c r="H308" s="436" t="s">
        <v>598</v>
      </c>
      <c r="I308" s="467">
        <v>37985.0</v>
      </c>
      <c r="J308" s="436">
        <v>3430.0</v>
      </c>
      <c r="K308" s="436"/>
      <c r="L308" s="436" t="s">
        <v>1285</v>
      </c>
      <c r="M308" s="439"/>
      <c r="N308" s="422">
        <v>10.203</v>
      </c>
      <c r="O308" s="422">
        <v>9.233</v>
      </c>
      <c r="P308" s="422">
        <v>13.98</v>
      </c>
      <c r="Q308" s="436" t="s">
        <v>2194</v>
      </c>
      <c r="R308" s="436" t="s">
        <v>2195</v>
      </c>
      <c r="S308" s="436" t="s">
        <v>2196</v>
      </c>
      <c r="T308" s="436" t="s">
        <v>596</v>
      </c>
      <c r="U308" s="436" t="s">
        <v>597</v>
      </c>
      <c r="V308" s="451"/>
      <c r="W308" s="468"/>
      <c r="X308" s="436"/>
      <c r="Y308" s="442" t="str">
        <f>IF((W308/((J308/5780)^4))^0.5&gt;0,(W308/((J308/5780)^4))^0.5,"")</f>
        <v/>
      </c>
      <c r="Z308" s="469"/>
      <c r="AA308" s="470">
        <v>1.7</v>
      </c>
      <c r="AB308" s="470"/>
      <c r="AC308" s="436" t="str">
        <f>IF(ISNUMBER(VLOOKUP(B308,'New Masses'!A:C,3,FALSE)),VLOOKUP(B308,'New Masses'!A:C,3,FALSE),"")</f>
        <v/>
      </c>
      <c r="AD308" s="440"/>
      <c r="AE308" s="436"/>
      <c r="AF308" s="436"/>
      <c r="AG308" s="459">
        <v>0.44</v>
      </c>
      <c r="AH308" s="436"/>
      <c r="AI308" s="446" t="str">
        <f>IF(ISNUMBER(VLOOKUP(B308,'New Masses'!A:C,2, FALSE)),VLOOKUP(B308,'New Masses'!A:C,2, FALSE),"")</f>
        <v/>
      </c>
      <c r="AJ308" s="436"/>
      <c r="AK308" s="436"/>
      <c r="AL308" s="436"/>
      <c r="AM308" s="436"/>
      <c r="AN308" s="436">
        <v>2.0</v>
      </c>
      <c r="AO308" s="436"/>
      <c r="AP308" s="436"/>
      <c r="AQ308" s="438"/>
      <c r="AR308" s="438"/>
      <c r="AS308" s="438"/>
      <c r="AT308" s="438"/>
      <c r="AU308" s="438"/>
      <c r="AV308" s="438"/>
      <c r="AW308" s="450"/>
    </row>
    <row r="309">
      <c r="A309" s="435" t="str">
        <f t="shared" ref="A309:C309" si="284">#REF!</f>
        <v>#REF!</v>
      </c>
      <c r="B309" s="485" t="str">
        <f t="shared" si="284"/>
        <v>#REF!</v>
      </c>
      <c r="C309" s="486" t="str">
        <f t="shared" si="284"/>
        <v>#REF!</v>
      </c>
      <c r="D309" s="486"/>
      <c r="E309" s="486"/>
      <c r="F309" s="528"/>
      <c r="G309" s="486"/>
      <c r="H309" s="486" t="s">
        <v>5917</v>
      </c>
      <c r="I309" s="491"/>
      <c r="J309" s="491"/>
      <c r="K309" s="491"/>
      <c r="L309" s="491"/>
      <c r="M309" s="486"/>
      <c r="N309" s="422"/>
      <c r="O309" s="422"/>
      <c r="P309" s="422"/>
      <c r="Q309" s="486"/>
      <c r="R309" s="491"/>
      <c r="S309" s="491"/>
      <c r="T309" s="491"/>
      <c r="U309" s="491"/>
      <c r="V309" s="491"/>
      <c r="W309" s="493"/>
      <c r="X309" s="486"/>
      <c r="Y309" s="442"/>
      <c r="Z309" s="491"/>
      <c r="AA309" s="524" t="str">
        <f>#REF!</f>
        <v>#REF!</v>
      </c>
      <c r="AB309" s="494"/>
      <c r="AC309" s="436"/>
      <c r="AD309" s="495"/>
      <c r="AE309" s="491"/>
      <c r="AF309" s="491"/>
      <c r="AG309" s="525" t="str">
        <f>#REF!</f>
        <v>#REF!</v>
      </c>
      <c r="AH309" s="491"/>
      <c r="AI309" s="446"/>
      <c r="AJ309" s="491"/>
      <c r="AK309" s="500"/>
      <c r="AL309" s="436"/>
      <c r="AM309" s="438"/>
      <c r="AN309" s="531"/>
      <c r="AO309" s="491"/>
      <c r="AP309" s="438"/>
      <c r="AQ309" s="438"/>
      <c r="AR309" s="438"/>
      <c r="AS309" s="438"/>
      <c r="AT309" s="438"/>
      <c r="AU309" s="438"/>
      <c r="AV309" s="438"/>
      <c r="AW309" s="450" t="str">
        <f>#REF!</f>
        <v>#REF!</v>
      </c>
    </row>
    <row r="310">
      <c r="A310" s="419" t="s">
        <v>681</v>
      </c>
      <c r="B310" s="419" t="s">
        <v>681</v>
      </c>
      <c r="C310" s="436"/>
      <c r="D310" s="436" t="s">
        <v>676</v>
      </c>
      <c r="E310" s="436"/>
      <c r="F310" s="436" t="s">
        <v>2359</v>
      </c>
      <c r="G310" s="436" t="s">
        <v>159</v>
      </c>
      <c r="H310" s="436" t="s">
        <v>598</v>
      </c>
      <c r="I310" s="467">
        <v>37985.0</v>
      </c>
      <c r="J310" s="436">
        <v>3024.0</v>
      </c>
      <c r="K310" s="436"/>
      <c r="L310" s="436" t="s">
        <v>270</v>
      </c>
      <c r="M310" s="439"/>
      <c r="N310" s="422">
        <v>13.51</v>
      </c>
      <c r="O310" s="422">
        <v>12.622</v>
      </c>
      <c r="P310" s="422"/>
      <c r="Q310" s="436" t="s">
        <v>2194</v>
      </c>
      <c r="R310" s="436" t="s">
        <v>2195</v>
      </c>
      <c r="S310" s="436" t="s">
        <v>2196</v>
      </c>
      <c r="T310" s="436" t="s">
        <v>596</v>
      </c>
      <c r="U310" s="436" t="s">
        <v>597</v>
      </c>
      <c r="V310" s="451"/>
      <c r="W310" s="468"/>
      <c r="X310" s="436"/>
      <c r="Y310" s="442" t="str">
        <f>IF((W310/((J310/5780)^4))^0.5&gt;0,(W310/((J310/5780)^4))^0.5,"")</f>
        <v/>
      </c>
      <c r="Z310" s="469"/>
      <c r="AA310" s="470">
        <v>0.42</v>
      </c>
      <c r="AB310" s="470"/>
      <c r="AC310" s="436" t="str">
        <f>IF(ISNUMBER(VLOOKUP(B310,'New Masses'!A:C,3,FALSE)),VLOOKUP(B310,'New Masses'!A:C,3,FALSE),"")</f>
        <v/>
      </c>
      <c r="AD310" s="440">
        <f>10^AE310</f>
        <v>0</v>
      </c>
      <c r="AE310" s="436">
        <v>-12.0</v>
      </c>
      <c r="AF310" s="436"/>
      <c r="AG310" s="459">
        <v>0.08</v>
      </c>
      <c r="AH310" s="436"/>
      <c r="AI310" s="446" t="str">
        <f>IF(ISNUMBER(VLOOKUP(B310,'New Masses'!A:C,2, FALSE)),VLOOKUP(B310,'New Masses'!A:C,2, FALSE),"")</f>
        <v/>
      </c>
      <c r="AJ310" s="436"/>
      <c r="AK310" s="436"/>
      <c r="AL310" s="436"/>
      <c r="AM310" s="436"/>
      <c r="AN310" s="436">
        <v>2.0</v>
      </c>
      <c r="AO310" s="436"/>
      <c r="AP310" s="436"/>
      <c r="AQ310" s="436"/>
      <c r="AR310" s="438"/>
      <c r="AS310" s="438"/>
      <c r="AT310" s="438" t="s">
        <v>5916</v>
      </c>
      <c r="AU310" s="438" t="s">
        <v>629</v>
      </c>
      <c r="AV310" s="438"/>
      <c r="AW310" s="450">
        <v>160.348919248284</v>
      </c>
    </row>
    <row r="311">
      <c r="A311" s="435" t="str">
        <f t="shared" ref="A311:C311" si="285">#REF!</f>
        <v>#REF!</v>
      </c>
      <c r="B311" s="485" t="str">
        <f t="shared" si="285"/>
        <v>#REF!</v>
      </c>
      <c r="C311" s="486" t="str">
        <f t="shared" si="285"/>
        <v>#REF!</v>
      </c>
      <c r="D311" s="486"/>
      <c r="E311" s="486"/>
      <c r="F311" s="528"/>
      <c r="G311" s="486"/>
      <c r="H311" s="486" t="s">
        <v>5917</v>
      </c>
      <c r="I311" s="491"/>
      <c r="J311" s="491"/>
      <c r="K311" s="491"/>
      <c r="L311" s="491"/>
      <c r="M311" s="486"/>
      <c r="N311" s="422"/>
      <c r="O311" s="422"/>
      <c r="P311" s="422"/>
      <c r="Q311" s="486"/>
      <c r="R311" s="491"/>
      <c r="S311" s="491"/>
      <c r="T311" s="491"/>
      <c r="U311" s="491"/>
      <c r="V311" s="491"/>
      <c r="W311" s="493"/>
      <c r="X311" s="486"/>
      <c r="Y311" s="442"/>
      <c r="Z311" s="491"/>
      <c r="AA311" s="524" t="str">
        <f>#REF!</f>
        <v>#REF!</v>
      </c>
      <c r="AB311" s="494"/>
      <c r="AC311" s="436"/>
      <c r="AD311" s="495"/>
      <c r="AE311" s="491"/>
      <c r="AF311" s="491"/>
      <c r="AG311" s="525" t="str">
        <f>#REF!</f>
        <v>#REF!</v>
      </c>
      <c r="AH311" s="491"/>
      <c r="AI311" s="446"/>
      <c r="AJ311" s="491"/>
      <c r="AK311" s="500"/>
      <c r="AL311" s="436"/>
      <c r="AM311" s="438"/>
      <c r="AN311" s="531"/>
      <c r="AO311" s="491"/>
      <c r="AP311" s="438"/>
      <c r="AQ311" s="438"/>
      <c r="AR311" s="438"/>
      <c r="AS311" s="438"/>
      <c r="AT311" s="438"/>
      <c r="AU311" s="438"/>
      <c r="AV311" s="438"/>
      <c r="AW311" s="450" t="str">
        <f>#REF!</f>
        <v>#REF!</v>
      </c>
    </row>
    <row r="312">
      <c r="A312" s="419" t="s">
        <v>222</v>
      </c>
      <c r="B312" s="419" t="s">
        <v>222</v>
      </c>
      <c r="C312" s="421" t="s">
        <v>223</v>
      </c>
      <c r="D312" s="420" t="s">
        <v>199</v>
      </c>
      <c r="E312" s="420"/>
      <c r="F312" s="421" t="s">
        <v>2360</v>
      </c>
      <c r="G312" s="420"/>
      <c r="H312" s="420" t="s">
        <v>225</v>
      </c>
      <c r="I312" s="467">
        <v>39120.0</v>
      </c>
      <c r="J312" s="436">
        <v>2550.0</v>
      </c>
      <c r="K312" s="420"/>
      <c r="L312" s="420" t="s">
        <v>318</v>
      </c>
      <c r="M312" s="422">
        <v>0.5</v>
      </c>
      <c r="N312" s="422">
        <v>12.995</v>
      </c>
      <c r="O312" s="422">
        <v>11.945</v>
      </c>
      <c r="P312" s="422">
        <v>17.99</v>
      </c>
      <c r="Q312" s="420" t="s">
        <v>2239</v>
      </c>
      <c r="R312" s="420" t="s">
        <v>2240</v>
      </c>
      <c r="S312" s="420" t="s">
        <v>307</v>
      </c>
      <c r="T312" s="420" t="s">
        <v>293</v>
      </c>
      <c r="U312" s="420" t="s">
        <v>294</v>
      </c>
      <c r="V312" s="440"/>
      <c r="W312" s="468"/>
      <c r="X312" s="436"/>
      <c r="Y312" s="442" t="str">
        <f t="shared" ref="Y312:Y316" si="286">IF((W312/((J312/5780)^4))^0.5&gt;0,(W312/((J312/5780)^4))^0.5,"")</f>
        <v/>
      </c>
      <c r="Z312" s="469"/>
      <c r="AA312" s="470">
        <v>0.24</v>
      </c>
      <c r="AB312" s="426"/>
      <c r="AC312" s="436" t="str">
        <f>IF(ISNUMBER(VLOOKUP(B312,'New Masses'!A:C,3,FALSE)),VLOOKUP(B312,'New Masses'!A:C,3,FALSE),"")</f>
        <v/>
      </c>
      <c r="AD312" s="451">
        <f>0.023*10^-10</f>
        <v>0</v>
      </c>
      <c r="AE312" s="618">
        <f t="shared" ref="AE312:AE313" si="287">log10(AD312)</f>
        <v>-11.63827216</v>
      </c>
      <c r="AF312" s="438"/>
      <c r="AG312" s="459">
        <v>0.024</v>
      </c>
      <c r="AH312" s="421">
        <v>0.01</v>
      </c>
      <c r="AI312" s="446" t="str">
        <f>IF(ISNUMBER(VLOOKUP(B312,'New Masses'!A:C,2, FALSE)),VLOOKUP(B312,'New Masses'!A:C,2, FALSE),"")</f>
        <v/>
      </c>
      <c r="AJ312" s="420"/>
      <c r="AK312" s="420"/>
      <c r="AL312" s="436">
        <f>log10(0.0000061)</f>
        <v>-5.214670165</v>
      </c>
      <c r="AM312" s="438"/>
      <c r="AN312" s="436">
        <v>10.0</v>
      </c>
      <c r="AO312" s="438"/>
      <c r="AP312" s="437">
        <v>0.0</v>
      </c>
      <c r="AQ312" s="438"/>
      <c r="AR312" s="438" t="s">
        <v>2349</v>
      </c>
      <c r="AS312" s="438"/>
      <c r="AT312" s="438"/>
      <c r="AU312" s="438"/>
      <c r="AV312" s="438"/>
      <c r="AW312" s="450">
        <v>64.0</v>
      </c>
    </row>
    <row r="313">
      <c r="A313" s="419" t="s">
        <v>222</v>
      </c>
      <c r="B313" s="419" t="s">
        <v>222</v>
      </c>
      <c r="C313" s="421" t="s">
        <v>223</v>
      </c>
      <c r="D313" s="420" t="s">
        <v>199</v>
      </c>
      <c r="E313" s="420"/>
      <c r="F313" s="421" t="s">
        <v>2360</v>
      </c>
      <c r="G313" s="420"/>
      <c r="H313" s="420" t="s">
        <v>225</v>
      </c>
      <c r="I313" s="467">
        <v>39044.0</v>
      </c>
      <c r="J313" s="436">
        <v>2550.0</v>
      </c>
      <c r="K313" s="420"/>
      <c r="L313" s="420" t="s">
        <v>318</v>
      </c>
      <c r="M313" s="422">
        <v>0.5</v>
      </c>
      <c r="N313" s="422">
        <v>12.995</v>
      </c>
      <c r="O313" s="422">
        <v>11.945</v>
      </c>
      <c r="P313" s="422">
        <v>17.99</v>
      </c>
      <c r="Q313" s="420" t="s">
        <v>2239</v>
      </c>
      <c r="R313" s="420" t="s">
        <v>2240</v>
      </c>
      <c r="S313" s="420" t="s">
        <v>307</v>
      </c>
      <c r="T313" s="420" t="s">
        <v>293</v>
      </c>
      <c r="U313" s="420" t="s">
        <v>294</v>
      </c>
      <c r="V313" s="440"/>
      <c r="W313" s="468"/>
      <c r="X313" s="436"/>
      <c r="Y313" s="442" t="str">
        <f t="shared" si="286"/>
        <v/>
      </c>
      <c r="Z313" s="469"/>
      <c r="AA313" s="470">
        <v>0.24</v>
      </c>
      <c r="AB313" s="426"/>
      <c r="AC313" s="436" t="str">
        <f>IF(ISNUMBER(VLOOKUP(B313,'New Masses'!A:C,3,FALSE)),VLOOKUP(B313,'New Masses'!A:C,3,FALSE),"")</f>
        <v/>
      </c>
      <c r="AD313" s="451">
        <v>1.7E-12</v>
      </c>
      <c r="AE313" s="618">
        <f t="shared" si="287"/>
        <v>-11.76955108</v>
      </c>
      <c r="AF313" s="438"/>
      <c r="AG313" s="459">
        <v>0.024</v>
      </c>
      <c r="AH313" s="421">
        <v>0.01</v>
      </c>
      <c r="AI313" s="446" t="str">
        <f>IF(ISNUMBER(VLOOKUP(B313,'New Masses'!A:C,2, FALSE)),VLOOKUP(B313,'New Masses'!A:C,2, FALSE),"")</f>
        <v/>
      </c>
      <c r="AJ313" s="420"/>
      <c r="AK313" s="420"/>
      <c r="AL313" s="436">
        <f>log10(0.0000044)</f>
        <v>-5.356547324</v>
      </c>
      <c r="AM313" s="438"/>
      <c r="AN313" s="436">
        <v>10.0</v>
      </c>
      <c r="AO313" s="438"/>
      <c r="AP313" s="437">
        <v>0.0</v>
      </c>
      <c r="AQ313" s="438"/>
      <c r="AR313" s="438" t="s">
        <v>2349</v>
      </c>
      <c r="AS313" s="438"/>
      <c r="AT313" s="438"/>
      <c r="AU313" s="438"/>
      <c r="AV313" s="438"/>
      <c r="AW313" s="450">
        <v>64.0</v>
      </c>
    </row>
    <row r="314">
      <c r="A314" s="419" t="s">
        <v>222</v>
      </c>
      <c r="B314" s="419" t="s">
        <v>222</v>
      </c>
      <c r="C314" s="421" t="s">
        <v>223</v>
      </c>
      <c r="D314" s="420" t="s">
        <v>224</v>
      </c>
      <c r="E314" s="420"/>
      <c r="F314" s="420" t="s">
        <v>2361</v>
      </c>
      <c r="G314" s="420" t="s">
        <v>169</v>
      </c>
      <c r="H314" s="420" t="s">
        <v>306</v>
      </c>
      <c r="I314" s="467">
        <v>39596.0</v>
      </c>
      <c r="J314" s="436">
        <v>2632.0</v>
      </c>
      <c r="K314" s="420"/>
      <c r="L314" s="420" t="s">
        <v>221</v>
      </c>
      <c r="M314" s="429"/>
      <c r="N314" s="422">
        <v>12.995</v>
      </c>
      <c r="O314" s="422">
        <v>11.945</v>
      </c>
      <c r="P314" s="422">
        <v>17.99</v>
      </c>
      <c r="Q314" s="420" t="s">
        <v>2239</v>
      </c>
      <c r="R314" s="420" t="s">
        <v>2240</v>
      </c>
      <c r="S314" s="420" t="s">
        <v>307</v>
      </c>
      <c r="T314" s="420" t="s">
        <v>293</v>
      </c>
      <c r="U314" s="420" t="s">
        <v>294</v>
      </c>
      <c r="V314" s="440"/>
      <c r="W314" s="468"/>
      <c r="X314" s="436"/>
      <c r="Y314" s="442" t="str">
        <f t="shared" si="286"/>
        <v/>
      </c>
      <c r="Z314" s="469"/>
      <c r="AA314" s="470">
        <v>0.21</v>
      </c>
      <c r="AB314" s="426"/>
      <c r="AC314" s="436" t="str">
        <f>IF(ISNUMBER(VLOOKUP(B314,'New Masses'!A:C,3,FALSE)),VLOOKUP(B314,'New Masses'!A:C,3,FALSE),"")</f>
        <v/>
      </c>
      <c r="AD314" s="451">
        <f>10^(AE314)</f>
        <v>0</v>
      </c>
      <c r="AE314" s="436">
        <v>-11.9</v>
      </c>
      <c r="AF314" s="438"/>
      <c r="AG314" s="459">
        <v>0.035</v>
      </c>
      <c r="AH314" s="420"/>
      <c r="AI314" s="446" t="str">
        <f>IF(ISNUMBER(VLOOKUP(B314,'New Masses'!A:C,2, FALSE)),VLOOKUP(B314,'New Masses'!A:C,2, FALSE),"")</f>
        <v/>
      </c>
      <c r="AJ314" s="420"/>
      <c r="AK314" s="420"/>
      <c r="AL314" s="436">
        <v>-5.3</v>
      </c>
      <c r="AM314" s="438"/>
      <c r="AN314" s="436">
        <v>8.0</v>
      </c>
      <c r="AO314" s="438"/>
      <c r="AP314" s="436">
        <v>0.0</v>
      </c>
      <c r="AQ314" s="438"/>
      <c r="AR314" s="420" t="s">
        <v>2241</v>
      </c>
      <c r="AS314" s="420"/>
      <c r="AT314" s="438"/>
      <c r="AU314" s="438"/>
      <c r="AV314" s="438"/>
      <c r="AW314" s="450">
        <v>64.0</v>
      </c>
    </row>
    <row r="315">
      <c r="A315" s="419" t="s">
        <v>222</v>
      </c>
      <c r="B315" s="421" t="s">
        <v>223</v>
      </c>
      <c r="C315" s="420"/>
      <c r="D315" s="420" t="s">
        <v>224</v>
      </c>
      <c r="E315" s="420"/>
      <c r="F315" s="420" t="s">
        <v>2361</v>
      </c>
      <c r="G315" s="420" t="s">
        <v>189</v>
      </c>
      <c r="H315" s="420" t="s">
        <v>201</v>
      </c>
      <c r="I315" s="420" t="s">
        <v>2207</v>
      </c>
      <c r="J315" s="436">
        <v>2700.0</v>
      </c>
      <c r="K315" s="438"/>
      <c r="L315" s="420" t="s">
        <v>227</v>
      </c>
      <c r="M315" s="429"/>
      <c r="N315" s="422">
        <v>12.995</v>
      </c>
      <c r="O315" s="422">
        <v>11.945</v>
      </c>
      <c r="P315" s="422">
        <v>17.99</v>
      </c>
      <c r="Q315" s="420" t="s">
        <v>2208</v>
      </c>
      <c r="R315" s="438" t="s">
        <v>2209</v>
      </c>
      <c r="S315" s="420" t="s">
        <v>2196</v>
      </c>
      <c r="T315" s="454" t="s">
        <v>162</v>
      </c>
      <c r="U315" s="420" t="s">
        <v>2210</v>
      </c>
      <c r="V315" s="438">
        <v>4.2</v>
      </c>
      <c r="W315" s="458"/>
      <c r="X315" s="438"/>
      <c r="Y315" s="442" t="str">
        <f t="shared" si="286"/>
        <v/>
      </c>
      <c r="Z315" s="442"/>
      <c r="AA315" s="443"/>
      <c r="AB315" s="443"/>
      <c r="AC315" s="469">
        <f>IF(ISNUMBER(VLOOKUP(B315,'New Masses'!A:C,3,FALSE)),VLOOKUP(B315,'New Masses'!A:C,3,FALSE),"")</f>
        <v>0.31275</v>
      </c>
      <c r="AD315" s="423">
        <f t="shared" ref="AD315:AD316" si="288">10^AE315</f>
        <v>0</v>
      </c>
      <c r="AE315" s="420">
        <v>-10.9</v>
      </c>
      <c r="AF315" s="438"/>
      <c r="AG315" s="459">
        <v>0.035</v>
      </c>
      <c r="AH315" s="438"/>
      <c r="AI315" s="446">
        <f>IF(ISNUMBER(VLOOKUP(B315,'New Masses'!A:C,2, FALSE)),VLOOKUP(B315,'New Masses'!A:C,2, FALSE),"")</f>
        <v>0.027097</v>
      </c>
      <c r="AJ315" s="438"/>
      <c r="AK315" s="438"/>
      <c r="AL315" s="438"/>
      <c r="AM315" s="438"/>
      <c r="AN315" s="436">
        <v>8.0</v>
      </c>
      <c r="AO315" s="438"/>
      <c r="AP315" s="436">
        <v>0.0</v>
      </c>
      <c r="AQ315" s="420"/>
      <c r="AR315" s="420" t="s">
        <v>2241</v>
      </c>
      <c r="AS315" s="420"/>
      <c r="AT315" s="420" t="s">
        <v>5916</v>
      </c>
      <c r="AU315" s="436" t="s">
        <v>229</v>
      </c>
      <c r="AV315" s="420" t="s">
        <v>2362</v>
      </c>
      <c r="AW315" s="450">
        <v>64.0</v>
      </c>
    </row>
    <row r="316">
      <c r="A316" s="419" t="s">
        <v>222</v>
      </c>
      <c r="B316" s="421" t="s">
        <v>223</v>
      </c>
      <c r="C316" s="420"/>
      <c r="D316" s="420" t="s">
        <v>224</v>
      </c>
      <c r="E316" s="420"/>
      <c r="F316" s="420" t="s">
        <v>2361</v>
      </c>
      <c r="G316" s="420" t="s">
        <v>189</v>
      </c>
      <c r="H316" s="420" t="s">
        <v>201</v>
      </c>
      <c r="I316" s="420" t="s">
        <v>2207</v>
      </c>
      <c r="J316" s="436">
        <v>2700.0</v>
      </c>
      <c r="K316" s="438"/>
      <c r="L316" s="420" t="s">
        <v>227</v>
      </c>
      <c r="M316" s="429"/>
      <c r="N316" s="422">
        <v>12.995</v>
      </c>
      <c r="O316" s="422">
        <v>11.945</v>
      </c>
      <c r="P316" s="422">
        <v>17.99</v>
      </c>
      <c r="Q316" s="420" t="s">
        <v>2208</v>
      </c>
      <c r="R316" s="438" t="s">
        <v>2209</v>
      </c>
      <c r="S316" s="420" t="s">
        <v>2196</v>
      </c>
      <c r="T316" s="454" t="s">
        <v>162</v>
      </c>
      <c r="U316" s="420" t="s">
        <v>2210</v>
      </c>
      <c r="V316" s="438">
        <v>4.2</v>
      </c>
      <c r="W316" s="458"/>
      <c r="X316" s="438"/>
      <c r="Y316" s="442" t="str">
        <f t="shared" si="286"/>
        <v/>
      </c>
      <c r="Z316" s="442"/>
      <c r="AA316" s="443"/>
      <c r="AB316" s="443"/>
      <c r="AC316" s="469">
        <f>IF(ISNUMBER(VLOOKUP(B316,'New Masses'!A:C,3,FALSE)),VLOOKUP(B316,'New Masses'!A:C,3,FALSE),"")</f>
        <v>0.31275</v>
      </c>
      <c r="AD316" s="423">
        <f t="shared" si="288"/>
        <v>0</v>
      </c>
      <c r="AE316" s="438">
        <v>-11.1</v>
      </c>
      <c r="AF316" s="438"/>
      <c r="AG316" s="459">
        <v>0.035</v>
      </c>
      <c r="AH316" s="438"/>
      <c r="AI316" s="446" t="str">
        <f>IF(ISNUMBER(VLOOKUP(A316,'New Masses'!A:C,2, FALSE)),VLOOKUP(A316,'New Masses'!A:C,2, FALSE),"")</f>
        <v/>
      </c>
      <c r="AJ316" s="438"/>
      <c r="AK316" s="438"/>
      <c r="AL316" s="438"/>
      <c r="AM316" s="438"/>
      <c r="AN316" s="436">
        <v>8.0</v>
      </c>
      <c r="AO316" s="438"/>
      <c r="AP316" s="436">
        <v>0.0</v>
      </c>
      <c r="AQ316" s="420"/>
      <c r="AR316" s="420" t="s">
        <v>2241</v>
      </c>
      <c r="AS316" s="420"/>
      <c r="AT316" s="420" t="s">
        <v>5916</v>
      </c>
      <c r="AU316" s="436" t="s">
        <v>228</v>
      </c>
      <c r="AV316" s="436" t="s">
        <v>2362</v>
      </c>
      <c r="AW316" s="450">
        <v>64.0</v>
      </c>
    </row>
    <row r="317">
      <c r="A317" s="435" t="str">
        <f t="shared" ref="A317:C317" si="289">#REF!</f>
        <v>#REF!</v>
      </c>
      <c r="B317" s="485" t="str">
        <f t="shared" si="289"/>
        <v>#REF!</v>
      </c>
      <c r="C317" s="486" t="str">
        <f t="shared" si="289"/>
        <v>#REF!</v>
      </c>
      <c r="D317" s="486"/>
      <c r="E317" s="486"/>
      <c r="F317" s="528"/>
      <c r="G317" s="486"/>
      <c r="H317" s="486" t="s">
        <v>5917</v>
      </c>
      <c r="I317" s="491"/>
      <c r="J317" s="491"/>
      <c r="K317" s="491"/>
      <c r="L317" s="491"/>
      <c r="M317" s="486"/>
      <c r="N317" s="422"/>
      <c r="O317" s="422"/>
      <c r="P317" s="422"/>
      <c r="Q317" s="486"/>
      <c r="R317" s="491"/>
      <c r="S317" s="491"/>
      <c r="T317" s="491"/>
      <c r="U317" s="491"/>
      <c r="V317" s="491"/>
      <c r="W317" s="493"/>
      <c r="X317" s="486"/>
      <c r="Y317" s="442"/>
      <c r="Z317" s="491"/>
      <c r="AA317" s="524" t="str">
        <f t="shared" ref="AA317:AA321" si="291">#REF!</f>
        <v>#REF!</v>
      </c>
      <c r="AB317" s="494"/>
      <c r="AC317" s="436"/>
      <c r="AD317" s="495"/>
      <c r="AE317" s="491"/>
      <c r="AF317" s="491"/>
      <c r="AG317" s="525" t="str">
        <f t="shared" ref="AG317:AG321" si="292">#REF!</f>
        <v>#REF!</v>
      </c>
      <c r="AH317" s="491"/>
      <c r="AI317" s="446"/>
      <c r="AJ317" s="491"/>
      <c r="AK317" s="500"/>
      <c r="AL317" s="436"/>
      <c r="AM317" s="438"/>
      <c r="AN317" s="531"/>
      <c r="AO317" s="491"/>
      <c r="AP317" s="438"/>
      <c r="AQ317" s="438"/>
      <c r="AR317" s="438"/>
      <c r="AS317" s="438"/>
      <c r="AT317" s="438"/>
      <c r="AU317" s="438"/>
      <c r="AV317" s="438"/>
      <c r="AW317" s="450" t="str">
        <f t="shared" ref="AW317:AW321" si="293">#REF!</f>
        <v>#REF!</v>
      </c>
    </row>
    <row r="318">
      <c r="A318" s="435" t="str">
        <f t="shared" ref="A318:C318" si="290">#REF!</f>
        <v>#REF!</v>
      </c>
      <c r="B318" s="485" t="str">
        <f t="shared" si="290"/>
        <v>#REF!</v>
      </c>
      <c r="C318" s="486" t="str">
        <f t="shared" si="290"/>
        <v>#REF!</v>
      </c>
      <c r="D318" s="486"/>
      <c r="E318" s="486"/>
      <c r="F318" s="528"/>
      <c r="G318" s="486"/>
      <c r="H318" s="486" t="s">
        <v>5917</v>
      </c>
      <c r="I318" s="491"/>
      <c r="J318" s="491"/>
      <c r="K318" s="491"/>
      <c r="L318" s="491"/>
      <c r="M318" s="486"/>
      <c r="N318" s="422"/>
      <c r="O318" s="422"/>
      <c r="P318" s="422"/>
      <c r="Q318" s="486"/>
      <c r="R318" s="491"/>
      <c r="S318" s="491"/>
      <c r="T318" s="491"/>
      <c r="U318" s="491"/>
      <c r="V318" s="491"/>
      <c r="W318" s="493"/>
      <c r="X318" s="486"/>
      <c r="Y318" s="442"/>
      <c r="Z318" s="491"/>
      <c r="AA318" s="524" t="str">
        <f t="shared" si="291"/>
        <v>#REF!</v>
      </c>
      <c r="AB318" s="494"/>
      <c r="AC318" s="436"/>
      <c r="AD318" s="495"/>
      <c r="AE318" s="491"/>
      <c r="AF318" s="491"/>
      <c r="AG318" s="525" t="str">
        <f t="shared" si="292"/>
        <v>#REF!</v>
      </c>
      <c r="AH318" s="491"/>
      <c r="AI318" s="446"/>
      <c r="AJ318" s="491"/>
      <c r="AK318" s="500"/>
      <c r="AL318" s="436"/>
      <c r="AM318" s="438"/>
      <c r="AN318" s="531"/>
      <c r="AO318" s="491"/>
      <c r="AP318" s="438"/>
      <c r="AQ318" s="438"/>
      <c r="AR318" s="438"/>
      <c r="AS318" s="438"/>
      <c r="AT318" s="438"/>
      <c r="AU318" s="438"/>
      <c r="AV318" s="438"/>
      <c r="AW318" s="450" t="str">
        <f t="shared" si="293"/>
        <v>#REF!</v>
      </c>
    </row>
    <row r="319">
      <c r="A319" s="435" t="str">
        <f t="shared" ref="A319:C319" si="294">#REF!</f>
        <v>#REF!</v>
      </c>
      <c r="B319" s="485" t="str">
        <f t="shared" si="294"/>
        <v>#REF!</v>
      </c>
      <c r="C319" s="486" t="str">
        <f t="shared" si="294"/>
        <v>#REF!</v>
      </c>
      <c r="D319" s="486"/>
      <c r="E319" s="486"/>
      <c r="F319" s="528"/>
      <c r="G319" s="486"/>
      <c r="H319" s="486" t="s">
        <v>5917</v>
      </c>
      <c r="I319" s="491"/>
      <c r="J319" s="491"/>
      <c r="K319" s="491"/>
      <c r="L319" s="491"/>
      <c r="M319" s="486"/>
      <c r="N319" s="422"/>
      <c r="O319" s="422"/>
      <c r="P319" s="422"/>
      <c r="Q319" s="486"/>
      <c r="R319" s="491"/>
      <c r="S319" s="491"/>
      <c r="T319" s="491"/>
      <c r="U319" s="491"/>
      <c r="V319" s="491"/>
      <c r="W319" s="493"/>
      <c r="X319" s="486"/>
      <c r="Y319" s="442"/>
      <c r="Z319" s="491"/>
      <c r="AA319" s="524" t="str">
        <f t="shared" si="291"/>
        <v>#REF!</v>
      </c>
      <c r="AB319" s="494"/>
      <c r="AC319" s="436"/>
      <c r="AD319" s="495"/>
      <c r="AE319" s="491"/>
      <c r="AF319" s="491"/>
      <c r="AG319" s="525" t="str">
        <f t="shared" si="292"/>
        <v>#REF!</v>
      </c>
      <c r="AH319" s="491"/>
      <c r="AI319" s="446"/>
      <c r="AJ319" s="491"/>
      <c r="AK319" s="500"/>
      <c r="AL319" s="436"/>
      <c r="AM319" s="438"/>
      <c r="AN319" s="531"/>
      <c r="AO319" s="491"/>
      <c r="AP319" s="438"/>
      <c r="AQ319" s="438"/>
      <c r="AR319" s="438"/>
      <c r="AS319" s="438"/>
      <c r="AT319" s="438"/>
      <c r="AU319" s="438"/>
      <c r="AV319" s="438"/>
      <c r="AW319" s="450" t="str">
        <f t="shared" si="293"/>
        <v>#REF!</v>
      </c>
    </row>
    <row r="320">
      <c r="A320" s="435" t="str">
        <f t="shared" ref="A320:C320" si="295">#REF!</f>
        <v>#REF!</v>
      </c>
      <c r="B320" s="485" t="str">
        <f t="shared" si="295"/>
        <v>#REF!</v>
      </c>
      <c r="C320" s="486" t="str">
        <f t="shared" si="295"/>
        <v>#REF!</v>
      </c>
      <c r="D320" s="486"/>
      <c r="E320" s="486"/>
      <c r="F320" s="528"/>
      <c r="G320" s="486"/>
      <c r="H320" s="486" t="s">
        <v>5917</v>
      </c>
      <c r="I320" s="491"/>
      <c r="J320" s="491"/>
      <c r="K320" s="491"/>
      <c r="L320" s="491"/>
      <c r="M320" s="486"/>
      <c r="N320" s="422"/>
      <c r="O320" s="422"/>
      <c r="P320" s="422"/>
      <c r="Q320" s="486"/>
      <c r="R320" s="491"/>
      <c r="S320" s="491"/>
      <c r="T320" s="491"/>
      <c r="U320" s="491"/>
      <c r="V320" s="491"/>
      <c r="W320" s="493"/>
      <c r="X320" s="486"/>
      <c r="Y320" s="442"/>
      <c r="Z320" s="491"/>
      <c r="AA320" s="524" t="str">
        <f t="shared" si="291"/>
        <v>#REF!</v>
      </c>
      <c r="AB320" s="494"/>
      <c r="AC320" s="436"/>
      <c r="AD320" s="495"/>
      <c r="AE320" s="491"/>
      <c r="AF320" s="491"/>
      <c r="AG320" s="525" t="str">
        <f t="shared" si="292"/>
        <v>#REF!</v>
      </c>
      <c r="AH320" s="491"/>
      <c r="AI320" s="446"/>
      <c r="AJ320" s="491"/>
      <c r="AK320" s="500"/>
      <c r="AL320" s="436"/>
      <c r="AM320" s="438"/>
      <c r="AN320" s="531"/>
      <c r="AO320" s="491"/>
      <c r="AP320" s="438"/>
      <c r="AQ320" s="438"/>
      <c r="AR320" s="438"/>
      <c r="AS320" s="438"/>
      <c r="AT320" s="438"/>
      <c r="AU320" s="438"/>
      <c r="AV320" s="438"/>
      <c r="AW320" s="450" t="str">
        <f t="shared" si="293"/>
        <v>#REF!</v>
      </c>
    </row>
    <row r="321">
      <c r="A321" s="435" t="str">
        <f t="shared" ref="A321:C321" si="296">#REF!</f>
        <v>#REF!</v>
      </c>
      <c r="B321" s="485" t="str">
        <f t="shared" si="296"/>
        <v>#REF!</v>
      </c>
      <c r="C321" s="486" t="str">
        <f t="shared" si="296"/>
        <v>#REF!</v>
      </c>
      <c r="D321" s="486"/>
      <c r="E321" s="486"/>
      <c r="F321" s="528"/>
      <c r="G321" s="486"/>
      <c r="H321" s="486" t="s">
        <v>5917</v>
      </c>
      <c r="I321" s="491"/>
      <c r="J321" s="491"/>
      <c r="K321" s="491"/>
      <c r="L321" s="491"/>
      <c r="M321" s="486"/>
      <c r="N321" s="422"/>
      <c r="O321" s="422"/>
      <c r="P321" s="422"/>
      <c r="Q321" s="486"/>
      <c r="R321" s="491"/>
      <c r="S321" s="491"/>
      <c r="T321" s="491"/>
      <c r="U321" s="491"/>
      <c r="V321" s="491"/>
      <c r="W321" s="493"/>
      <c r="X321" s="486"/>
      <c r="Y321" s="442"/>
      <c r="Z321" s="491"/>
      <c r="AA321" s="524" t="str">
        <f t="shared" si="291"/>
        <v>#REF!</v>
      </c>
      <c r="AB321" s="494"/>
      <c r="AC321" s="436"/>
      <c r="AD321" s="495"/>
      <c r="AE321" s="491"/>
      <c r="AF321" s="491"/>
      <c r="AG321" s="525" t="str">
        <f t="shared" si="292"/>
        <v>#REF!</v>
      </c>
      <c r="AH321" s="491"/>
      <c r="AI321" s="446"/>
      <c r="AJ321" s="491"/>
      <c r="AK321" s="500"/>
      <c r="AL321" s="436"/>
      <c r="AM321" s="438"/>
      <c r="AN321" s="531"/>
      <c r="AO321" s="491"/>
      <c r="AP321" s="438"/>
      <c r="AQ321" s="438"/>
      <c r="AR321" s="438"/>
      <c r="AS321" s="438"/>
      <c r="AT321" s="438"/>
      <c r="AU321" s="438"/>
      <c r="AV321" s="438"/>
      <c r="AW321" s="450" t="str">
        <f t="shared" si="293"/>
        <v>#REF!</v>
      </c>
    </row>
    <row r="322">
      <c r="A322" s="435" t="s">
        <v>482</v>
      </c>
      <c r="B322" s="451" t="s">
        <v>483</v>
      </c>
      <c r="C322" s="423"/>
      <c r="D322" s="423" t="s">
        <v>314</v>
      </c>
      <c r="E322" s="423"/>
      <c r="F322" s="428" t="s">
        <v>2363</v>
      </c>
      <c r="G322" s="423" t="s">
        <v>169</v>
      </c>
      <c r="H322" s="423" t="s">
        <v>476</v>
      </c>
      <c r="I322" s="436">
        <v>2015.0</v>
      </c>
      <c r="J322" s="451">
        <v>2940.0</v>
      </c>
      <c r="K322" s="423"/>
      <c r="L322" s="423" t="s">
        <v>217</v>
      </c>
      <c r="M322" s="422">
        <v>0.5</v>
      </c>
      <c r="N322" s="422">
        <v>14.66</v>
      </c>
      <c r="O322" s="422">
        <v>13.56</v>
      </c>
      <c r="P322" s="422"/>
      <c r="Q322" s="423" t="s">
        <v>2189</v>
      </c>
      <c r="R322" s="423" t="s">
        <v>2190</v>
      </c>
      <c r="S322" s="423" t="s">
        <v>2191</v>
      </c>
      <c r="T322" s="428" t="s">
        <v>162</v>
      </c>
      <c r="U322" s="423" t="s">
        <v>2192</v>
      </c>
      <c r="V322" s="423"/>
      <c r="W322" s="468"/>
      <c r="X322" s="436"/>
      <c r="Y322" s="442" t="str">
        <f>IF((W322/((J322/5780)^4))^0.5&gt;0,(W322/((J322/5780)^4))^0.5,"")</f>
        <v/>
      </c>
      <c r="Z322" s="469"/>
      <c r="AA322" s="470">
        <v>0.4</v>
      </c>
      <c r="AB322" s="470">
        <v>0.09</v>
      </c>
      <c r="AC322" s="469">
        <f>IF(ISNUMBER(VLOOKUP(B322,'New Masses'!A:C,3,FALSE)),VLOOKUP(B322,'New Masses'!A:C,3,FALSE),"")</f>
        <v>0.524545</v>
      </c>
      <c r="AD322" s="451">
        <f>10^AE322</f>
        <v>0</v>
      </c>
      <c r="AE322" s="451">
        <v>-11.2</v>
      </c>
      <c r="AF322" s="440"/>
      <c r="AG322" s="459">
        <v>0.07</v>
      </c>
      <c r="AH322" s="451">
        <v>0.01</v>
      </c>
      <c r="AI322" s="446">
        <f>IF(ISNUMBER(VLOOKUP(B322,'New Masses'!A:C,2, FALSE)),VLOOKUP(B322,'New Masses'!A:C,2, FALSE),"")</f>
        <v>0.045802</v>
      </c>
      <c r="AJ322" s="451">
        <f>LOG10(AG322)</f>
        <v>-1.15490196</v>
      </c>
      <c r="AK322" s="440"/>
      <c r="AL322" s="451">
        <v>-4.6</v>
      </c>
      <c r="AM322" s="466">
        <v>43900.0</v>
      </c>
      <c r="AN322" s="436">
        <v>3.0</v>
      </c>
      <c r="AO322" s="440"/>
      <c r="AP322" s="451">
        <v>0.0</v>
      </c>
      <c r="AQ322" s="440"/>
      <c r="AR322" s="420" t="s">
        <v>2364</v>
      </c>
      <c r="AS322" s="420"/>
      <c r="AT322" s="440"/>
      <c r="AU322" s="482" t="s">
        <v>2365</v>
      </c>
      <c r="AV322" s="440"/>
      <c r="AW322" s="450">
        <v>149.0</v>
      </c>
    </row>
    <row r="323">
      <c r="A323" s="435" t="str">
        <f t="shared" ref="A323:C323" si="297">#REF!</f>
        <v>#REF!</v>
      </c>
      <c r="B323" s="485" t="str">
        <f t="shared" si="297"/>
        <v>#REF!</v>
      </c>
      <c r="C323" s="486" t="str">
        <f t="shared" si="297"/>
        <v>#REF!</v>
      </c>
      <c r="D323" s="486"/>
      <c r="E323" s="486"/>
      <c r="F323" s="528"/>
      <c r="G323" s="486"/>
      <c r="H323" s="486" t="s">
        <v>5917</v>
      </c>
      <c r="I323" s="491"/>
      <c r="J323" s="491"/>
      <c r="K323" s="491"/>
      <c r="L323" s="491"/>
      <c r="M323" s="486"/>
      <c r="N323" s="422"/>
      <c r="O323" s="422"/>
      <c r="P323" s="422"/>
      <c r="Q323" s="486"/>
      <c r="R323" s="491"/>
      <c r="S323" s="491"/>
      <c r="T323" s="491"/>
      <c r="U323" s="491"/>
      <c r="V323" s="491"/>
      <c r="W323" s="493"/>
      <c r="X323" s="486"/>
      <c r="Y323" s="442"/>
      <c r="Z323" s="491"/>
      <c r="AA323" s="524" t="str">
        <f>#REF!</f>
        <v>#REF!</v>
      </c>
      <c r="AB323" s="494"/>
      <c r="AC323" s="436"/>
      <c r="AD323" s="495"/>
      <c r="AE323" s="491"/>
      <c r="AF323" s="491"/>
      <c r="AG323" s="525" t="str">
        <f>#REF!</f>
        <v>#REF!</v>
      </c>
      <c r="AH323" s="491"/>
      <c r="AI323" s="446"/>
      <c r="AJ323" s="491"/>
      <c r="AK323" s="500"/>
      <c r="AL323" s="436"/>
      <c r="AM323" s="438"/>
      <c r="AN323" s="531"/>
      <c r="AO323" s="491"/>
      <c r="AP323" s="438"/>
      <c r="AQ323" s="438"/>
      <c r="AR323" s="438"/>
      <c r="AS323" s="438"/>
      <c r="AT323" s="438"/>
      <c r="AU323" s="438"/>
      <c r="AV323" s="438"/>
      <c r="AW323" s="450" t="str">
        <f>#REF!</f>
        <v>#REF!</v>
      </c>
    </row>
    <row r="324">
      <c r="A324" s="435" t="s">
        <v>497</v>
      </c>
      <c r="B324" s="483" t="s">
        <v>498</v>
      </c>
      <c r="C324" s="451"/>
      <c r="D324" s="440" t="s">
        <v>314</v>
      </c>
      <c r="E324" s="440"/>
      <c r="F324" s="435" t="s">
        <v>2366</v>
      </c>
      <c r="G324" s="440" t="s">
        <v>169</v>
      </c>
      <c r="H324" s="440" t="s">
        <v>476</v>
      </c>
      <c r="I324" s="438"/>
      <c r="J324" s="460">
        <v>3125.0</v>
      </c>
      <c r="K324" s="460">
        <v>72.0</v>
      </c>
      <c r="L324" s="460" t="s">
        <v>371</v>
      </c>
      <c r="M324" s="461">
        <v>0.5</v>
      </c>
      <c r="N324" s="422">
        <v>12.98</v>
      </c>
      <c r="O324" s="422">
        <v>12.127</v>
      </c>
      <c r="P324" s="422">
        <v>17.29</v>
      </c>
      <c r="Q324" s="440" t="s">
        <v>2189</v>
      </c>
      <c r="R324" s="451" t="s">
        <v>2190</v>
      </c>
      <c r="S324" s="451" t="s">
        <v>2191</v>
      </c>
      <c r="T324" s="462" t="s">
        <v>162</v>
      </c>
      <c r="U324" s="451" t="s">
        <v>2192</v>
      </c>
      <c r="V324" s="440"/>
      <c r="W324" s="463"/>
      <c r="X324" s="437"/>
      <c r="Y324" s="442" t="str">
        <f>IF((W324/((J324/5780)^4))^0.5&gt;0,(W324/((J324/5780)^4))^0.5,"")</f>
        <v/>
      </c>
      <c r="Z324" s="464"/>
      <c r="AA324" s="465">
        <v>0.44</v>
      </c>
      <c r="AB324" s="465">
        <v>0.1</v>
      </c>
      <c r="AC324" s="436" t="str">
        <f>IF(ISNUMBER(VLOOKUP(B324,'New Masses'!A:C,3,FALSE)),VLOOKUP(B324,'New Masses'!A:C,3,FALSE),"")</f>
        <v/>
      </c>
      <c r="AD324" s="440">
        <f>10^AE324</f>
        <v>0</v>
      </c>
      <c r="AE324" s="460">
        <v>-10.9</v>
      </c>
      <c r="AF324" s="440"/>
      <c r="AG324" s="445">
        <v>0.12</v>
      </c>
      <c r="AH324" s="460">
        <v>0.03</v>
      </c>
      <c r="AI324" s="446" t="str">
        <f>IF(ISNUMBER(VLOOKUP(B324,'New Masses'!A:C,2, FALSE)),VLOOKUP(B324,'New Masses'!A:C,2, FALSE),"")</f>
        <v/>
      </c>
      <c r="AJ324" s="440">
        <f>LOG10(AG324)</f>
        <v>-0.920818754</v>
      </c>
      <c r="AK324" s="460"/>
      <c r="AL324" s="460">
        <v>-4.1</v>
      </c>
      <c r="AM324" s="466">
        <v>43900.0</v>
      </c>
      <c r="AN324" s="436">
        <v>3.0</v>
      </c>
      <c r="AO324" s="440"/>
      <c r="AP324" s="440"/>
      <c r="AQ324" s="440"/>
      <c r="AR324" s="440"/>
      <c r="AS324" s="440"/>
      <c r="AT324" s="440"/>
      <c r="AU324" s="440"/>
      <c r="AV324" s="440"/>
      <c r="AW324" s="450">
        <v>152.893509670514</v>
      </c>
    </row>
    <row r="325">
      <c r="A325" s="435" t="str">
        <f t="shared" ref="A325:C325" si="298">#REF!</f>
        <v>#REF!</v>
      </c>
      <c r="B325" s="485" t="str">
        <f t="shared" si="298"/>
        <v>#REF!</v>
      </c>
      <c r="C325" s="486" t="str">
        <f t="shared" si="298"/>
        <v>#REF!</v>
      </c>
      <c r="D325" s="486"/>
      <c r="E325" s="486"/>
      <c r="F325" s="528"/>
      <c r="G325" s="486"/>
      <c r="H325" s="486" t="s">
        <v>5917</v>
      </c>
      <c r="I325" s="491"/>
      <c r="J325" s="491"/>
      <c r="K325" s="491"/>
      <c r="L325" s="491"/>
      <c r="M325" s="486"/>
      <c r="N325" s="422"/>
      <c r="O325" s="422"/>
      <c r="P325" s="422"/>
      <c r="Q325" s="486"/>
      <c r="R325" s="491"/>
      <c r="S325" s="491"/>
      <c r="T325" s="491"/>
      <c r="U325" s="491"/>
      <c r="V325" s="491"/>
      <c r="W325" s="493"/>
      <c r="X325" s="486"/>
      <c r="Y325" s="442"/>
      <c r="Z325" s="491"/>
      <c r="AA325" s="524" t="str">
        <f>#REF!</f>
        <v>#REF!</v>
      </c>
      <c r="AB325" s="494"/>
      <c r="AC325" s="436"/>
      <c r="AD325" s="495"/>
      <c r="AE325" s="491"/>
      <c r="AF325" s="491"/>
      <c r="AG325" s="525" t="str">
        <f>#REF!</f>
        <v>#REF!</v>
      </c>
      <c r="AH325" s="491"/>
      <c r="AI325" s="446"/>
      <c r="AJ325" s="491"/>
      <c r="AK325" s="500"/>
      <c r="AL325" s="436"/>
      <c r="AM325" s="438"/>
      <c r="AN325" s="531"/>
      <c r="AO325" s="491"/>
      <c r="AP325" s="438"/>
      <c r="AQ325" s="438"/>
      <c r="AR325" s="438"/>
      <c r="AS325" s="438"/>
      <c r="AT325" s="438"/>
      <c r="AU325" s="438"/>
      <c r="AV325" s="438"/>
      <c r="AW325" s="450" t="str">
        <f>#REF!</f>
        <v>#REF!</v>
      </c>
    </row>
    <row r="326">
      <c r="A326" s="435" t="s">
        <v>503</v>
      </c>
      <c r="B326" s="435" t="s">
        <v>504</v>
      </c>
      <c r="C326" s="451"/>
      <c r="D326" s="440" t="s">
        <v>314</v>
      </c>
      <c r="E326" s="440"/>
      <c r="F326" s="451" t="s">
        <v>2367</v>
      </c>
      <c r="G326" s="440" t="s">
        <v>169</v>
      </c>
      <c r="H326" s="440" t="s">
        <v>476</v>
      </c>
      <c r="I326" s="436">
        <v>2015.0</v>
      </c>
      <c r="J326" s="460">
        <v>3060.0</v>
      </c>
      <c r="K326" s="460">
        <v>71.0</v>
      </c>
      <c r="L326" s="460" t="s">
        <v>264</v>
      </c>
      <c r="M326" s="461">
        <v>0.5</v>
      </c>
      <c r="N326" s="422">
        <v>12.194</v>
      </c>
      <c r="O326" s="422">
        <v>9.706</v>
      </c>
      <c r="P326" s="422">
        <v>18.73</v>
      </c>
      <c r="Q326" s="440" t="s">
        <v>2189</v>
      </c>
      <c r="R326" s="451" t="s">
        <v>2190</v>
      </c>
      <c r="S326" s="451" t="s">
        <v>2191</v>
      </c>
      <c r="T326" s="462" t="s">
        <v>162</v>
      </c>
      <c r="U326" s="451" t="s">
        <v>2192</v>
      </c>
      <c r="V326" s="440"/>
      <c r="W326" s="463"/>
      <c r="X326" s="437"/>
      <c r="Y326" s="442" t="str">
        <f>IF((W326/((J326/5780)^4))^0.5&gt;0,(W326/((J326/5780)^4))^0.5,"")</f>
        <v/>
      </c>
      <c r="Z326" s="464"/>
      <c r="AA326" s="465">
        <v>0.85</v>
      </c>
      <c r="AB326" s="465">
        <v>0.21</v>
      </c>
      <c r="AC326" s="436" t="str">
        <f>IF(ISNUMBER(VLOOKUP(B326,'New Masses'!A:C,3,FALSE)),VLOOKUP(B326,'New Masses'!A:C,3,FALSE),"")</f>
        <v/>
      </c>
      <c r="AD326" s="440">
        <f>10^AE326</f>
        <v>0.00000000389045145</v>
      </c>
      <c r="AE326" s="460">
        <v>-8.41</v>
      </c>
      <c r="AF326" s="440"/>
      <c r="AG326" s="445">
        <v>0.14</v>
      </c>
      <c r="AH326" s="460">
        <v>0.02</v>
      </c>
      <c r="AI326" s="446" t="str">
        <f>IF(ISNUMBER(VLOOKUP(B326,'New Masses'!A:C,2, FALSE)),VLOOKUP(B326,'New Masses'!A:C,2, FALSE),"")</f>
        <v/>
      </c>
      <c r="AJ326" s="440">
        <f>LOG10(AG326)</f>
        <v>-0.8538719643</v>
      </c>
      <c r="AK326" s="460"/>
      <c r="AL326" s="460">
        <v>-1.8</v>
      </c>
      <c r="AM326" s="466">
        <v>43900.0</v>
      </c>
      <c r="AN326" s="436">
        <v>3.0</v>
      </c>
      <c r="AO326" s="440"/>
      <c r="AP326" s="440"/>
      <c r="AQ326" s="440"/>
      <c r="AR326" s="440"/>
      <c r="AS326" s="440"/>
      <c r="AT326" s="440"/>
      <c r="AU326" s="440"/>
      <c r="AV326" s="440"/>
      <c r="AW326" s="450">
        <v>154.959478096477</v>
      </c>
    </row>
    <row r="327">
      <c r="A327" s="435" t="str">
        <f t="shared" ref="A327:C327" si="299">#REF!</f>
        <v>#REF!</v>
      </c>
      <c r="B327" s="485" t="str">
        <f t="shared" si="299"/>
        <v>#REF!</v>
      </c>
      <c r="C327" s="486" t="str">
        <f t="shared" si="299"/>
        <v>#REF!</v>
      </c>
      <c r="D327" s="486"/>
      <c r="E327" s="486"/>
      <c r="F327" s="528"/>
      <c r="G327" s="486"/>
      <c r="H327" s="486" t="s">
        <v>5917</v>
      </c>
      <c r="I327" s="491"/>
      <c r="J327" s="491"/>
      <c r="K327" s="491"/>
      <c r="L327" s="491"/>
      <c r="M327" s="486"/>
      <c r="N327" s="422"/>
      <c r="O327" s="422"/>
      <c r="P327" s="422"/>
      <c r="Q327" s="486"/>
      <c r="R327" s="491"/>
      <c r="S327" s="491"/>
      <c r="T327" s="491"/>
      <c r="U327" s="491"/>
      <c r="V327" s="491"/>
      <c r="W327" s="493"/>
      <c r="X327" s="486"/>
      <c r="Y327" s="442"/>
      <c r="Z327" s="491"/>
      <c r="AA327" s="524" t="str">
        <f>#REF!</f>
        <v>#REF!</v>
      </c>
      <c r="AB327" s="494"/>
      <c r="AC327" s="436"/>
      <c r="AD327" s="495"/>
      <c r="AE327" s="491"/>
      <c r="AF327" s="491"/>
      <c r="AG327" s="525" t="str">
        <f>#REF!</f>
        <v>#REF!</v>
      </c>
      <c r="AH327" s="491"/>
      <c r="AI327" s="446"/>
      <c r="AJ327" s="491"/>
      <c r="AK327" s="500"/>
      <c r="AL327" s="436"/>
      <c r="AM327" s="438"/>
      <c r="AN327" s="531"/>
      <c r="AO327" s="491"/>
      <c r="AP327" s="438"/>
      <c r="AQ327" s="438"/>
      <c r="AR327" s="438"/>
      <c r="AS327" s="438"/>
      <c r="AT327" s="438"/>
      <c r="AU327" s="438"/>
      <c r="AV327" s="438"/>
      <c r="AW327" s="450" t="str">
        <f>#REF!</f>
        <v>#REF!</v>
      </c>
    </row>
    <row r="328">
      <c r="A328" s="419" t="s">
        <v>343</v>
      </c>
      <c r="B328" s="436" t="s">
        <v>344</v>
      </c>
      <c r="C328" s="420"/>
      <c r="D328" s="420" t="s">
        <v>305</v>
      </c>
      <c r="E328" s="420"/>
      <c r="F328" s="420" t="s">
        <v>2368</v>
      </c>
      <c r="G328" s="420" t="s">
        <v>169</v>
      </c>
      <c r="H328" s="420" t="s">
        <v>306</v>
      </c>
      <c r="I328" s="467">
        <v>39596.0</v>
      </c>
      <c r="J328" s="436">
        <v>2880.0</v>
      </c>
      <c r="K328" s="420"/>
      <c r="L328" s="420" t="s">
        <v>345</v>
      </c>
      <c r="M328" s="429"/>
      <c r="N328" s="422">
        <v>14.395</v>
      </c>
      <c r="O328" s="422">
        <v>13.207</v>
      </c>
      <c r="P328" s="422"/>
      <c r="Q328" s="420" t="s">
        <v>2239</v>
      </c>
      <c r="R328" s="420" t="s">
        <v>2240</v>
      </c>
      <c r="S328" s="420" t="s">
        <v>307</v>
      </c>
      <c r="T328" s="420" t="s">
        <v>293</v>
      </c>
      <c r="U328" s="420" t="s">
        <v>294</v>
      </c>
      <c r="V328" s="440"/>
      <c r="W328" s="468"/>
      <c r="X328" s="436"/>
      <c r="Y328" s="442" t="str">
        <f>IF((W328/((J328/5780)^4))^0.5&gt;0,(W328/((J328/5780)^4))^0.5,"")</f>
        <v/>
      </c>
      <c r="Z328" s="469"/>
      <c r="AA328" s="470">
        <v>0.26</v>
      </c>
      <c r="AB328" s="426"/>
      <c r="AC328" s="469">
        <f>IF(ISNUMBER(VLOOKUP(B328,'New Masses'!A:C,3,FALSE)),VLOOKUP(B328,'New Masses'!A:C,3,FALSE),"")</f>
        <v>0.29591</v>
      </c>
      <c r="AD328" s="451">
        <f>10^(AE328)</f>
        <v>0</v>
      </c>
      <c r="AE328" s="436">
        <v>-11.4</v>
      </c>
      <c r="AF328" s="438"/>
      <c r="AG328" s="459">
        <v>0.06</v>
      </c>
      <c r="AH328" s="420"/>
      <c r="AI328" s="446">
        <f>IF(ISNUMBER(VLOOKUP(B328,'New Masses'!A:C,2, FALSE)),VLOOKUP(B328,'New Masses'!A:C,2, FALSE),"")</f>
        <v>0.039758</v>
      </c>
      <c r="AJ328" s="420"/>
      <c r="AK328" s="420"/>
      <c r="AL328" s="436">
        <v>-4.6</v>
      </c>
      <c r="AM328" s="438"/>
      <c r="AN328" s="436">
        <v>11.0</v>
      </c>
      <c r="AO328" s="438"/>
      <c r="AP328" s="436">
        <v>0.0</v>
      </c>
      <c r="AQ328" s="438"/>
      <c r="AR328" s="420" t="s">
        <v>2349</v>
      </c>
      <c r="AS328" s="420"/>
      <c r="AT328" s="438"/>
      <c r="AU328" s="438"/>
      <c r="AV328" s="438"/>
      <c r="AW328" s="450">
        <v>139.940385395821</v>
      </c>
    </row>
    <row r="329">
      <c r="A329" s="435" t="str">
        <f t="shared" ref="A329:C329" si="300">#REF!</f>
        <v>#REF!</v>
      </c>
      <c r="B329" s="485" t="str">
        <f t="shared" si="300"/>
        <v>#REF!</v>
      </c>
      <c r="C329" s="486" t="str">
        <f t="shared" si="300"/>
        <v>#REF!</v>
      </c>
      <c r="D329" s="486"/>
      <c r="E329" s="486"/>
      <c r="F329" s="528"/>
      <c r="G329" s="486"/>
      <c r="H329" s="486" t="s">
        <v>5917</v>
      </c>
      <c r="I329" s="491"/>
      <c r="J329" s="491"/>
      <c r="K329" s="491"/>
      <c r="L329" s="491"/>
      <c r="M329" s="486"/>
      <c r="N329" s="422"/>
      <c r="O329" s="422"/>
      <c r="P329" s="422"/>
      <c r="Q329" s="486"/>
      <c r="R329" s="491"/>
      <c r="S329" s="491"/>
      <c r="T329" s="491"/>
      <c r="U329" s="491"/>
      <c r="V329" s="491"/>
      <c r="W329" s="493"/>
      <c r="X329" s="486"/>
      <c r="Y329" s="442"/>
      <c r="Z329" s="491"/>
      <c r="AA329" s="524" t="str">
        <f>#REF!</f>
        <v>#REF!</v>
      </c>
      <c r="AB329" s="494"/>
      <c r="AC329" s="436"/>
      <c r="AD329" s="495"/>
      <c r="AE329" s="491"/>
      <c r="AF329" s="491"/>
      <c r="AG329" s="525" t="str">
        <f>#REF!</f>
        <v>#REF!</v>
      </c>
      <c r="AH329" s="491"/>
      <c r="AI329" s="446"/>
      <c r="AJ329" s="491"/>
      <c r="AK329" s="500"/>
      <c r="AL329" s="436"/>
      <c r="AM329" s="438"/>
      <c r="AN329" s="531"/>
      <c r="AO329" s="491"/>
      <c r="AP329" s="438"/>
      <c r="AQ329" s="438"/>
      <c r="AR329" s="438"/>
      <c r="AS329" s="438"/>
      <c r="AT329" s="438"/>
      <c r="AU329" s="438"/>
      <c r="AV329" s="438"/>
      <c r="AW329" s="450" t="str">
        <f>#REF!</f>
        <v>#REF!</v>
      </c>
    </row>
    <row r="330">
      <c r="A330" s="435" t="s">
        <v>572</v>
      </c>
      <c r="B330" s="484" t="s">
        <v>573</v>
      </c>
      <c r="C330" s="460"/>
      <c r="D330" s="440" t="s">
        <v>314</v>
      </c>
      <c r="E330" s="440"/>
      <c r="F330" s="451" t="s">
        <v>2369</v>
      </c>
      <c r="G330" s="440" t="s">
        <v>169</v>
      </c>
      <c r="H330" s="440" t="s">
        <v>476</v>
      </c>
      <c r="I330" s="436">
        <v>2010.0</v>
      </c>
      <c r="J330" s="460">
        <v>3850.0</v>
      </c>
      <c r="K330" s="460">
        <v>177.0</v>
      </c>
      <c r="L330" s="460" t="s">
        <v>427</v>
      </c>
      <c r="M330" s="461">
        <v>0.5</v>
      </c>
      <c r="N330" s="422">
        <v>9.728</v>
      </c>
      <c r="O330" s="422">
        <v>8.496</v>
      </c>
      <c r="P330" s="422"/>
      <c r="Q330" s="440" t="s">
        <v>2189</v>
      </c>
      <c r="R330" s="451" t="s">
        <v>2190</v>
      </c>
      <c r="S330" s="451" t="s">
        <v>2191</v>
      </c>
      <c r="T330" s="462" t="s">
        <v>162</v>
      </c>
      <c r="U330" s="451" t="s">
        <v>2192</v>
      </c>
      <c r="V330" s="440"/>
      <c r="W330" s="463"/>
      <c r="X330" s="437"/>
      <c r="Y330" s="442" t="str">
        <f>IF((W330/((J330/5780)^4))^0.5&gt;0,(W330/((J330/5780)^4))^0.5,"")</f>
        <v/>
      </c>
      <c r="Z330" s="464"/>
      <c r="AA330" s="465">
        <v>2.49</v>
      </c>
      <c r="AB330" s="465">
        <v>0.58</v>
      </c>
      <c r="AC330" s="436" t="str">
        <f>IF(ISNUMBER(VLOOKUP(B330,'New Masses'!A:C,3,FALSE)),VLOOKUP(B330,'New Masses'!A:C,3,FALSE),"")</f>
        <v/>
      </c>
      <c r="AD330" s="440">
        <f>10^AE330</f>
        <v>0.00000003630780548</v>
      </c>
      <c r="AE330" s="460">
        <v>-7.44</v>
      </c>
      <c r="AF330" s="440"/>
      <c r="AG330" s="445">
        <v>0.56</v>
      </c>
      <c r="AH330" s="460">
        <v>0.14</v>
      </c>
      <c r="AI330" s="446" t="str">
        <f>IF(ISNUMBER(VLOOKUP(B330,'New Masses'!A:C,2, FALSE)),VLOOKUP(B330,'New Masses'!A:C,2, FALSE),"")</f>
        <v/>
      </c>
      <c r="AJ330" s="440">
        <f>LOG10(AG330)</f>
        <v>-0.251811973</v>
      </c>
      <c r="AK330" s="460"/>
      <c r="AL330" s="460">
        <v>-0.7</v>
      </c>
      <c r="AM330" s="466">
        <v>43900.0</v>
      </c>
      <c r="AN330" s="436">
        <v>3.0</v>
      </c>
      <c r="AO330" s="440"/>
      <c r="AP330" s="440"/>
      <c r="AQ330" s="440"/>
      <c r="AR330" s="440"/>
      <c r="AS330" s="440"/>
      <c r="AT330" s="440"/>
      <c r="AU330" s="440"/>
      <c r="AV330" s="440"/>
      <c r="AW330" s="450">
        <v>157.696371406493</v>
      </c>
    </row>
    <row r="331">
      <c r="A331" s="435" t="str">
        <f t="shared" ref="A331:C331" si="301">#REF!</f>
        <v>#REF!</v>
      </c>
      <c r="B331" s="485" t="str">
        <f t="shared" si="301"/>
        <v>#REF!</v>
      </c>
      <c r="C331" s="486" t="str">
        <f t="shared" si="301"/>
        <v>#REF!</v>
      </c>
      <c r="D331" s="486"/>
      <c r="E331" s="486"/>
      <c r="F331" s="528"/>
      <c r="G331" s="486"/>
      <c r="H331" s="486" t="s">
        <v>5917</v>
      </c>
      <c r="I331" s="491"/>
      <c r="J331" s="491"/>
      <c r="K331" s="491"/>
      <c r="L331" s="491"/>
      <c r="M331" s="486"/>
      <c r="N331" s="422"/>
      <c r="O331" s="422"/>
      <c r="P331" s="422"/>
      <c r="Q331" s="486"/>
      <c r="R331" s="491"/>
      <c r="S331" s="491"/>
      <c r="T331" s="491"/>
      <c r="U331" s="491"/>
      <c r="V331" s="491"/>
      <c r="W331" s="493"/>
      <c r="X331" s="486"/>
      <c r="Y331" s="442"/>
      <c r="Z331" s="491"/>
      <c r="AA331" s="524" t="str">
        <f>#REF!</f>
        <v>#REF!</v>
      </c>
      <c r="AB331" s="494"/>
      <c r="AC331" s="436"/>
      <c r="AD331" s="495"/>
      <c r="AE331" s="491"/>
      <c r="AF331" s="491"/>
      <c r="AG331" s="525" t="str">
        <f>#REF!</f>
        <v>#REF!</v>
      </c>
      <c r="AH331" s="491"/>
      <c r="AI331" s="446"/>
      <c r="AJ331" s="491"/>
      <c r="AK331" s="500"/>
      <c r="AL331" s="436"/>
      <c r="AM331" s="438"/>
      <c r="AN331" s="531"/>
      <c r="AO331" s="491"/>
      <c r="AP331" s="438"/>
      <c r="AQ331" s="438"/>
      <c r="AR331" s="438"/>
      <c r="AS331" s="438"/>
      <c r="AT331" s="438"/>
      <c r="AU331" s="438"/>
      <c r="AV331" s="438"/>
      <c r="AW331" s="450" t="str">
        <f>#REF!</f>
        <v>#REF!</v>
      </c>
    </row>
    <row r="332">
      <c r="A332" s="419" t="s">
        <v>330</v>
      </c>
      <c r="B332" s="436" t="s">
        <v>331</v>
      </c>
      <c r="C332" s="420"/>
      <c r="D332" s="420" t="s">
        <v>305</v>
      </c>
      <c r="E332" s="420"/>
      <c r="F332" s="420" t="s">
        <v>2370</v>
      </c>
      <c r="G332" s="420" t="s">
        <v>169</v>
      </c>
      <c r="H332" s="420" t="s">
        <v>306</v>
      </c>
      <c r="I332" s="467">
        <v>39596.0</v>
      </c>
      <c r="J332" s="436">
        <v>2478.0</v>
      </c>
      <c r="K332" s="420"/>
      <c r="L332" s="420" t="s">
        <v>308</v>
      </c>
      <c r="M332" s="429"/>
      <c r="N332" s="422">
        <v>15.811</v>
      </c>
      <c r="O332" s="422">
        <v>14.55</v>
      </c>
      <c r="P332" s="422"/>
      <c r="Q332" s="420" t="s">
        <v>2239</v>
      </c>
      <c r="R332" s="420" t="s">
        <v>2240</v>
      </c>
      <c r="S332" s="420" t="s">
        <v>307</v>
      </c>
      <c r="T332" s="420" t="s">
        <v>293</v>
      </c>
      <c r="U332" s="420" t="s">
        <v>294</v>
      </c>
      <c r="V332" s="440"/>
      <c r="W332" s="468"/>
      <c r="X332" s="436"/>
      <c r="Y332" s="442" t="str">
        <f>IF((W332/((J332/5780)^4))^0.5&gt;0,(W332/((J332/5780)^4))^0.5,"")</f>
        <v/>
      </c>
      <c r="Z332" s="469"/>
      <c r="AA332" s="470">
        <v>0.17</v>
      </c>
      <c r="AB332" s="426"/>
      <c r="AC332" s="469">
        <f>IF(ISNUMBER(VLOOKUP(B332,'New Masses'!A:C,3,FALSE)),VLOOKUP(B332,'New Masses'!A:C,3,FALSE),"")</f>
        <v>0.26492</v>
      </c>
      <c r="AD332" s="451">
        <f>10^(AE332)</f>
        <v>0</v>
      </c>
      <c r="AE332" s="436">
        <v>-12.3</v>
      </c>
      <c r="AF332" s="438"/>
      <c r="AG332" s="459">
        <v>0.033</v>
      </c>
      <c r="AH332" s="420"/>
      <c r="AI332" s="446">
        <f>IF(ISNUMBER(VLOOKUP(B332,'New Masses'!A:C,2, FALSE)),VLOOKUP(B332,'New Masses'!A:C,2, FALSE),"")</f>
        <v>0.023689</v>
      </c>
      <c r="AJ332" s="420"/>
      <c r="AK332" s="420"/>
      <c r="AL332" s="436">
        <v>-5.6</v>
      </c>
      <c r="AM332" s="438"/>
      <c r="AN332" s="436">
        <v>11.0</v>
      </c>
      <c r="AO332" s="438"/>
      <c r="AP332" s="436">
        <v>0.0</v>
      </c>
      <c r="AQ332" s="438"/>
      <c r="AR332" s="420" t="s">
        <v>2349</v>
      </c>
      <c r="AS332" s="420"/>
      <c r="AT332" s="438"/>
      <c r="AU332" s="438"/>
      <c r="AV332" s="438"/>
      <c r="AW332" s="450"/>
    </row>
    <row r="333">
      <c r="A333" s="435" t="str">
        <f t="shared" ref="A333:C333" si="302">#REF!</f>
        <v>#REF!</v>
      </c>
      <c r="B333" s="485" t="str">
        <f t="shared" si="302"/>
        <v>#REF!</v>
      </c>
      <c r="C333" s="486" t="str">
        <f t="shared" si="302"/>
        <v>#REF!</v>
      </c>
      <c r="D333" s="486"/>
      <c r="E333" s="486"/>
      <c r="F333" s="528"/>
      <c r="G333" s="486"/>
      <c r="H333" s="486" t="s">
        <v>5917</v>
      </c>
      <c r="I333" s="491"/>
      <c r="J333" s="491"/>
      <c r="K333" s="491"/>
      <c r="L333" s="491"/>
      <c r="M333" s="486"/>
      <c r="N333" s="422"/>
      <c r="O333" s="422"/>
      <c r="P333" s="422"/>
      <c r="Q333" s="486"/>
      <c r="R333" s="491"/>
      <c r="S333" s="491"/>
      <c r="T333" s="491"/>
      <c r="U333" s="491"/>
      <c r="V333" s="491"/>
      <c r="W333" s="493"/>
      <c r="X333" s="486"/>
      <c r="Y333" s="442"/>
      <c r="Z333" s="491"/>
      <c r="AA333" s="524" t="str">
        <f>#REF!</f>
        <v>#REF!</v>
      </c>
      <c r="AB333" s="494"/>
      <c r="AC333" s="436"/>
      <c r="AD333" s="495"/>
      <c r="AE333" s="491"/>
      <c r="AF333" s="491"/>
      <c r="AG333" s="525" t="str">
        <f>#REF!</f>
        <v>#REF!</v>
      </c>
      <c r="AH333" s="491"/>
      <c r="AI333" s="446"/>
      <c r="AJ333" s="491"/>
      <c r="AK333" s="500"/>
      <c r="AL333" s="436"/>
      <c r="AM333" s="438"/>
      <c r="AN333" s="531"/>
      <c r="AO333" s="491"/>
      <c r="AP333" s="438"/>
      <c r="AQ333" s="438"/>
      <c r="AR333" s="438"/>
      <c r="AS333" s="438"/>
      <c r="AT333" s="438"/>
      <c r="AU333" s="438"/>
      <c r="AV333" s="438"/>
      <c r="AW333" s="450" t="str">
        <f>#REF!</f>
        <v>#REF!</v>
      </c>
    </row>
    <row r="334">
      <c r="A334" s="419" t="s">
        <v>324</v>
      </c>
      <c r="B334" s="436" t="s">
        <v>2371</v>
      </c>
      <c r="C334" s="420"/>
      <c r="D334" s="420" t="s">
        <v>305</v>
      </c>
      <c r="E334" s="420"/>
      <c r="F334" s="420" t="s">
        <v>2372</v>
      </c>
      <c r="G334" s="420" t="s">
        <v>169</v>
      </c>
      <c r="H334" s="420" t="s">
        <v>306</v>
      </c>
      <c r="I334" s="467">
        <v>39596.0</v>
      </c>
      <c r="J334" s="436">
        <v>2550.0</v>
      </c>
      <c r="K334" s="420"/>
      <c r="L334" s="420" t="s">
        <v>213</v>
      </c>
      <c r="M334" s="429"/>
      <c r="N334" s="422">
        <v>15.292</v>
      </c>
      <c r="O334" s="422">
        <v>14.086</v>
      </c>
      <c r="P334" s="422"/>
      <c r="Q334" s="420" t="s">
        <v>2239</v>
      </c>
      <c r="R334" s="420" t="s">
        <v>2240</v>
      </c>
      <c r="S334" s="420" t="s">
        <v>307</v>
      </c>
      <c r="T334" s="420" t="s">
        <v>293</v>
      </c>
      <c r="U334" s="420" t="s">
        <v>294</v>
      </c>
      <c r="V334" s="440"/>
      <c r="W334" s="468"/>
      <c r="X334" s="436"/>
      <c r="Y334" s="442" t="str">
        <f>IF((W334/((J334/5780)^4))^0.5&gt;0,(W334/((J334/5780)^4))^0.5,"")</f>
        <v/>
      </c>
      <c r="Z334" s="469"/>
      <c r="AA334" s="470">
        <v>0.22</v>
      </c>
      <c r="AB334" s="426"/>
      <c r="AC334" s="469">
        <f>IF(ISNUMBER(VLOOKUP(B334,'New Masses'!A:C,3,FALSE)),VLOOKUP(B334,'New Masses'!A:C,3,FALSE),"")</f>
        <v>0.270086</v>
      </c>
      <c r="AD334" s="451">
        <f>10^(AE334)</f>
        <v>0</v>
      </c>
      <c r="AE334" s="436">
        <v>-11.3</v>
      </c>
      <c r="AF334" s="438"/>
      <c r="AG334" s="459">
        <v>0.027</v>
      </c>
      <c r="AH334" s="420"/>
      <c r="AI334" s="446">
        <f>IF(ISNUMBER(VLOOKUP(B334,'New Masses'!A:C,2, FALSE)),VLOOKUP(B334,'New Masses'!A:C,2, FALSE),"")</f>
        <v>0.025279</v>
      </c>
      <c r="AJ334" s="420"/>
      <c r="AK334" s="420"/>
      <c r="AL334" s="436">
        <v>-4.8</v>
      </c>
      <c r="AM334" s="438"/>
      <c r="AN334" s="436">
        <v>11.0</v>
      </c>
      <c r="AO334" s="438"/>
      <c r="AP334" s="436">
        <v>0.3</v>
      </c>
      <c r="AQ334" s="420"/>
      <c r="AR334" s="420" t="s">
        <v>2349</v>
      </c>
      <c r="AS334" s="420"/>
      <c r="AT334" s="420" t="s">
        <v>5916</v>
      </c>
      <c r="AU334" s="438"/>
      <c r="AV334" s="438"/>
      <c r="AW334" s="450">
        <v>119.306115631487</v>
      </c>
    </row>
    <row r="335">
      <c r="A335" s="435" t="str">
        <f t="shared" ref="A335:C335" si="303">#REF!</f>
        <v>#REF!</v>
      </c>
      <c r="B335" s="485" t="str">
        <f t="shared" si="303"/>
        <v>#REF!</v>
      </c>
      <c r="C335" s="486" t="str">
        <f t="shared" si="303"/>
        <v>#REF!</v>
      </c>
      <c r="D335" s="486"/>
      <c r="E335" s="486"/>
      <c r="F335" s="528"/>
      <c r="G335" s="486"/>
      <c r="H335" s="486" t="s">
        <v>5917</v>
      </c>
      <c r="I335" s="491"/>
      <c r="J335" s="491"/>
      <c r="K335" s="491"/>
      <c r="L335" s="491"/>
      <c r="M335" s="486"/>
      <c r="N335" s="422"/>
      <c r="O335" s="422"/>
      <c r="P335" s="422"/>
      <c r="Q335" s="486"/>
      <c r="R335" s="491"/>
      <c r="S335" s="491"/>
      <c r="T335" s="491"/>
      <c r="U335" s="491"/>
      <c r="V335" s="491"/>
      <c r="W335" s="493"/>
      <c r="X335" s="486"/>
      <c r="Y335" s="442"/>
      <c r="Z335" s="491"/>
      <c r="AA335" s="524" t="str">
        <f>#REF!</f>
        <v>#REF!</v>
      </c>
      <c r="AB335" s="494"/>
      <c r="AC335" s="436"/>
      <c r="AD335" s="495"/>
      <c r="AE335" s="491"/>
      <c r="AF335" s="491"/>
      <c r="AG335" s="525" t="str">
        <f>#REF!</f>
        <v>#REF!</v>
      </c>
      <c r="AH335" s="491"/>
      <c r="AI335" s="446"/>
      <c r="AJ335" s="491"/>
      <c r="AK335" s="500"/>
      <c r="AL335" s="436"/>
      <c r="AM335" s="438"/>
      <c r="AN335" s="531"/>
      <c r="AO335" s="491"/>
      <c r="AP335" s="438"/>
      <c r="AQ335" s="438"/>
      <c r="AR335" s="438"/>
      <c r="AS335" s="438"/>
      <c r="AT335" s="438"/>
      <c r="AU335" s="438"/>
      <c r="AV335" s="438"/>
      <c r="AW335" s="450" t="str">
        <f>#REF!</f>
        <v>#REF!</v>
      </c>
    </row>
    <row r="336">
      <c r="A336" s="435" t="s">
        <v>495</v>
      </c>
      <c r="B336" s="451" t="s">
        <v>496</v>
      </c>
      <c r="C336" s="440"/>
      <c r="D336" s="440" t="s">
        <v>314</v>
      </c>
      <c r="E336" s="440"/>
      <c r="F336" s="451" t="s">
        <v>2373</v>
      </c>
      <c r="G336" s="440" t="s">
        <v>169</v>
      </c>
      <c r="H336" s="440" t="s">
        <v>476</v>
      </c>
      <c r="I336" s="438"/>
      <c r="J336" s="460">
        <v>3057.0</v>
      </c>
      <c r="K336" s="460">
        <v>70.0</v>
      </c>
      <c r="L336" s="460" t="s">
        <v>264</v>
      </c>
      <c r="M336" s="461">
        <v>0.5</v>
      </c>
      <c r="N336" s="422">
        <v>13.24</v>
      </c>
      <c r="O336" s="422">
        <v>12.13</v>
      </c>
      <c r="P336" s="422">
        <v>17.12</v>
      </c>
      <c r="Q336" s="440" t="s">
        <v>2189</v>
      </c>
      <c r="R336" s="451" t="s">
        <v>2190</v>
      </c>
      <c r="S336" s="451" t="s">
        <v>2191</v>
      </c>
      <c r="T336" s="462" t="s">
        <v>162</v>
      </c>
      <c r="U336" s="451" t="s">
        <v>2192</v>
      </c>
      <c r="V336" s="440"/>
      <c r="W336" s="463"/>
      <c r="X336" s="437"/>
      <c r="Y336" s="442" t="str">
        <f>IF((W336/((J336/5780)^4))^0.5&gt;0,(W336/((J336/5780)^4))^0.5,"")</f>
        <v/>
      </c>
      <c r="Z336" s="464"/>
      <c r="AA336" s="465">
        <v>0.52</v>
      </c>
      <c r="AB336" s="465">
        <v>0.12</v>
      </c>
      <c r="AC336" s="436" t="str">
        <f>IF(ISNUMBER(VLOOKUP(B336,'New Masses'!A:C,3,FALSE)),VLOOKUP(B336,'New Masses'!A:C,3,FALSE),"")</f>
        <v/>
      </c>
      <c r="AD336" s="440">
        <f>10^AE336</f>
        <v>0</v>
      </c>
      <c r="AE336" s="460">
        <v>-10.2</v>
      </c>
      <c r="AF336" s="440"/>
      <c r="AG336" s="445">
        <v>0.11</v>
      </c>
      <c r="AH336" s="460">
        <v>0.02</v>
      </c>
      <c r="AI336" s="446" t="str">
        <f>IF(ISNUMBER(VLOOKUP(B336,'New Masses'!A:C,2, FALSE)),VLOOKUP(B336,'New Masses'!A:C,2, FALSE),"")</f>
        <v/>
      </c>
      <c r="AJ336" s="440">
        <f>LOG10(AG336)</f>
        <v>-0.9586073148</v>
      </c>
      <c r="AK336" s="460"/>
      <c r="AL336" s="460">
        <v>-3.5</v>
      </c>
      <c r="AM336" s="466">
        <v>43900.0</v>
      </c>
      <c r="AN336" s="436">
        <v>3.0</v>
      </c>
      <c r="AO336" s="440"/>
      <c r="AP336" s="440"/>
      <c r="AQ336" s="440"/>
      <c r="AR336" s="440"/>
      <c r="AS336" s="440"/>
      <c r="AT336" s="440"/>
      <c r="AU336" s="440"/>
      <c r="AV336" s="440"/>
      <c r="AW336" s="450">
        <v>174.395284351511</v>
      </c>
    </row>
    <row r="337">
      <c r="A337" s="435" t="str">
        <f t="shared" ref="A337:C337" si="304">#REF!</f>
        <v>#REF!</v>
      </c>
      <c r="B337" s="485" t="str">
        <f t="shared" si="304"/>
        <v>#REF!</v>
      </c>
      <c r="C337" s="486" t="str">
        <f t="shared" si="304"/>
        <v>#REF!</v>
      </c>
      <c r="D337" s="486"/>
      <c r="E337" s="486"/>
      <c r="F337" s="528"/>
      <c r="G337" s="486"/>
      <c r="H337" s="486" t="s">
        <v>5917</v>
      </c>
      <c r="I337" s="491"/>
      <c r="J337" s="491"/>
      <c r="K337" s="491"/>
      <c r="L337" s="491"/>
      <c r="M337" s="486"/>
      <c r="N337" s="422"/>
      <c r="O337" s="422"/>
      <c r="P337" s="422"/>
      <c r="Q337" s="486"/>
      <c r="R337" s="491"/>
      <c r="S337" s="491"/>
      <c r="T337" s="491"/>
      <c r="U337" s="491"/>
      <c r="V337" s="491"/>
      <c r="W337" s="493"/>
      <c r="X337" s="486"/>
      <c r="Y337" s="442"/>
      <c r="Z337" s="491"/>
      <c r="AA337" s="524" t="str">
        <f>#REF!</f>
        <v>#REF!</v>
      </c>
      <c r="AB337" s="494"/>
      <c r="AC337" s="436"/>
      <c r="AD337" s="495"/>
      <c r="AE337" s="491"/>
      <c r="AF337" s="491"/>
      <c r="AG337" s="525" t="str">
        <f>#REF!</f>
        <v>#REF!</v>
      </c>
      <c r="AH337" s="491"/>
      <c r="AI337" s="446"/>
      <c r="AJ337" s="491"/>
      <c r="AK337" s="500"/>
      <c r="AL337" s="436"/>
      <c r="AM337" s="438"/>
      <c r="AN337" s="531"/>
      <c r="AO337" s="491"/>
      <c r="AP337" s="438"/>
      <c r="AQ337" s="438"/>
      <c r="AR337" s="438"/>
      <c r="AS337" s="438"/>
      <c r="AT337" s="438"/>
      <c r="AU337" s="438"/>
      <c r="AV337" s="438"/>
      <c r="AW337" s="450" t="str">
        <f>#REF!</f>
        <v>#REF!</v>
      </c>
    </row>
    <row r="338">
      <c r="A338" s="435" t="s">
        <v>494</v>
      </c>
      <c r="B338" s="435" t="s">
        <v>494</v>
      </c>
      <c r="C338" s="440"/>
      <c r="D338" s="440" t="s">
        <v>314</v>
      </c>
      <c r="E338" s="440"/>
      <c r="F338" s="451" t="s">
        <v>2374</v>
      </c>
      <c r="G338" s="440" t="s">
        <v>169</v>
      </c>
      <c r="H338" s="440" t="s">
        <v>476</v>
      </c>
      <c r="I338" s="436">
        <v>2015.0</v>
      </c>
      <c r="J338" s="460">
        <v>3060.0</v>
      </c>
      <c r="K338" s="460">
        <v>71.0</v>
      </c>
      <c r="L338" s="460" t="s">
        <v>264</v>
      </c>
      <c r="M338" s="461">
        <v>0.5</v>
      </c>
      <c r="N338" s="422">
        <v>15.21</v>
      </c>
      <c r="O338" s="422">
        <v>13.13</v>
      </c>
      <c r="P338" s="422">
        <v>18.93</v>
      </c>
      <c r="Q338" s="440" t="s">
        <v>2189</v>
      </c>
      <c r="R338" s="451" t="s">
        <v>2190</v>
      </c>
      <c r="S338" s="451" t="s">
        <v>2191</v>
      </c>
      <c r="T338" s="462" t="s">
        <v>162</v>
      </c>
      <c r="U338" s="451" t="s">
        <v>2192</v>
      </c>
      <c r="V338" s="440"/>
      <c r="W338" s="463"/>
      <c r="X338" s="437"/>
      <c r="Y338" s="442" t="str">
        <f>IF((W338/((J338/5780)^4))^0.5&gt;0,(W338/((J338/5780)^4))^0.5,"")</f>
        <v/>
      </c>
      <c r="Z338" s="464"/>
      <c r="AA338" s="465">
        <v>0.33</v>
      </c>
      <c r="AB338" s="465">
        <v>0.09</v>
      </c>
      <c r="AC338" s="436" t="str">
        <f>IF(ISNUMBER(VLOOKUP(B338,'New Masses'!A:C,3,FALSE)),VLOOKUP(B338,'New Masses'!A:C,3,FALSE),"")</f>
        <v/>
      </c>
      <c r="AD338" s="440">
        <f>10^AE338</f>
        <v>0</v>
      </c>
      <c r="AE338" s="460">
        <v>-10.3</v>
      </c>
      <c r="AF338" s="440"/>
      <c r="AG338" s="445">
        <v>0.1</v>
      </c>
      <c r="AH338" s="460">
        <v>0.02</v>
      </c>
      <c r="AI338" s="446" t="str">
        <f>IF(ISNUMBER(VLOOKUP(B338,'New Masses'!A:C,2, FALSE)),VLOOKUP(B338,'New Masses'!A:C,2, FALSE),"")</f>
        <v/>
      </c>
      <c r="AJ338" s="440">
        <f>LOG10(AG338)</f>
        <v>-1</v>
      </c>
      <c r="AK338" s="460"/>
      <c r="AL338" s="460">
        <v>-3.4</v>
      </c>
      <c r="AM338" s="466">
        <v>43900.0</v>
      </c>
      <c r="AN338" s="436">
        <v>3.0</v>
      </c>
      <c r="AO338" s="440"/>
      <c r="AP338" s="440"/>
      <c r="AQ338" s="440"/>
      <c r="AR338" s="440"/>
      <c r="AS338" s="440"/>
      <c r="AT338" s="440"/>
      <c r="AU338" s="440"/>
      <c r="AV338" s="440"/>
      <c r="AW338" s="450">
        <v>145.689768207578</v>
      </c>
    </row>
    <row r="339">
      <c r="A339" s="435" t="str">
        <f t="shared" ref="A339:C339" si="305">#REF!</f>
        <v>#REF!</v>
      </c>
      <c r="B339" s="485" t="str">
        <f t="shared" si="305"/>
        <v>#REF!</v>
      </c>
      <c r="C339" s="486" t="str">
        <f t="shared" si="305"/>
        <v>#REF!</v>
      </c>
      <c r="D339" s="486"/>
      <c r="E339" s="486"/>
      <c r="F339" s="528"/>
      <c r="G339" s="486"/>
      <c r="H339" s="486" t="s">
        <v>5917</v>
      </c>
      <c r="I339" s="491"/>
      <c r="J339" s="491"/>
      <c r="K339" s="491"/>
      <c r="L339" s="491"/>
      <c r="M339" s="486"/>
      <c r="N339" s="422"/>
      <c r="O339" s="422"/>
      <c r="P339" s="422"/>
      <c r="Q339" s="486"/>
      <c r="R339" s="491"/>
      <c r="S339" s="491"/>
      <c r="T339" s="491"/>
      <c r="U339" s="491"/>
      <c r="V339" s="491"/>
      <c r="W339" s="493"/>
      <c r="X339" s="486"/>
      <c r="Y339" s="442"/>
      <c r="Z339" s="491"/>
      <c r="AA339" s="524" t="str">
        <f>#REF!</f>
        <v>#REF!</v>
      </c>
      <c r="AB339" s="494"/>
      <c r="AC339" s="436"/>
      <c r="AD339" s="495"/>
      <c r="AE339" s="491"/>
      <c r="AF339" s="491"/>
      <c r="AG339" s="525" t="str">
        <f>#REF!</f>
        <v>#REF!</v>
      </c>
      <c r="AH339" s="491"/>
      <c r="AI339" s="446"/>
      <c r="AJ339" s="491"/>
      <c r="AK339" s="500"/>
      <c r="AL339" s="436"/>
      <c r="AM339" s="438"/>
      <c r="AN339" s="531"/>
      <c r="AO339" s="491"/>
      <c r="AP339" s="438"/>
      <c r="AQ339" s="438"/>
      <c r="AR339" s="438"/>
      <c r="AS339" s="438"/>
      <c r="AT339" s="438"/>
      <c r="AU339" s="438"/>
      <c r="AV339" s="438"/>
      <c r="AW339" s="450" t="str">
        <f>#REF!</f>
        <v>#REF!</v>
      </c>
    </row>
    <row r="340">
      <c r="A340" s="435" t="s">
        <v>613</v>
      </c>
      <c r="B340" s="485" t="s">
        <v>614</v>
      </c>
      <c r="C340" s="486"/>
      <c r="D340" s="486" t="s">
        <v>305</v>
      </c>
      <c r="E340" s="486"/>
      <c r="F340" s="477" t="s">
        <v>2375</v>
      </c>
      <c r="G340" s="486"/>
      <c r="H340" s="487" t="s">
        <v>609</v>
      </c>
      <c r="I340" s="488">
        <v>41810.0</v>
      </c>
      <c r="J340" s="489">
        <v>2474.0</v>
      </c>
      <c r="K340" s="490">
        <v>179.0</v>
      </c>
      <c r="L340" s="491"/>
      <c r="M340" s="486"/>
      <c r="N340" s="422">
        <v>15.482</v>
      </c>
      <c r="O340" s="422">
        <v>14.205</v>
      </c>
      <c r="P340" s="422"/>
      <c r="Q340" s="492" t="s">
        <v>2376</v>
      </c>
      <c r="R340" s="492" t="s">
        <v>2377</v>
      </c>
      <c r="S340" s="492" t="s">
        <v>2378</v>
      </c>
      <c r="T340" s="486" t="s">
        <v>2379</v>
      </c>
      <c r="U340" s="486" t="s">
        <v>2178</v>
      </c>
      <c r="V340" s="491"/>
      <c r="W340" s="493"/>
      <c r="X340" s="486"/>
      <c r="Y340" s="442"/>
      <c r="Z340" s="491"/>
      <c r="AA340" s="494">
        <v>0.26</v>
      </c>
      <c r="AB340" s="494">
        <v>0.041</v>
      </c>
      <c r="AC340" s="436" t="str">
        <f>IF(ISNUMBER(VLOOKUP(B340,'New Masses'!A:C,3,FALSE)),VLOOKUP(B340,'New Masses'!A:C,3,FALSE),"")</f>
        <v/>
      </c>
      <c r="AD340" s="495">
        <f>10^AE340</f>
        <v>0</v>
      </c>
      <c r="AE340" s="486">
        <v>-12.09</v>
      </c>
      <c r="AF340" s="491"/>
      <c r="AG340" s="498">
        <v>0.0229032</v>
      </c>
      <c r="AH340" s="499">
        <f>8/1048</f>
        <v>0.007633587786</v>
      </c>
      <c r="AI340" s="446"/>
      <c r="AJ340" s="491"/>
      <c r="AK340" s="500"/>
      <c r="AL340" s="436"/>
      <c r="AM340" s="438"/>
      <c r="AN340" s="501">
        <v>10.0</v>
      </c>
      <c r="AO340" s="491"/>
      <c r="AP340" s="454">
        <v>0.13</v>
      </c>
      <c r="AQ340" s="438"/>
      <c r="AR340" s="438"/>
      <c r="AS340" s="438"/>
      <c r="AT340" s="438"/>
      <c r="AU340" s="438"/>
      <c r="AV340" s="438"/>
      <c r="AW340" s="450"/>
    </row>
    <row r="341">
      <c r="A341" s="435" t="str">
        <f t="shared" ref="A341:C341" si="306">#REF!</f>
        <v>#REF!</v>
      </c>
      <c r="B341" s="485" t="str">
        <f t="shared" si="306"/>
        <v>#REF!</v>
      </c>
      <c r="C341" s="486" t="str">
        <f t="shared" si="306"/>
        <v>#REF!</v>
      </c>
      <c r="D341" s="486"/>
      <c r="E341" s="486"/>
      <c r="F341" s="528"/>
      <c r="G341" s="486"/>
      <c r="H341" s="486" t="s">
        <v>5917</v>
      </c>
      <c r="I341" s="491"/>
      <c r="J341" s="491"/>
      <c r="K341" s="491"/>
      <c r="L341" s="491"/>
      <c r="M341" s="486"/>
      <c r="N341" s="422"/>
      <c r="O341" s="422"/>
      <c r="P341" s="422"/>
      <c r="Q341" s="486"/>
      <c r="R341" s="491"/>
      <c r="S341" s="491"/>
      <c r="T341" s="491"/>
      <c r="U341" s="491"/>
      <c r="V341" s="491"/>
      <c r="W341" s="493"/>
      <c r="X341" s="486"/>
      <c r="Y341" s="442"/>
      <c r="Z341" s="491"/>
      <c r="AA341" s="524" t="str">
        <f>#REF!</f>
        <v>#REF!</v>
      </c>
      <c r="AB341" s="494"/>
      <c r="AC341" s="436"/>
      <c r="AD341" s="495"/>
      <c r="AE341" s="491"/>
      <c r="AF341" s="491"/>
      <c r="AG341" s="525" t="str">
        <f>#REF!</f>
        <v>#REF!</v>
      </c>
      <c r="AH341" s="491"/>
      <c r="AI341" s="446"/>
      <c r="AJ341" s="491"/>
      <c r="AK341" s="500"/>
      <c r="AL341" s="436"/>
      <c r="AM341" s="438"/>
      <c r="AN341" s="531"/>
      <c r="AO341" s="491"/>
      <c r="AP341" s="438"/>
      <c r="AQ341" s="438"/>
      <c r="AR341" s="438"/>
      <c r="AS341" s="438"/>
      <c r="AT341" s="438"/>
      <c r="AU341" s="438"/>
      <c r="AV341" s="438"/>
      <c r="AW341" s="450" t="str">
        <f>#REF!</f>
        <v>#REF!</v>
      </c>
    </row>
    <row r="342">
      <c r="A342" s="435" t="s">
        <v>480</v>
      </c>
      <c r="B342" s="451" t="s">
        <v>481</v>
      </c>
      <c r="C342" s="423"/>
      <c r="D342" s="423" t="s">
        <v>314</v>
      </c>
      <c r="E342" s="423"/>
      <c r="F342" s="428" t="s">
        <v>2380</v>
      </c>
      <c r="G342" s="423" t="s">
        <v>169</v>
      </c>
      <c r="H342" s="429" t="s">
        <v>476</v>
      </c>
      <c r="I342" s="438"/>
      <c r="J342" s="451">
        <v>2800.0</v>
      </c>
      <c r="K342" s="423"/>
      <c r="L342" s="423" t="s">
        <v>232</v>
      </c>
      <c r="M342" s="422">
        <v>0.5</v>
      </c>
      <c r="N342" s="422">
        <v>15.174</v>
      </c>
      <c r="O342" s="422">
        <v>13.83</v>
      </c>
      <c r="P342" s="422">
        <v>20.7</v>
      </c>
      <c r="Q342" s="423" t="s">
        <v>2189</v>
      </c>
      <c r="R342" s="423" t="s">
        <v>2190</v>
      </c>
      <c r="S342" s="423" t="s">
        <v>2191</v>
      </c>
      <c r="T342" s="428" t="s">
        <v>162</v>
      </c>
      <c r="U342" s="423" t="s">
        <v>2192</v>
      </c>
      <c r="V342" s="423"/>
      <c r="W342" s="468"/>
      <c r="X342" s="436"/>
      <c r="Y342" s="442" t="str">
        <f>IF((W342/((J342/5780)^4))^0.5&gt;0,(W342/((J342/5780)^4))^0.5,"")</f>
        <v/>
      </c>
      <c r="Z342" s="469"/>
      <c r="AA342" s="470">
        <v>0.22</v>
      </c>
      <c r="AB342" s="470">
        <v>0.05</v>
      </c>
      <c r="AC342" s="469">
        <f>IF(ISNUMBER(VLOOKUP(B342,'New Masses'!A:C,3,FALSE)),VLOOKUP(B342,'New Masses'!A:C,3,FALSE),"")</f>
        <v>0.39352</v>
      </c>
      <c r="AD342" s="451">
        <f>10^AE342</f>
        <v>0</v>
      </c>
      <c r="AE342" s="451">
        <v>-11.6</v>
      </c>
      <c r="AF342" s="440"/>
      <c r="AG342" s="459">
        <v>0.05</v>
      </c>
      <c r="AH342" s="451">
        <v>0.01</v>
      </c>
      <c r="AI342" s="446">
        <f>IF(ISNUMBER(VLOOKUP(B342,'New Masses'!A:C,2, FALSE)),VLOOKUP(B342,'New Masses'!A:C,2, FALSE),"")</f>
        <v>0.031801</v>
      </c>
      <c r="AJ342" s="451">
        <f>LOG10(AG342)</f>
        <v>-1.301029996</v>
      </c>
      <c r="AK342" s="440"/>
      <c r="AL342" s="451">
        <v>-4.8</v>
      </c>
      <c r="AM342" s="466">
        <v>43900.0</v>
      </c>
      <c r="AN342" s="436">
        <v>3.0</v>
      </c>
      <c r="AO342" s="440"/>
      <c r="AP342" s="451">
        <v>0.0</v>
      </c>
      <c r="AQ342" s="440"/>
      <c r="AR342" s="420" t="s">
        <v>2364</v>
      </c>
      <c r="AS342" s="420"/>
      <c r="AT342" s="440"/>
      <c r="AU342" s="502" t="s">
        <v>2365</v>
      </c>
      <c r="AV342" s="440"/>
      <c r="AW342" s="450">
        <v>187.0</v>
      </c>
    </row>
    <row r="343">
      <c r="A343" s="435" t="str">
        <f t="shared" ref="A343:C343" si="307">#REF!</f>
        <v>#REF!</v>
      </c>
      <c r="B343" s="485" t="str">
        <f t="shared" si="307"/>
        <v>#REF!</v>
      </c>
      <c r="C343" s="486" t="str">
        <f t="shared" si="307"/>
        <v>#REF!</v>
      </c>
      <c r="D343" s="486"/>
      <c r="E343" s="486"/>
      <c r="F343" s="528"/>
      <c r="G343" s="486"/>
      <c r="H343" s="486" t="s">
        <v>5917</v>
      </c>
      <c r="I343" s="491"/>
      <c r="J343" s="491"/>
      <c r="K343" s="491"/>
      <c r="L343" s="491"/>
      <c r="M343" s="486"/>
      <c r="N343" s="422"/>
      <c r="O343" s="422"/>
      <c r="P343" s="422"/>
      <c r="Q343" s="486"/>
      <c r="R343" s="491"/>
      <c r="S343" s="491"/>
      <c r="T343" s="491"/>
      <c r="U343" s="491"/>
      <c r="V343" s="491"/>
      <c r="W343" s="493"/>
      <c r="X343" s="486"/>
      <c r="Y343" s="442"/>
      <c r="Z343" s="491"/>
      <c r="AA343" s="524" t="str">
        <f>#REF!</f>
        <v>#REF!</v>
      </c>
      <c r="AB343" s="494"/>
      <c r="AC343" s="436"/>
      <c r="AD343" s="495"/>
      <c r="AE343" s="491"/>
      <c r="AF343" s="491"/>
      <c r="AG343" s="525" t="str">
        <f>#REF!</f>
        <v>#REF!</v>
      </c>
      <c r="AH343" s="491"/>
      <c r="AI343" s="446"/>
      <c r="AJ343" s="491"/>
      <c r="AK343" s="500"/>
      <c r="AL343" s="436"/>
      <c r="AM343" s="438"/>
      <c r="AN343" s="531"/>
      <c r="AO343" s="491"/>
      <c r="AP343" s="438"/>
      <c r="AQ343" s="438"/>
      <c r="AR343" s="438"/>
      <c r="AS343" s="438"/>
      <c r="AT343" s="438"/>
      <c r="AU343" s="438"/>
      <c r="AV343" s="438"/>
      <c r="AW343" s="450" t="str">
        <f>#REF!</f>
        <v>#REF!</v>
      </c>
    </row>
    <row r="344">
      <c r="A344" s="435" t="s">
        <v>551</v>
      </c>
      <c r="B344" s="435" t="s">
        <v>551</v>
      </c>
      <c r="C344" s="440"/>
      <c r="D344" s="440" t="s">
        <v>314</v>
      </c>
      <c r="E344" s="440"/>
      <c r="F344" s="451" t="s">
        <v>2381</v>
      </c>
      <c r="G344" s="440" t="s">
        <v>169</v>
      </c>
      <c r="H344" s="440" t="s">
        <v>476</v>
      </c>
      <c r="I344" s="436">
        <v>2015.0</v>
      </c>
      <c r="J344" s="460">
        <v>3415.0</v>
      </c>
      <c r="K344" s="460">
        <v>79.0</v>
      </c>
      <c r="L344" s="460" t="s">
        <v>430</v>
      </c>
      <c r="M344" s="461">
        <v>0.5</v>
      </c>
      <c r="N344" s="422">
        <v>11.325</v>
      </c>
      <c r="O344" s="422">
        <v>9.8</v>
      </c>
      <c r="P344" s="422">
        <v>15.35</v>
      </c>
      <c r="Q344" s="440" t="s">
        <v>2189</v>
      </c>
      <c r="R344" s="451" t="s">
        <v>2190</v>
      </c>
      <c r="S344" s="451" t="s">
        <v>2191</v>
      </c>
      <c r="T344" s="462" t="s">
        <v>162</v>
      </c>
      <c r="U344" s="451" t="s">
        <v>2192</v>
      </c>
      <c r="V344" s="440"/>
      <c r="W344" s="463"/>
      <c r="X344" s="437"/>
      <c r="Y344" s="442" t="str">
        <f>IF((W344/((J344/5780)^4))^0.5&gt;0,(W344/((J344/5780)^4))^0.5,"")</f>
        <v/>
      </c>
      <c r="Z344" s="464"/>
      <c r="AA344" s="465">
        <v>1.57</v>
      </c>
      <c r="AB344" s="465">
        <v>0.38</v>
      </c>
      <c r="AC344" s="436" t="str">
        <f>IF(ISNUMBER(VLOOKUP(B344,'New Masses'!A:C,3,FALSE)),VLOOKUP(B344,'New Masses'!A:C,3,FALSE),"")</f>
        <v/>
      </c>
      <c r="AD344" s="440">
        <f>10^AE344</f>
        <v>0.0000000001584893192</v>
      </c>
      <c r="AE344" s="460">
        <v>-9.8</v>
      </c>
      <c r="AF344" s="440"/>
      <c r="AG344" s="445">
        <v>0.32</v>
      </c>
      <c r="AH344" s="460">
        <v>0.04</v>
      </c>
      <c r="AI344" s="446" t="str">
        <f>IF(ISNUMBER(VLOOKUP(B344,'New Masses'!A:C,2, FALSE)),VLOOKUP(B344,'New Masses'!A:C,2, FALSE),"")</f>
        <v/>
      </c>
      <c r="AJ344" s="440">
        <f>LOG10(AG344)</f>
        <v>-0.4948500217</v>
      </c>
      <c r="AK344" s="460"/>
      <c r="AL344" s="460">
        <v>-3.1</v>
      </c>
      <c r="AM344" s="466">
        <v>43900.0</v>
      </c>
      <c r="AN344" s="436">
        <v>3.0</v>
      </c>
      <c r="AO344" s="440"/>
      <c r="AP344" s="440"/>
      <c r="AQ344" s="440"/>
      <c r="AR344" s="440"/>
      <c r="AS344" s="440"/>
      <c r="AT344" s="440"/>
      <c r="AU344" s="440"/>
      <c r="AV344" s="440"/>
      <c r="AW344" s="450">
        <v>167.706446635808</v>
      </c>
    </row>
    <row r="345">
      <c r="A345" s="435" t="str">
        <f t="shared" ref="A345:C345" si="308">#REF!</f>
        <v>#REF!</v>
      </c>
      <c r="B345" s="485" t="str">
        <f t="shared" si="308"/>
        <v>#REF!</v>
      </c>
      <c r="C345" s="486" t="str">
        <f t="shared" si="308"/>
        <v>#REF!</v>
      </c>
      <c r="D345" s="486"/>
      <c r="E345" s="486"/>
      <c r="F345" s="528"/>
      <c r="G345" s="486"/>
      <c r="H345" s="486" t="s">
        <v>5917</v>
      </c>
      <c r="I345" s="491"/>
      <c r="J345" s="491"/>
      <c r="K345" s="491"/>
      <c r="L345" s="491"/>
      <c r="M345" s="486"/>
      <c r="N345" s="422"/>
      <c r="O345" s="422"/>
      <c r="P345" s="422"/>
      <c r="Q345" s="486"/>
      <c r="R345" s="491"/>
      <c r="S345" s="491"/>
      <c r="T345" s="491"/>
      <c r="U345" s="491"/>
      <c r="V345" s="491"/>
      <c r="W345" s="493"/>
      <c r="X345" s="486"/>
      <c r="Y345" s="442"/>
      <c r="Z345" s="491"/>
      <c r="AA345" s="524" t="str">
        <f>#REF!</f>
        <v>#REF!</v>
      </c>
      <c r="AB345" s="494"/>
      <c r="AC345" s="436"/>
      <c r="AD345" s="495"/>
      <c r="AE345" s="491"/>
      <c r="AF345" s="491"/>
      <c r="AG345" s="525" t="str">
        <f>#REF!</f>
        <v>#REF!</v>
      </c>
      <c r="AH345" s="491"/>
      <c r="AI345" s="446"/>
      <c r="AJ345" s="491"/>
      <c r="AK345" s="500"/>
      <c r="AL345" s="436"/>
      <c r="AM345" s="438"/>
      <c r="AN345" s="531"/>
      <c r="AO345" s="491"/>
      <c r="AP345" s="438"/>
      <c r="AQ345" s="438"/>
      <c r="AR345" s="438"/>
      <c r="AS345" s="438"/>
      <c r="AT345" s="438"/>
      <c r="AU345" s="438"/>
      <c r="AV345" s="438"/>
      <c r="AW345" s="450" t="str">
        <f>#REF!</f>
        <v>#REF!</v>
      </c>
    </row>
    <row r="346">
      <c r="A346" s="435" t="s">
        <v>493</v>
      </c>
      <c r="B346" s="435" t="s">
        <v>493</v>
      </c>
      <c r="C346" s="440"/>
      <c r="D346" s="440" t="s">
        <v>314</v>
      </c>
      <c r="E346" s="440"/>
      <c r="F346" s="451" t="s">
        <v>2382</v>
      </c>
      <c r="G346" s="440" t="s">
        <v>169</v>
      </c>
      <c r="H346" s="440" t="s">
        <v>476</v>
      </c>
      <c r="I346" s="436">
        <v>2015.0</v>
      </c>
      <c r="J346" s="460">
        <v>3060.0</v>
      </c>
      <c r="K346" s="460">
        <v>71.0</v>
      </c>
      <c r="L346" s="460" t="s">
        <v>264</v>
      </c>
      <c r="M346" s="461">
        <v>0.5</v>
      </c>
      <c r="N346" s="422">
        <v>14.97</v>
      </c>
      <c r="O346" s="422">
        <v>12.518</v>
      </c>
      <c r="P346" s="422">
        <v>21.73</v>
      </c>
      <c r="Q346" s="440" t="s">
        <v>2189</v>
      </c>
      <c r="R346" s="451" t="s">
        <v>2190</v>
      </c>
      <c r="S346" s="451" t="s">
        <v>2191</v>
      </c>
      <c r="T346" s="462" t="s">
        <v>162</v>
      </c>
      <c r="U346" s="451" t="s">
        <v>2192</v>
      </c>
      <c r="V346" s="440"/>
      <c r="W346" s="463"/>
      <c r="X346" s="437"/>
      <c r="Y346" s="442" t="str">
        <f>IF((W346/((J346/5780)^4))^0.5&gt;0,(W346/((J346/5780)^4))^0.5,"")</f>
        <v/>
      </c>
      <c r="Z346" s="464"/>
      <c r="AA346" s="465">
        <v>0.29</v>
      </c>
      <c r="AB346" s="465">
        <v>0.06</v>
      </c>
      <c r="AC346" s="436" t="str">
        <f>IF(ISNUMBER(VLOOKUP(B346,'New Masses'!A:C,3,FALSE)),VLOOKUP(B346,'New Masses'!A:C,3,FALSE),"")</f>
        <v/>
      </c>
      <c r="AD346" s="440">
        <f>10^AE346</f>
        <v>0</v>
      </c>
      <c r="AE346" s="451">
        <v>-10.6</v>
      </c>
      <c r="AF346" s="440"/>
      <c r="AG346" s="445">
        <v>0.1</v>
      </c>
      <c r="AH346" s="460">
        <v>0.02</v>
      </c>
      <c r="AI346" s="446" t="str">
        <f>IF(ISNUMBER(VLOOKUP(B346,'New Masses'!A:C,2, FALSE)),VLOOKUP(B346,'New Masses'!A:C,2, FALSE),"")</f>
        <v/>
      </c>
      <c r="AJ346" s="440">
        <f>LOG10(AG346)</f>
        <v>-1</v>
      </c>
      <c r="AK346" s="460"/>
      <c r="AL346" s="460">
        <v>-3.7</v>
      </c>
      <c r="AM346" s="466">
        <v>43900.0</v>
      </c>
      <c r="AN346" s="436">
        <v>3.0</v>
      </c>
      <c r="AO346" s="440"/>
      <c r="AP346" s="440"/>
      <c r="AQ346" s="440"/>
      <c r="AR346" s="440"/>
      <c r="AS346" s="440"/>
      <c r="AT346" s="440"/>
      <c r="AU346" s="440"/>
      <c r="AV346" s="440"/>
      <c r="AW346" s="450">
        <v>133.691626893407</v>
      </c>
    </row>
    <row r="347">
      <c r="A347" s="435" t="str">
        <f t="shared" ref="A347:C347" si="309">#REF!</f>
        <v>#REF!</v>
      </c>
      <c r="B347" s="485" t="str">
        <f t="shared" si="309"/>
        <v>#REF!</v>
      </c>
      <c r="C347" s="486" t="str">
        <f t="shared" si="309"/>
        <v>#REF!</v>
      </c>
      <c r="D347" s="486"/>
      <c r="E347" s="486"/>
      <c r="F347" s="528"/>
      <c r="G347" s="486"/>
      <c r="H347" s="486" t="s">
        <v>5917</v>
      </c>
      <c r="I347" s="491"/>
      <c r="J347" s="491"/>
      <c r="K347" s="491"/>
      <c r="L347" s="491"/>
      <c r="M347" s="486"/>
      <c r="N347" s="422"/>
      <c r="O347" s="422"/>
      <c r="P347" s="422"/>
      <c r="Q347" s="486"/>
      <c r="R347" s="491"/>
      <c r="S347" s="491"/>
      <c r="T347" s="491"/>
      <c r="U347" s="491"/>
      <c r="V347" s="491"/>
      <c r="W347" s="493"/>
      <c r="X347" s="486"/>
      <c r="Y347" s="442"/>
      <c r="Z347" s="491"/>
      <c r="AA347" s="524" t="str">
        <f>#REF!</f>
        <v>#REF!</v>
      </c>
      <c r="AB347" s="494"/>
      <c r="AC347" s="436"/>
      <c r="AD347" s="495"/>
      <c r="AE347" s="491"/>
      <c r="AF347" s="491"/>
      <c r="AG347" s="525" t="str">
        <f>#REF!</f>
        <v>#REF!</v>
      </c>
      <c r="AH347" s="491"/>
      <c r="AI347" s="446"/>
      <c r="AJ347" s="491"/>
      <c r="AK347" s="500"/>
      <c r="AL347" s="436"/>
      <c r="AM347" s="438"/>
      <c r="AN347" s="531"/>
      <c r="AO347" s="491"/>
      <c r="AP347" s="438"/>
      <c r="AQ347" s="438"/>
      <c r="AR347" s="438"/>
      <c r="AS347" s="438"/>
      <c r="AT347" s="438"/>
      <c r="AU347" s="438"/>
      <c r="AV347" s="438"/>
      <c r="AW347" s="450" t="str">
        <f>#REF!</f>
        <v>#REF!</v>
      </c>
    </row>
    <row r="348">
      <c r="A348" s="435" t="s">
        <v>488</v>
      </c>
      <c r="B348" s="435" t="s">
        <v>488</v>
      </c>
      <c r="C348" s="440"/>
      <c r="D348" s="440" t="s">
        <v>314</v>
      </c>
      <c r="E348" s="440"/>
      <c r="F348" s="451" t="s">
        <v>2383</v>
      </c>
      <c r="G348" s="440" t="s">
        <v>169</v>
      </c>
      <c r="H348" s="440" t="s">
        <v>476</v>
      </c>
      <c r="I348" s="436">
        <v>2015.0</v>
      </c>
      <c r="J348" s="460">
        <v>2935.0</v>
      </c>
      <c r="K348" s="460">
        <v>68.0</v>
      </c>
      <c r="L348" s="460" t="s">
        <v>217</v>
      </c>
      <c r="M348" s="461">
        <v>0.5</v>
      </c>
      <c r="N348" s="422">
        <v>12.99</v>
      </c>
      <c r="O348" s="422">
        <v>12.017</v>
      </c>
      <c r="P348" s="422">
        <v>17.24</v>
      </c>
      <c r="Q348" s="440" t="s">
        <v>2189</v>
      </c>
      <c r="R348" s="451" t="s">
        <v>2190</v>
      </c>
      <c r="S348" s="451" t="s">
        <v>2191</v>
      </c>
      <c r="T348" s="462" t="s">
        <v>162</v>
      </c>
      <c r="U348" s="451" t="s">
        <v>2192</v>
      </c>
      <c r="V348" s="440"/>
      <c r="W348" s="463"/>
      <c r="X348" s="437"/>
      <c r="Y348" s="442" t="str">
        <f>IF((W348/((J348/5780)^4))^0.5&gt;0,(W348/((J348/5780)^4))^0.5,"")</f>
        <v/>
      </c>
      <c r="Z348" s="464"/>
      <c r="AA348" s="465">
        <v>1.07</v>
      </c>
      <c r="AB348" s="465">
        <v>0.29</v>
      </c>
      <c r="AC348" s="436" t="str">
        <f>IF(ISNUMBER(VLOOKUP(B348,'New Masses'!A:C,3,FALSE)),VLOOKUP(B348,'New Masses'!A:C,3,FALSE),"")</f>
        <v/>
      </c>
      <c r="AD348" s="440">
        <f>10^AE348</f>
        <v>0</v>
      </c>
      <c r="AE348" s="460">
        <v>-10.5</v>
      </c>
      <c r="AF348" s="440"/>
      <c r="AG348" s="445">
        <v>0.1</v>
      </c>
      <c r="AH348" s="460">
        <v>0.02</v>
      </c>
      <c r="AI348" s="446" t="str">
        <f>IF(ISNUMBER(VLOOKUP(B348,'New Masses'!A:C,2, FALSE)),VLOOKUP(B348,'New Masses'!A:C,2, FALSE),"")</f>
        <v/>
      </c>
      <c r="AJ348" s="440">
        <f>LOG10(AG348)</f>
        <v>-1</v>
      </c>
      <c r="AK348" s="460"/>
      <c r="AL348" s="460">
        <v>-4.1</v>
      </c>
      <c r="AM348" s="466">
        <v>43900.0</v>
      </c>
      <c r="AN348" s="436">
        <v>3.0</v>
      </c>
      <c r="AO348" s="440"/>
      <c r="AP348" s="440"/>
      <c r="AQ348" s="440"/>
      <c r="AR348" s="440"/>
      <c r="AS348" s="440"/>
      <c r="AT348" s="440"/>
      <c r="AU348" s="440"/>
      <c r="AV348" s="440"/>
      <c r="AW348" s="450">
        <v>157.515042686576</v>
      </c>
    </row>
    <row r="349">
      <c r="A349" s="435" t="str">
        <f t="shared" ref="A349:C349" si="310">#REF!</f>
        <v>#REF!</v>
      </c>
      <c r="B349" s="485" t="str">
        <f t="shared" si="310"/>
        <v>#REF!</v>
      </c>
      <c r="C349" s="486" t="str">
        <f t="shared" si="310"/>
        <v>#REF!</v>
      </c>
      <c r="D349" s="486"/>
      <c r="E349" s="486"/>
      <c r="F349" s="528"/>
      <c r="G349" s="486"/>
      <c r="H349" s="486" t="s">
        <v>5917</v>
      </c>
      <c r="I349" s="491"/>
      <c r="J349" s="491"/>
      <c r="K349" s="491"/>
      <c r="L349" s="491"/>
      <c r="M349" s="486"/>
      <c r="N349" s="422"/>
      <c r="O349" s="422"/>
      <c r="P349" s="422"/>
      <c r="Q349" s="486"/>
      <c r="R349" s="491"/>
      <c r="S349" s="491"/>
      <c r="T349" s="491"/>
      <c r="U349" s="491"/>
      <c r="V349" s="491"/>
      <c r="W349" s="493"/>
      <c r="X349" s="486"/>
      <c r="Y349" s="442"/>
      <c r="Z349" s="491"/>
      <c r="AA349" s="524" t="str">
        <f>#REF!</f>
        <v>#REF!</v>
      </c>
      <c r="AB349" s="494"/>
      <c r="AC349" s="436"/>
      <c r="AD349" s="495"/>
      <c r="AE349" s="491"/>
      <c r="AF349" s="491"/>
      <c r="AG349" s="525" t="str">
        <f>#REF!</f>
        <v>#REF!</v>
      </c>
      <c r="AH349" s="491"/>
      <c r="AI349" s="446"/>
      <c r="AJ349" s="491"/>
      <c r="AK349" s="500"/>
      <c r="AL349" s="436"/>
      <c r="AM349" s="438"/>
      <c r="AN349" s="531"/>
      <c r="AO349" s="491"/>
      <c r="AP349" s="438"/>
      <c r="AQ349" s="438"/>
      <c r="AR349" s="438"/>
      <c r="AS349" s="438"/>
      <c r="AT349" s="438"/>
      <c r="AU349" s="438"/>
      <c r="AV349" s="438"/>
      <c r="AW349" s="450" t="str">
        <f>#REF!</f>
        <v>#REF!</v>
      </c>
    </row>
    <row r="350">
      <c r="A350" s="435" t="s">
        <v>475</v>
      </c>
      <c r="B350" s="435" t="s">
        <v>475</v>
      </c>
      <c r="C350" s="440"/>
      <c r="D350" s="423" t="s">
        <v>314</v>
      </c>
      <c r="E350" s="423"/>
      <c r="F350" s="423" t="s">
        <v>2384</v>
      </c>
      <c r="G350" s="423" t="s">
        <v>169</v>
      </c>
      <c r="H350" s="423" t="s">
        <v>476</v>
      </c>
      <c r="I350" s="438"/>
      <c r="J350" s="451">
        <v>2600.0</v>
      </c>
      <c r="K350" s="423"/>
      <c r="L350" s="423" t="s">
        <v>213</v>
      </c>
      <c r="M350" s="422">
        <v>0.5</v>
      </c>
      <c r="N350" s="422">
        <v>13.902</v>
      </c>
      <c r="O350" s="422">
        <v>12.84</v>
      </c>
      <c r="P350" s="422">
        <v>19.25</v>
      </c>
      <c r="Q350" s="423" t="s">
        <v>2189</v>
      </c>
      <c r="R350" s="423" t="s">
        <v>2190</v>
      </c>
      <c r="S350" s="423" t="s">
        <v>2191</v>
      </c>
      <c r="T350" s="428" t="s">
        <v>162</v>
      </c>
      <c r="U350" s="423" t="s">
        <v>2192</v>
      </c>
      <c r="V350" s="423"/>
      <c r="W350" s="468"/>
      <c r="X350" s="436"/>
      <c r="Y350" s="442" t="str">
        <f>IF((W350/((J350/5780)^4))^0.5&gt;0,(W350/((J350/5780)^4))^0.5,"")</f>
        <v/>
      </c>
      <c r="Z350" s="469"/>
      <c r="AA350" s="470">
        <v>0.47</v>
      </c>
      <c r="AB350" s="470">
        <v>0.11</v>
      </c>
      <c r="AC350" s="436" t="str">
        <f>IF(ISNUMBER(VLOOKUP(B350,'New Masses'!A:C,3,FALSE)),VLOOKUP(B350,'New Masses'!A:C,3,FALSE),"")</f>
        <v/>
      </c>
      <c r="AD350" s="436" t="str">
        <f>IF(ISNUMBER(VLOOKUP(C350,'New Masses'!B:D,3,FALSE)),VLOOKUP(C350,'New Masses'!B:D,3,FALSE),"")</f>
        <v/>
      </c>
      <c r="AE350" s="451">
        <v>-10.6</v>
      </c>
      <c r="AF350" s="440"/>
      <c r="AG350" s="459">
        <v>0.02</v>
      </c>
      <c r="AH350" s="451">
        <v>0.01</v>
      </c>
      <c r="AI350" s="446" t="str">
        <f>IF(ISNUMBER(VLOOKUP(B350,'New Masses'!A:C,2, FALSE)),VLOOKUP(B350,'New Masses'!A:C,2, FALSE),"")</f>
        <v/>
      </c>
      <c r="AJ350" s="451">
        <f>LOG10(AG350)</f>
        <v>-1.698970004</v>
      </c>
      <c r="AK350" s="462"/>
      <c r="AL350" s="451">
        <v>-4.6</v>
      </c>
      <c r="AM350" s="466">
        <v>43900.0</v>
      </c>
      <c r="AN350" s="436">
        <v>3.0</v>
      </c>
      <c r="AO350" s="440"/>
      <c r="AP350" s="451">
        <v>0.0</v>
      </c>
      <c r="AQ350" s="440"/>
      <c r="AR350" s="420" t="s">
        <v>2364</v>
      </c>
      <c r="AS350" s="420"/>
      <c r="AT350" s="440"/>
      <c r="AU350" s="502" t="s">
        <v>2365</v>
      </c>
      <c r="AV350" s="440"/>
      <c r="AW350" s="450">
        <v>150.0</v>
      </c>
    </row>
    <row r="351">
      <c r="A351" s="435" t="str">
        <f t="shared" ref="A351:C351" si="311">#REF!</f>
        <v>#REF!</v>
      </c>
      <c r="B351" s="485" t="str">
        <f t="shared" si="311"/>
        <v>#REF!</v>
      </c>
      <c r="C351" s="486" t="str">
        <f t="shared" si="311"/>
        <v>#REF!</v>
      </c>
      <c r="D351" s="486"/>
      <c r="E351" s="486"/>
      <c r="F351" s="528"/>
      <c r="G351" s="486"/>
      <c r="H351" s="486" t="s">
        <v>5917</v>
      </c>
      <c r="I351" s="491"/>
      <c r="J351" s="491"/>
      <c r="K351" s="491"/>
      <c r="L351" s="491"/>
      <c r="M351" s="486"/>
      <c r="N351" s="422"/>
      <c r="O351" s="422"/>
      <c r="P351" s="422"/>
      <c r="Q351" s="486"/>
      <c r="R351" s="491"/>
      <c r="S351" s="491"/>
      <c r="T351" s="491"/>
      <c r="U351" s="491"/>
      <c r="V351" s="491"/>
      <c r="W351" s="493"/>
      <c r="X351" s="486"/>
      <c r="Y351" s="442"/>
      <c r="Z351" s="491"/>
      <c r="AA351" s="524" t="str">
        <f>#REF!</f>
        <v>#REF!</v>
      </c>
      <c r="AB351" s="494"/>
      <c r="AC351" s="436"/>
      <c r="AD351" s="495"/>
      <c r="AE351" s="491"/>
      <c r="AF351" s="491"/>
      <c r="AG351" s="525" t="str">
        <f>#REF!</f>
        <v>#REF!</v>
      </c>
      <c r="AH351" s="491"/>
      <c r="AI351" s="446"/>
      <c r="AJ351" s="491"/>
      <c r="AK351" s="500"/>
      <c r="AL351" s="436"/>
      <c r="AM351" s="438"/>
      <c r="AN351" s="531"/>
      <c r="AO351" s="491"/>
      <c r="AP351" s="438"/>
      <c r="AQ351" s="438"/>
      <c r="AR351" s="438"/>
      <c r="AS351" s="438"/>
      <c r="AT351" s="438"/>
      <c r="AU351" s="438"/>
      <c r="AV351" s="438"/>
      <c r="AW351" s="450" t="str">
        <f>#REF!</f>
        <v>#REF!</v>
      </c>
    </row>
    <row r="352">
      <c r="A352" s="435" t="s">
        <v>538</v>
      </c>
      <c r="B352" s="435" t="s">
        <v>539</v>
      </c>
      <c r="C352" s="451"/>
      <c r="D352" s="440" t="s">
        <v>314</v>
      </c>
      <c r="E352" s="440"/>
      <c r="F352" s="451" t="s">
        <v>2385</v>
      </c>
      <c r="G352" s="440" t="s">
        <v>169</v>
      </c>
      <c r="H352" s="440" t="s">
        <v>476</v>
      </c>
      <c r="I352" s="438"/>
      <c r="J352" s="460">
        <v>3270.0</v>
      </c>
      <c r="K352" s="460">
        <v>75.0</v>
      </c>
      <c r="L352" s="460" t="s">
        <v>395</v>
      </c>
      <c r="M352" s="461">
        <v>0.5</v>
      </c>
      <c r="N352" s="422">
        <v>11.61</v>
      </c>
      <c r="O352" s="422">
        <v>10.292</v>
      </c>
      <c r="P352" s="422">
        <v>15.04</v>
      </c>
      <c r="Q352" s="440" t="s">
        <v>2189</v>
      </c>
      <c r="R352" s="451" t="s">
        <v>2190</v>
      </c>
      <c r="S352" s="451" t="s">
        <v>2191</v>
      </c>
      <c r="T352" s="462" t="s">
        <v>162</v>
      </c>
      <c r="U352" s="451" t="s">
        <v>2192</v>
      </c>
      <c r="V352" s="440"/>
      <c r="W352" s="463"/>
      <c r="X352" s="437"/>
      <c r="Y352" s="442" t="str">
        <f>IF((W352/((J352/5780)^4))^0.5&gt;0,(W352/((J352/5780)^4))^0.5,"")</f>
        <v/>
      </c>
      <c r="Z352" s="464"/>
      <c r="AA352" s="465">
        <v>1.25</v>
      </c>
      <c r="AB352" s="465">
        <v>0.29</v>
      </c>
      <c r="AC352" s="436" t="str">
        <f>IF(ISNUMBER(VLOOKUP(B352,'New Masses'!A:C,3,FALSE)),VLOOKUP(B352,'New Masses'!A:C,3,FALSE),"")</f>
        <v/>
      </c>
      <c r="AD352" s="440">
        <f>10^AE352</f>
        <v>0.0000000002089296131</v>
      </c>
      <c r="AE352" s="460">
        <v>-9.68</v>
      </c>
      <c r="AF352" s="440"/>
      <c r="AG352" s="445">
        <v>0.24</v>
      </c>
      <c r="AH352" s="460">
        <v>0.04</v>
      </c>
      <c r="AI352" s="446" t="str">
        <f>IF(ISNUMBER(VLOOKUP(B352,'New Masses'!A:C,2, FALSE)),VLOOKUP(B352,'New Masses'!A:C,2, FALSE),"")</f>
        <v/>
      </c>
      <c r="AJ352" s="440">
        <f>LOG10(AG352)</f>
        <v>-0.6197887583</v>
      </c>
      <c r="AK352" s="460"/>
      <c r="AL352" s="460">
        <v>-3.0</v>
      </c>
      <c r="AM352" s="466">
        <v>43900.0</v>
      </c>
      <c r="AN352" s="436">
        <v>3.0</v>
      </c>
      <c r="AO352" s="440"/>
      <c r="AP352" s="440"/>
      <c r="AQ352" s="440"/>
      <c r="AR352" s="440"/>
      <c r="AS352" s="440"/>
      <c r="AT352" s="440"/>
      <c r="AU352" s="440"/>
      <c r="AV352" s="440"/>
      <c r="AW352" s="450">
        <v>164.308834886051</v>
      </c>
    </row>
    <row r="353">
      <c r="A353" s="435" t="str">
        <f t="shared" ref="A353:C353" si="312">#REF!</f>
        <v>#REF!</v>
      </c>
      <c r="B353" s="485" t="str">
        <f t="shared" si="312"/>
        <v>#REF!</v>
      </c>
      <c r="C353" s="486" t="str">
        <f t="shared" si="312"/>
        <v>#REF!</v>
      </c>
      <c r="D353" s="486"/>
      <c r="E353" s="486"/>
      <c r="F353" s="528"/>
      <c r="G353" s="486"/>
      <c r="H353" s="486" t="s">
        <v>5917</v>
      </c>
      <c r="I353" s="491"/>
      <c r="J353" s="491"/>
      <c r="K353" s="491"/>
      <c r="L353" s="491"/>
      <c r="M353" s="486"/>
      <c r="N353" s="422"/>
      <c r="O353" s="422"/>
      <c r="P353" s="422"/>
      <c r="Q353" s="486"/>
      <c r="R353" s="491"/>
      <c r="S353" s="491"/>
      <c r="T353" s="491"/>
      <c r="U353" s="491"/>
      <c r="V353" s="491"/>
      <c r="W353" s="493"/>
      <c r="X353" s="486"/>
      <c r="Y353" s="442"/>
      <c r="Z353" s="491"/>
      <c r="AA353" s="524" t="str">
        <f>#REF!</f>
        <v>#REF!</v>
      </c>
      <c r="AB353" s="494"/>
      <c r="AC353" s="436"/>
      <c r="AD353" s="495"/>
      <c r="AE353" s="491"/>
      <c r="AF353" s="491"/>
      <c r="AG353" s="525" t="str">
        <f>#REF!</f>
        <v>#REF!</v>
      </c>
      <c r="AH353" s="491"/>
      <c r="AI353" s="446"/>
      <c r="AJ353" s="491"/>
      <c r="AK353" s="500"/>
      <c r="AL353" s="436"/>
      <c r="AM353" s="438"/>
      <c r="AN353" s="531"/>
      <c r="AO353" s="491"/>
      <c r="AP353" s="438"/>
      <c r="AQ353" s="438"/>
      <c r="AR353" s="438"/>
      <c r="AS353" s="438"/>
      <c r="AT353" s="438"/>
      <c r="AU353" s="438"/>
      <c r="AV353" s="438"/>
      <c r="AW353" s="450" t="str">
        <f>#REF!</f>
        <v>#REF!</v>
      </c>
    </row>
    <row r="354">
      <c r="A354" s="435" t="s">
        <v>484</v>
      </c>
      <c r="B354" s="451" t="s">
        <v>485</v>
      </c>
      <c r="C354" s="440"/>
      <c r="D354" s="440" t="s">
        <v>314</v>
      </c>
      <c r="E354" s="440"/>
      <c r="F354" s="451" t="s">
        <v>2386</v>
      </c>
      <c r="G354" s="440" t="s">
        <v>169</v>
      </c>
      <c r="H354" s="440" t="s">
        <v>476</v>
      </c>
      <c r="I354" s="438"/>
      <c r="J354" s="460">
        <v>2990.0</v>
      </c>
      <c r="K354" s="460">
        <v>67.0</v>
      </c>
      <c r="L354" s="460" t="s">
        <v>353</v>
      </c>
      <c r="M354" s="461">
        <v>0.5</v>
      </c>
      <c r="N354" s="422">
        <v>13.01</v>
      </c>
      <c r="O354" s="422">
        <v>11.99</v>
      </c>
      <c r="P354" s="422">
        <v>16.49</v>
      </c>
      <c r="Q354" s="440" t="s">
        <v>2189</v>
      </c>
      <c r="R354" s="451" t="s">
        <v>2190</v>
      </c>
      <c r="S354" s="451" t="s">
        <v>2191</v>
      </c>
      <c r="T354" s="462" t="s">
        <v>162</v>
      </c>
      <c r="U354" s="451" t="s">
        <v>2192</v>
      </c>
      <c r="V354" s="440"/>
      <c r="W354" s="463"/>
      <c r="X354" s="437"/>
      <c r="Y354" s="442" t="str">
        <f>IF((W354/((J354/5780)^4))^0.5&gt;0,(W354/((J354/5780)^4))^0.5,"")</f>
        <v/>
      </c>
      <c r="Z354" s="464"/>
      <c r="AA354" s="465">
        <v>0.58</v>
      </c>
      <c r="AB354" s="465">
        <v>0.13</v>
      </c>
      <c r="AC354" s="436" t="str">
        <f>IF(ISNUMBER(VLOOKUP(B354,'New Masses'!A:C,3,FALSE)),VLOOKUP(B354,'New Masses'!A:C,3,FALSE),"")</f>
        <v/>
      </c>
      <c r="AD354" s="440">
        <f>10^AE354</f>
        <v>0</v>
      </c>
      <c r="AE354" s="460">
        <v>-10.7</v>
      </c>
      <c r="AF354" s="440"/>
      <c r="AG354" s="445">
        <v>0.1</v>
      </c>
      <c r="AH354" s="460">
        <v>0.01</v>
      </c>
      <c r="AI354" s="446" t="str">
        <f>IF(ISNUMBER(VLOOKUP(B354,'New Masses'!A:C,2, FALSE)),VLOOKUP(B354,'New Masses'!A:C,2, FALSE),"")</f>
        <v/>
      </c>
      <c r="AJ354" s="440">
        <f>LOG10(AG354)</f>
        <v>-1</v>
      </c>
      <c r="AK354" s="460"/>
      <c r="AL354" s="460">
        <v>-4.1</v>
      </c>
      <c r="AM354" s="466">
        <v>43900.0</v>
      </c>
      <c r="AN354" s="436">
        <v>3.0</v>
      </c>
      <c r="AO354" s="440"/>
      <c r="AP354" s="440"/>
      <c r="AQ354" s="440"/>
      <c r="AR354" s="440"/>
      <c r="AS354" s="440"/>
      <c r="AT354" s="440"/>
      <c r="AU354" s="440"/>
      <c r="AV354" s="440"/>
      <c r="AW354" s="450">
        <v>2201.1886418666</v>
      </c>
    </row>
    <row r="355">
      <c r="A355" s="435" t="str">
        <f t="shared" ref="A355:C355" si="313">#REF!</f>
        <v>#REF!</v>
      </c>
      <c r="B355" s="485" t="str">
        <f t="shared" si="313"/>
        <v>#REF!</v>
      </c>
      <c r="C355" s="486" t="str">
        <f t="shared" si="313"/>
        <v>#REF!</v>
      </c>
      <c r="D355" s="486"/>
      <c r="E355" s="486"/>
      <c r="F355" s="528"/>
      <c r="G355" s="486"/>
      <c r="H355" s="486" t="s">
        <v>5917</v>
      </c>
      <c r="I355" s="491"/>
      <c r="J355" s="491"/>
      <c r="K355" s="491"/>
      <c r="L355" s="491"/>
      <c r="M355" s="486"/>
      <c r="N355" s="422"/>
      <c r="O355" s="422"/>
      <c r="P355" s="422"/>
      <c r="Q355" s="486"/>
      <c r="R355" s="491"/>
      <c r="S355" s="491"/>
      <c r="T355" s="491"/>
      <c r="U355" s="491"/>
      <c r="V355" s="491"/>
      <c r="W355" s="493"/>
      <c r="X355" s="486"/>
      <c r="Y355" s="442"/>
      <c r="Z355" s="491"/>
      <c r="AA355" s="524" t="str">
        <f>#REF!</f>
        <v>#REF!</v>
      </c>
      <c r="AB355" s="494"/>
      <c r="AC355" s="436"/>
      <c r="AD355" s="495"/>
      <c r="AE355" s="491"/>
      <c r="AF355" s="491"/>
      <c r="AG355" s="525" t="str">
        <f>#REF!</f>
        <v>#REF!</v>
      </c>
      <c r="AH355" s="491"/>
      <c r="AI355" s="446"/>
      <c r="AJ355" s="491"/>
      <c r="AK355" s="500"/>
      <c r="AL355" s="436"/>
      <c r="AM355" s="438"/>
      <c r="AN355" s="531"/>
      <c r="AO355" s="491"/>
      <c r="AP355" s="438"/>
      <c r="AQ355" s="438"/>
      <c r="AR355" s="438"/>
      <c r="AS355" s="438"/>
      <c r="AT355" s="438"/>
      <c r="AU355" s="438"/>
      <c r="AV355" s="438"/>
      <c r="AW355" s="450" t="str">
        <f>#REF!</f>
        <v>#REF!</v>
      </c>
    </row>
    <row r="356">
      <c r="A356" s="435" t="s">
        <v>505</v>
      </c>
      <c r="B356" s="435" t="s">
        <v>505</v>
      </c>
      <c r="C356" s="440"/>
      <c r="D356" s="440" t="s">
        <v>314</v>
      </c>
      <c r="E356" s="440"/>
      <c r="F356" s="451" t="s">
        <v>2387</v>
      </c>
      <c r="G356" s="440" t="s">
        <v>169</v>
      </c>
      <c r="H356" s="440" t="s">
        <v>476</v>
      </c>
      <c r="I356" s="436">
        <v>2015.0</v>
      </c>
      <c r="J356" s="460">
        <v>2935.0</v>
      </c>
      <c r="K356" s="460">
        <v>68.0</v>
      </c>
      <c r="L356" s="460" t="s">
        <v>217</v>
      </c>
      <c r="M356" s="461">
        <v>0.5</v>
      </c>
      <c r="N356" s="422">
        <v>12.202</v>
      </c>
      <c r="O356" s="422">
        <v>10.523</v>
      </c>
      <c r="P356" s="422">
        <v>17.9</v>
      </c>
      <c r="Q356" s="440" t="s">
        <v>2189</v>
      </c>
      <c r="R356" s="451" t="s">
        <v>2190</v>
      </c>
      <c r="S356" s="451" t="s">
        <v>2191</v>
      </c>
      <c r="T356" s="462" t="s">
        <v>162</v>
      </c>
      <c r="U356" s="451" t="s">
        <v>2192</v>
      </c>
      <c r="V356" s="440"/>
      <c r="W356" s="463"/>
      <c r="X356" s="437"/>
      <c r="Y356" s="442" t="str">
        <f>IF((W356/((J356/5780)^4))^0.5&gt;0,(W356/((J356/5780)^4))^0.5,"")</f>
        <v/>
      </c>
      <c r="Z356" s="464"/>
      <c r="AA356" s="465">
        <v>1.77</v>
      </c>
      <c r="AB356" s="465">
        <v>0.55</v>
      </c>
      <c r="AC356" s="436" t="str">
        <f>IF(ISNUMBER(VLOOKUP(B356,'New Masses'!A:C,3,FALSE)),VLOOKUP(B356,'New Masses'!A:C,3,FALSE),"")</f>
        <v/>
      </c>
      <c r="AD356" s="440">
        <f>10^AE356</f>
        <v>0.0000000002041737945</v>
      </c>
      <c r="AE356" s="460">
        <v>-9.69</v>
      </c>
      <c r="AF356" s="440"/>
      <c r="AG356" s="445">
        <v>0.14</v>
      </c>
      <c r="AH356" s="460">
        <v>0.03</v>
      </c>
      <c r="AI356" s="446" t="str">
        <f>IF(ISNUMBER(VLOOKUP(B356,'New Masses'!A:C,2, FALSE)),VLOOKUP(B356,'New Masses'!A:C,2, FALSE),"")</f>
        <v/>
      </c>
      <c r="AJ356" s="440">
        <f>LOG10(AG356)</f>
        <v>-0.8538719643</v>
      </c>
      <c r="AK356" s="460"/>
      <c r="AL356" s="460">
        <v>-3.4</v>
      </c>
      <c r="AM356" s="466">
        <v>43900.0</v>
      </c>
      <c r="AN356" s="436">
        <v>3.0</v>
      </c>
      <c r="AO356" s="440"/>
      <c r="AP356" s="440"/>
      <c r="AQ356" s="440"/>
      <c r="AR356" s="440"/>
      <c r="AS356" s="440"/>
      <c r="AT356" s="440"/>
      <c r="AU356" s="440"/>
      <c r="AV356" s="440"/>
      <c r="AW356" s="450">
        <v>192.559500885773</v>
      </c>
    </row>
    <row r="357">
      <c r="A357" s="435" t="str">
        <f t="shared" ref="A357:C357" si="314">#REF!</f>
        <v>#REF!</v>
      </c>
      <c r="B357" s="485" t="str">
        <f t="shared" si="314"/>
        <v>#REF!</v>
      </c>
      <c r="C357" s="486" t="str">
        <f t="shared" si="314"/>
        <v>#REF!</v>
      </c>
      <c r="D357" s="486"/>
      <c r="E357" s="486"/>
      <c r="F357" s="528"/>
      <c r="G357" s="486"/>
      <c r="H357" s="486" t="s">
        <v>5917</v>
      </c>
      <c r="I357" s="491"/>
      <c r="J357" s="491"/>
      <c r="K357" s="491"/>
      <c r="L357" s="491"/>
      <c r="M357" s="486"/>
      <c r="N357" s="422"/>
      <c r="O357" s="422"/>
      <c r="P357" s="422"/>
      <c r="Q357" s="486"/>
      <c r="R357" s="491"/>
      <c r="S357" s="491"/>
      <c r="T357" s="491"/>
      <c r="U357" s="491"/>
      <c r="V357" s="491"/>
      <c r="W357" s="493"/>
      <c r="X357" s="486"/>
      <c r="Y357" s="442"/>
      <c r="Z357" s="491"/>
      <c r="AA357" s="524" t="str">
        <f>#REF!</f>
        <v>#REF!</v>
      </c>
      <c r="AB357" s="494"/>
      <c r="AC357" s="436"/>
      <c r="AD357" s="495"/>
      <c r="AE357" s="491"/>
      <c r="AF357" s="491"/>
      <c r="AG357" s="525" t="str">
        <f>#REF!</f>
        <v>#REF!</v>
      </c>
      <c r="AH357" s="491"/>
      <c r="AI357" s="446"/>
      <c r="AJ357" s="491"/>
      <c r="AK357" s="500"/>
      <c r="AL357" s="436"/>
      <c r="AM357" s="438"/>
      <c r="AN357" s="531"/>
      <c r="AO357" s="491"/>
      <c r="AP357" s="438"/>
      <c r="AQ357" s="438"/>
      <c r="AR357" s="438"/>
      <c r="AS357" s="438"/>
      <c r="AT357" s="438"/>
      <c r="AU357" s="438"/>
      <c r="AV357" s="438"/>
      <c r="AW357" s="450" t="str">
        <f>#REF!</f>
        <v>#REF!</v>
      </c>
    </row>
    <row r="358">
      <c r="A358" s="435" t="s">
        <v>506</v>
      </c>
      <c r="B358" s="451" t="s">
        <v>507</v>
      </c>
      <c r="C358" s="451"/>
      <c r="D358" s="440" t="s">
        <v>314</v>
      </c>
      <c r="E358" s="440"/>
      <c r="F358" s="451" t="s">
        <v>2388</v>
      </c>
      <c r="G358" s="440" t="s">
        <v>169</v>
      </c>
      <c r="H358" s="440" t="s">
        <v>476</v>
      </c>
      <c r="I358" s="438"/>
      <c r="J358" s="460">
        <v>3125.0</v>
      </c>
      <c r="K358" s="460">
        <v>72.0</v>
      </c>
      <c r="L358" s="460" t="s">
        <v>371</v>
      </c>
      <c r="M358" s="461">
        <v>0.5</v>
      </c>
      <c r="N358" s="422">
        <v>12.197</v>
      </c>
      <c r="O358" s="422">
        <v>11.204</v>
      </c>
      <c r="P358" s="422">
        <v>16.24</v>
      </c>
      <c r="Q358" s="440" t="s">
        <v>2189</v>
      </c>
      <c r="R358" s="451" t="s">
        <v>2190</v>
      </c>
      <c r="S358" s="451" t="s">
        <v>2191</v>
      </c>
      <c r="T358" s="462" t="s">
        <v>162</v>
      </c>
      <c r="U358" s="451" t="s">
        <v>2192</v>
      </c>
      <c r="V358" s="440"/>
      <c r="W358" s="463"/>
      <c r="X358" s="437"/>
      <c r="Y358" s="442" t="str">
        <f>IF((W358/((J358/5780)^4))^0.5&gt;0,(W358/((J358/5780)^4))^0.5,"")</f>
        <v/>
      </c>
      <c r="Z358" s="464"/>
      <c r="AA358" s="465">
        <v>0.85</v>
      </c>
      <c r="AB358" s="465">
        <v>0.19</v>
      </c>
      <c r="AC358" s="436" t="str">
        <f>IF(ISNUMBER(VLOOKUP(B358,'New Masses'!A:C,3,FALSE)),VLOOKUP(B358,'New Masses'!A:C,3,FALSE),"")</f>
        <v/>
      </c>
      <c r="AD358" s="440">
        <f>10^AE358</f>
        <v>0</v>
      </c>
      <c r="AE358" s="460">
        <v>-10.2</v>
      </c>
      <c r="AF358" s="440"/>
      <c r="AG358" s="445">
        <v>0.15</v>
      </c>
      <c r="AH358" s="460">
        <v>0.03</v>
      </c>
      <c r="AI358" s="446" t="str">
        <f>IF(ISNUMBER(VLOOKUP(B358,'New Masses'!A:C,2, FALSE)),VLOOKUP(B358,'New Masses'!A:C,2, FALSE),"")</f>
        <v/>
      </c>
      <c r="AJ358" s="440">
        <f>LOG10(AG358)</f>
        <v>-0.8239087409</v>
      </c>
      <c r="AK358" s="460"/>
      <c r="AL358" s="460">
        <v>-3.6</v>
      </c>
      <c r="AM358" s="466">
        <v>43900.0</v>
      </c>
      <c r="AN358" s="436">
        <v>3.0</v>
      </c>
      <c r="AO358" s="440"/>
      <c r="AP358" s="440"/>
      <c r="AQ358" s="440"/>
      <c r="AR358" s="440"/>
      <c r="AS358" s="440"/>
      <c r="AT358" s="440"/>
      <c r="AU358" s="440"/>
      <c r="AV358" s="440"/>
      <c r="AW358" s="450">
        <v>164.535926419533</v>
      </c>
    </row>
    <row r="359">
      <c r="A359" s="435" t="str">
        <f t="shared" ref="A359:C359" si="315">#REF!</f>
        <v>#REF!</v>
      </c>
      <c r="B359" s="485" t="str">
        <f t="shared" si="315"/>
        <v>#REF!</v>
      </c>
      <c r="C359" s="486" t="str">
        <f t="shared" si="315"/>
        <v>#REF!</v>
      </c>
      <c r="D359" s="486"/>
      <c r="E359" s="486"/>
      <c r="F359" s="528"/>
      <c r="G359" s="486"/>
      <c r="H359" s="486" t="s">
        <v>5917</v>
      </c>
      <c r="I359" s="491"/>
      <c r="J359" s="491"/>
      <c r="K359" s="491"/>
      <c r="L359" s="491"/>
      <c r="M359" s="486"/>
      <c r="N359" s="422"/>
      <c r="O359" s="422"/>
      <c r="P359" s="422"/>
      <c r="Q359" s="486"/>
      <c r="R359" s="491"/>
      <c r="S359" s="491"/>
      <c r="T359" s="491"/>
      <c r="U359" s="491"/>
      <c r="V359" s="491"/>
      <c r="W359" s="493"/>
      <c r="X359" s="486"/>
      <c r="Y359" s="442"/>
      <c r="Z359" s="491"/>
      <c r="AA359" s="524" t="str">
        <f>#REF!</f>
        <v>#REF!</v>
      </c>
      <c r="AB359" s="494"/>
      <c r="AC359" s="436"/>
      <c r="AD359" s="495"/>
      <c r="AE359" s="491"/>
      <c r="AF359" s="491"/>
      <c r="AG359" s="525" t="str">
        <f>#REF!</f>
        <v>#REF!</v>
      </c>
      <c r="AH359" s="491"/>
      <c r="AI359" s="446"/>
      <c r="AJ359" s="491"/>
      <c r="AK359" s="500"/>
      <c r="AL359" s="436"/>
      <c r="AM359" s="438"/>
      <c r="AN359" s="531"/>
      <c r="AO359" s="491"/>
      <c r="AP359" s="438"/>
      <c r="AQ359" s="438"/>
      <c r="AR359" s="438"/>
      <c r="AS359" s="438"/>
      <c r="AT359" s="438"/>
      <c r="AU359" s="438"/>
      <c r="AV359" s="438"/>
      <c r="AW359" s="450" t="str">
        <f>#REF!</f>
        <v>#REF!</v>
      </c>
    </row>
    <row r="360">
      <c r="A360" s="419" t="s">
        <v>1435</v>
      </c>
      <c r="B360" s="436" t="s">
        <v>1436</v>
      </c>
      <c r="C360" s="436"/>
      <c r="D360" s="436" t="s">
        <v>158</v>
      </c>
      <c r="E360" s="436"/>
      <c r="F360" s="436" t="s">
        <v>2389</v>
      </c>
      <c r="G360" s="436" t="s">
        <v>169</v>
      </c>
      <c r="H360" s="436" t="s">
        <v>160</v>
      </c>
      <c r="I360" s="436" t="s">
        <v>1963</v>
      </c>
      <c r="J360" s="436">
        <f>10^3.59</f>
        <v>3890.45145</v>
      </c>
      <c r="K360" s="436"/>
      <c r="L360" s="438"/>
      <c r="M360" s="453"/>
      <c r="N360" s="422">
        <v>10.419</v>
      </c>
      <c r="O360" s="422">
        <v>8.38</v>
      </c>
      <c r="P360" s="422">
        <v>14.94</v>
      </c>
      <c r="Q360" s="436" t="s">
        <v>2183</v>
      </c>
      <c r="R360" s="436" t="s">
        <v>2184</v>
      </c>
      <c r="S360" s="436" t="s">
        <v>1964</v>
      </c>
      <c r="T360" s="419" t="s">
        <v>162</v>
      </c>
      <c r="U360" s="436" t="s">
        <v>2185</v>
      </c>
      <c r="V360" s="451"/>
      <c r="W360" s="458">
        <v>1.62181009735893</v>
      </c>
      <c r="X360" s="438"/>
      <c r="Y360" s="442">
        <f>IF((W360/((J360/5780)^4))^0.5&gt;0,(W360/((J360/5780)^4))^0.5,"")</f>
        <v>2.810966545</v>
      </c>
      <c r="Z360" s="442"/>
      <c r="AA360" s="443"/>
      <c r="AB360" s="443"/>
      <c r="AC360" s="436" t="str">
        <f>IF(ISNUMBER(VLOOKUP(B360,'New Masses'!A:C,3,FALSE)),VLOOKUP(B360,'New Masses'!A:C,3,FALSE),"")</f>
        <v/>
      </c>
      <c r="AD360" s="440">
        <f>10^AE360</f>
        <v>0.000000002187761624</v>
      </c>
      <c r="AE360" s="436">
        <v>-8.66</v>
      </c>
      <c r="AF360" s="438"/>
      <c r="AG360" s="459">
        <f>10^AJ360</f>
        <v>0.5495408739</v>
      </c>
      <c r="AH360" s="436"/>
      <c r="AI360" s="446" t="str">
        <f>IF(ISNUMBER(VLOOKUP(B360,'New Masses'!A:C,2, FALSE)),VLOOKUP(B360,'New Masses'!A:C,2, FALSE),"")</f>
        <v/>
      </c>
      <c r="AJ360" s="436">
        <v>-0.26</v>
      </c>
      <c r="AK360" s="436"/>
      <c r="AL360" s="436">
        <v>-1.81</v>
      </c>
      <c r="AM360" s="438"/>
      <c r="AN360" s="436">
        <v>1.0</v>
      </c>
      <c r="AO360" s="438"/>
      <c r="AP360" s="436"/>
      <c r="AQ360" s="438"/>
      <c r="AR360" s="438"/>
      <c r="AS360" s="420" t="str">
        <f>VLOOKUP(B360,natta06!A:F,6,FALSE)</f>
        <v>#REF!</v>
      </c>
      <c r="AT360" s="438" t="s">
        <v>5916</v>
      </c>
      <c r="AU360" s="438"/>
      <c r="AV360" s="438"/>
      <c r="AW360" s="450">
        <v>142.869388804754</v>
      </c>
    </row>
    <row r="361">
      <c r="A361" s="435" t="str">
        <f t="shared" ref="A361:C361" si="316">#REF!</f>
        <v>#REF!</v>
      </c>
      <c r="B361" s="485" t="str">
        <f t="shared" si="316"/>
        <v>#REF!</v>
      </c>
      <c r="C361" s="486" t="str">
        <f t="shared" si="316"/>
        <v>#REF!</v>
      </c>
      <c r="D361" s="486"/>
      <c r="E361" s="486"/>
      <c r="F361" s="528"/>
      <c r="G361" s="486"/>
      <c r="H361" s="486" t="s">
        <v>5917</v>
      </c>
      <c r="I361" s="491"/>
      <c r="J361" s="491"/>
      <c r="K361" s="491"/>
      <c r="L361" s="491"/>
      <c r="M361" s="486"/>
      <c r="N361" s="422"/>
      <c r="O361" s="422"/>
      <c r="P361" s="422"/>
      <c r="Q361" s="486"/>
      <c r="R361" s="491"/>
      <c r="S361" s="491"/>
      <c r="T361" s="491"/>
      <c r="U361" s="491"/>
      <c r="V361" s="491"/>
      <c r="W361" s="493"/>
      <c r="X361" s="486"/>
      <c r="Y361" s="442"/>
      <c r="Z361" s="491"/>
      <c r="AA361" s="524" t="str">
        <f>#REF!</f>
        <v>#REF!</v>
      </c>
      <c r="AB361" s="494"/>
      <c r="AC361" s="436"/>
      <c r="AD361" s="495"/>
      <c r="AE361" s="491"/>
      <c r="AF361" s="491"/>
      <c r="AG361" s="525" t="str">
        <f>#REF!</f>
        <v>#REF!</v>
      </c>
      <c r="AH361" s="491"/>
      <c r="AI361" s="446"/>
      <c r="AJ361" s="491"/>
      <c r="AK361" s="500"/>
      <c r="AL361" s="436"/>
      <c r="AM361" s="438"/>
      <c r="AN361" s="531"/>
      <c r="AO361" s="491"/>
      <c r="AP361" s="438"/>
      <c r="AQ361" s="438"/>
      <c r="AR361" s="438"/>
      <c r="AS361" s="438"/>
      <c r="AT361" s="438"/>
      <c r="AU361" s="438"/>
      <c r="AV361" s="438"/>
      <c r="AW361" s="450" t="str">
        <f>#REF!</f>
        <v>#REF!</v>
      </c>
    </row>
    <row r="362">
      <c r="A362" s="419" t="s">
        <v>1403</v>
      </c>
      <c r="B362" s="436" t="s">
        <v>1404</v>
      </c>
      <c r="C362" s="436"/>
      <c r="D362" s="436" t="s">
        <v>158</v>
      </c>
      <c r="E362" s="436"/>
      <c r="F362" s="436" t="s">
        <v>2390</v>
      </c>
      <c r="G362" s="436" t="s">
        <v>169</v>
      </c>
      <c r="H362" s="436" t="s">
        <v>160</v>
      </c>
      <c r="I362" s="436" t="s">
        <v>1963</v>
      </c>
      <c r="J362" s="436">
        <v>3548.13389</v>
      </c>
      <c r="K362" s="436"/>
      <c r="L362" s="438"/>
      <c r="M362" s="453"/>
      <c r="N362" s="422">
        <v>11.893</v>
      </c>
      <c r="O362" s="422">
        <v>8.954</v>
      </c>
      <c r="P362" s="422">
        <v>16.78</v>
      </c>
      <c r="Q362" s="436" t="s">
        <v>2183</v>
      </c>
      <c r="R362" s="436" t="s">
        <v>2184</v>
      </c>
      <c r="S362" s="436" t="s">
        <v>1964</v>
      </c>
      <c r="T362" s="419" t="s">
        <v>162</v>
      </c>
      <c r="U362" s="436" t="s">
        <v>2185</v>
      </c>
      <c r="V362" s="451"/>
      <c r="W362" s="458">
        <v>0.7943282347242815</v>
      </c>
      <c r="X362" s="438"/>
      <c r="Y362" s="442">
        <f>IF((W362/((J362/5780)^4))^0.5&gt;0,(W362/((J362/5780)^4))^0.5,"")</f>
        <v>2.365133597</v>
      </c>
      <c r="Z362" s="442"/>
      <c r="AA362" s="443"/>
      <c r="AB362" s="443"/>
      <c r="AC362" s="436" t="str">
        <f>IF(ISNUMBER(VLOOKUP(B362,'New Masses'!A:C,3,FALSE)),VLOOKUP(B362,'New Masses'!A:C,3,FALSE),"")</f>
        <v/>
      </c>
      <c r="AD362" s="440">
        <f>10^AE362</f>
        <v>0.00000001202264435</v>
      </c>
      <c r="AE362" s="436">
        <v>-7.92</v>
      </c>
      <c r="AF362" s="438"/>
      <c r="AG362" s="459">
        <f>10^AJ362</f>
        <v>0.3630780548</v>
      </c>
      <c r="AH362" s="436"/>
      <c r="AI362" s="446" t="str">
        <f>IF(ISNUMBER(VLOOKUP(B362,'New Masses'!A:C,2, FALSE)),VLOOKUP(B362,'New Masses'!A:C,2, FALSE),"")</f>
        <v/>
      </c>
      <c r="AJ362" s="436">
        <v>-0.44</v>
      </c>
      <c r="AK362" s="436"/>
      <c r="AL362" s="436">
        <v>-1.18</v>
      </c>
      <c r="AM362" s="438"/>
      <c r="AN362" s="436">
        <v>1.0</v>
      </c>
      <c r="AO362" s="438"/>
      <c r="AP362" s="438"/>
      <c r="AQ362" s="438"/>
      <c r="AR362" s="438"/>
      <c r="AS362" s="420" t="str">
        <f>VLOOKUP(B362,natta06!A:F,6,FALSE)</f>
        <v>#REF!</v>
      </c>
      <c r="AT362" s="438"/>
      <c r="AU362" s="438"/>
      <c r="AV362" s="438"/>
      <c r="AW362" s="450"/>
    </row>
    <row r="363">
      <c r="A363" s="435" t="str">
        <f t="shared" ref="A363:C363" si="317">#REF!</f>
        <v>#REF!</v>
      </c>
      <c r="B363" s="485" t="str">
        <f t="shared" si="317"/>
        <v>#REF!</v>
      </c>
      <c r="C363" s="486" t="str">
        <f t="shared" si="317"/>
        <v>#REF!</v>
      </c>
      <c r="D363" s="486"/>
      <c r="E363" s="486"/>
      <c r="F363" s="528"/>
      <c r="G363" s="486"/>
      <c r="H363" s="486" t="s">
        <v>5917</v>
      </c>
      <c r="I363" s="491"/>
      <c r="J363" s="491"/>
      <c r="K363" s="491"/>
      <c r="L363" s="491"/>
      <c r="M363" s="486"/>
      <c r="N363" s="422"/>
      <c r="O363" s="422"/>
      <c r="P363" s="422"/>
      <c r="Q363" s="486"/>
      <c r="R363" s="491"/>
      <c r="S363" s="491"/>
      <c r="T363" s="491"/>
      <c r="U363" s="491"/>
      <c r="V363" s="491"/>
      <c r="W363" s="493"/>
      <c r="X363" s="486"/>
      <c r="Y363" s="442"/>
      <c r="Z363" s="491"/>
      <c r="AA363" s="524" t="str">
        <f>#REF!</f>
        <v>#REF!</v>
      </c>
      <c r="AB363" s="494"/>
      <c r="AC363" s="436"/>
      <c r="AD363" s="495"/>
      <c r="AE363" s="491"/>
      <c r="AF363" s="491"/>
      <c r="AG363" s="525" t="str">
        <f>#REF!</f>
        <v>#REF!</v>
      </c>
      <c r="AH363" s="491"/>
      <c r="AI363" s="446"/>
      <c r="AJ363" s="491"/>
      <c r="AK363" s="500"/>
      <c r="AL363" s="436"/>
      <c r="AM363" s="438"/>
      <c r="AN363" s="531"/>
      <c r="AO363" s="491"/>
      <c r="AP363" s="438"/>
      <c r="AQ363" s="438"/>
      <c r="AR363" s="438"/>
      <c r="AS363" s="438"/>
      <c r="AT363" s="438"/>
      <c r="AU363" s="438"/>
      <c r="AV363" s="438"/>
      <c r="AW363" s="450" t="str">
        <f>#REF!</f>
        <v>#REF!</v>
      </c>
    </row>
    <row r="364">
      <c r="A364" s="419" t="s">
        <v>1432</v>
      </c>
      <c r="B364" s="436" t="s">
        <v>1433</v>
      </c>
      <c r="C364" s="436"/>
      <c r="D364" s="436" t="s">
        <v>158</v>
      </c>
      <c r="E364" s="436"/>
      <c r="F364" s="436" t="s">
        <v>2391</v>
      </c>
      <c r="G364" s="436" t="s">
        <v>159</v>
      </c>
      <c r="H364" s="436" t="s">
        <v>160</v>
      </c>
      <c r="I364" s="436" t="s">
        <v>1963</v>
      </c>
      <c r="J364" s="436">
        <v>3890.45145</v>
      </c>
      <c r="K364" s="436"/>
      <c r="L364" s="438"/>
      <c r="M364" s="453"/>
      <c r="N364" s="422">
        <v>9.984</v>
      </c>
      <c r="O364" s="422">
        <v>8.331</v>
      </c>
      <c r="P364" s="422">
        <v>13.83</v>
      </c>
      <c r="Q364" s="436" t="s">
        <v>2183</v>
      </c>
      <c r="R364" s="436" t="s">
        <v>2184</v>
      </c>
      <c r="S364" s="436" t="s">
        <v>1964</v>
      </c>
      <c r="T364" s="419" t="s">
        <v>162</v>
      </c>
      <c r="U364" s="436" t="s">
        <v>2185</v>
      </c>
      <c r="V364" s="451"/>
      <c r="W364" s="458"/>
      <c r="X364" s="438"/>
      <c r="Y364" s="442" t="str">
        <f>IF((W364/((J364/5780)^4))^0.5&gt;0,(W364/((J364/5780)^4))^0.5,"")</f>
        <v/>
      </c>
      <c r="Z364" s="442"/>
      <c r="AA364" s="443"/>
      <c r="AB364" s="443"/>
      <c r="AC364" s="436" t="str">
        <f>IF(ISNUMBER(VLOOKUP(B364,'New Masses'!A:C,3,FALSE)),VLOOKUP(B364,'New Masses'!A:C,3,FALSE),"")</f>
        <v/>
      </c>
      <c r="AD364" s="440">
        <f>10^AE364</f>
        <v>0.000000001380384265</v>
      </c>
      <c r="AE364" s="436">
        <v>-8.86</v>
      </c>
      <c r="AF364" s="438"/>
      <c r="AG364" s="459">
        <f>10^AJ364</f>
        <v>0.5495408739</v>
      </c>
      <c r="AH364" s="436"/>
      <c r="AI364" s="446" t="str">
        <f>IF(ISNUMBER(VLOOKUP(B364,'New Masses'!A:C,2, FALSE)),VLOOKUP(B364,'New Masses'!A:C,2, FALSE),"")</f>
        <v/>
      </c>
      <c r="AJ364" s="436">
        <v>-0.26</v>
      </c>
      <c r="AK364" s="436"/>
      <c r="AL364" s="436">
        <v>-2.01</v>
      </c>
      <c r="AM364" s="438"/>
      <c r="AN364" s="436">
        <v>1.0</v>
      </c>
      <c r="AO364" s="438"/>
      <c r="AP364" s="436"/>
      <c r="AQ364" s="438"/>
      <c r="AR364" s="438"/>
      <c r="AS364" s="420" t="str">
        <f>VLOOKUP(B364,natta06!A:F,6,FALSE)</f>
        <v>#REF!</v>
      </c>
      <c r="AT364" s="438" t="s">
        <v>5916</v>
      </c>
      <c r="AU364" s="438"/>
      <c r="AV364" s="438"/>
      <c r="AW364" s="450">
        <v>142.116108860939</v>
      </c>
    </row>
    <row r="365">
      <c r="A365" s="435" t="str">
        <f t="shared" ref="A365:C365" si="318">#REF!</f>
        <v>#REF!</v>
      </c>
      <c r="B365" s="485" t="str">
        <f t="shared" si="318"/>
        <v>#REF!</v>
      </c>
      <c r="C365" s="486" t="str">
        <f t="shared" si="318"/>
        <v>#REF!</v>
      </c>
      <c r="D365" s="486"/>
      <c r="E365" s="486"/>
      <c r="F365" s="528"/>
      <c r="G365" s="486"/>
      <c r="H365" s="486" t="s">
        <v>5917</v>
      </c>
      <c r="I365" s="491"/>
      <c r="J365" s="491"/>
      <c r="K365" s="491"/>
      <c r="L365" s="491"/>
      <c r="M365" s="486"/>
      <c r="N365" s="422"/>
      <c r="O365" s="422"/>
      <c r="P365" s="422"/>
      <c r="Q365" s="486"/>
      <c r="R365" s="491"/>
      <c r="S365" s="491"/>
      <c r="T365" s="491"/>
      <c r="U365" s="491"/>
      <c r="V365" s="491"/>
      <c r="W365" s="493"/>
      <c r="X365" s="486"/>
      <c r="Y365" s="442"/>
      <c r="Z365" s="491"/>
      <c r="AA365" s="524" t="str">
        <f>#REF!</f>
        <v>#REF!</v>
      </c>
      <c r="AB365" s="494"/>
      <c r="AC365" s="436"/>
      <c r="AD365" s="495"/>
      <c r="AE365" s="491"/>
      <c r="AF365" s="491"/>
      <c r="AG365" s="525" t="str">
        <f>#REF!</f>
        <v>#REF!</v>
      </c>
      <c r="AH365" s="491"/>
      <c r="AI365" s="446"/>
      <c r="AJ365" s="491"/>
      <c r="AK365" s="500"/>
      <c r="AL365" s="436"/>
      <c r="AM365" s="438"/>
      <c r="AN365" s="531"/>
      <c r="AO365" s="491"/>
      <c r="AP365" s="438"/>
      <c r="AQ365" s="438"/>
      <c r="AR365" s="438"/>
      <c r="AS365" s="438"/>
      <c r="AT365" s="438"/>
      <c r="AU365" s="438"/>
      <c r="AV365" s="438"/>
      <c r="AW365" s="450" t="str">
        <f>#REF!</f>
        <v>#REF!</v>
      </c>
    </row>
    <row r="366">
      <c r="A366" s="419" t="s">
        <v>1428</v>
      </c>
      <c r="B366" s="436" t="s">
        <v>1429</v>
      </c>
      <c r="C366" s="436"/>
      <c r="D366" s="436" t="s">
        <v>158</v>
      </c>
      <c r="E366" s="436"/>
      <c r="F366" s="436" t="s">
        <v>2392</v>
      </c>
      <c r="G366" s="436" t="s">
        <v>169</v>
      </c>
      <c r="H366" s="436" t="s">
        <v>160</v>
      </c>
      <c r="I366" s="436" t="s">
        <v>1963</v>
      </c>
      <c r="J366" s="436">
        <v>3890.45145</v>
      </c>
      <c r="K366" s="436"/>
      <c r="L366" s="438"/>
      <c r="M366" s="453"/>
      <c r="N366" s="422">
        <v>9.154</v>
      </c>
      <c r="O366" s="422">
        <v>7.518</v>
      </c>
      <c r="P366" s="422">
        <v>11.7</v>
      </c>
      <c r="Q366" s="436" t="s">
        <v>2183</v>
      </c>
      <c r="R366" s="436" t="s">
        <v>2184</v>
      </c>
      <c r="S366" s="436" t="s">
        <v>1964</v>
      </c>
      <c r="T366" s="419" t="s">
        <v>162</v>
      </c>
      <c r="U366" s="436" t="s">
        <v>2185</v>
      </c>
      <c r="V366" s="451"/>
      <c r="W366" s="458">
        <v>0.660693448007596</v>
      </c>
      <c r="X366" s="438"/>
      <c r="Y366" s="442">
        <f>IF((W366/((J366/5780)^4))^0.5&gt;0,(W366/((J366/5780)^4))^0.5,"")</f>
        <v>1.794137307</v>
      </c>
      <c r="Z366" s="442"/>
      <c r="AA366" s="443"/>
      <c r="AB366" s="443"/>
      <c r="AC366" s="436" t="str">
        <f>IF(ISNUMBER(VLOOKUP(B366,'New Masses'!A:C,3,FALSE)),VLOOKUP(B366,'New Masses'!A:C,3,FALSE),"")</f>
        <v/>
      </c>
      <c r="AD366" s="440">
        <f>10^AE366</f>
        <v>0.0000001819700859</v>
      </c>
      <c r="AE366" s="436">
        <v>-6.74</v>
      </c>
      <c r="AF366" s="438"/>
      <c r="AG366" s="459">
        <f>10^AJ366</f>
        <v>0.5248074602</v>
      </c>
      <c r="AH366" s="436"/>
      <c r="AI366" s="446" t="str">
        <f>IF(ISNUMBER(VLOOKUP(B366,'New Masses'!A:C,2, FALSE)),VLOOKUP(B366,'New Masses'!A:C,2, FALSE),"")</f>
        <v/>
      </c>
      <c r="AJ366" s="436">
        <v>-0.28</v>
      </c>
      <c r="AK366" s="436"/>
      <c r="AL366" s="436">
        <v>0.1</v>
      </c>
      <c r="AM366" s="438"/>
      <c r="AN366" s="436">
        <v>1.0</v>
      </c>
      <c r="AO366" s="438"/>
      <c r="AP366" s="438"/>
      <c r="AQ366" s="438"/>
      <c r="AR366" s="438"/>
      <c r="AS366" s="420" t="str">
        <f>VLOOKUP(B366,natta06!A:F,6,FALSE)</f>
        <v>#REF!</v>
      </c>
      <c r="AT366" s="438"/>
      <c r="AU366" s="438"/>
      <c r="AV366" s="438"/>
      <c r="AW366" s="450">
        <v>134.596748142564</v>
      </c>
    </row>
    <row r="367">
      <c r="A367" s="435" t="str">
        <f t="shared" ref="A367:C367" si="319">#REF!</f>
        <v>#REF!</v>
      </c>
      <c r="B367" s="485" t="str">
        <f t="shared" si="319"/>
        <v>#REF!</v>
      </c>
      <c r="C367" s="486" t="str">
        <f t="shared" si="319"/>
        <v>#REF!</v>
      </c>
      <c r="D367" s="486"/>
      <c r="E367" s="486"/>
      <c r="F367" s="528"/>
      <c r="G367" s="486"/>
      <c r="H367" s="486" t="s">
        <v>5917</v>
      </c>
      <c r="I367" s="491"/>
      <c r="J367" s="491"/>
      <c r="K367" s="491"/>
      <c r="L367" s="491"/>
      <c r="M367" s="486"/>
      <c r="N367" s="422"/>
      <c r="O367" s="422"/>
      <c r="P367" s="422"/>
      <c r="Q367" s="486"/>
      <c r="R367" s="491"/>
      <c r="S367" s="491"/>
      <c r="T367" s="491"/>
      <c r="U367" s="491"/>
      <c r="V367" s="491"/>
      <c r="W367" s="493"/>
      <c r="X367" s="486"/>
      <c r="Y367" s="442"/>
      <c r="Z367" s="491"/>
      <c r="AA367" s="524" t="str">
        <f>#REF!</f>
        <v>#REF!</v>
      </c>
      <c r="AB367" s="494"/>
      <c r="AC367" s="436"/>
      <c r="AD367" s="495"/>
      <c r="AE367" s="491"/>
      <c r="AF367" s="491"/>
      <c r="AG367" s="525" t="str">
        <f>#REF!</f>
        <v>#REF!</v>
      </c>
      <c r="AH367" s="491"/>
      <c r="AI367" s="446"/>
      <c r="AJ367" s="491"/>
      <c r="AK367" s="500"/>
      <c r="AL367" s="436"/>
      <c r="AM367" s="438"/>
      <c r="AN367" s="531"/>
      <c r="AO367" s="491"/>
      <c r="AP367" s="438"/>
      <c r="AQ367" s="438"/>
      <c r="AR367" s="438"/>
      <c r="AS367" s="438"/>
      <c r="AT367" s="438"/>
      <c r="AU367" s="438"/>
      <c r="AV367" s="438"/>
      <c r="AW367" s="450" t="str">
        <f>#REF!</f>
        <v>#REF!</v>
      </c>
    </row>
    <row r="368">
      <c r="A368" s="419" t="s">
        <v>1336</v>
      </c>
      <c r="B368" s="436" t="s">
        <v>1337</v>
      </c>
      <c r="C368" s="436"/>
      <c r="D368" s="436" t="s">
        <v>158</v>
      </c>
      <c r="E368" s="436"/>
      <c r="F368" s="436" t="s">
        <v>2393</v>
      </c>
      <c r="G368" s="436" t="s">
        <v>169</v>
      </c>
      <c r="H368" s="436" t="s">
        <v>160</v>
      </c>
      <c r="I368" s="436" t="s">
        <v>1963</v>
      </c>
      <c r="J368" s="436">
        <v>2818.38293</v>
      </c>
      <c r="K368" s="436"/>
      <c r="L368" s="438"/>
      <c r="M368" s="453"/>
      <c r="N368" s="422">
        <v>14.425</v>
      </c>
      <c r="O368" s="422">
        <v>11.245</v>
      </c>
      <c r="P368" s="422"/>
      <c r="Q368" s="436" t="s">
        <v>2183</v>
      </c>
      <c r="R368" s="436" t="s">
        <v>2184</v>
      </c>
      <c r="S368" s="436" t="s">
        <v>1964</v>
      </c>
      <c r="T368" s="419" t="s">
        <v>162</v>
      </c>
      <c r="U368" s="436" t="s">
        <v>2185</v>
      </c>
      <c r="V368" s="451"/>
      <c r="W368" s="458">
        <v>0.08511380382023763</v>
      </c>
      <c r="X368" s="438"/>
      <c r="Y368" s="442">
        <f>IF((W368/((J368/5780)^4))^0.5&gt;0,(W368/((J368/5780)^4))^0.5,"")</f>
        <v>1.227031402</v>
      </c>
      <c r="Z368" s="442"/>
      <c r="AA368" s="443"/>
      <c r="AB368" s="443"/>
      <c r="AC368" s="436" t="str">
        <f>IF(ISNUMBER(VLOOKUP(B368,'New Masses'!A:C,3,FALSE)),VLOOKUP(B368,'New Masses'!A:C,3,FALSE),"")</f>
        <v/>
      </c>
      <c r="AD368" s="440">
        <f>10^AE368</f>
        <v>0</v>
      </c>
      <c r="AE368" s="436">
        <v>-10.24</v>
      </c>
      <c r="AF368" s="438"/>
      <c r="AG368" s="459">
        <f>10^AJ368</f>
        <v>0.09332543008</v>
      </c>
      <c r="AH368" s="436"/>
      <c r="AI368" s="446" t="str">
        <f>IF(ISNUMBER(VLOOKUP(B368,'New Masses'!A:C,2, FALSE)),VLOOKUP(B368,'New Masses'!A:C,2, FALSE),"")</f>
        <v/>
      </c>
      <c r="AJ368" s="436">
        <v>-1.03</v>
      </c>
      <c r="AK368" s="436"/>
      <c r="AL368" s="436">
        <v>-3.8</v>
      </c>
      <c r="AM368" s="438"/>
      <c r="AN368" s="436">
        <v>1.0</v>
      </c>
      <c r="AO368" s="438"/>
      <c r="AP368" s="436"/>
      <c r="AQ368" s="438"/>
      <c r="AR368" s="438"/>
      <c r="AS368" s="420" t="str">
        <f>VLOOKUP(B368,natta06!A:F,6,FALSE)</f>
        <v>#REF!</v>
      </c>
      <c r="AT368" s="438" t="s">
        <v>5916</v>
      </c>
      <c r="AU368" s="438"/>
      <c r="AV368" s="438"/>
      <c r="AW368" s="450"/>
    </row>
    <row r="369">
      <c r="A369" s="435" t="str">
        <f t="shared" ref="A369:C369" si="320">#REF!</f>
        <v>#REF!</v>
      </c>
      <c r="B369" s="485" t="str">
        <f t="shared" si="320"/>
        <v>#REF!</v>
      </c>
      <c r="C369" s="486" t="str">
        <f t="shared" si="320"/>
        <v>#REF!</v>
      </c>
      <c r="D369" s="486"/>
      <c r="E369" s="486"/>
      <c r="F369" s="528"/>
      <c r="G369" s="486"/>
      <c r="H369" s="486" t="s">
        <v>5917</v>
      </c>
      <c r="I369" s="491"/>
      <c r="J369" s="491"/>
      <c r="K369" s="491"/>
      <c r="L369" s="491"/>
      <c r="M369" s="486"/>
      <c r="N369" s="422"/>
      <c r="O369" s="422"/>
      <c r="P369" s="422"/>
      <c r="Q369" s="486"/>
      <c r="R369" s="491"/>
      <c r="S369" s="491"/>
      <c r="T369" s="491"/>
      <c r="U369" s="491"/>
      <c r="V369" s="491"/>
      <c r="W369" s="493"/>
      <c r="X369" s="486"/>
      <c r="Y369" s="442"/>
      <c r="Z369" s="491"/>
      <c r="AA369" s="524" t="str">
        <f>#REF!</f>
        <v>#REF!</v>
      </c>
      <c r="AB369" s="494"/>
      <c r="AC369" s="436"/>
      <c r="AD369" s="495"/>
      <c r="AE369" s="491"/>
      <c r="AF369" s="491"/>
      <c r="AG369" s="525" t="str">
        <f>#REF!</f>
        <v>#REF!</v>
      </c>
      <c r="AH369" s="491"/>
      <c r="AI369" s="446"/>
      <c r="AJ369" s="491"/>
      <c r="AK369" s="500"/>
      <c r="AL369" s="436"/>
      <c r="AM369" s="438"/>
      <c r="AN369" s="531"/>
      <c r="AO369" s="491"/>
      <c r="AP369" s="438"/>
      <c r="AQ369" s="438"/>
      <c r="AR369" s="438"/>
      <c r="AS369" s="438"/>
      <c r="AT369" s="438"/>
      <c r="AU369" s="438"/>
      <c r="AV369" s="438"/>
      <c r="AW369" s="450" t="str">
        <f>#REF!</f>
        <v>#REF!</v>
      </c>
    </row>
    <row r="370">
      <c r="A370" s="419" t="s">
        <v>1396</v>
      </c>
      <c r="B370" s="436" t="s">
        <v>1397</v>
      </c>
      <c r="C370" s="436"/>
      <c r="D370" s="436" t="s">
        <v>158</v>
      </c>
      <c r="E370" s="436"/>
      <c r="F370" s="436" t="s">
        <v>2394</v>
      </c>
      <c r="G370" s="436" t="s">
        <v>159</v>
      </c>
      <c r="H370" s="436" t="s">
        <v>160</v>
      </c>
      <c r="I370" s="436" t="s">
        <v>1963</v>
      </c>
      <c r="J370" s="436">
        <v>3467.3685</v>
      </c>
      <c r="K370" s="436"/>
      <c r="L370" s="438"/>
      <c r="M370" s="453"/>
      <c r="N370" s="422">
        <v>10.673</v>
      </c>
      <c r="O370" s="422">
        <v>9.115</v>
      </c>
      <c r="P370" s="422">
        <v>14.86</v>
      </c>
      <c r="Q370" s="436" t="s">
        <v>2183</v>
      </c>
      <c r="R370" s="436" t="s">
        <v>2184</v>
      </c>
      <c r="S370" s="436" t="s">
        <v>1964</v>
      </c>
      <c r="T370" s="419" t="s">
        <v>162</v>
      </c>
      <c r="U370" s="436" t="s">
        <v>2185</v>
      </c>
      <c r="V370" s="451"/>
      <c r="W370" s="458"/>
      <c r="X370" s="438"/>
      <c r="Y370" s="442" t="str">
        <f>IF((W370/((J370/5780)^4))^0.5&gt;0,(W370/((J370/5780)^4))^0.5,"")</f>
        <v/>
      </c>
      <c r="Z370" s="442"/>
      <c r="AA370" s="443"/>
      <c r="AB370" s="443"/>
      <c r="AC370" s="436" t="str">
        <f>IF(ISNUMBER(VLOOKUP(B370,'New Masses'!A:C,3,FALSE)),VLOOKUP(B370,'New Masses'!A:C,3,FALSE),"")</f>
        <v/>
      </c>
      <c r="AD370" s="440">
        <f>10^AE370</f>
        <v>0.000000001202264435</v>
      </c>
      <c r="AE370" s="436">
        <v>-8.92</v>
      </c>
      <c r="AF370" s="438"/>
      <c r="AG370" s="459">
        <f>10^AJ370</f>
        <v>0.3235936569</v>
      </c>
      <c r="AH370" s="436"/>
      <c r="AI370" s="446" t="str">
        <f>IF(ISNUMBER(VLOOKUP(B370,'New Masses'!A:C,2, FALSE)),VLOOKUP(B370,'New Masses'!A:C,2, FALSE),"")</f>
        <v/>
      </c>
      <c r="AJ370" s="436">
        <v>-0.49</v>
      </c>
      <c r="AK370" s="436"/>
      <c r="AL370" s="436">
        <v>-2.22</v>
      </c>
      <c r="AM370" s="438"/>
      <c r="AN370" s="436">
        <v>1.0</v>
      </c>
      <c r="AO370" s="438"/>
      <c r="AP370" s="436"/>
      <c r="AQ370" s="438"/>
      <c r="AR370" s="438"/>
      <c r="AS370" s="420" t="str">
        <f>VLOOKUP(B370,natta06!A:F,6,FALSE)</f>
        <v>#REF!</v>
      </c>
      <c r="AT370" s="438" t="s">
        <v>5916</v>
      </c>
      <c r="AU370" s="438"/>
      <c r="AV370" s="438"/>
      <c r="AW370" s="450"/>
    </row>
    <row r="371">
      <c r="A371" s="435" t="str">
        <f t="shared" ref="A371:C371" si="321">#REF!</f>
        <v>#REF!</v>
      </c>
      <c r="B371" s="485" t="str">
        <f t="shared" si="321"/>
        <v>#REF!</v>
      </c>
      <c r="C371" s="486" t="str">
        <f t="shared" si="321"/>
        <v>#REF!</v>
      </c>
      <c r="D371" s="486"/>
      <c r="E371" s="486"/>
      <c r="F371" s="528"/>
      <c r="G371" s="486"/>
      <c r="H371" s="486" t="s">
        <v>5917</v>
      </c>
      <c r="I371" s="491"/>
      <c r="J371" s="491"/>
      <c r="K371" s="491"/>
      <c r="L371" s="491"/>
      <c r="M371" s="486"/>
      <c r="N371" s="422"/>
      <c r="O371" s="422"/>
      <c r="P371" s="422"/>
      <c r="Q371" s="486"/>
      <c r="R371" s="491"/>
      <c r="S371" s="491"/>
      <c r="T371" s="491"/>
      <c r="U371" s="491"/>
      <c r="V371" s="491"/>
      <c r="W371" s="493"/>
      <c r="X371" s="486"/>
      <c r="Y371" s="442"/>
      <c r="Z371" s="491"/>
      <c r="AA371" s="524" t="str">
        <f>#REF!</f>
        <v>#REF!</v>
      </c>
      <c r="AB371" s="494"/>
      <c r="AC371" s="436"/>
      <c r="AD371" s="495"/>
      <c r="AE371" s="491"/>
      <c r="AF371" s="491"/>
      <c r="AG371" s="525" t="str">
        <f>#REF!</f>
        <v>#REF!</v>
      </c>
      <c r="AH371" s="491"/>
      <c r="AI371" s="446"/>
      <c r="AJ371" s="491"/>
      <c r="AK371" s="500"/>
      <c r="AL371" s="436"/>
      <c r="AM371" s="438"/>
      <c r="AN371" s="531"/>
      <c r="AO371" s="491"/>
      <c r="AP371" s="438"/>
      <c r="AQ371" s="438"/>
      <c r="AR371" s="438"/>
      <c r="AS371" s="438"/>
      <c r="AT371" s="438"/>
      <c r="AU371" s="438"/>
      <c r="AV371" s="438"/>
      <c r="AW371" s="450" t="str">
        <f>#REF!</f>
        <v>#REF!</v>
      </c>
    </row>
    <row r="372">
      <c r="A372" s="419" t="s">
        <v>1339</v>
      </c>
      <c r="B372" s="436" t="s">
        <v>1340</v>
      </c>
      <c r="C372" s="436"/>
      <c r="D372" s="436" t="s">
        <v>158</v>
      </c>
      <c r="E372" s="436"/>
      <c r="F372" s="436" t="s">
        <v>2395</v>
      </c>
      <c r="G372" s="436" t="s">
        <v>169</v>
      </c>
      <c r="H372" s="436" t="s">
        <v>160</v>
      </c>
      <c r="I372" s="436" t="s">
        <v>1963</v>
      </c>
      <c r="J372" s="436">
        <v>2818.38293</v>
      </c>
      <c r="K372" s="436"/>
      <c r="L372" s="438"/>
      <c r="M372" s="453"/>
      <c r="N372" s="422">
        <v>15.792</v>
      </c>
      <c r="O372" s="422">
        <v>12.186</v>
      </c>
      <c r="P372" s="422"/>
      <c r="Q372" s="436" t="s">
        <v>2183</v>
      </c>
      <c r="R372" s="436" t="s">
        <v>2184</v>
      </c>
      <c r="S372" s="436" t="s">
        <v>1964</v>
      </c>
      <c r="T372" s="419" t="s">
        <v>162</v>
      </c>
      <c r="U372" s="436" t="s">
        <v>2185</v>
      </c>
      <c r="V372" s="451"/>
      <c r="W372" s="458">
        <v>0.08912509381337455</v>
      </c>
      <c r="X372" s="438"/>
      <c r="Y372" s="442">
        <f>IF((W372/((J372/5780)^4))^0.5&gt;0,(W372/((J372/5780)^4))^0.5,"")</f>
        <v>1.255612635</v>
      </c>
      <c r="Z372" s="442"/>
      <c r="AA372" s="443"/>
      <c r="AB372" s="443"/>
      <c r="AC372" s="436" t="str">
        <f>IF(ISNUMBER(VLOOKUP(B372,'New Masses'!A:C,3,FALSE)),VLOOKUP(B372,'New Masses'!A:C,3,FALSE),"")</f>
        <v/>
      </c>
      <c r="AD372" s="440">
        <f>10^AE372</f>
        <v>0</v>
      </c>
      <c r="AE372" s="436">
        <v>-10.55</v>
      </c>
      <c r="AF372" s="438"/>
      <c r="AG372" s="459">
        <f>10^AJ372</f>
        <v>0.0954992586</v>
      </c>
      <c r="AH372" s="436"/>
      <c r="AI372" s="446" t="str">
        <f>IF(ISNUMBER(VLOOKUP(B372,'New Masses'!A:C,2, FALSE)),VLOOKUP(B372,'New Masses'!A:C,2, FALSE),"")</f>
        <v/>
      </c>
      <c r="AJ372" s="436">
        <v>-1.02</v>
      </c>
      <c r="AK372" s="436"/>
      <c r="AL372" s="436">
        <v>-4.11</v>
      </c>
      <c r="AM372" s="438"/>
      <c r="AN372" s="436">
        <v>1.0</v>
      </c>
      <c r="AO372" s="438"/>
      <c r="AP372" s="436"/>
      <c r="AQ372" s="438"/>
      <c r="AR372" s="438"/>
      <c r="AS372" s="420" t="str">
        <f>VLOOKUP(B372,natta06!A:F,6,FALSE)</f>
        <v>#REF!</v>
      </c>
      <c r="AT372" s="438" t="s">
        <v>5916</v>
      </c>
      <c r="AU372" s="438"/>
      <c r="AV372" s="438"/>
      <c r="AW372" s="450"/>
    </row>
    <row r="373">
      <c r="A373" s="435" t="str">
        <f t="shared" ref="A373:C373" si="322">#REF!</f>
        <v>#REF!</v>
      </c>
      <c r="B373" s="485" t="str">
        <f t="shared" si="322"/>
        <v>#REF!</v>
      </c>
      <c r="C373" s="486" t="str">
        <f t="shared" si="322"/>
        <v>#REF!</v>
      </c>
      <c r="D373" s="486"/>
      <c r="E373" s="486"/>
      <c r="F373" s="528"/>
      <c r="G373" s="486"/>
      <c r="H373" s="486" t="s">
        <v>5917</v>
      </c>
      <c r="I373" s="491"/>
      <c r="J373" s="491"/>
      <c r="K373" s="491"/>
      <c r="L373" s="491"/>
      <c r="M373" s="486"/>
      <c r="N373" s="422"/>
      <c r="O373" s="422"/>
      <c r="P373" s="422"/>
      <c r="Q373" s="486"/>
      <c r="R373" s="491"/>
      <c r="S373" s="491"/>
      <c r="T373" s="491"/>
      <c r="U373" s="491"/>
      <c r="V373" s="491"/>
      <c r="W373" s="493"/>
      <c r="X373" s="486"/>
      <c r="Y373" s="442"/>
      <c r="Z373" s="491"/>
      <c r="AA373" s="524" t="str">
        <f>#REF!</f>
        <v>#REF!</v>
      </c>
      <c r="AB373" s="494"/>
      <c r="AC373" s="436"/>
      <c r="AD373" s="495"/>
      <c r="AE373" s="491"/>
      <c r="AF373" s="491"/>
      <c r="AG373" s="525" t="str">
        <f>#REF!</f>
        <v>#REF!</v>
      </c>
      <c r="AH373" s="491"/>
      <c r="AI373" s="446"/>
      <c r="AJ373" s="491"/>
      <c r="AK373" s="500"/>
      <c r="AL373" s="436"/>
      <c r="AM373" s="438"/>
      <c r="AN373" s="531"/>
      <c r="AO373" s="491"/>
      <c r="AP373" s="438"/>
      <c r="AQ373" s="438"/>
      <c r="AR373" s="438"/>
      <c r="AS373" s="438"/>
      <c r="AT373" s="438"/>
      <c r="AU373" s="438"/>
      <c r="AV373" s="438"/>
      <c r="AW373" s="450" t="str">
        <f>#REF!</f>
        <v>#REF!</v>
      </c>
    </row>
    <row r="374">
      <c r="A374" s="419" t="s">
        <v>1380</v>
      </c>
      <c r="B374" s="436" t="s">
        <v>1381</v>
      </c>
      <c r="C374" s="436"/>
      <c r="D374" s="436" t="s">
        <v>158</v>
      </c>
      <c r="E374" s="436"/>
      <c r="F374" s="436" t="s">
        <v>2396</v>
      </c>
      <c r="G374" s="436" t="s">
        <v>169</v>
      </c>
      <c r="H374" s="436" t="s">
        <v>160</v>
      </c>
      <c r="I374" s="436" t="s">
        <v>1963</v>
      </c>
      <c r="J374" s="436">
        <v>3235.93657</v>
      </c>
      <c r="K374" s="436"/>
      <c r="L374" s="438"/>
      <c r="M374" s="453"/>
      <c r="N374" s="422">
        <v>15.345</v>
      </c>
      <c r="O374" s="422">
        <v>10.644</v>
      </c>
      <c r="P374" s="422"/>
      <c r="Q374" s="436" t="s">
        <v>2183</v>
      </c>
      <c r="R374" s="436" t="s">
        <v>2184</v>
      </c>
      <c r="S374" s="436" t="s">
        <v>1964</v>
      </c>
      <c r="T374" s="419" t="s">
        <v>162</v>
      </c>
      <c r="U374" s="436" t="s">
        <v>2185</v>
      </c>
      <c r="V374" s="451"/>
      <c r="W374" s="458">
        <v>0.4168693834703354</v>
      </c>
      <c r="X374" s="438"/>
      <c r="Y374" s="442">
        <f>IF((W374/((J374/5780)^4))^0.5&gt;0,(W374/((J374/5780)^4))^0.5,"")</f>
        <v>2.059945245</v>
      </c>
      <c r="Z374" s="442"/>
      <c r="AA374" s="443"/>
      <c r="AB374" s="443"/>
      <c r="AC374" s="436" t="str">
        <f>IF(ISNUMBER(VLOOKUP(B374,'New Masses'!A:C,3,FALSE)),VLOOKUP(B374,'New Masses'!A:C,3,FALSE),"")</f>
        <v/>
      </c>
      <c r="AD374" s="440">
        <f>10^AE374</f>
        <v>0.000000002951209227</v>
      </c>
      <c r="AE374" s="436">
        <v>-8.53</v>
      </c>
      <c r="AF374" s="438"/>
      <c r="AG374" s="459">
        <f>10^AJ374</f>
        <v>0.2398832919</v>
      </c>
      <c r="AH374" s="436"/>
      <c r="AI374" s="446" t="str">
        <f>IF(ISNUMBER(VLOOKUP(B374,'New Masses'!A:C,2, FALSE)),VLOOKUP(B374,'New Masses'!A:C,2, FALSE),"")</f>
        <v/>
      </c>
      <c r="AJ374" s="436">
        <v>-0.62</v>
      </c>
      <c r="AK374" s="436"/>
      <c r="AL374" s="436">
        <v>-1.9</v>
      </c>
      <c r="AM374" s="438"/>
      <c r="AN374" s="436">
        <v>1.0</v>
      </c>
      <c r="AO374" s="438"/>
      <c r="AP374" s="438"/>
      <c r="AQ374" s="438"/>
      <c r="AR374" s="438"/>
      <c r="AS374" s="420" t="str">
        <f>VLOOKUP(B374,natta06!A:F,6,FALSE)</f>
        <v>#REF!</v>
      </c>
      <c r="AT374" s="438"/>
      <c r="AU374" s="438"/>
      <c r="AV374" s="438"/>
      <c r="AW374" s="450"/>
    </row>
    <row r="375">
      <c r="A375" s="435" t="str">
        <f t="shared" ref="A375:C375" si="323">#REF!</f>
        <v>#REF!</v>
      </c>
      <c r="B375" s="485" t="str">
        <f t="shared" si="323"/>
        <v>#REF!</v>
      </c>
      <c r="C375" s="486" t="str">
        <f t="shared" si="323"/>
        <v>#REF!</v>
      </c>
      <c r="D375" s="486"/>
      <c r="E375" s="486"/>
      <c r="F375" s="528"/>
      <c r="G375" s="486"/>
      <c r="H375" s="486" t="s">
        <v>5917</v>
      </c>
      <c r="I375" s="491"/>
      <c r="J375" s="491"/>
      <c r="K375" s="491"/>
      <c r="L375" s="491"/>
      <c r="M375" s="486"/>
      <c r="N375" s="422"/>
      <c r="O375" s="422"/>
      <c r="P375" s="422"/>
      <c r="Q375" s="486"/>
      <c r="R375" s="491"/>
      <c r="S375" s="491"/>
      <c r="T375" s="491"/>
      <c r="U375" s="491"/>
      <c r="V375" s="491"/>
      <c r="W375" s="493"/>
      <c r="X375" s="486"/>
      <c r="Y375" s="442"/>
      <c r="Z375" s="491"/>
      <c r="AA375" s="524" t="str">
        <f>#REF!</f>
        <v>#REF!</v>
      </c>
      <c r="AB375" s="494"/>
      <c r="AC375" s="436"/>
      <c r="AD375" s="495"/>
      <c r="AE375" s="491"/>
      <c r="AF375" s="491"/>
      <c r="AG375" s="525" t="str">
        <f>#REF!</f>
        <v>#REF!</v>
      </c>
      <c r="AH375" s="491"/>
      <c r="AI375" s="446"/>
      <c r="AJ375" s="491"/>
      <c r="AK375" s="500"/>
      <c r="AL375" s="436"/>
      <c r="AM375" s="438"/>
      <c r="AN375" s="531"/>
      <c r="AO375" s="491"/>
      <c r="AP375" s="438"/>
      <c r="AQ375" s="438"/>
      <c r="AR375" s="438"/>
      <c r="AS375" s="438"/>
      <c r="AT375" s="438"/>
      <c r="AU375" s="438"/>
      <c r="AV375" s="438"/>
      <c r="AW375" s="450" t="str">
        <f>#REF!</f>
        <v>#REF!</v>
      </c>
    </row>
    <row r="376">
      <c r="A376" s="419" t="s">
        <v>1413</v>
      </c>
      <c r="B376" s="436" t="s">
        <v>1414</v>
      </c>
      <c r="C376" s="436"/>
      <c r="D376" s="436" t="s">
        <v>158</v>
      </c>
      <c r="E376" s="436"/>
      <c r="F376" s="436" t="s">
        <v>2397</v>
      </c>
      <c r="G376" s="436" t="s">
        <v>159</v>
      </c>
      <c r="H376" s="436" t="s">
        <v>160</v>
      </c>
      <c r="I376" s="436" t="s">
        <v>1963</v>
      </c>
      <c r="J376" s="436">
        <v>3630.78055</v>
      </c>
      <c r="K376" s="436"/>
      <c r="L376" s="438"/>
      <c r="M376" s="453"/>
      <c r="N376" s="422">
        <v>14.68</v>
      </c>
      <c r="O376" s="422">
        <v>10.406</v>
      </c>
      <c r="P376" s="422"/>
      <c r="Q376" s="436" t="s">
        <v>2183</v>
      </c>
      <c r="R376" s="436" t="s">
        <v>2184</v>
      </c>
      <c r="S376" s="436" t="s">
        <v>1964</v>
      </c>
      <c r="T376" s="419" t="s">
        <v>162</v>
      </c>
      <c r="U376" s="436" t="s">
        <v>2185</v>
      </c>
      <c r="V376" s="451"/>
      <c r="W376" s="458"/>
      <c r="X376" s="438"/>
      <c r="Y376" s="442" t="str">
        <f>IF((W376/((J376/5780)^4))^0.5&gt;0,(W376/((J376/5780)^4))^0.5,"")</f>
        <v/>
      </c>
      <c r="Z376" s="442"/>
      <c r="AA376" s="443"/>
      <c r="AB376" s="443"/>
      <c r="AC376" s="436" t="str">
        <f>IF(ISNUMBER(VLOOKUP(B376,'New Masses'!A:C,3,FALSE)),VLOOKUP(B376,'New Masses'!A:C,3,FALSE),"")</f>
        <v/>
      </c>
      <c r="AD376" s="440">
        <f>10^AE376</f>
        <v>0.0000000008511380382</v>
      </c>
      <c r="AE376" s="436">
        <v>-9.07</v>
      </c>
      <c r="AF376" s="438"/>
      <c r="AG376" s="459">
        <f>10^AJ376</f>
        <v>0.3981071706</v>
      </c>
      <c r="AH376" s="436"/>
      <c r="AI376" s="446" t="str">
        <f>IF(ISNUMBER(VLOOKUP(B376,'New Masses'!A:C,2, FALSE)),VLOOKUP(B376,'New Masses'!A:C,2, FALSE),"")</f>
        <v/>
      </c>
      <c r="AJ376" s="436">
        <v>-0.4</v>
      </c>
      <c r="AK376" s="436"/>
      <c r="AL376" s="436">
        <v>-2.31</v>
      </c>
      <c r="AM376" s="438"/>
      <c r="AN376" s="436">
        <v>1.0</v>
      </c>
      <c r="AO376" s="438"/>
      <c r="AP376" s="436"/>
      <c r="AQ376" s="438"/>
      <c r="AR376" s="438"/>
      <c r="AS376" s="420" t="str">
        <f>VLOOKUP(B376,natta06!A:F,6,FALSE)</f>
        <v>#REF!</v>
      </c>
      <c r="AT376" s="438" t="s">
        <v>5916</v>
      </c>
      <c r="AU376" s="438"/>
      <c r="AV376" s="438"/>
      <c r="AW376" s="450"/>
    </row>
    <row r="377">
      <c r="A377" s="435" t="str">
        <f t="shared" ref="A377:C377" si="324">#REF!</f>
        <v>#REF!</v>
      </c>
      <c r="B377" s="485" t="str">
        <f t="shared" si="324"/>
        <v>#REF!</v>
      </c>
      <c r="C377" s="486" t="str">
        <f t="shared" si="324"/>
        <v>#REF!</v>
      </c>
      <c r="D377" s="486"/>
      <c r="E377" s="486"/>
      <c r="F377" s="528"/>
      <c r="G377" s="486"/>
      <c r="H377" s="486" t="s">
        <v>5917</v>
      </c>
      <c r="I377" s="491"/>
      <c r="J377" s="491"/>
      <c r="K377" s="491"/>
      <c r="L377" s="491"/>
      <c r="M377" s="486"/>
      <c r="N377" s="422"/>
      <c r="O377" s="422"/>
      <c r="P377" s="422"/>
      <c r="Q377" s="486"/>
      <c r="R377" s="491"/>
      <c r="S377" s="491"/>
      <c r="T377" s="491"/>
      <c r="U377" s="491"/>
      <c r="V377" s="491"/>
      <c r="W377" s="493"/>
      <c r="X377" s="486"/>
      <c r="Y377" s="442"/>
      <c r="Z377" s="491"/>
      <c r="AA377" s="524" t="str">
        <f>#REF!</f>
        <v>#REF!</v>
      </c>
      <c r="AB377" s="494"/>
      <c r="AC377" s="436"/>
      <c r="AD377" s="495"/>
      <c r="AE377" s="491"/>
      <c r="AF377" s="491"/>
      <c r="AG377" s="525" t="str">
        <f>#REF!</f>
        <v>#REF!</v>
      </c>
      <c r="AH377" s="491"/>
      <c r="AI377" s="446"/>
      <c r="AJ377" s="491"/>
      <c r="AK377" s="500"/>
      <c r="AL377" s="436"/>
      <c r="AM377" s="438"/>
      <c r="AN377" s="531"/>
      <c r="AO377" s="491"/>
      <c r="AP377" s="438"/>
      <c r="AQ377" s="438"/>
      <c r="AR377" s="438"/>
      <c r="AS377" s="438"/>
      <c r="AT377" s="438"/>
      <c r="AU377" s="438"/>
      <c r="AV377" s="438"/>
      <c r="AW377" s="450" t="str">
        <f>#REF!</f>
        <v>#REF!</v>
      </c>
    </row>
    <row r="378">
      <c r="A378" s="419" t="s">
        <v>1960</v>
      </c>
      <c r="B378" s="436" t="s">
        <v>1961</v>
      </c>
      <c r="C378" s="436"/>
      <c r="D378" s="436" t="s">
        <v>158</v>
      </c>
      <c r="E378" s="436"/>
      <c r="F378" s="436" t="s">
        <v>2398</v>
      </c>
      <c r="G378" s="436" t="s">
        <v>159</v>
      </c>
      <c r="H378" s="436" t="s">
        <v>160</v>
      </c>
      <c r="I378" s="436" t="s">
        <v>1963</v>
      </c>
      <c r="J378" s="436"/>
      <c r="K378" s="436"/>
      <c r="L378" s="438"/>
      <c r="M378" s="453"/>
      <c r="N378" s="422">
        <v>7.741</v>
      </c>
      <c r="O378" s="422">
        <v>6.504</v>
      </c>
      <c r="P378" s="422"/>
      <c r="Q378" s="436" t="s">
        <v>2183</v>
      </c>
      <c r="R378" s="436" t="s">
        <v>2184</v>
      </c>
      <c r="S378" s="436" t="s">
        <v>1964</v>
      </c>
      <c r="T378" s="419" t="s">
        <v>162</v>
      </c>
      <c r="U378" s="436" t="s">
        <v>2185</v>
      </c>
      <c r="V378" s="451"/>
      <c r="W378" s="458"/>
      <c r="X378" s="438"/>
      <c r="Y378" s="442"/>
      <c r="Z378" s="442"/>
      <c r="AA378" s="443"/>
      <c r="AB378" s="443"/>
      <c r="AC378" s="436" t="str">
        <f>IF(ISNUMBER(VLOOKUP(B378,'New Masses'!A:C,3,FALSE)),VLOOKUP(B378,'New Masses'!A:C,3,FALSE),"")</f>
        <v/>
      </c>
      <c r="AD378" s="440"/>
      <c r="AE378" s="436"/>
      <c r="AF378" s="438"/>
      <c r="AG378" s="459">
        <f>10^AJ378</f>
        <v>1</v>
      </c>
      <c r="AH378" s="436"/>
      <c r="AI378" s="446" t="str">
        <f>IF(ISNUMBER(VLOOKUP(B378,'New Masses'!A:C,2, FALSE)),VLOOKUP(B378,'New Masses'!A:C,2, FALSE),"")</f>
        <v/>
      </c>
      <c r="AJ378" s="436"/>
      <c r="AK378" s="436"/>
      <c r="AL378" s="436"/>
      <c r="AM378" s="438"/>
      <c r="AN378" s="436">
        <v>1.0</v>
      </c>
      <c r="AO378" s="438"/>
      <c r="AP378" s="436"/>
      <c r="AQ378" s="438"/>
      <c r="AR378" s="438"/>
      <c r="AS378" s="420" t="str">
        <f>VLOOKUP(B378,natta06!A:F,6,FALSE)</f>
        <v>#REF!</v>
      </c>
      <c r="AT378" s="438"/>
      <c r="AU378" s="438"/>
      <c r="AV378" s="438"/>
      <c r="AW378" s="450">
        <v>141.681188988538</v>
      </c>
    </row>
    <row r="379">
      <c r="A379" s="435" t="str">
        <f t="shared" ref="A379:C379" si="325">#REF!</f>
        <v>#REF!</v>
      </c>
      <c r="B379" s="485" t="str">
        <f t="shared" si="325"/>
        <v>#REF!</v>
      </c>
      <c r="C379" s="486" t="str">
        <f t="shared" si="325"/>
        <v>#REF!</v>
      </c>
      <c r="D379" s="486"/>
      <c r="E379" s="486"/>
      <c r="F379" s="528"/>
      <c r="G379" s="486"/>
      <c r="H379" s="486" t="s">
        <v>5917</v>
      </c>
      <c r="I379" s="491"/>
      <c r="J379" s="491"/>
      <c r="K379" s="491"/>
      <c r="L379" s="491"/>
      <c r="M379" s="486"/>
      <c r="N379" s="422"/>
      <c r="O379" s="422"/>
      <c r="P379" s="422"/>
      <c r="Q379" s="486"/>
      <c r="R379" s="491"/>
      <c r="S379" s="491"/>
      <c r="T379" s="491"/>
      <c r="U379" s="491"/>
      <c r="V379" s="491"/>
      <c r="W379" s="493"/>
      <c r="X379" s="486"/>
      <c r="Y379" s="442"/>
      <c r="Z379" s="491"/>
      <c r="AA379" s="524" t="str">
        <f>#REF!</f>
        <v>#REF!</v>
      </c>
      <c r="AB379" s="494"/>
      <c r="AC379" s="436"/>
      <c r="AD379" s="495"/>
      <c r="AE379" s="491"/>
      <c r="AF379" s="491"/>
      <c r="AG379" s="525" t="str">
        <f>#REF!</f>
        <v>#REF!</v>
      </c>
      <c r="AH379" s="491"/>
      <c r="AI379" s="446"/>
      <c r="AJ379" s="491"/>
      <c r="AK379" s="500"/>
      <c r="AL379" s="436"/>
      <c r="AM379" s="438"/>
      <c r="AN379" s="531"/>
      <c r="AO379" s="491"/>
      <c r="AP379" s="438"/>
      <c r="AQ379" s="438"/>
      <c r="AR379" s="438"/>
      <c r="AS379" s="438"/>
      <c r="AT379" s="438"/>
      <c r="AU379" s="438"/>
      <c r="AV379" s="438"/>
      <c r="AW379" s="450" t="str">
        <f>#REF!</f>
        <v>#REF!</v>
      </c>
    </row>
    <row r="380">
      <c r="A380" s="419" t="s">
        <v>1448</v>
      </c>
      <c r="B380" s="436" t="s">
        <v>1449</v>
      </c>
      <c r="C380" s="436"/>
      <c r="D380" s="436" t="s">
        <v>158</v>
      </c>
      <c r="E380" s="436"/>
      <c r="F380" s="436" t="s">
        <v>2399</v>
      </c>
      <c r="G380" s="436" t="s">
        <v>169</v>
      </c>
      <c r="H380" s="436" t="s">
        <v>160</v>
      </c>
      <c r="I380" s="436" t="s">
        <v>1963</v>
      </c>
      <c r="J380" s="436">
        <v>4073.80278</v>
      </c>
      <c r="K380" s="436"/>
      <c r="L380" s="438"/>
      <c r="M380" s="453"/>
      <c r="N380" s="422">
        <v>14.37</v>
      </c>
      <c r="O380" s="422">
        <v>8.475</v>
      </c>
      <c r="P380" s="422"/>
      <c r="Q380" s="436" t="s">
        <v>2183</v>
      </c>
      <c r="R380" s="436" t="s">
        <v>2184</v>
      </c>
      <c r="S380" s="436" t="s">
        <v>1964</v>
      </c>
      <c r="T380" s="419" t="s">
        <v>162</v>
      </c>
      <c r="U380" s="436" t="s">
        <v>2185</v>
      </c>
      <c r="V380" s="451"/>
      <c r="W380" s="458">
        <v>2.137962089502232</v>
      </c>
      <c r="X380" s="438"/>
      <c r="Y380" s="442">
        <f>IF((W380/((J380/5780)^4))^0.5&gt;0,(W380/((J380/5780)^4))^0.5,"")</f>
        <v>2.943443314</v>
      </c>
      <c r="Z380" s="442"/>
      <c r="AA380" s="443"/>
      <c r="AB380" s="443"/>
      <c r="AC380" s="436" t="str">
        <f>IF(ISNUMBER(VLOOKUP(B380,'New Masses'!A:C,3,FALSE)),VLOOKUP(B380,'New Masses'!A:C,3,FALSE),"")</f>
        <v/>
      </c>
      <c r="AD380" s="440">
        <f>10^AE380</f>
        <v>0.000000003311311215</v>
      </c>
      <c r="AE380" s="436">
        <v>-8.48</v>
      </c>
      <c r="AF380" s="438"/>
      <c r="AG380" s="459">
        <f>10^AJ380</f>
        <v>0.645654229</v>
      </c>
      <c r="AH380" s="436"/>
      <c r="AI380" s="446" t="str">
        <f>IF(ISNUMBER(VLOOKUP(B380,'New Masses'!A:C,2, FALSE)),VLOOKUP(B380,'New Masses'!A:C,2, FALSE),"")</f>
        <v/>
      </c>
      <c r="AJ380" s="436">
        <v>-0.19</v>
      </c>
      <c r="AK380" s="436"/>
      <c r="AL380" s="436">
        <v>-1.58</v>
      </c>
      <c r="AM380" s="438"/>
      <c r="AN380" s="436">
        <v>1.0</v>
      </c>
      <c r="AO380" s="438"/>
      <c r="AP380" s="436"/>
      <c r="AQ380" s="438"/>
      <c r="AR380" s="438"/>
      <c r="AS380" s="420" t="str">
        <f>VLOOKUP(B380,natta06!A:F,6,FALSE)</f>
        <v>#REF!</v>
      </c>
      <c r="AT380" s="438" t="s">
        <v>5916</v>
      </c>
      <c r="AU380" s="438"/>
      <c r="AV380" s="438"/>
      <c r="AW380" s="450"/>
    </row>
    <row r="381">
      <c r="A381" s="435" t="str">
        <f t="shared" ref="A381:C381" si="326">#REF!</f>
        <v>#REF!</v>
      </c>
      <c r="B381" s="485" t="str">
        <f t="shared" si="326"/>
        <v>#REF!</v>
      </c>
      <c r="C381" s="486" t="str">
        <f t="shared" si="326"/>
        <v>#REF!</v>
      </c>
      <c r="D381" s="486"/>
      <c r="E381" s="486"/>
      <c r="F381" s="528"/>
      <c r="G381" s="486"/>
      <c r="H381" s="486" t="s">
        <v>5917</v>
      </c>
      <c r="I381" s="491"/>
      <c r="J381" s="491"/>
      <c r="K381" s="491"/>
      <c r="L381" s="491"/>
      <c r="M381" s="486"/>
      <c r="N381" s="422"/>
      <c r="O381" s="422"/>
      <c r="P381" s="422"/>
      <c r="Q381" s="486"/>
      <c r="R381" s="491"/>
      <c r="S381" s="491"/>
      <c r="T381" s="491"/>
      <c r="U381" s="491"/>
      <c r="V381" s="491"/>
      <c r="W381" s="493"/>
      <c r="X381" s="486"/>
      <c r="Y381" s="442"/>
      <c r="Z381" s="491"/>
      <c r="AA381" s="524" t="str">
        <f>#REF!</f>
        <v>#REF!</v>
      </c>
      <c r="AB381" s="494"/>
      <c r="AC381" s="436"/>
      <c r="AD381" s="495"/>
      <c r="AE381" s="491"/>
      <c r="AF381" s="491"/>
      <c r="AG381" s="525" t="str">
        <f>#REF!</f>
        <v>#REF!</v>
      </c>
      <c r="AH381" s="491"/>
      <c r="AI381" s="446"/>
      <c r="AJ381" s="491"/>
      <c r="AK381" s="500"/>
      <c r="AL381" s="436"/>
      <c r="AM381" s="438"/>
      <c r="AN381" s="531"/>
      <c r="AO381" s="491"/>
      <c r="AP381" s="438"/>
      <c r="AQ381" s="438"/>
      <c r="AR381" s="438"/>
      <c r="AS381" s="438"/>
      <c r="AT381" s="438"/>
      <c r="AU381" s="438"/>
      <c r="AV381" s="438"/>
      <c r="AW381" s="450" t="str">
        <f>#REF!</f>
        <v>#REF!</v>
      </c>
    </row>
    <row r="382">
      <c r="A382" s="419" t="s">
        <v>1411</v>
      </c>
      <c r="B382" s="436" t="s">
        <v>1412</v>
      </c>
      <c r="C382" s="436"/>
      <c r="D382" s="436" t="s">
        <v>158</v>
      </c>
      <c r="E382" s="436"/>
      <c r="F382" s="436" t="s">
        <v>2400</v>
      </c>
      <c r="G382" s="436" t="s">
        <v>159</v>
      </c>
      <c r="H382" s="436" t="s">
        <v>160</v>
      </c>
      <c r="I382" s="436" t="s">
        <v>1963</v>
      </c>
      <c r="J382" s="436">
        <v>3630.78055</v>
      </c>
      <c r="K382" s="436"/>
      <c r="L382" s="438"/>
      <c r="M382" s="453"/>
      <c r="N382" s="422">
        <v>14.029</v>
      </c>
      <c r="O382" s="422">
        <v>10.031</v>
      </c>
      <c r="P382" s="422"/>
      <c r="Q382" s="436" t="s">
        <v>2183</v>
      </c>
      <c r="R382" s="436" t="s">
        <v>2184</v>
      </c>
      <c r="S382" s="436" t="s">
        <v>1964</v>
      </c>
      <c r="T382" s="419" t="s">
        <v>162</v>
      </c>
      <c r="U382" s="436" t="s">
        <v>2185</v>
      </c>
      <c r="V382" s="451"/>
      <c r="W382" s="458"/>
      <c r="X382" s="438"/>
      <c r="Y382" s="442" t="str">
        <f>IF((W382/((J382/5780)^4))^0.5&gt;0,(W382/((J382/5780)^4))^0.5,"")</f>
        <v/>
      </c>
      <c r="Z382" s="442"/>
      <c r="AA382" s="443"/>
      <c r="AB382" s="443"/>
      <c r="AC382" s="436" t="str">
        <f>IF(ISNUMBER(VLOOKUP(B382,'New Masses'!A:C,3,FALSE)),VLOOKUP(B382,'New Masses'!A:C,3,FALSE),"")</f>
        <v/>
      </c>
      <c r="AD382" s="440">
        <f>10^AE382</f>
        <v>0.00000000087096359</v>
      </c>
      <c r="AE382" s="436">
        <v>-9.06</v>
      </c>
      <c r="AF382" s="438"/>
      <c r="AG382" s="459">
        <f>10^AJ382</f>
        <v>0.3981071706</v>
      </c>
      <c r="AH382" s="436"/>
      <c r="AI382" s="446" t="str">
        <f>IF(ISNUMBER(VLOOKUP(B382,'New Masses'!A:C,2, FALSE)),VLOOKUP(B382,'New Masses'!A:C,2, FALSE),"")</f>
        <v/>
      </c>
      <c r="AJ382" s="436">
        <v>-0.4</v>
      </c>
      <c r="AK382" s="436"/>
      <c r="AL382" s="436">
        <v>-2.29</v>
      </c>
      <c r="AM382" s="438"/>
      <c r="AN382" s="436">
        <v>1.0</v>
      </c>
      <c r="AO382" s="438"/>
      <c r="AP382" s="436"/>
      <c r="AQ382" s="438"/>
      <c r="AR382" s="438"/>
      <c r="AS382" s="420" t="str">
        <f>VLOOKUP(B382,natta06!A:F,6,FALSE)</f>
        <v>#REF!</v>
      </c>
      <c r="AT382" s="438" t="s">
        <v>5916</v>
      </c>
      <c r="AU382" s="438"/>
      <c r="AV382" s="438"/>
      <c r="AW382" s="450"/>
    </row>
    <row r="383">
      <c r="A383" s="435" t="str">
        <f t="shared" ref="A383:C383" si="327">#REF!</f>
        <v>#REF!</v>
      </c>
      <c r="B383" s="485" t="str">
        <f t="shared" si="327"/>
        <v>#REF!</v>
      </c>
      <c r="C383" s="486" t="str">
        <f t="shared" si="327"/>
        <v>#REF!</v>
      </c>
      <c r="D383" s="486"/>
      <c r="E383" s="486"/>
      <c r="F383" s="528"/>
      <c r="G383" s="486"/>
      <c r="H383" s="486" t="s">
        <v>5917</v>
      </c>
      <c r="I383" s="491"/>
      <c r="J383" s="491"/>
      <c r="K383" s="491"/>
      <c r="L383" s="491"/>
      <c r="M383" s="486"/>
      <c r="N383" s="422"/>
      <c r="O383" s="422"/>
      <c r="P383" s="422"/>
      <c r="Q383" s="486"/>
      <c r="R383" s="491"/>
      <c r="S383" s="491"/>
      <c r="T383" s="491"/>
      <c r="U383" s="491"/>
      <c r="V383" s="491"/>
      <c r="W383" s="493"/>
      <c r="X383" s="486"/>
      <c r="Y383" s="442"/>
      <c r="Z383" s="491"/>
      <c r="AA383" s="524" t="str">
        <f>#REF!</f>
        <v>#REF!</v>
      </c>
      <c r="AB383" s="494"/>
      <c r="AC383" s="436"/>
      <c r="AD383" s="495"/>
      <c r="AE383" s="491"/>
      <c r="AF383" s="491"/>
      <c r="AG383" s="525" t="str">
        <f>#REF!</f>
        <v>#REF!</v>
      </c>
      <c r="AH383" s="491"/>
      <c r="AI383" s="446"/>
      <c r="AJ383" s="491"/>
      <c r="AK383" s="500"/>
      <c r="AL383" s="436"/>
      <c r="AM383" s="438"/>
      <c r="AN383" s="531"/>
      <c r="AO383" s="491"/>
      <c r="AP383" s="438"/>
      <c r="AQ383" s="438"/>
      <c r="AR383" s="438"/>
      <c r="AS383" s="438"/>
      <c r="AT383" s="438"/>
      <c r="AU383" s="438"/>
      <c r="AV383" s="438"/>
      <c r="AW383" s="450" t="str">
        <f>#REF!</f>
        <v>#REF!</v>
      </c>
    </row>
    <row r="384">
      <c r="A384" s="419" t="s">
        <v>1466</v>
      </c>
      <c r="B384" s="436" t="s">
        <v>1467</v>
      </c>
      <c r="C384" s="436"/>
      <c r="D384" s="436" t="s">
        <v>158</v>
      </c>
      <c r="E384" s="436"/>
      <c r="F384" s="436" t="s">
        <v>2401</v>
      </c>
      <c r="G384" s="436" t="s">
        <v>169</v>
      </c>
      <c r="H384" s="436" t="s">
        <v>160</v>
      </c>
      <c r="I384" s="436" t="s">
        <v>1963</v>
      </c>
      <c r="J384" s="436">
        <v>4365.15832</v>
      </c>
      <c r="K384" s="436"/>
      <c r="L384" s="438"/>
      <c r="M384" s="453"/>
      <c r="N384" s="422">
        <v>11.025</v>
      </c>
      <c r="O384" s="422">
        <v>8.201</v>
      </c>
      <c r="P384" s="422">
        <v>17.4</v>
      </c>
      <c r="Q384" s="436" t="s">
        <v>2183</v>
      </c>
      <c r="R384" s="436" t="s">
        <v>2184</v>
      </c>
      <c r="S384" s="436" t="s">
        <v>1964</v>
      </c>
      <c r="T384" s="419" t="s">
        <v>162</v>
      </c>
      <c r="U384" s="436" t="s">
        <v>2185</v>
      </c>
      <c r="V384" s="451"/>
      <c r="W384" s="458">
        <v>3.4673685045253166</v>
      </c>
      <c r="X384" s="438"/>
      <c r="Y384" s="442">
        <f>IF((W384/((J384/5780)^4))^0.5&gt;0,(W384/((J384/5780)^4))^0.5,"")</f>
        <v>3.264793201</v>
      </c>
      <c r="Z384" s="442"/>
      <c r="AA384" s="443"/>
      <c r="AB384" s="443"/>
      <c r="AC384" s="436" t="str">
        <f>IF(ISNUMBER(VLOOKUP(B384,'New Masses'!A:C,3,FALSE)),VLOOKUP(B384,'New Masses'!A:C,3,FALSE),"")</f>
        <v/>
      </c>
      <c r="AD384" s="440">
        <f>10^AE384</f>
        <v>0.000000005888436554</v>
      </c>
      <c r="AE384" s="436">
        <v>-8.23</v>
      </c>
      <c r="AF384" s="438"/>
      <c r="AG384" s="459">
        <f>10^AJ384</f>
        <v>0.87096359</v>
      </c>
      <c r="AH384" s="436"/>
      <c r="AI384" s="446" t="str">
        <f>IF(ISNUMBER(VLOOKUP(B384,'New Masses'!A:C,2, FALSE)),VLOOKUP(B384,'New Masses'!A:C,2, FALSE),"")</f>
        <v/>
      </c>
      <c r="AJ384" s="436">
        <v>-0.06</v>
      </c>
      <c r="AK384" s="436"/>
      <c r="AL384" s="436">
        <v>-1.26</v>
      </c>
      <c r="AM384" s="438"/>
      <c r="AN384" s="436">
        <v>1.0</v>
      </c>
      <c r="AO384" s="438"/>
      <c r="AP384" s="436"/>
      <c r="AQ384" s="438"/>
      <c r="AR384" s="438"/>
      <c r="AS384" s="420" t="str">
        <f>VLOOKUP(B384,natta06!A:F,6,FALSE)</f>
        <v>#REF!</v>
      </c>
      <c r="AT384" s="438" t="s">
        <v>5916</v>
      </c>
      <c r="AU384" s="438"/>
      <c r="AV384" s="438"/>
      <c r="AW384" s="450">
        <v>138.178803371562</v>
      </c>
    </row>
    <row r="385">
      <c r="A385" s="435" t="str">
        <f t="shared" ref="A385:C385" si="328">#REF!</f>
        <v>#REF!</v>
      </c>
      <c r="B385" s="485" t="str">
        <f t="shared" si="328"/>
        <v>#REF!</v>
      </c>
      <c r="C385" s="486" t="str">
        <f t="shared" si="328"/>
        <v>#REF!</v>
      </c>
      <c r="D385" s="486"/>
      <c r="E385" s="486"/>
      <c r="F385" s="528"/>
      <c r="G385" s="486"/>
      <c r="H385" s="486" t="s">
        <v>5917</v>
      </c>
      <c r="I385" s="491"/>
      <c r="J385" s="491"/>
      <c r="K385" s="491"/>
      <c r="L385" s="491"/>
      <c r="M385" s="486"/>
      <c r="N385" s="422"/>
      <c r="O385" s="422"/>
      <c r="P385" s="422"/>
      <c r="Q385" s="486"/>
      <c r="R385" s="491"/>
      <c r="S385" s="491"/>
      <c r="T385" s="491"/>
      <c r="U385" s="491"/>
      <c r="V385" s="491"/>
      <c r="W385" s="493"/>
      <c r="X385" s="486"/>
      <c r="Y385" s="442"/>
      <c r="Z385" s="491"/>
      <c r="AA385" s="524" t="str">
        <f>#REF!</f>
        <v>#REF!</v>
      </c>
      <c r="AB385" s="494"/>
      <c r="AC385" s="436"/>
      <c r="AD385" s="495"/>
      <c r="AE385" s="491"/>
      <c r="AF385" s="491"/>
      <c r="AG385" s="525" t="str">
        <f>#REF!</f>
        <v>#REF!</v>
      </c>
      <c r="AH385" s="491"/>
      <c r="AI385" s="446"/>
      <c r="AJ385" s="491"/>
      <c r="AK385" s="500"/>
      <c r="AL385" s="436"/>
      <c r="AM385" s="438"/>
      <c r="AN385" s="531"/>
      <c r="AO385" s="491"/>
      <c r="AP385" s="438"/>
      <c r="AQ385" s="438"/>
      <c r="AR385" s="438"/>
      <c r="AS385" s="438"/>
      <c r="AT385" s="438"/>
      <c r="AU385" s="438"/>
      <c r="AV385" s="438"/>
      <c r="AW385" s="450" t="str">
        <f>#REF!</f>
        <v>#REF!</v>
      </c>
    </row>
    <row r="386">
      <c r="A386" s="419" t="s">
        <v>1421</v>
      </c>
      <c r="B386" s="436" t="s">
        <v>1422</v>
      </c>
      <c r="C386" s="436"/>
      <c r="D386" s="436" t="s">
        <v>158</v>
      </c>
      <c r="E386" s="436"/>
      <c r="F386" s="436" t="s">
        <v>2402</v>
      </c>
      <c r="G386" s="436" t="s">
        <v>169</v>
      </c>
      <c r="H386" s="436" t="s">
        <v>160</v>
      </c>
      <c r="I386" s="436" t="s">
        <v>1963</v>
      </c>
      <c r="J386" s="436">
        <v>3801.89396</v>
      </c>
      <c r="K386" s="436"/>
      <c r="L386" s="438"/>
      <c r="M386" s="453"/>
      <c r="N386" s="422">
        <v>9.65</v>
      </c>
      <c r="O386" s="422">
        <v>8.063</v>
      </c>
      <c r="P386" s="422">
        <v>14.02</v>
      </c>
      <c r="Q386" s="436" t="s">
        <v>2183</v>
      </c>
      <c r="R386" s="436" t="s">
        <v>2184</v>
      </c>
      <c r="S386" s="436" t="s">
        <v>1964</v>
      </c>
      <c r="T386" s="419" t="s">
        <v>162</v>
      </c>
      <c r="U386" s="436" t="s">
        <v>2185</v>
      </c>
      <c r="V386" s="451"/>
      <c r="W386" s="458">
        <v>1.2589254117941673</v>
      </c>
      <c r="X386" s="438"/>
      <c r="Y386" s="442">
        <f>IF((W386/((J386/5780)^4))^0.5&gt;0,(W386/((J386/5780)^4))^0.5,"")</f>
        <v>2.593317421</v>
      </c>
      <c r="Z386" s="442"/>
      <c r="AA386" s="443"/>
      <c r="AB386" s="443"/>
      <c r="AC386" s="436" t="str">
        <f>IF(ISNUMBER(VLOOKUP(B386,'New Masses'!A:C,3,FALSE)),VLOOKUP(B386,'New Masses'!A:C,3,FALSE),"")</f>
        <v/>
      </c>
      <c r="AD386" s="440">
        <f>10^AE386</f>
        <v>0.000000003467368505</v>
      </c>
      <c r="AE386" s="436">
        <v>-8.46</v>
      </c>
      <c r="AF386" s="438"/>
      <c r="AG386" s="459">
        <f>10^AJ386</f>
        <v>0.4677351413</v>
      </c>
      <c r="AH386" s="436"/>
      <c r="AI386" s="446" t="str">
        <f>IF(ISNUMBER(VLOOKUP(B386,'New Masses'!A:C,2, FALSE)),VLOOKUP(B386,'New Masses'!A:C,2, FALSE),"")</f>
        <v/>
      </c>
      <c r="AJ386" s="436">
        <v>-0.33</v>
      </c>
      <c r="AK386" s="436"/>
      <c r="AL386" s="436">
        <v>-1.65</v>
      </c>
      <c r="AM386" s="438"/>
      <c r="AN386" s="436">
        <v>1.0</v>
      </c>
      <c r="AO386" s="438"/>
      <c r="AP386" s="438"/>
      <c r="AQ386" s="438"/>
      <c r="AR386" s="438"/>
      <c r="AS386" s="420" t="str">
        <f>VLOOKUP(B386,natta06!A:F,6,FALSE)</f>
        <v>#REF!</v>
      </c>
      <c r="AT386" s="438"/>
      <c r="AU386" s="438"/>
      <c r="AV386" s="438"/>
      <c r="AW386" s="450">
        <v>134.273246055723</v>
      </c>
    </row>
    <row r="387">
      <c r="A387" s="435" t="str">
        <f t="shared" ref="A387:C387" si="329">#REF!</f>
        <v>#REF!</v>
      </c>
      <c r="B387" s="485" t="str">
        <f t="shared" si="329"/>
        <v>#REF!</v>
      </c>
      <c r="C387" s="486" t="str">
        <f t="shared" si="329"/>
        <v>#REF!</v>
      </c>
      <c r="D387" s="486"/>
      <c r="E387" s="486"/>
      <c r="F387" s="528"/>
      <c r="G387" s="486"/>
      <c r="H387" s="486" t="s">
        <v>5917</v>
      </c>
      <c r="I387" s="491"/>
      <c r="J387" s="491"/>
      <c r="K387" s="491"/>
      <c r="L387" s="491"/>
      <c r="M387" s="486"/>
      <c r="N387" s="422"/>
      <c r="O387" s="422"/>
      <c r="P387" s="422"/>
      <c r="Q387" s="486"/>
      <c r="R387" s="491"/>
      <c r="S387" s="491"/>
      <c r="T387" s="491"/>
      <c r="U387" s="491"/>
      <c r="V387" s="491"/>
      <c r="W387" s="493"/>
      <c r="X387" s="486"/>
      <c r="Y387" s="442"/>
      <c r="Z387" s="491"/>
      <c r="AA387" s="524" t="str">
        <f>#REF!</f>
        <v>#REF!</v>
      </c>
      <c r="AB387" s="494"/>
      <c r="AC387" s="436"/>
      <c r="AD387" s="495"/>
      <c r="AE387" s="491"/>
      <c r="AF387" s="491"/>
      <c r="AG387" s="525" t="str">
        <f>#REF!</f>
        <v>#REF!</v>
      </c>
      <c r="AH387" s="491"/>
      <c r="AI387" s="446"/>
      <c r="AJ387" s="491"/>
      <c r="AK387" s="500"/>
      <c r="AL387" s="436"/>
      <c r="AM387" s="438"/>
      <c r="AN387" s="531"/>
      <c r="AO387" s="491"/>
      <c r="AP387" s="438"/>
      <c r="AQ387" s="438"/>
      <c r="AR387" s="438"/>
      <c r="AS387" s="438"/>
      <c r="AT387" s="438"/>
      <c r="AU387" s="438"/>
      <c r="AV387" s="438"/>
      <c r="AW387" s="450" t="str">
        <f>#REF!</f>
        <v>#REF!</v>
      </c>
    </row>
    <row r="388">
      <c r="A388" s="419" t="s">
        <v>1430</v>
      </c>
      <c r="B388" s="436" t="s">
        <v>1431</v>
      </c>
      <c r="C388" s="436"/>
      <c r="D388" s="436" t="s">
        <v>158</v>
      </c>
      <c r="E388" s="436"/>
      <c r="F388" s="436" t="s">
        <v>2403</v>
      </c>
      <c r="G388" s="436" t="s">
        <v>169</v>
      </c>
      <c r="H388" s="436" t="s">
        <v>160</v>
      </c>
      <c r="I388" s="436" t="s">
        <v>1963</v>
      </c>
      <c r="J388" s="436">
        <v>3890.45145</v>
      </c>
      <c r="K388" s="436"/>
      <c r="L388" s="438"/>
      <c r="M388" s="453"/>
      <c r="N388" s="422">
        <v>12.579</v>
      </c>
      <c r="O388" s="422">
        <v>8.072</v>
      </c>
      <c r="P388" s="422"/>
      <c r="Q388" s="436" t="s">
        <v>2183</v>
      </c>
      <c r="R388" s="436" t="s">
        <v>2184</v>
      </c>
      <c r="S388" s="436" t="s">
        <v>1964</v>
      </c>
      <c r="T388" s="419" t="s">
        <v>162</v>
      </c>
      <c r="U388" s="436" t="s">
        <v>2185</v>
      </c>
      <c r="V388" s="451"/>
      <c r="W388" s="458">
        <v>1.5135612484362082</v>
      </c>
      <c r="X388" s="438"/>
      <c r="Y388" s="442">
        <f>IF((W388/((J388/5780)^4))^0.5&gt;0,(W388/((J388/5780)^4))^0.5,"")</f>
        <v>2.715536702</v>
      </c>
      <c r="Z388" s="442"/>
      <c r="AA388" s="443"/>
      <c r="AB388" s="443"/>
      <c r="AC388" s="436" t="str">
        <f>IF(ISNUMBER(VLOOKUP(B388,'New Masses'!A:C,3,FALSE)),VLOOKUP(B388,'New Masses'!A:C,3,FALSE),"")</f>
        <v/>
      </c>
      <c r="AD388" s="440">
        <f>10^AE388</f>
        <v>0.0000000645654229</v>
      </c>
      <c r="AE388" s="436">
        <v>-7.19</v>
      </c>
      <c r="AF388" s="438"/>
      <c r="AG388" s="459">
        <f>10^AJ388</f>
        <v>0.5248074602</v>
      </c>
      <c r="AH388" s="436"/>
      <c r="AI388" s="446" t="str">
        <f>IF(ISNUMBER(VLOOKUP(B388,'New Masses'!A:C,2, FALSE)),VLOOKUP(B388,'New Masses'!A:C,2, FALSE),"")</f>
        <v/>
      </c>
      <c r="AJ388" s="436">
        <v>-0.28</v>
      </c>
      <c r="AK388" s="436"/>
      <c r="AL388" s="436">
        <v>-0.35</v>
      </c>
      <c r="AM388" s="438"/>
      <c r="AN388" s="436">
        <v>1.0</v>
      </c>
      <c r="AO388" s="438"/>
      <c r="AP388" s="438"/>
      <c r="AQ388" s="438"/>
      <c r="AR388" s="438"/>
      <c r="AS388" s="420" t="str">
        <f>VLOOKUP(B388,natta06!A:F,6,FALSE)</f>
        <v>#REF!</v>
      </c>
      <c r="AT388" s="438"/>
      <c r="AU388" s="438"/>
      <c r="AV388" s="438"/>
      <c r="AW388" s="450">
        <v>138.421715598743</v>
      </c>
    </row>
    <row r="389">
      <c r="A389" s="435" t="str">
        <f t="shared" ref="A389:C389" si="330">#REF!</f>
        <v>#REF!</v>
      </c>
      <c r="B389" s="485" t="str">
        <f t="shared" si="330"/>
        <v>#REF!</v>
      </c>
      <c r="C389" s="486" t="str">
        <f t="shared" si="330"/>
        <v>#REF!</v>
      </c>
      <c r="D389" s="486"/>
      <c r="E389" s="486"/>
      <c r="F389" s="528"/>
      <c r="G389" s="486"/>
      <c r="H389" s="486" t="s">
        <v>5917</v>
      </c>
      <c r="I389" s="491"/>
      <c r="J389" s="491"/>
      <c r="K389" s="491"/>
      <c r="L389" s="491"/>
      <c r="M389" s="486"/>
      <c r="N389" s="422"/>
      <c r="O389" s="422"/>
      <c r="P389" s="422"/>
      <c r="Q389" s="486"/>
      <c r="R389" s="491"/>
      <c r="S389" s="491"/>
      <c r="T389" s="491"/>
      <c r="U389" s="491"/>
      <c r="V389" s="491"/>
      <c r="W389" s="493"/>
      <c r="X389" s="486"/>
      <c r="Y389" s="442"/>
      <c r="Z389" s="491"/>
      <c r="AA389" s="524" t="str">
        <f>#REF!</f>
        <v>#REF!</v>
      </c>
      <c r="AB389" s="494"/>
      <c r="AC389" s="436"/>
      <c r="AD389" s="495"/>
      <c r="AE389" s="491"/>
      <c r="AF389" s="491"/>
      <c r="AG389" s="525" t="str">
        <f>#REF!</f>
        <v>#REF!</v>
      </c>
      <c r="AH389" s="491"/>
      <c r="AI389" s="446"/>
      <c r="AJ389" s="491"/>
      <c r="AK389" s="500"/>
      <c r="AL389" s="436"/>
      <c r="AM389" s="438"/>
      <c r="AN389" s="531"/>
      <c r="AO389" s="491"/>
      <c r="AP389" s="438"/>
      <c r="AQ389" s="438"/>
      <c r="AR389" s="438"/>
      <c r="AS389" s="438"/>
      <c r="AT389" s="438"/>
      <c r="AU389" s="438"/>
      <c r="AV389" s="438"/>
      <c r="AW389" s="450" t="str">
        <f>#REF!</f>
        <v>#REF!</v>
      </c>
    </row>
    <row r="390">
      <c r="A390" s="419" t="s">
        <v>1382</v>
      </c>
      <c r="B390" s="436" t="s">
        <v>1383</v>
      </c>
      <c r="C390" s="436"/>
      <c r="D390" s="436" t="s">
        <v>158</v>
      </c>
      <c r="E390" s="436"/>
      <c r="F390" s="436" t="s">
        <v>2404</v>
      </c>
      <c r="G390" s="436" t="s">
        <v>169</v>
      </c>
      <c r="H390" s="436" t="s">
        <v>160</v>
      </c>
      <c r="I390" s="436" t="s">
        <v>1963</v>
      </c>
      <c r="J390" s="436">
        <v>3311.31121</v>
      </c>
      <c r="K390" s="436"/>
      <c r="L390" s="438"/>
      <c r="M390" s="453"/>
      <c r="N390" s="422">
        <v>16.139</v>
      </c>
      <c r="O390" s="422">
        <v>11.937</v>
      </c>
      <c r="P390" s="422"/>
      <c r="Q390" s="436" t="s">
        <v>2183</v>
      </c>
      <c r="R390" s="436" t="s">
        <v>2184</v>
      </c>
      <c r="S390" s="436" t="s">
        <v>1964</v>
      </c>
      <c r="T390" s="419" t="s">
        <v>162</v>
      </c>
      <c r="U390" s="436" t="s">
        <v>2185</v>
      </c>
      <c r="V390" s="451"/>
      <c r="W390" s="458">
        <v>0.4677351412871982</v>
      </c>
      <c r="X390" s="438"/>
      <c r="Y390" s="442">
        <f>IF((W390/((J390/5780)^4))^0.5&gt;0,(W390/((J390/5780)^4))^0.5,"")</f>
        <v>2.083798294</v>
      </c>
      <c r="Z390" s="442"/>
      <c r="AA390" s="443"/>
      <c r="AB390" s="443"/>
      <c r="AC390" s="436" t="str">
        <f>IF(ISNUMBER(VLOOKUP(B390,'New Masses'!A:C,3,FALSE)),VLOOKUP(B390,'New Masses'!A:C,3,FALSE),"")</f>
        <v/>
      </c>
      <c r="AD390" s="440">
        <f>10^AE390</f>
        <v>0.00000000389045145</v>
      </c>
      <c r="AE390" s="436">
        <v>-8.41</v>
      </c>
      <c r="AF390" s="438"/>
      <c r="AG390" s="459">
        <f>10^AJ390</f>
        <v>0.2570395783</v>
      </c>
      <c r="AH390" s="436"/>
      <c r="AI390" s="446" t="str">
        <f>IF(ISNUMBER(VLOOKUP(B390,'New Masses'!A:C,2, FALSE)),VLOOKUP(B390,'New Masses'!A:C,2, FALSE),"")</f>
        <v/>
      </c>
      <c r="AJ390" s="436">
        <v>-0.59</v>
      </c>
      <c r="AK390" s="436"/>
      <c r="AL390" s="436">
        <v>-1.76</v>
      </c>
      <c r="AM390" s="438"/>
      <c r="AN390" s="436">
        <v>1.0</v>
      </c>
      <c r="AO390" s="438"/>
      <c r="AP390" s="438"/>
      <c r="AQ390" s="438"/>
      <c r="AR390" s="438"/>
      <c r="AS390" s="420" t="str">
        <f>VLOOKUP(B390,natta06!A:F,6,FALSE)</f>
        <v>#REF!</v>
      </c>
      <c r="AT390" s="438"/>
      <c r="AU390" s="438"/>
      <c r="AV390" s="438"/>
      <c r="AW390" s="450"/>
    </row>
    <row r="391">
      <c r="A391" s="435" t="str">
        <f t="shared" ref="A391:C391" si="331">#REF!</f>
        <v>#REF!</v>
      </c>
      <c r="B391" s="485" t="str">
        <f t="shared" si="331"/>
        <v>#REF!</v>
      </c>
      <c r="C391" s="486" t="str">
        <f t="shared" si="331"/>
        <v>#REF!</v>
      </c>
      <c r="D391" s="486"/>
      <c r="E391" s="486"/>
      <c r="F391" s="528"/>
      <c r="G391" s="486"/>
      <c r="H391" s="486" t="s">
        <v>5917</v>
      </c>
      <c r="I391" s="491"/>
      <c r="J391" s="491"/>
      <c r="K391" s="491"/>
      <c r="L391" s="491"/>
      <c r="M391" s="486"/>
      <c r="N391" s="422"/>
      <c r="O391" s="422"/>
      <c r="P391" s="422"/>
      <c r="Q391" s="486"/>
      <c r="R391" s="491"/>
      <c r="S391" s="491"/>
      <c r="T391" s="491"/>
      <c r="U391" s="491"/>
      <c r="V391" s="491"/>
      <c r="W391" s="493"/>
      <c r="X391" s="486"/>
      <c r="Y391" s="442"/>
      <c r="Z391" s="491"/>
      <c r="AA391" s="524" t="str">
        <f>#REF!</f>
        <v>#REF!</v>
      </c>
      <c r="AB391" s="494"/>
      <c r="AC391" s="436"/>
      <c r="AD391" s="495"/>
      <c r="AE391" s="491"/>
      <c r="AF391" s="491"/>
      <c r="AG391" s="525" t="str">
        <f>#REF!</f>
        <v>#REF!</v>
      </c>
      <c r="AH391" s="491"/>
      <c r="AI391" s="446"/>
      <c r="AJ391" s="491"/>
      <c r="AK391" s="500"/>
      <c r="AL391" s="436"/>
      <c r="AM391" s="438"/>
      <c r="AN391" s="531"/>
      <c r="AO391" s="491"/>
      <c r="AP391" s="438"/>
      <c r="AQ391" s="438"/>
      <c r="AR391" s="438"/>
      <c r="AS391" s="438"/>
      <c r="AT391" s="438"/>
      <c r="AU391" s="438"/>
      <c r="AV391" s="438"/>
      <c r="AW391" s="450" t="str">
        <f>#REF!</f>
        <v>#REF!</v>
      </c>
    </row>
    <row r="392">
      <c r="A392" s="419" t="s">
        <v>1460</v>
      </c>
      <c r="B392" s="436" t="s">
        <v>1461</v>
      </c>
      <c r="C392" s="436"/>
      <c r="D392" s="436" t="s">
        <v>158</v>
      </c>
      <c r="E392" s="436"/>
      <c r="F392" s="436" t="s">
        <v>2405</v>
      </c>
      <c r="G392" s="436" t="s">
        <v>159</v>
      </c>
      <c r="H392" s="436" t="s">
        <v>160</v>
      </c>
      <c r="I392" s="436" t="s">
        <v>1963</v>
      </c>
      <c r="J392" s="436">
        <v>4168.69383</v>
      </c>
      <c r="K392" s="436"/>
      <c r="L392" s="438"/>
      <c r="M392" s="453"/>
      <c r="N392" s="422">
        <v>12.783</v>
      </c>
      <c r="O392" s="422">
        <v>9.273</v>
      </c>
      <c r="P392" s="422"/>
      <c r="Q392" s="436" t="s">
        <v>2183</v>
      </c>
      <c r="R392" s="436" t="s">
        <v>2184</v>
      </c>
      <c r="S392" s="436" t="s">
        <v>1964</v>
      </c>
      <c r="T392" s="419" t="s">
        <v>162</v>
      </c>
      <c r="U392" s="436" t="s">
        <v>2185</v>
      </c>
      <c r="V392" s="451"/>
      <c r="W392" s="458"/>
      <c r="X392" s="438"/>
      <c r="Y392" s="442" t="str">
        <f>IF((W392/((J392/5780)^4))^0.5&gt;0,(W392/((J392/5780)^4))^0.5,"")</f>
        <v/>
      </c>
      <c r="Z392" s="442"/>
      <c r="AA392" s="443"/>
      <c r="AB392" s="443"/>
      <c r="AC392" s="436" t="str">
        <f>IF(ISNUMBER(VLOOKUP(B392,'New Masses'!A:C,3,FALSE)),VLOOKUP(B392,'New Masses'!A:C,3,FALSE),"")</f>
        <v/>
      </c>
      <c r="AD392" s="440">
        <f>10^AE392</f>
        <v>0.000000002630267992</v>
      </c>
      <c r="AE392" s="436">
        <v>-8.58</v>
      </c>
      <c r="AF392" s="438"/>
      <c r="AG392" s="459">
        <f>10^AJ392</f>
        <v>0.7244359601</v>
      </c>
      <c r="AH392" s="436"/>
      <c r="AI392" s="446" t="str">
        <f>IF(ISNUMBER(VLOOKUP(B392,'New Masses'!A:C,2, FALSE)),VLOOKUP(B392,'New Masses'!A:C,2, FALSE),"")</f>
        <v/>
      </c>
      <c r="AJ392" s="436">
        <v>-0.14</v>
      </c>
      <c r="AK392" s="436"/>
      <c r="AL392" s="436">
        <v>-1.66</v>
      </c>
      <c r="AM392" s="438"/>
      <c r="AN392" s="436">
        <v>1.0</v>
      </c>
      <c r="AO392" s="438"/>
      <c r="AP392" s="436"/>
      <c r="AQ392" s="438"/>
      <c r="AR392" s="438"/>
      <c r="AS392" s="420" t="str">
        <f>VLOOKUP(B392,natta06!A:F,6,FALSE)</f>
        <v>#REF!</v>
      </c>
      <c r="AT392" s="438" t="s">
        <v>5916</v>
      </c>
      <c r="AU392" s="438"/>
      <c r="AV392" s="438"/>
      <c r="AW392" s="450">
        <v>1357.40464232387</v>
      </c>
    </row>
    <row r="393">
      <c r="A393" s="435" t="str">
        <f t="shared" ref="A393:C393" si="332">#REF!</f>
        <v>#REF!</v>
      </c>
      <c r="B393" s="485" t="str">
        <f t="shared" si="332"/>
        <v>#REF!</v>
      </c>
      <c r="C393" s="486" t="str">
        <f t="shared" si="332"/>
        <v>#REF!</v>
      </c>
      <c r="D393" s="486"/>
      <c r="E393" s="486"/>
      <c r="F393" s="528"/>
      <c r="G393" s="486"/>
      <c r="H393" s="486" t="s">
        <v>5917</v>
      </c>
      <c r="I393" s="491"/>
      <c r="J393" s="491"/>
      <c r="K393" s="491"/>
      <c r="L393" s="491"/>
      <c r="M393" s="486"/>
      <c r="N393" s="422"/>
      <c r="O393" s="422"/>
      <c r="P393" s="422"/>
      <c r="Q393" s="486"/>
      <c r="R393" s="491"/>
      <c r="S393" s="491"/>
      <c r="T393" s="491"/>
      <c r="U393" s="491"/>
      <c r="V393" s="491"/>
      <c r="W393" s="493"/>
      <c r="X393" s="486"/>
      <c r="Y393" s="442"/>
      <c r="Z393" s="491"/>
      <c r="AA393" s="524" t="str">
        <f>#REF!</f>
        <v>#REF!</v>
      </c>
      <c r="AB393" s="494"/>
      <c r="AC393" s="436"/>
      <c r="AD393" s="495"/>
      <c r="AE393" s="491"/>
      <c r="AF393" s="491"/>
      <c r="AG393" s="525" t="str">
        <f>#REF!</f>
        <v>#REF!</v>
      </c>
      <c r="AH393" s="491"/>
      <c r="AI393" s="446"/>
      <c r="AJ393" s="491"/>
      <c r="AK393" s="500"/>
      <c r="AL393" s="436"/>
      <c r="AM393" s="438"/>
      <c r="AN393" s="531"/>
      <c r="AO393" s="491"/>
      <c r="AP393" s="438"/>
      <c r="AQ393" s="438"/>
      <c r="AR393" s="438"/>
      <c r="AS393" s="438"/>
      <c r="AT393" s="438"/>
      <c r="AU393" s="438"/>
      <c r="AV393" s="438"/>
      <c r="AW393" s="450" t="str">
        <f>#REF!</f>
        <v>#REF!</v>
      </c>
    </row>
    <row r="394">
      <c r="A394" s="419" t="s">
        <v>273</v>
      </c>
      <c r="B394" s="508" t="s">
        <v>661</v>
      </c>
      <c r="C394" s="421" t="s">
        <v>274</v>
      </c>
      <c r="D394" s="420" t="s">
        <v>158</v>
      </c>
      <c r="E394" s="420"/>
      <c r="F394" s="420" t="s">
        <v>2406</v>
      </c>
      <c r="G394" s="420" t="s">
        <v>169</v>
      </c>
      <c r="H394" s="420" t="s">
        <v>1309</v>
      </c>
      <c r="I394" s="420" t="s">
        <v>2409</v>
      </c>
      <c r="J394" s="436">
        <v>2700.0</v>
      </c>
      <c r="K394" s="419">
        <v>150.0</v>
      </c>
      <c r="L394" s="420" t="s">
        <v>353</v>
      </c>
      <c r="M394" s="422">
        <v>2.0</v>
      </c>
      <c r="N394" s="422">
        <v>12.57</v>
      </c>
      <c r="O394" s="422">
        <v>10.918</v>
      </c>
      <c r="P394" s="422">
        <v>18.3</v>
      </c>
      <c r="Q394" s="420" t="s">
        <v>2410</v>
      </c>
      <c r="R394" s="420" t="s">
        <v>2411</v>
      </c>
      <c r="S394" s="420" t="s">
        <v>2412</v>
      </c>
      <c r="T394" s="420" t="s">
        <v>596</v>
      </c>
      <c r="U394" s="420" t="s">
        <v>2413</v>
      </c>
      <c r="V394" s="440"/>
      <c r="W394" s="441">
        <v>0.07</v>
      </c>
      <c r="X394" s="454"/>
      <c r="Y394" s="442">
        <f t="shared" ref="Y394:Y399" si="333">IF((W394/((J394/5780)^4))^0.5&gt;0,(W394/((J394/5780)^4))^0.5,"")</f>
        <v>1.212487217</v>
      </c>
      <c r="Z394" s="442"/>
      <c r="AA394" s="443"/>
      <c r="AB394" s="443"/>
      <c r="AC394" s="469">
        <f>IF(ISNUMBER(VLOOKUP(B394,'New Masses'!A:C,3,FALSE)),VLOOKUP(B394,'New Masses'!A:C,3,FALSE),"")</f>
        <v>0.690178</v>
      </c>
      <c r="AD394" s="451">
        <f>10^AE394</f>
        <v>0.0000000002884031503</v>
      </c>
      <c r="AE394" s="436">
        <v>-9.54</v>
      </c>
      <c r="AF394" s="438"/>
      <c r="AG394" s="459">
        <v>0.06</v>
      </c>
      <c r="AH394" s="436"/>
      <c r="AI394" s="446">
        <f>IF(ISNUMBER(VLOOKUP(B394,'New Masses'!A:C,2, FALSE)),VLOOKUP(B394,'New Masses'!A:C,2, FALSE),"")</f>
        <v>0.058417</v>
      </c>
      <c r="AJ394" s="436"/>
      <c r="AK394" s="438"/>
      <c r="AL394" s="438"/>
      <c r="AM394" s="420" t="s">
        <v>2407</v>
      </c>
      <c r="AN394" s="505">
        <v>1.0</v>
      </c>
      <c r="AO394" s="506"/>
      <c r="AP394" s="505">
        <v>3.19</v>
      </c>
      <c r="AQ394" s="507"/>
      <c r="AR394" s="507" t="s">
        <v>2408</v>
      </c>
      <c r="AS394" s="507"/>
      <c r="AT394" s="507" t="s">
        <v>5916</v>
      </c>
      <c r="AU394" s="506"/>
      <c r="AV394" s="506"/>
      <c r="AW394" s="450">
        <v>137.0</v>
      </c>
    </row>
    <row r="395">
      <c r="A395" s="419" t="s">
        <v>273</v>
      </c>
      <c r="B395" s="504" t="s">
        <v>661</v>
      </c>
      <c r="C395" s="421" t="s">
        <v>274</v>
      </c>
      <c r="D395" s="420" t="s">
        <v>158</v>
      </c>
      <c r="E395" s="420"/>
      <c r="F395" s="420" t="s">
        <v>2406</v>
      </c>
      <c r="G395" s="420" t="s">
        <v>169</v>
      </c>
      <c r="H395" s="420" t="s">
        <v>269</v>
      </c>
      <c r="I395" s="420" t="s">
        <v>2199</v>
      </c>
      <c r="J395" s="436">
        <v>2600.0</v>
      </c>
      <c r="K395" s="421">
        <v>100.0</v>
      </c>
      <c r="L395" s="420" t="s">
        <v>232</v>
      </c>
      <c r="M395" s="429"/>
      <c r="N395" s="422">
        <v>12.57</v>
      </c>
      <c r="O395" s="422">
        <v>10.918</v>
      </c>
      <c r="P395" s="422">
        <v>18.3</v>
      </c>
      <c r="Q395" s="420" t="s">
        <v>2200</v>
      </c>
      <c r="R395" s="420" t="s">
        <v>2176</v>
      </c>
      <c r="S395" s="420" t="s">
        <v>2201</v>
      </c>
      <c r="T395" s="421" t="s">
        <v>162</v>
      </c>
      <c r="U395" s="420" t="s">
        <v>1965</v>
      </c>
      <c r="V395" s="440"/>
      <c r="W395" s="458">
        <v>0.0707945784384138</v>
      </c>
      <c r="X395" s="438"/>
      <c r="Y395" s="442">
        <f t="shared" si="333"/>
        <v>1.314949217</v>
      </c>
      <c r="Z395" s="442"/>
      <c r="AA395" s="443"/>
      <c r="AB395" s="443"/>
      <c r="AC395" s="469">
        <f>IF(ISNUMBER(VLOOKUP(B395,'New Masses'!A:C,3,FALSE)),VLOOKUP(B395,'New Masses'!A:C,3,FALSE),"")</f>
        <v>0.690178</v>
      </c>
      <c r="AD395" s="451">
        <f>(10^-9.8)</f>
        <v>0.0000000001584893192</v>
      </c>
      <c r="AE395" s="436">
        <f t="shared" ref="AE395:AE396" si="334">LOG10(AD395)</f>
        <v>-9.8</v>
      </c>
      <c r="AF395" s="438"/>
      <c r="AG395" s="459">
        <f>0.0009543*40</f>
        <v>0.038172</v>
      </c>
      <c r="AH395" s="420"/>
      <c r="AI395" s="446">
        <f>IF(ISNUMBER(VLOOKUP(B395,'New Masses'!A:C,2, FALSE)),VLOOKUP(B395,'New Masses'!A:C,2, FALSE),"")</f>
        <v>0.058417</v>
      </c>
      <c r="AJ395" s="420"/>
      <c r="AK395" s="438"/>
      <c r="AL395" s="438"/>
      <c r="AM395" s="420" t="s">
        <v>2407</v>
      </c>
      <c r="AN395" s="505">
        <v>1.0</v>
      </c>
      <c r="AO395" s="506"/>
      <c r="AP395" s="505">
        <v>3.19</v>
      </c>
      <c r="AQ395" s="506"/>
      <c r="AR395" s="507" t="s">
        <v>2408</v>
      </c>
      <c r="AS395" s="507"/>
      <c r="AT395" s="506"/>
      <c r="AU395" s="506"/>
      <c r="AV395" s="506"/>
      <c r="AW395" s="450">
        <v>137.0</v>
      </c>
    </row>
    <row r="396">
      <c r="A396" s="419" t="s">
        <v>273</v>
      </c>
      <c r="B396" s="504" t="s">
        <v>661</v>
      </c>
      <c r="C396" s="421" t="s">
        <v>274</v>
      </c>
      <c r="D396" s="420" t="s">
        <v>158</v>
      </c>
      <c r="E396" s="420"/>
      <c r="F396" s="420" t="s">
        <v>2406</v>
      </c>
      <c r="G396" s="420" t="s">
        <v>169</v>
      </c>
      <c r="H396" s="420" t="s">
        <v>269</v>
      </c>
      <c r="I396" s="420" t="s">
        <v>2199</v>
      </c>
      <c r="J396" s="436">
        <v>2700.0</v>
      </c>
      <c r="K396" s="421">
        <v>100.0</v>
      </c>
      <c r="L396" s="420" t="s">
        <v>353</v>
      </c>
      <c r="M396" s="429"/>
      <c r="N396" s="422">
        <v>12.57</v>
      </c>
      <c r="O396" s="422">
        <v>10.918</v>
      </c>
      <c r="P396" s="422">
        <v>18.3</v>
      </c>
      <c r="Q396" s="420" t="s">
        <v>2200</v>
      </c>
      <c r="R396" s="420" t="s">
        <v>2176</v>
      </c>
      <c r="S396" s="420" t="s">
        <v>2201</v>
      </c>
      <c r="T396" s="420" t="s">
        <v>596</v>
      </c>
      <c r="U396" s="420" t="s">
        <v>597</v>
      </c>
      <c r="V396" s="440"/>
      <c r="W396" s="458">
        <v>0.0707945784384138</v>
      </c>
      <c r="X396" s="438"/>
      <c r="Y396" s="442">
        <f t="shared" si="333"/>
        <v>1.219349343</v>
      </c>
      <c r="Z396" s="442"/>
      <c r="AA396" s="443"/>
      <c r="AB396" s="443"/>
      <c r="AC396" s="469">
        <f>IF(ISNUMBER(VLOOKUP(B396,'New Masses'!A:C,3,FALSE)),VLOOKUP(B396,'New Masses'!A:C,3,FALSE),"")</f>
        <v>0.690178</v>
      </c>
      <c r="AD396" s="451">
        <f>(10^-10.8)</f>
        <v>0</v>
      </c>
      <c r="AE396" s="436">
        <f t="shared" si="334"/>
        <v>-10.8</v>
      </c>
      <c r="AF396" s="438"/>
      <c r="AG396" s="459">
        <f>0.0009543*60</f>
        <v>0.057258</v>
      </c>
      <c r="AH396" s="420"/>
      <c r="AI396" s="446">
        <f>IF(ISNUMBER(VLOOKUP(B396,'New Masses'!A:C,2, FALSE)),VLOOKUP(B396,'New Masses'!A:C,2, FALSE),"")</f>
        <v>0.058417</v>
      </c>
      <c r="AJ396" s="420"/>
      <c r="AK396" s="438"/>
      <c r="AL396" s="438"/>
      <c r="AM396" s="420" t="s">
        <v>2407</v>
      </c>
      <c r="AN396" s="505">
        <v>1.0</v>
      </c>
      <c r="AO396" s="506"/>
      <c r="AP396" s="505">
        <v>3.19</v>
      </c>
      <c r="AQ396" s="506"/>
      <c r="AR396" s="507" t="s">
        <v>2408</v>
      </c>
      <c r="AS396" s="507"/>
      <c r="AT396" s="506"/>
      <c r="AU396" s="506"/>
      <c r="AV396" s="506"/>
      <c r="AW396" s="450">
        <v>137.0</v>
      </c>
    </row>
    <row r="397">
      <c r="A397" s="419" t="s">
        <v>273</v>
      </c>
      <c r="B397" s="509" t="s">
        <v>274</v>
      </c>
      <c r="C397" s="421" t="s">
        <v>661</v>
      </c>
      <c r="D397" s="420" t="s">
        <v>158</v>
      </c>
      <c r="E397" s="420"/>
      <c r="F397" s="419" t="s">
        <v>2406</v>
      </c>
      <c r="G397" s="436" t="s">
        <v>159</v>
      </c>
      <c r="H397" s="420" t="s">
        <v>201</v>
      </c>
      <c r="I397" s="438" t="s">
        <v>2207</v>
      </c>
      <c r="J397" s="436">
        <v>3050.0</v>
      </c>
      <c r="K397" s="438"/>
      <c r="L397" s="420" t="s">
        <v>264</v>
      </c>
      <c r="M397" s="429"/>
      <c r="N397" s="422">
        <v>12.57</v>
      </c>
      <c r="O397" s="422">
        <v>10.918</v>
      </c>
      <c r="P397" s="422">
        <v>18.3</v>
      </c>
      <c r="Q397" s="438" t="s">
        <v>2208</v>
      </c>
      <c r="R397" s="438" t="s">
        <v>2209</v>
      </c>
      <c r="S397" s="438" t="s">
        <v>2229</v>
      </c>
      <c r="T397" s="454" t="s">
        <v>162</v>
      </c>
      <c r="U397" s="438" t="s">
        <v>2210</v>
      </c>
      <c r="V397" s="423">
        <v>4.52</v>
      </c>
      <c r="W397" s="458"/>
      <c r="X397" s="438"/>
      <c r="Y397" s="442" t="str">
        <f t="shared" si="333"/>
        <v/>
      </c>
      <c r="Z397" s="442"/>
      <c r="AA397" s="443"/>
      <c r="AB397" s="443"/>
      <c r="AC397" s="436" t="str">
        <f>IF(ISNUMBER(VLOOKUP(B397,'New Masses'!A:C,3,FALSE)),VLOOKUP(B397,'New Masses'!A:C,3,FALSE),"")</f>
        <v/>
      </c>
      <c r="AD397" s="423">
        <f t="shared" ref="AD397:AD399" si="335">10^AE397</f>
        <v>0</v>
      </c>
      <c r="AE397" s="420">
        <v>-10.6</v>
      </c>
      <c r="AF397" s="438"/>
      <c r="AG397" s="459">
        <v>0.12</v>
      </c>
      <c r="AH397" s="438"/>
      <c r="AI397" s="446" t="str">
        <f>IF(ISNUMBER(VLOOKUP(B397,'New Masses'!A:C,2, FALSE)),VLOOKUP(B397,'New Masses'!A:C,2, FALSE),"")</f>
        <v/>
      </c>
      <c r="AJ397" s="438"/>
      <c r="AK397" s="438"/>
      <c r="AL397" s="438"/>
      <c r="AM397" s="438"/>
      <c r="AN397" s="436">
        <v>1.0</v>
      </c>
      <c r="AO397" s="438"/>
      <c r="AP397" s="438"/>
      <c r="AQ397" s="436"/>
      <c r="AR397" s="438"/>
      <c r="AS397" s="438"/>
      <c r="AT397" s="438" t="s">
        <v>5916</v>
      </c>
      <c r="AU397" s="438" t="s">
        <v>276</v>
      </c>
      <c r="AV397" s="438"/>
      <c r="AW397" s="450">
        <v>137.0</v>
      </c>
    </row>
    <row r="398">
      <c r="A398" s="419" t="s">
        <v>273</v>
      </c>
      <c r="B398" s="510" t="s">
        <v>274</v>
      </c>
      <c r="C398" s="421" t="s">
        <v>661</v>
      </c>
      <c r="D398" s="420" t="s">
        <v>158</v>
      </c>
      <c r="E398" s="420"/>
      <c r="F398" s="419" t="s">
        <v>2406</v>
      </c>
      <c r="G398" s="436" t="s">
        <v>159</v>
      </c>
      <c r="H398" s="420" t="s">
        <v>201</v>
      </c>
      <c r="I398" s="438" t="s">
        <v>2207</v>
      </c>
      <c r="J398" s="436">
        <v>3050.0</v>
      </c>
      <c r="K398" s="438"/>
      <c r="L398" s="420" t="s">
        <v>264</v>
      </c>
      <c r="M398" s="429"/>
      <c r="N398" s="422">
        <v>12.57</v>
      </c>
      <c r="O398" s="422">
        <v>10.918</v>
      </c>
      <c r="P398" s="422">
        <v>18.3</v>
      </c>
      <c r="Q398" s="438" t="s">
        <v>2208</v>
      </c>
      <c r="R398" s="438" t="s">
        <v>2209</v>
      </c>
      <c r="S398" s="438" t="s">
        <v>2229</v>
      </c>
      <c r="T398" s="454" t="s">
        <v>162</v>
      </c>
      <c r="U398" s="438" t="s">
        <v>2210</v>
      </c>
      <c r="V398" s="423">
        <v>4.52</v>
      </c>
      <c r="W398" s="458"/>
      <c r="X398" s="438"/>
      <c r="Y398" s="442" t="str">
        <f t="shared" si="333"/>
        <v/>
      </c>
      <c r="Z398" s="442"/>
      <c r="AA398" s="443"/>
      <c r="AB398" s="443"/>
      <c r="AC398" s="436" t="str">
        <f>IF(ISNUMBER(VLOOKUP(B398,'New Masses'!A:C,3,FALSE)),VLOOKUP(B398,'New Masses'!A:C,3,FALSE),"")</f>
        <v/>
      </c>
      <c r="AD398" s="423">
        <f t="shared" si="335"/>
        <v>0</v>
      </c>
      <c r="AE398" s="438">
        <v>-10.8</v>
      </c>
      <c r="AF398" s="438"/>
      <c r="AG398" s="459">
        <v>0.12</v>
      </c>
      <c r="AH398" s="438"/>
      <c r="AI398" s="446" t="str">
        <f>IF(ISNUMBER(VLOOKUP(B398,'New Masses'!A:C,2, FALSE)),VLOOKUP(B398,'New Masses'!A:C,2, FALSE),"")</f>
        <v/>
      </c>
      <c r="AJ398" s="438"/>
      <c r="AK398" s="438"/>
      <c r="AL398" s="438"/>
      <c r="AM398" s="438"/>
      <c r="AN398" s="436">
        <v>1.0</v>
      </c>
      <c r="AO398" s="438"/>
      <c r="AP398" s="438"/>
      <c r="AQ398" s="436"/>
      <c r="AR398" s="438"/>
      <c r="AS398" s="438"/>
      <c r="AT398" s="438" t="s">
        <v>5916</v>
      </c>
      <c r="AU398" s="438" t="s">
        <v>275</v>
      </c>
      <c r="AV398" s="438"/>
      <c r="AW398" s="450">
        <v>137.0</v>
      </c>
    </row>
    <row r="399">
      <c r="A399" s="419" t="s">
        <v>273</v>
      </c>
      <c r="B399" s="504" t="s">
        <v>661</v>
      </c>
      <c r="C399" s="421" t="s">
        <v>274</v>
      </c>
      <c r="D399" s="436" t="s">
        <v>158</v>
      </c>
      <c r="E399" s="436"/>
      <c r="F399" s="436" t="s">
        <v>2406</v>
      </c>
      <c r="G399" s="436" t="s">
        <v>169</v>
      </c>
      <c r="H399" s="436" t="s">
        <v>160</v>
      </c>
      <c r="I399" s="436" t="s">
        <v>1963</v>
      </c>
      <c r="J399" s="436">
        <v>2754.2287</v>
      </c>
      <c r="K399" s="436"/>
      <c r="L399" s="438"/>
      <c r="M399" s="453"/>
      <c r="N399" s="422">
        <v>12.57</v>
      </c>
      <c r="O399" s="422">
        <v>10.918</v>
      </c>
      <c r="P399" s="422">
        <v>18.3</v>
      </c>
      <c r="Q399" s="436" t="s">
        <v>2183</v>
      </c>
      <c r="R399" s="436" t="s">
        <v>2184</v>
      </c>
      <c r="S399" s="436" t="s">
        <v>1964</v>
      </c>
      <c r="T399" s="419" t="s">
        <v>162</v>
      </c>
      <c r="U399" s="436" t="s">
        <v>2185</v>
      </c>
      <c r="V399" s="451"/>
      <c r="W399" s="458">
        <v>0.06025595860743578</v>
      </c>
      <c r="X399" s="438"/>
      <c r="Y399" s="442">
        <f t="shared" si="333"/>
        <v>1.081074635</v>
      </c>
      <c r="Z399" s="442"/>
      <c r="AA399" s="443"/>
      <c r="AB399" s="443"/>
      <c r="AC399" s="469">
        <f>IF(ISNUMBER(VLOOKUP(B399,'New Masses'!A:C,3,FALSE)),VLOOKUP(B399,'New Masses'!A:C,3,FALSE),"")</f>
        <v>0.690178</v>
      </c>
      <c r="AD399" s="440">
        <f t="shared" si="335"/>
        <v>0</v>
      </c>
      <c r="AE399" s="436">
        <v>-10.5</v>
      </c>
      <c r="AF399" s="438"/>
      <c r="AG399" s="459">
        <f>10^AJ399</f>
        <v>0.0758577575</v>
      </c>
      <c r="AH399" s="436"/>
      <c r="AI399" s="446">
        <f>IF(ISNUMBER(VLOOKUP(B399,'New Masses'!A:C,2, FALSE)),VLOOKUP(B399,'New Masses'!A:C,2, FALSE),"")</f>
        <v>0.058417</v>
      </c>
      <c r="AJ399" s="436">
        <v>-1.12</v>
      </c>
      <c r="AK399" s="436"/>
      <c r="AL399" s="436">
        <v>-4.09</v>
      </c>
      <c r="AM399" s="438"/>
      <c r="AN399" s="436">
        <v>1.0</v>
      </c>
      <c r="AO399" s="438"/>
      <c r="AP399" s="438"/>
      <c r="AQ399" s="438"/>
      <c r="AR399" s="438"/>
      <c r="AS399" s="420" t="str">
        <f>VLOOKUP(B399,natta06!A:F,6,FALSE)</f>
        <v>#REF!</v>
      </c>
      <c r="AT399" s="438"/>
      <c r="AU399" s="438"/>
      <c r="AV399" s="438"/>
      <c r="AW399" s="450">
        <v>137.0</v>
      </c>
    </row>
    <row r="400">
      <c r="A400" s="435" t="str">
        <f t="shared" ref="A400:C400" si="336">#REF!</f>
        <v>#REF!</v>
      </c>
      <c r="B400" s="485" t="str">
        <f t="shared" si="336"/>
        <v>#REF!</v>
      </c>
      <c r="C400" s="486" t="str">
        <f t="shared" si="336"/>
        <v>#REF!</v>
      </c>
      <c r="D400" s="486"/>
      <c r="E400" s="486"/>
      <c r="F400" s="528"/>
      <c r="G400" s="486"/>
      <c r="H400" s="486" t="s">
        <v>5917</v>
      </c>
      <c r="I400" s="491"/>
      <c r="J400" s="491"/>
      <c r="K400" s="491"/>
      <c r="L400" s="491"/>
      <c r="M400" s="486"/>
      <c r="N400" s="422"/>
      <c r="O400" s="422"/>
      <c r="P400" s="422"/>
      <c r="Q400" s="486"/>
      <c r="R400" s="491"/>
      <c r="S400" s="491"/>
      <c r="T400" s="491"/>
      <c r="U400" s="491"/>
      <c r="V400" s="491"/>
      <c r="W400" s="493"/>
      <c r="X400" s="486"/>
      <c r="Y400" s="442"/>
      <c r="Z400" s="491"/>
      <c r="AA400" s="524" t="str">
        <f t="shared" ref="AA400:AA405" si="338">#REF!</f>
        <v>#REF!</v>
      </c>
      <c r="AB400" s="494"/>
      <c r="AC400" s="436"/>
      <c r="AD400" s="495"/>
      <c r="AE400" s="491"/>
      <c r="AF400" s="491"/>
      <c r="AG400" s="525" t="str">
        <f t="shared" ref="AG400:AG405" si="339">#REF!</f>
        <v>#REF!</v>
      </c>
      <c r="AH400" s="491"/>
      <c r="AI400" s="446"/>
      <c r="AJ400" s="491"/>
      <c r="AK400" s="500"/>
      <c r="AL400" s="436"/>
      <c r="AM400" s="438"/>
      <c r="AN400" s="531"/>
      <c r="AO400" s="491"/>
      <c r="AP400" s="438"/>
      <c r="AQ400" s="438"/>
      <c r="AR400" s="438"/>
      <c r="AS400" s="438"/>
      <c r="AT400" s="438"/>
      <c r="AU400" s="438"/>
      <c r="AV400" s="438"/>
      <c r="AW400" s="450" t="str">
        <f t="shared" ref="AW400:AW405" si="340">#REF!</f>
        <v>#REF!</v>
      </c>
    </row>
    <row r="401">
      <c r="A401" s="435" t="str">
        <f t="shared" ref="A401:C401" si="337">#REF!</f>
        <v>#REF!</v>
      </c>
      <c r="B401" s="485" t="str">
        <f t="shared" si="337"/>
        <v>#REF!</v>
      </c>
      <c r="C401" s="486" t="str">
        <f t="shared" si="337"/>
        <v>#REF!</v>
      </c>
      <c r="D401" s="486"/>
      <c r="E401" s="486"/>
      <c r="F401" s="528"/>
      <c r="G401" s="486"/>
      <c r="H401" s="486" t="s">
        <v>5917</v>
      </c>
      <c r="I401" s="491"/>
      <c r="J401" s="491"/>
      <c r="K401" s="491"/>
      <c r="L401" s="491"/>
      <c r="M401" s="486"/>
      <c r="N401" s="422"/>
      <c r="O401" s="422"/>
      <c r="P401" s="422"/>
      <c r="Q401" s="486"/>
      <c r="R401" s="491"/>
      <c r="S401" s="491"/>
      <c r="T401" s="491"/>
      <c r="U401" s="491"/>
      <c r="V401" s="491"/>
      <c r="W401" s="493"/>
      <c r="X401" s="486"/>
      <c r="Y401" s="442"/>
      <c r="Z401" s="491"/>
      <c r="AA401" s="524" t="str">
        <f t="shared" si="338"/>
        <v>#REF!</v>
      </c>
      <c r="AB401" s="494"/>
      <c r="AC401" s="436"/>
      <c r="AD401" s="495"/>
      <c r="AE401" s="491"/>
      <c r="AF401" s="491"/>
      <c r="AG401" s="525" t="str">
        <f t="shared" si="339"/>
        <v>#REF!</v>
      </c>
      <c r="AH401" s="491"/>
      <c r="AI401" s="446"/>
      <c r="AJ401" s="491"/>
      <c r="AK401" s="500"/>
      <c r="AL401" s="436"/>
      <c r="AM401" s="438"/>
      <c r="AN401" s="531"/>
      <c r="AO401" s="491"/>
      <c r="AP401" s="438"/>
      <c r="AQ401" s="438"/>
      <c r="AR401" s="438"/>
      <c r="AS401" s="438"/>
      <c r="AT401" s="438"/>
      <c r="AU401" s="438"/>
      <c r="AV401" s="438"/>
      <c r="AW401" s="450" t="str">
        <f t="shared" si="340"/>
        <v>#REF!</v>
      </c>
    </row>
    <row r="402">
      <c r="A402" s="435" t="str">
        <f t="shared" ref="A402:C402" si="341">#REF!</f>
        <v>#REF!</v>
      </c>
      <c r="B402" s="485" t="str">
        <f t="shared" si="341"/>
        <v>#REF!</v>
      </c>
      <c r="C402" s="486" t="str">
        <f t="shared" si="341"/>
        <v>#REF!</v>
      </c>
      <c r="D402" s="486"/>
      <c r="E402" s="486"/>
      <c r="F402" s="528"/>
      <c r="G402" s="486"/>
      <c r="H402" s="486" t="s">
        <v>5917</v>
      </c>
      <c r="I402" s="491"/>
      <c r="J402" s="491"/>
      <c r="K402" s="491"/>
      <c r="L402" s="491"/>
      <c r="M402" s="486"/>
      <c r="N402" s="422"/>
      <c r="O402" s="422"/>
      <c r="P402" s="422"/>
      <c r="Q402" s="486"/>
      <c r="R402" s="491"/>
      <c r="S402" s="491"/>
      <c r="T402" s="491"/>
      <c r="U402" s="491"/>
      <c r="V402" s="491"/>
      <c r="W402" s="493"/>
      <c r="X402" s="486"/>
      <c r="Y402" s="442"/>
      <c r="Z402" s="491"/>
      <c r="AA402" s="524" t="str">
        <f t="shared" si="338"/>
        <v>#REF!</v>
      </c>
      <c r="AB402" s="494"/>
      <c r="AC402" s="436"/>
      <c r="AD402" s="495"/>
      <c r="AE402" s="491"/>
      <c r="AF402" s="491"/>
      <c r="AG402" s="525" t="str">
        <f t="shared" si="339"/>
        <v>#REF!</v>
      </c>
      <c r="AH402" s="491"/>
      <c r="AI402" s="446"/>
      <c r="AJ402" s="491"/>
      <c r="AK402" s="500"/>
      <c r="AL402" s="436"/>
      <c r="AM402" s="438"/>
      <c r="AN402" s="531"/>
      <c r="AO402" s="491"/>
      <c r="AP402" s="438"/>
      <c r="AQ402" s="438"/>
      <c r="AR402" s="438"/>
      <c r="AS402" s="438"/>
      <c r="AT402" s="438"/>
      <c r="AU402" s="438"/>
      <c r="AV402" s="438"/>
      <c r="AW402" s="450" t="str">
        <f t="shared" si="340"/>
        <v>#REF!</v>
      </c>
    </row>
    <row r="403">
      <c r="A403" s="435" t="str">
        <f t="shared" ref="A403:C403" si="342">#REF!</f>
        <v>#REF!</v>
      </c>
      <c r="B403" s="485" t="str">
        <f t="shared" si="342"/>
        <v>#REF!</v>
      </c>
      <c r="C403" s="486" t="str">
        <f t="shared" si="342"/>
        <v>#REF!</v>
      </c>
      <c r="D403" s="486"/>
      <c r="E403" s="486"/>
      <c r="F403" s="528"/>
      <c r="G403" s="486"/>
      <c r="H403" s="486" t="s">
        <v>5917</v>
      </c>
      <c r="I403" s="491"/>
      <c r="J403" s="491"/>
      <c r="K403" s="491"/>
      <c r="L403" s="491"/>
      <c r="M403" s="486"/>
      <c r="N403" s="422"/>
      <c r="O403" s="422"/>
      <c r="P403" s="422"/>
      <c r="Q403" s="486"/>
      <c r="R403" s="491"/>
      <c r="S403" s="491"/>
      <c r="T403" s="491"/>
      <c r="U403" s="491"/>
      <c r="V403" s="491"/>
      <c r="W403" s="493"/>
      <c r="X403" s="486"/>
      <c r="Y403" s="442"/>
      <c r="Z403" s="491"/>
      <c r="AA403" s="524" t="str">
        <f t="shared" si="338"/>
        <v>#REF!</v>
      </c>
      <c r="AB403" s="494"/>
      <c r="AC403" s="436"/>
      <c r="AD403" s="495"/>
      <c r="AE403" s="491"/>
      <c r="AF403" s="491"/>
      <c r="AG403" s="525" t="str">
        <f t="shared" si="339"/>
        <v>#REF!</v>
      </c>
      <c r="AH403" s="491"/>
      <c r="AI403" s="446"/>
      <c r="AJ403" s="491"/>
      <c r="AK403" s="500"/>
      <c r="AL403" s="436"/>
      <c r="AM403" s="438"/>
      <c r="AN403" s="531"/>
      <c r="AO403" s="491"/>
      <c r="AP403" s="438"/>
      <c r="AQ403" s="438"/>
      <c r="AR403" s="438"/>
      <c r="AS403" s="438"/>
      <c r="AT403" s="438"/>
      <c r="AU403" s="438"/>
      <c r="AV403" s="438"/>
      <c r="AW403" s="450" t="str">
        <f t="shared" si="340"/>
        <v>#REF!</v>
      </c>
    </row>
    <row r="404">
      <c r="A404" s="435" t="str">
        <f t="shared" ref="A404:C404" si="343">#REF!</f>
        <v>#REF!</v>
      </c>
      <c r="B404" s="485" t="str">
        <f t="shared" si="343"/>
        <v>#REF!</v>
      </c>
      <c r="C404" s="486" t="str">
        <f t="shared" si="343"/>
        <v>#REF!</v>
      </c>
      <c r="D404" s="486"/>
      <c r="E404" s="486"/>
      <c r="F404" s="528"/>
      <c r="G404" s="486"/>
      <c r="H404" s="486" t="s">
        <v>5917</v>
      </c>
      <c r="I404" s="491"/>
      <c r="J404" s="491"/>
      <c r="K404" s="491"/>
      <c r="L404" s="491"/>
      <c r="M404" s="486"/>
      <c r="N404" s="422"/>
      <c r="O404" s="422"/>
      <c r="P404" s="422"/>
      <c r="Q404" s="486"/>
      <c r="R404" s="491"/>
      <c r="S404" s="491"/>
      <c r="T404" s="491"/>
      <c r="U404" s="491"/>
      <c r="V404" s="491"/>
      <c r="W404" s="493"/>
      <c r="X404" s="486"/>
      <c r="Y404" s="442"/>
      <c r="Z404" s="491"/>
      <c r="AA404" s="524" t="str">
        <f t="shared" si="338"/>
        <v>#REF!</v>
      </c>
      <c r="AB404" s="494"/>
      <c r="AC404" s="436"/>
      <c r="AD404" s="495"/>
      <c r="AE404" s="491"/>
      <c r="AF404" s="491"/>
      <c r="AG404" s="525" t="str">
        <f t="shared" si="339"/>
        <v>#REF!</v>
      </c>
      <c r="AH404" s="491"/>
      <c r="AI404" s="446"/>
      <c r="AJ404" s="491"/>
      <c r="AK404" s="500"/>
      <c r="AL404" s="436"/>
      <c r="AM404" s="438"/>
      <c r="AN404" s="531"/>
      <c r="AO404" s="491"/>
      <c r="AP404" s="438"/>
      <c r="AQ404" s="438"/>
      <c r="AR404" s="438"/>
      <c r="AS404" s="438"/>
      <c r="AT404" s="438"/>
      <c r="AU404" s="438"/>
      <c r="AV404" s="438"/>
      <c r="AW404" s="450" t="str">
        <f t="shared" si="340"/>
        <v>#REF!</v>
      </c>
    </row>
    <row r="405">
      <c r="A405" s="435" t="str">
        <f t="shared" ref="A405:C405" si="344">#REF!</f>
        <v>#REF!</v>
      </c>
      <c r="B405" s="485" t="str">
        <f t="shared" si="344"/>
        <v>#REF!</v>
      </c>
      <c r="C405" s="486" t="str">
        <f t="shared" si="344"/>
        <v>#REF!</v>
      </c>
      <c r="D405" s="486"/>
      <c r="E405" s="486"/>
      <c r="F405" s="528"/>
      <c r="G405" s="486"/>
      <c r="H405" s="486" t="s">
        <v>5917</v>
      </c>
      <c r="I405" s="491"/>
      <c r="J405" s="491"/>
      <c r="K405" s="491"/>
      <c r="L405" s="491"/>
      <c r="M405" s="486"/>
      <c r="N405" s="422"/>
      <c r="O405" s="422"/>
      <c r="P405" s="422"/>
      <c r="Q405" s="486"/>
      <c r="R405" s="491"/>
      <c r="S405" s="491"/>
      <c r="T405" s="491"/>
      <c r="U405" s="491"/>
      <c r="V405" s="491"/>
      <c r="W405" s="493"/>
      <c r="X405" s="486"/>
      <c r="Y405" s="442"/>
      <c r="Z405" s="491"/>
      <c r="AA405" s="524" t="str">
        <f t="shared" si="338"/>
        <v>#REF!</v>
      </c>
      <c r="AB405" s="494"/>
      <c r="AC405" s="436"/>
      <c r="AD405" s="495"/>
      <c r="AE405" s="491"/>
      <c r="AF405" s="491"/>
      <c r="AG405" s="525" t="str">
        <f t="shared" si="339"/>
        <v>#REF!</v>
      </c>
      <c r="AH405" s="491"/>
      <c r="AI405" s="446"/>
      <c r="AJ405" s="491"/>
      <c r="AK405" s="500"/>
      <c r="AL405" s="436"/>
      <c r="AM405" s="438"/>
      <c r="AN405" s="531"/>
      <c r="AO405" s="491"/>
      <c r="AP405" s="438"/>
      <c r="AQ405" s="438"/>
      <c r="AR405" s="438"/>
      <c r="AS405" s="438"/>
      <c r="AT405" s="438"/>
      <c r="AU405" s="438"/>
      <c r="AV405" s="438"/>
      <c r="AW405" s="450" t="str">
        <f t="shared" si="340"/>
        <v>#REF!</v>
      </c>
    </row>
    <row r="406">
      <c r="A406" s="419" t="s">
        <v>154</v>
      </c>
      <c r="B406" s="419" t="s">
        <v>155</v>
      </c>
      <c r="C406" s="420"/>
      <c r="D406" s="420" t="s">
        <v>158</v>
      </c>
      <c r="E406" s="420"/>
      <c r="F406" s="420" t="s">
        <v>2414</v>
      </c>
      <c r="G406" s="420" t="s">
        <v>159</v>
      </c>
      <c r="H406" s="420" t="s">
        <v>160</v>
      </c>
      <c r="I406" s="420" t="s">
        <v>1963</v>
      </c>
      <c r="J406" s="436">
        <v>2290.86765</v>
      </c>
      <c r="K406" s="436"/>
      <c r="L406" s="420"/>
      <c r="M406" s="429"/>
      <c r="N406" s="422">
        <v>18.47</v>
      </c>
      <c r="O406" s="422">
        <v>11.216</v>
      </c>
      <c r="P406" s="422"/>
      <c r="Q406" s="420" t="s">
        <v>2183</v>
      </c>
      <c r="R406" s="438"/>
      <c r="S406" s="438" t="s">
        <v>1964</v>
      </c>
      <c r="T406" s="421" t="s">
        <v>162</v>
      </c>
      <c r="U406" s="420" t="s">
        <v>2185</v>
      </c>
      <c r="V406" s="451"/>
      <c r="W406" s="458"/>
      <c r="X406" s="438"/>
      <c r="Y406" s="442" t="str">
        <f>IF((W406/((J406/5780)^4))^0.5&gt;0,(W406/((J406/5780)^4))^0.5,"")</f>
        <v/>
      </c>
      <c r="Z406" s="442"/>
      <c r="AA406" s="443"/>
      <c r="AB406" s="443"/>
      <c r="AC406" s="436" t="str">
        <f>IF(ISNUMBER(VLOOKUP(B406,'New Masses'!A:C,3,FALSE)),VLOOKUP(B406,'New Masses'!A:C,3,FALSE),"")</f>
        <v/>
      </c>
      <c r="AD406" s="440">
        <f>10^AE406</f>
        <v>0.000000000758577575</v>
      </c>
      <c r="AE406" s="436">
        <v>-9.12</v>
      </c>
      <c r="AF406" s="438"/>
      <c r="AG406" s="459">
        <f>10^AJ406</f>
        <v>0.005888436554</v>
      </c>
      <c r="AH406" s="438"/>
      <c r="AI406" s="446" t="str">
        <f>IF(ISNUMBER(VLOOKUP(B406,'New Masses'!A:C,2, FALSE)),VLOOKUP(B406,'New Masses'!A:C,2, FALSE),"")</f>
        <v/>
      </c>
      <c r="AJ406" s="436">
        <v>-2.23</v>
      </c>
      <c r="AK406" s="436"/>
      <c r="AL406" s="511">
        <v>-3.06</v>
      </c>
      <c r="AM406" s="436"/>
      <c r="AN406" s="436">
        <v>1.0</v>
      </c>
      <c r="AO406" s="421" t="s">
        <v>5918</v>
      </c>
      <c r="AP406" s="436">
        <v>3.5</v>
      </c>
      <c r="AQ406" s="438"/>
      <c r="AR406" s="420" t="s">
        <v>664</v>
      </c>
      <c r="AS406" s="420" t="str">
        <f>VLOOKUP(B406,natta06!A:F,6,FALSE)</f>
        <v>#REF!</v>
      </c>
      <c r="AT406" s="438" t="s">
        <v>5916</v>
      </c>
      <c r="AU406" s="438"/>
      <c r="AV406" s="438"/>
      <c r="AW406" s="450"/>
    </row>
    <row r="407">
      <c r="A407" s="435" t="str">
        <f t="shared" ref="A407:C407" si="345">#REF!</f>
        <v>#REF!</v>
      </c>
      <c r="B407" s="485" t="str">
        <f t="shared" si="345"/>
        <v>#REF!</v>
      </c>
      <c r="C407" s="486" t="str">
        <f t="shared" si="345"/>
        <v>#REF!</v>
      </c>
      <c r="D407" s="486"/>
      <c r="E407" s="486"/>
      <c r="F407" s="528"/>
      <c r="G407" s="486"/>
      <c r="H407" s="486" t="s">
        <v>5917</v>
      </c>
      <c r="I407" s="491"/>
      <c r="J407" s="491"/>
      <c r="K407" s="491"/>
      <c r="L407" s="491"/>
      <c r="M407" s="486"/>
      <c r="N407" s="422"/>
      <c r="O407" s="422"/>
      <c r="P407" s="422"/>
      <c r="Q407" s="486"/>
      <c r="R407" s="491"/>
      <c r="S407" s="491"/>
      <c r="T407" s="491"/>
      <c r="U407" s="491"/>
      <c r="V407" s="491"/>
      <c r="W407" s="493"/>
      <c r="X407" s="486"/>
      <c r="Y407" s="442"/>
      <c r="Z407" s="491"/>
      <c r="AA407" s="524" t="str">
        <f>#REF!</f>
        <v>#REF!</v>
      </c>
      <c r="AB407" s="494"/>
      <c r="AC407" s="436"/>
      <c r="AD407" s="495"/>
      <c r="AE407" s="491"/>
      <c r="AF407" s="491"/>
      <c r="AG407" s="525" t="str">
        <f>#REF!</f>
        <v>#REF!</v>
      </c>
      <c r="AH407" s="491"/>
      <c r="AI407" s="446"/>
      <c r="AJ407" s="491"/>
      <c r="AK407" s="500"/>
      <c r="AL407" s="436"/>
      <c r="AM407" s="438"/>
      <c r="AN407" s="531"/>
      <c r="AO407" s="491"/>
      <c r="AP407" s="438"/>
      <c r="AQ407" s="438"/>
      <c r="AR407" s="438"/>
      <c r="AS407" s="438"/>
      <c r="AT407" s="438"/>
      <c r="AU407" s="438"/>
      <c r="AV407" s="438"/>
      <c r="AW407" s="450" t="str">
        <f>#REF!</f>
        <v>#REF!</v>
      </c>
    </row>
    <row r="408">
      <c r="A408" s="419" t="s">
        <v>1969</v>
      </c>
      <c r="B408" s="436" t="s">
        <v>1970</v>
      </c>
      <c r="C408" s="420"/>
      <c r="D408" s="420" t="s">
        <v>158</v>
      </c>
      <c r="E408" s="420"/>
      <c r="F408" s="420" t="s">
        <v>2415</v>
      </c>
      <c r="G408" s="420" t="s">
        <v>169</v>
      </c>
      <c r="H408" s="420" t="s">
        <v>160</v>
      </c>
      <c r="I408" s="420" t="s">
        <v>1963</v>
      </c>
      <c r="J408" s="436">
        <v>2754.2287</v>
      </c>
      <c r="K408" s="436"/>
      <c r="L408" s="420"/>
      <c r="M408" s="429"/>
      <c r="N408" s="422">
        <v>17.92</v>
      </c>
      <c r="O408" s="422">
        <v>12.869</v>
      </c>
      <c r="P408" s="422"/>
      <c r="Q408" s="420" t="s">
        <v>2183</v>
      </c>
      <c r="R408" s="438"/>
      <c r="S408" s="438" t="s">
        <v>1964</v>
      </c>
      <c r="T408" s="421" t="s">
        <v>162</v>
      </c>
      <c r="U408" s="420" t="s">
        <v>2185</v>
      </c>
      <c r="V408" s="423"/>
      <c r="W408" s="458">
        <v>0.057543993733715694</v>
      </c>
      <c r="X408" s="438"/>
      <c r="Y408" s="442">
        <f>IF((W408/((J408/5780)^4))^0.5&gt;0,(W408/((J408/5780)^4))^0.5,"")</f>
        <v>1.056466372</v>
      </c>
      <c r="Z408" s="442"/>
      <c r="AA408" s="443"/>
      <c r="AB408" s="443"/>
      <c r="AC408" s="436" t="str">
        <f>IF(ISNUMBER(VLOOKUP(B408,'New Masses'!A:C,3,FALSE)),VLOOKUP(B408,'New Masses'!A:C,3,FALSE),"")</f>
        <v/>
      </c>
      <c r="AD408" s="440"/>
      <c r="AE408" s="438"/>
      <c r="AF408" s="438"/>
      <c r="AG408" s="459">
        <f>10^AJ408</f>
        <v>0.07413102413</v>
      </c>
      <c r="AH408" s="438"/>
      <c r="AI408" s="446" t="str">
        <f>IF(ISNUMBER(VLOOKUP(B408,'New Masses'!A:C,2, FALSE)),VLOOKUP(B408,'New Masses'!A:C,2, FALSE),"")</f>
        <v/>
      </c>
      <c r="AJ408" s="436">
        <v>-1.13</v>
      </c>
      <c r="AK408" s="436"/>
      <c r="AL408" s="512"/>
      <c r="AM408" s="438"/>
      <c r="AN408" s="436">
        <v>1.0</v>
      </c>
      <c r="AO408" s="438"/>
      <c r="AP408" s="436">
        <v>21.0</v>
      </c>
      <c r="AQ408" s="438"/>
      <c r="AR408" s="420" t="s">
        <v>664</v>
      </c>
      <c r="AS408" s="420" t="str">
        <f>VLOOKUP(B408,natta06!A:F,6,FALSE)</f>
        <v>#REF!</v>
      </c>
      <c r="AT408" s="438"/>
      <c r="AU408" s="438"/>
      <c r="AV408" s="438"/>
      <c r="AW408" s="450"/>
    </row>
    <row r="409">
      <c r="A409" s="435" t="str">
        <f t="shared" ref="A409:C409" si="346">#REF!</f>
        <v>#REF!</v>
      </c>
      <c r="B409" s="485" t="str">
        <f t="shared" si="346"/>
        <v>#REF!</v>
      </c>
      <c r="C409" s="486" t="str">
        <f t="shared" si="346"/>
        <v>#REF!</v>
      </c>
      <c r="D409" s="486"/>
      <c r="E409" s="486"/>
      <c r="F409" s="528"/>
      <c r="G409" s="486"/>
      <c r="H409" s="486" t="s">
        <v>5917</v>
      </c>
      <c r="I409" s="491"/>
      <c r="J409" s="491"/>
      <c r="K409" s="491"/>
      <c r="L409" s="491"/>
      <c r="M409" s="486"/>
      <c r="N409" s="422"/>
      <c r="O409" s="422"/>
      <c r="P409" s="422"/>
      <c r="Q409" s="486"/>
      <c r="R409" s="491"/>
      <c r="S409" s="491"/>
      <c r="T409" s="491"/>
      <c r="U409" s="491"/>
      <c r="V409" s="491"/>
      <c r="W409" s="493"/>
      <c r="X409" s="486"/>
      <c r="Y409" s="442"/>
      <c r="Z409" s="491"/>
      <c r="AA409" s="524" t="str">
        <f>#REF!</f>
        <v>#REF!</v>
      </c>
      <c r="AB409" s="494"/>
      <c r="AC409" s="436"/>
      <c r="AD409" s="495"/>
      <c r="AE409" s="491"/>
      <c r="AF409" s="491"/>
      <c r="AG409" s="525" t="str">
        <f>#REF!</f>
        <v>#REF!</v>
      </c>
      <c r="AH409" s="491"/>
      <c r="AI409" s="446"/>
      <c r="AJ409" s="491"/>
      <c r="AK409" s="500"/>
      <c r="AL409" s="436"/>
      <c r="AM409" s="438"/>
      <c r="AN409" s="531"/>
      <c r="AO409" s="491"/>
      <c r="AP409" s="438"/>
      <c r="AQ409" s="438"/>
      <c r="AR409" s="438"/>
      <c r="AS409" s="438"/>
      <c r="AT409" s="438"/>
      <c r="AU409" s="438"/>
      <c r="AV409" s="438"/>
      <c r="AW409" s="450" t="str">
        <f>#REF!</f>
        <v>#REF!</v>
      </c>
    </row>
    <row r="410">
      <c r="A410" s="419" t="s">
        <v>241</v>
      </c>
      <c r="B410" s="478" t="s">
        <v>1323</v>
      </c>
      <c r="C410" s="421" t="s">
        <v>242</v>
      </c>
      <c r="D410" s="420" t="s">
        <v>158</v>
      </c>
      <c r="E410" s="420"/>
      <c r="F410" s="420" t="s">
        <v>2416</v>
      </c>
      <c r="G410" s="420" t="s">
        <v>169</v>
      </c>
      <c r="H410" s="420" t="s">
        <v>1309</v>
      </c>
      <c r="I410" s="420" t="s">
        <v>2409</v>
      </c>
      <c r="J410" s="436">
        <v>2700.0</v>
      </c>
      <c r="K410" s="419">
        <v>150.0</v>
      </c>
      <c r="L410" s="420" t="s">
        <v>353</v>
      </c>
      <c r="M410" s="422"/>
      <c r="N410" s="422">
        <v>13.271</v>
      </c>
      <c r="O410" s="422">
        <v>11.076</v>
      </c>
      <c r="P410" s="422"/>
      <c r="Q410" s="420" t="s">
        <v>2410</v>
      </c>
      <c r="R410" s="420" t="s">
        <v>2420</v>
      </c>
      <c r="S410" s="420" t="s">
        <v>2412</v>
      </c>
      <c r="T410" s="420" t="s">
        <v>596</v>
      </c>
      <c r="U410" s="420" t="s">
        <v>2413</v>
      </c>
      <c r="V410" s="440"/>
      <c r="W410" s="441">
        <v>0.09</v>
      </c>
      <c r="X410" s="454"/>
      <c r="Y410" s="442">
        <f t="shared" ref="Y410:Y414" si="347">IF((W410/((J410/5780)^4))^0.5&gt;0,(W410/((J410/5780)^4))^0.5,"")</f>
        <v>1.374831276</v>
      </c>
      <c r="Z410" s="442"/>
      <c r="AA410" s="443"/>
      <c r="AB410" s="443"/>
      <c r="AC410" s="469">
        <f>IF(ISNUMBER(VLOOKUP(B410,'New Masses'!A:C,3,FALSE)),VLOOKUP(B410,'New Masses'!A:C,3,FALSE),"")</f>
        <v>0.690178</v>
      </c>
      <c r="AD410" s="451">
        <f t="shared" ref="AD410:AD414" si="348">10^AE410</f>
        <v>0.0000000004073802778</v>
      </c>
      <c r="AE410" s="436">
        <v>-9.39</v>
      </c>
      <c r="AF410" s="438"/>
      <c r="AG410" s="459">
        <v>0.06</v>
      </c>
      <c r="AH410" s="436"/>
      <c r="AI410" s="446">
        <f>IF(ISNUMBER(VLOOKUP(B410,'New Masses'!A:C,2, FALSE)),VLOOKUP(B410,'New Masses'!A:C,2, FALSE),"")</f>
        <v>0.058417</v>
      </c>
      <c r="AJ410" s="436"/>
      <c r="AK410" s="438"/>
      <c r="AL410" s="438"/>
      <c r="AM410" s="420" t="s">
        <v>2407</v>
      </c>
      <c r="AN410" s="505">
        <v>1.0</v>
      </c>
      <c r="AO410" s="506"/>
      <c r="AP410" s="505">
        <v>6.73</v>
      </c>
      <c r="AQ410" s="507"/>
      <c r="AR410" s="507" t="s">
        <v>2408</v>
      </c>
      <c r="AS410" s="507"/>
      <c r="AT410" s="507" t="s">
        <v>5916</v>
      </c>
      <c r="AU410" s="506"/>
      <c r="AV410" s="506"/>
      <c r="AW410" s="450">
        <v>143.0</v>
      </c>
    </row>
    <row r="411">
      <c r="A411" s="419" t="s">
        <v>241</v>
      </c>
      <c r="B411" s="513" t="s">
        <v>1323</v>
      </c>
      <c r="C411" s="421" t="s">
        <v>242</v>
      </c>
      <c r="D411" s="420" t="s">
        <v>158</v>
      </c>
      <c r="E411" s="420"/>
      <c r="F411" s="420" t="s">
        <v>2416</v>
      </c>
      <c r="G411" s="420" t="s">
        <v>169</v>
      </c>
      <c r="H411" s="420" t="s">
        <v>754</v>
      </c>
      <c r="I411" s="436">
        <v>2010.0</v>
      </c>
      <c r="J411" s="436">
        <v>2700.0</v>
      </c>
      <c r="K411" s="419">
        <v>50.0</v>
      </c>
      <c r="L411" s="420" t="s">
        <v>318</v>
      </c>
      <c r="M411" s="429"/>
      <c r="N411" s="422">
        <v>13.271</v>
      </c>
      <c r="O411" s="422">
        <v>11.076</v>
      </c>
      <c r="P411" s="422"/>
      <c r="Q411" s="420" t="s">
        <v>2417</v>
      </c>
      <c r="R411" s="420" t="s">
        <v>2418</v>
      </c>
      <c r="S411" s="420" t="s">
        <v>2419</v>
      </c>
      <c r="T411" s="421" t="s">
        <v>162</v>
      </c>
      <c r="U411" s="420" t="s">
        <v>1754</v>
      </c>
      <c r="V411" s="440"/>
      <c r="W411" s="474">
        <v>0.052</v>
      </c>
      <c r="X411" s="436"/>
      <c r="Y411" s="442">
        <f t="shared" si="347"/>
        <v>1.045032556</v>
      </c>
      <c r="Z411" s="469"/>
      <c r="AA411" s="470">
        <v>1.05</v>
      </c>
      <c r="AB411" s="470">
        <v>0.05</v>
      </c>
      <c r="AC411" s="469">
        <f>IF(ISNUMBER(VLOOKUP(B411,'New Masses'!A:C,3,FALSE)),VLOOKUP(B411,'New Masses'!A:C,3,FALSE),"")</f>
        <v>0.690178</v>
      </c>
      <c r="AD411" s="451">
        <f t="shared" si="348"/>
        <v>0.000000001258925412</v>
      </c>
      <c r="AE411" s="436">
        <v>-8.9</v>
      </c>
      <c r="AF411" s="438"/>
      <c r="AG411" s="459">
        <v>0.05</v>
      </c>
      <c r="AH411" s="436"/>
      <c r="AI411" s="446">
        <f>IF(ISNUMBER(VLOOKUP(B411,'New Masses'!A:C,2, FALSE)),VLOOKUP(B411,'New Masses'!A:C,2, FALSE),"")</f>
        <v>0.058417</v>
      </c>
      <c r="AJ411" s="436"/>
      <c r="AK411" s="436"/>
      <c r="AL411" s="436">
        <v>-2.82</v>
      </c>
      <c r="AM411" s="438"/>
      <c r="AN411" s="436">
        <v>1.0</v>
      </c>
      <c r="AO411" s="438"/>
      <c r="AP411" s="436">
        <v>6.73</v>
      </c>
      <c r="AQ411" s="438"/>
      <c r="AR411" s="420" t="s">
        <v>2408</v>
      </c>
      <c r="AS411" s="420"/>
      <c r="AT411" s="438"/>
      <c r="AU411" s="438"/>
      <c r="AV411" s="438"/>
      <c r="AW411" s="450">
        <v>143.0</v>
      </c>
    </row>
    <row r="412">
      <c r="A412" s="419" t="s">
        <v>241</v>
      </c>
      <c r="B412" s="421" t="s">
        <v>242</v>
      </c>
      <c r="C412" s="421" t="s">
        <v>1323</v>
      </c>
      <c r="D412" s="420" t="s">
        <v>158</v>
      </c>
      <c r="E412" s="420"/>
      <c r="F412" s="420" t="s">
        <v>2421</v>
      </c>
      <c r="G412" s="420" t="s">
        <v>159</v>
      </c>
      <c r="H412" s="420" t="s">
        <v>201</v>
      </c>
      <c r="I412" s="420" t="s">
        <v>2207</v>
      </c>
      <c r="J412" s="436">
        <v>2900.0</v>
      </c>
      <c r="K412" s="438"/>
      <c r="L412" s="420" t="s">
        <v>240</v>
      </c>
      <c r="M412" s="429"/>
      <c r="N412" s="422">
        <v>13.271</v>
      </c>
      <c r="O412" s="422">
        <v>11.076</v>
      </c>
      <c r="P412" s="422"/>
      <c r="Q412" s="420" t="s">
        <v>2208</v>
      </c>
      <c r="R412" s="438" t="s">
        <v>2209</v>
      </c>
      <c r="S412" s="420" t="s">
        <v>2229</v>
      </c>
      <c r="T412" s="454" t="s">
        <v>162</v>
      </c>
      <c r="U412" s="420" t="s">
        <v>2210</v>
      </c>
      <c r="V412" s="436">
        <v>4.7</v>
      </c>
      <c r="W412" s="458"/>
      <c r="X412" s="438"/>
      <c r="Y412" s="442" t="str">
        <f t="shared" si="347"/>
        <v/>
      </c>
      <c r="Z412" s="442"/>
      <c r="AA412" s="443"/>
      <c r="AB412" s="443"/>
      <c r="AC412" s="469">
        <f>IF(ISNUMBER(VLOOKUP(B412,'New Masses'!A:C,3,FALSE)),VLOOKUP(B412,'New Masses'!A:C,3,FALSE),"")</f>
        <v>0.53496</v>
      </c>
      <c r="AD412" s="423">
        <f t="shared" si="348"/>
        <v>0</v>
      </c>
      <c r="AE412" s="420">
        <v>-10.4</v>
      </c>
      <c r="AF412" s="438"/>
      <c r="AG412" s="459">
        <v>0.06</v>
      </c>
      <c r="AH412" s="438"/>
      <c r="AI412" s="446">
        <f>IF(ISNUMBER(VLOOKUP(C412,'New Masses'!A:C,2, FALSE)),VLOOKUP(C412,'New Masses'!A:C,2, FALSE),"")</f>
        <v>0.058417</v>
      </c>
      <c r="AJ412" s="438"/>
      <c r="AK412" s="438"/>
      <c r="AL412" s="438"/>
      <c r="AM412" s="438"/>
      <c r="AN412" s="436">
        <v>1.0</v>
      </c>
      <c r="AO412" s="438"/>
      <c r="AP412" s="436">
        <v>6.0</v>
      </c>
      <c r="AQ412" s="438"/>
      <c r="AR412" s="420" t="s">
        <v>2422</v>
      </c>
      <c r="AS412" s="420"/>
      <c r="AT412" s="438"/>
      <c r="AU412" s="420" t="s">
        <v>245</v>
      </c>
      <c r="AV412" s="438"/>
      <c r="AW412" s="450">
        <v>143.0</v>
      </c>
    </row>
    <row r="413">
      <c r="A413" s="419" t="s">
        <v>241</v>
      </c>
      <c r="B413" s="421" t="s">
        <v>242</v>
      </c>
      <c r="C413" s="421" t="s">
        <v>1323</v>
      </c>
      <c r="D413" s="420" t="s">
        <v>158</v>
      </c>
      <c r="E413" s="420"/>
      <c r="F413" s="420" t="s">
        <v>2421</v>
      </c>
      <c r="G413" s="420" t="s">
        <v>159</v>
      </c>
      <c r="H413" s="420" t="s">
        <v>201</v>
      </c>
      <c r="I413" s="420" t="s">
        <v>2207</v>
      </c>
      <c r="J413" s="436">
        <v>2900.0</v>
      </c>
      <c r="K413" s="438"/>
      <c r="L413" s="420" t="s">
        <v>240</v>
      </c>
      <c r="M413" s="429"/>
      <c r="N413" s="422">
        <v>13.271</v>
      </c>
      <c r="O413" s="422">
        <v>11.076</v>
      </c>
      <c r="P413" s="422"/>
      <c r="Q413" s="420" t="s">
        <v>2208</v>
      </c>
      <c r="R413" s="438" t="s">
        <v>2209</v>
      </c>
      <c r="S413" s="420" t="s">
        <v>2229</v>
      </c>
      <c r="T413" s="454" t="s">
        <v>162</v>
      </c>
      <c r="U413" s="420" t="s">
        <v>2210</v>
      </c>
      <c r="V413" s="436">
        <v>4.7</v>
      </c>
      <c r="W413" s="458"/>
      <c r="X413" s="438"/>
      <c r="Y413" s="442" t="str">
        <f t="shared" si="347"/>
        <v/>
      </c>
      <c r="Z413" s="442"/>
      <c r="AA413" s="443"/>
      <c r="AB413" s="443"/>
      <c r="AC413" s="469">
        <f>IF(ISNUMBER(VLOOKUP(B413,'New Masses'!A:C,3,FALSE)),VLOOKUP(B413,'New Masses'!A:C,3,FALSE),"")</f>
        <v>0.53496</v>
      </c>
      <c r="AD413" s="423">
        <f t="shared" si="348"/>
        <v>0</v>
      </c>
      <c r="AE413" s="438">
        <v>-10.6</v>
      </c>
      <c r="AF413" s="438"/>
      <c r="AG413" s="459">
        <v>0.06</v>
      </c>
      <c r="AH413" s="438"/>
      <c r="AI413" s="446">
        <f>IF(ISNUMBER(VLOOKUP(C413,'New Masses'!A:C,2, FALSE)),VLOOKUP(C413,'New Masses'!A:C,2, FALSE),"")</f>
        <v>0.058417</v>
      </c>
      <c r="AJ413" s="438"/>
      <c r="AK413" s="438"/>
      <c r="AL413" s="438"/>
      <c r="AM413" s="438"/>
      <c r="AN413" s="436">
        <v>1.0</v>
      </c>
      <c r="AO413" s="438"/>
      <c r="AP413" s="436">
        <v>6.0</v>
      </c>
      <c r="AQ413" s="438"/>
      <c r="AR413" s="420" t="s">
        <v>2422</v>
      </c>
      <c r="AS413" s="420"/>
      <c r="AT413" s="438"/>
      <c r="AU413" s="420" t="s">
        <v>244</v>
      </c>
      <c r="AV413" s="438"/>
      <c r="AW413" s="450">
        <v>143.0</v>
      </c>
    </row>
    <row r="414">
      <c r="A414" s="419" t="s">
        <v>241</v>
      </c>
      <c r="B414" s="478" t="s">
        <v>1323</v>
      </c>
      <c r="C414" s="421" t="s">
        <v>242</v>
      </c>
      <c r="D414" s="436" t="s">
        <v>158</v>
      </c>
      <c r="E414" s="436"/>
      <c r="F414" s="436" t="s">
        <v>2416</v>
      </c>
      <c r="G414" s="436" t="s">
        <v>169</v>
      </c>
      <c r="H414" s="436" t="s">
        <v>160</v>
      </c>
      <c r="I414" s="436" t="s">
        <v>1963</v>
      </c>
      <c r="J414" s="436">
        <v>2754.2287</v>
      </c>
      <c r="K414" s="436"/>
      <c r="L414" s="436" t="s">
        <v>318</v>
      </c>
      <c r="M414" s="439"/>
      <c r="N414" s="422">
        <v>13.271</v>
      </c>
      <c r="O414" s="422">
        <v>11.076</v>
      </c>
      <c r="P414" s="422"/>
      <c r="Q414" s="436" t="s">
        <v>2183</v>
      </c>
      <c r="R414" s="436" t="s">
        <v>2184</v>
      </c>
      <c r="S414" s="436" t="s">
        <v>1964</v>
      </c>
      <c r="T414" s="419" t="s">
        <v>162</v>
      </c>
      <c r="U414" s="436" t="s">
        <v>2185</v>
      </c>
      <c r="V414" s="451">
        <v>9.64313E27</v>
      </c>
      <c r="W414" s="458">
        <v>0.04897788193684462</v>
      </c>
      <c r="X414" s="438"/>
      <c r="Y414" s="442">
        <f t="shared" si="347"/>
        <v>0.9746656889</v>
      </c>
      <c r="Z414" s="442"/>
      <c r="AA414" s="443"/>
      <c r="AB414" s="443"/>
      <c r="AC414" s="469">
        <f>IF(ISNUMBER(VLOOKUP(B414,'New Masses'!A:C,3,FALSE)),VLOOKUP(B414,'New Masses'!A:C,3,FALSE),"")</f>
        <v>0.690178</v>
      </c>
      <c r="AD414" s="440">
        <f t="shared" si="348"/>
        <v>0</v>
      </c>
      <c r="AE414" s="436">
        <v>-10.01</v>
      </c>
      <c r="AF414" s="438"/>
      <c r="AG414" s="459">
        <f>10^AJ414</f>
        <v>0.06760829754</v>
      </c>
      <c r="AH414" s="436"/>
      <c r="AI414" s="446">
        <f>IF(ISNUMBER(VLOOKUP(B414,'New Masses'!A:C,2, FALSE)),VLOOKUP(B414,'New Masses'!A:C,2, FALSE),"")</f>
        <v>0.058417</v>
      </c>
      <c r="AJ414" s="436">
        <v>-1.17</v>
      </c>
      <c r="AK414" s="436"/>
      <c r="AL414" s="436">
        <v>-3.61</v>
      </c>
      <c r="AM414" s="438"/>
      <c r="AN414" s="436">
        <v>1.0</v>
      </c>
      <c r="AO414" s="438"/>
      <c r="AP414" s="438"/>
      <c r="AQ414" s="436"/>
      <c r="AR414" s="438"/>
      <c r="AS414" s="420" t="str">
        <f>VLOOKUP(B414,natta06!A:F,6,FALSE)</f>
        <v>#REF!</v>
      </c>
      <c r="AT414" s="438"/>
      <c r="AU414" s="438" t="s">
        <v>1304</v>
      </c>
      <c r="AV414" s="438"/>
      <c r="AW414" s="450">
        <v>143.0</v>
      </c>
    </row>
    <row r="415">
      <c r="A415" s="435" t="str">
        <f t="shared" ref="A415:C415" si="349">#REF!</f>
        <v>#REF!</v>
      </c>
      <c r="B415" s="485" t="str">
        <f t="shared" si="349"/>
        <v>#REF!</v>
      </c>
      <c r="C415" s="486" t="str">
        <f t="shared" si="349"/>
        <v>#REF!</v>
      </c>
      <c r="D415" s="486"/>
      <c r="E415" s="486"/>
      <c r="F415" s="528"/>
      <c r="G415" s="486"/>
      <c r="H415" s="486" t="s">
        <v>5917</v>
      </c>
      <c r="I415" s="491"/>
      <c r="J415" s="491"/>
      <c r="K415" s="491"/>
      <c r="L415" s="491"/>
      <c r="M415" s="486"/>
      <c r="N415" s="422"/>
      <c r="O415" s="422"/>
      <c r="P415" s="422"/>
      <c r="Q415" s="486"/>
      <c r="R415" s="491"/>
      <c r="S415" s="491"/>
      <c r="T415" s="491"/>
      <c r="U415" s="491"/>
      <c r="V415" s="491"/>
      <c r="W415" s="493"/>
      <c r="X415" s="486"/>
      <c r="Y415" s="442"/>
      <c r="Z415" s="491"/>
      <c r="AA415" s="524" t="str">
        <f t="shared" ref="AA415:AA419" si="351">#REF!</f>
        <v>#REF!</v>
      </c>
      <c r="AB415" s="494"/>
      <c r="AC415" s="436"/>
      <c r="AD415" s="495"/>
      <c r="AE415" s="491"/>
      <c r="AF415" s="491"/>
      <c r="AG415" s="525" t="str">
        <f t="shared" ref="AG415:AG419" si="352">#REF!</f>
        <v>#REF!</v>
      </c>
      <c r="AH415" s="491"/>
      <c r="AI415" s="446"/>
      <c r="AJ415" s="491"/>
      <c r="AK415" s="500"/>
      <c r="AL415" s="436"/>
      <c r="AM415" s="438"/>
      <c r="AN415" s="531"/>
      <c r="AO415" s="491"/>
      <c r="AP415" s="438"/>
      <c r="AQ415" s="438"/>
      <c r="AR415" s="438"/>
      <c r="AS415" s="438"/>
      <c r="AT415" s="438"/>
      <c r="AU415" s="438"/>
      <c r="AV415" s="438"/>
      <c r="AW415" s="450" t="str">
        <f t="shared" ref="AW415:AW419" si="353">#REF!</f>
        <v>#REF!</v>
      </c>
    </row>
    <row r="416">
      <c r="A416" s="435" t="str">
        <f t="shared" ref="A416:C416" si="350">#REF!</f>
        <v>#REF!</v>
      </c>
      <c r="B416" s="485" t="str">
        <f t="shared" si="350"/>
        <v>#REF!</v>
      </c>
      <c r="C416" s="486" t="str">
        <f t="shared" si="350"/>
        <v>#REF!</v>
      </c>
      <c r="D416" s="486"/>
      <c r="E416" s="486"/>
      <c r="F416" s="528"/>
      <c r="G416" s="486"/>
      <c r="H416" s="486" t="s">
        <v>5917</v>
      </c>
      <c r="I416" s="491"/>
      <c r="J416" s="491"/>
      <c r="K416" s="491"/>
      <c r="L416" s="491"/>
      <c r="M416" s="486"/>
      <c r="N416" s="422"/>
      <c r="O416" s="422"/>
      <c r="P416" s="422"/>
      <c r="Q416" s="486"/>
      <c r="R416" s="491"/>
      <c r="S416" s="491"/>
      <c r="T416" s="491"/>
      <c r="U416" s="491"/>
      <c r="V416" s="491"/>
      <c r="W416" s="493"/>
      <c r="X416" s="486"/>
      <c r="Y416" s="442"/>
      <c r="Z416" s="491"/>
      <c r="AA416" s="524" t="str">
        <f t="shared" si="351"/>
        <v>#REF!</v>
      </c>
      <c r="AB416" s="494"/>
      <c r="AC416" s="436"/>
      <c r="AD416" s="495"/>
      <c r="AE416" s="491"/>
      <c r="AF416" s="491"/>
      <c r="AG416" s="525" t="str">
        <f t="shared" si="352"/>
        <v>#REF!</v>
      </c>
      <c r="AH416" s="491"/>
      <c r="AI416" s="446"/>
      <c r="AJ416" s="491"/>
      <c r="AK416" s="500"/>
      <c r="AL416" s="436"/>
      <c r="AM416" s="438"/>
      <c r="AN416" s="531"/>
      <c r="AO416" s="491"/>
      <c r="AP416" s="438"/>
      <c r="AQ416" s="438"/>
      <c r="AR416" s="438"/>
      <c r="AS416" s="438"/>
      <c r="AT416" s="438"/>
      <c r="AU416" s="438"/>
      <c r="AV416" s="438"/>
      <c r="AW416" s="450" t="str">
        <f t="shared" si="353"/>
        <v>#REF!</v>
      </c>
    </row>
    <row r="417">
      <c r="A417" s="435" t="str">
        <f t="shared" ref="A417:C417" si="354">#REF!</f>
        <v>#REF!</v>
      </c>
      <c r="B417" s="485" t="str">
        <f t="shared" si="354"/>
        <v>#REF!</v>
      </c>
      <c r="C417" s="486" t="str">
        <f t="shared" si="354"/>
        <v>#REF!</v>
      </c>
      <c r="D417" s="486"/>
      <c r="E417" s="486"/>
      <c r="F417" s="528"/>
      <c r="G417" s="486"/>
      <c r="H417" s="486" t="s">
        <v>5917</v>
      </c>
      <c r="I417" s="491"/>
      <c r="J417" s="491"/>
      <c r="K417" s="491"/>
      <c r="L417" s="491"/>
      <c r="M417" s="486"/>
      <c r="N417" s="422"/>
      <c r="O417" s="422"/>
      <c r="P417" s="422"/>
      <c r="Q417" s="486"/>
      <c r="R417" s="491"/>
      <c r="S417" s="491"/>
      <c r="T417" s="491"/>
      <c r="U417" s="491"/>
      <c r="V417" s="491"/>
      <c r="W417" s="493"/>
      <c r="X417" s="486"/>
      <c r="Y417" s="442"/>
      <c r="Z417" s="491"/>
      <c r="AA417" s="524" t="str">
        <f t="shared" si="351"/>
        <v>#REF!</v>
      </c>
      <c r="AB417" s="494"/>
      <c r="AC417" s="436"/>
      <c r="AD417" s="495"/>
      <c r="AE417" s="491"/>
      <c r="AF417" s="491"/>
      <c r="AG417" s="525" t="str">
        <f t="shared" si="352"/>
        <v>#REF!</v>
      </c>
      <c r="AH417" s="491"/>
      <c r="AI417" s="446"/>
      <c r="AJ417" s="491"/>
      <c r="AK417" s="500"/>
      <c r="AL417" s="436"/>
      <c r="AM417" s="438"/>
      <c r="AN417" s="531"/>
      <c r="AO417" s="491"/>
      <c r="AP417" s="438"/>
      <c r="AQ417" s="438"/>
      <c r="AR417" s="438"/>
      <c r="AS417" s="438"/>
      <c r="AT417" s="438"/>
      <c r="AU417" s="438"/>
      <c r="AV417" s="438"/>
      <c r="AW417" s="450" t="str">
        <f t="shared" si="353"/>
        <v>#REF!</v>
      </c>
    </row>
    <row r="418">
      <c r="A418" s="435" t="str">
        <f t="shared" ref="A418:C418" si="355">#REF!</f>
        <v>#REF!</v>
      </c>
      <c r="B418" s="485" t="str">
        <f t="shared" si="355"/>
        <v>#REF!</v>
      </c>
      <c r="C418" s="486" t="str">
        <f t="shared" si="355"/>
        <v>#REF!</v>
      </c>
      <c r="D418" s="486"/>
      <c r="E418" s="486"/>
      <c r="F418" s="528"/>
      <c r="G418" s="486"/>
      <c r="H418" s="486" t="s">
        <v>5917</v>
      </c>
      <c r="I418" s="491"/>
      <c r="J418" s="491"/>
      <c r="K418" s="491"/>
      <c r="L418" s="491"/>
      <c r="M418" s="486"/>
      <c r="N418" s="422"/>
      <c r="O418" s="422"/>
      <c r="P418" s="422"/>
      <c r="Q418" s="486"/>
      <c r="R418" s="491"/>
      <c r="S418" s="491"/>
      <c r="T418" s="491"/>
      <c r="U418" s="491"/>
      <c r="V418" s="491"/>
      <c r="W418" s="493"/>
      <c r="X418" s="486"/>
      <c r="Y418" s="442"/>
      <c r="Z418" s="491"/>
      <c r="AA418" s="524" t="str">
        <f t="shared" si="351"/>
        <v>#REF!</v>
      </c>
      <c r="AB418" s="494"/>
      <c r="AC418" s="436"/>
      <c r="AD418" s="495"/>
      <c r="AE418" s="491"/>
      <c r="AF418" s="491"/>
      <c r="AG418" s="525" t="str">
        <f t="shared" si="352"/>
        <v>#REF!</v>
      </c>
      <c r="AH418" s="491"/>
      <c r="AI418" s="446"/>
      <c r="AJ418" s="491"/>
      <c r="AK418" s="500"/>
      <c r="AL418" s="436"/>
      <c r="AM418" s="438"/>
      <c r="AN418" s="531"/>
      <c r="AO418" s="491"/>
      <c r="AP418" s="438"/>
      <c r="AQ418" s="438"/>
      <c r="AR418" s="438"/>
      <c r="AS418" s="438"/>
      <c r="AT418" s="438"/>
      <c r="AU418" s="438"/>
      <c r="AV418" s="438"/>
      <c r="AW418" s="450" t="str">
        <f t="shared" si="353"/>
        <v>#REF!</v>
      </c>
    </row>
    <row r="419">
      <c r="A419" s="435" t="str">
        <f t="shared" ref="A419:C419" si="356">#REF!</f>
        <v>#REF!</v>
      </c>
      <c r="B419" s="485" t="str">
        <f t="shared" si="356"/>
        <v>#REF!</v>
      </c>
      <c r="C419" s="486" t="str">
        <f t="shared" si="356"/>
        <v>#REF!</v>
      </c>
      <c r="D419" s="486"/>
      <c r="E419" s="486"/>
      <c r="F419" s="528"/>
      <c r="G419" s="486"/>
      <c r="H419" s="486" t="s">
        <v>5917</v>
      </c>
      <c r="I419" s="491"/>
      <c r="J419" s="491"/>
      <c r="K419" s="491"/>
      <c r="L419" s="491"/>
      <c r="M419" s="486"/>
      <c r="N419" s="422"/>
      <c r="O419" s="422"/>
      <c r="P419" s="422"/>
      <c r="Q419" s="486"/>
      <c r="R419" s="491"/>
      <c r="S419" s="491"/>
      <c r="T419" s="491"/>
      <c r="U419" s="491"/>
      <c r="V419" s="491"/>
      <c r="W419" s="493"/>
      <c r="X419" s="486"/>
      <c r="Y419" s="442"/>
      <c r="Z419" s="491"/>
      <c r="AA419" s="524" t="str">
        <f t="shared" si="351"/>
        <v>#REF!</v>
      </c>
      <c r="AB419" s="494"/>
      <c r="AC419" s="436"/>
      <c r="AD419" s="495"/>
      <c r="AE419" s="491"/>
      <c r="AF419" s="491"/>
      <c r="AG419" s="525" t="str">
        <f t="shared" si="352"/>
        <v>#REF!</v>
      </c>
      <c r="AH419" s="491"/>
      <c r="AI419" s="446"/>
      <c r="AJ419" s="491"/>
      <c r="AK419" s="500"/>
      <c r="AL419" s="436"/>
      <c r="AM419" s="438"/>
      <c r="AN419" s="531"/>
      <c r="AO419" s="491"/>
      <c r="AP419" s="438"/>
      <c r="AQ419" s="438"/>
      <c r="AR419" s="438"/>
      <c r="AS419" s="438"/>
      <c r="AT419" s="438"/>
      <c r="AU419" s="438"/>
      <c r="AV419" s="438"/>
      <c r="AW419" s="450" t="str">
        <f t="shared" si="353"/>
        <v>#REF!</v>
      </c>
    </row>
    <row r="420">
      <c r="A420" s="419" t="s">
        <v>2423</v>
      </c>
      <c r="B420" s="475" t="s">
        <v>2424</v>
      </c>
      <c r="C420" s="436"/>
      <c r="D420" s="436" t="s">
        <v>2425</v>
      </c>
      <c r="E420" s="436"/>
      <c r="F420" s="436" t="s">
        <v>2426</v>
      </c>
      <c r="G420" s="436" t="s">
        <v>169</v>
      </c>
      <c r="H420" s="436" t="s">
        <v>1479</v>
      </c>
      <c r="I420" s="436" t="s">
        <v>2427</v>
      </c>
      <c r="J420" s="436">
        <v>4395.0</v>
      </c>
      <c r="K420" s="436"/>
      <c r="L420" s="436" t="s">
        <v>459</v>
      </c>
      <c r="M420" s="439"/>
      <c r="N420" s="422">
        <v>8.302</v>
      </c>
      <c r="O420" s="422">
        <v>6.961</v>
      </c>
      <c r="P420" s="422"/>
      <c r="Q420" s="436" t="s">
        <v>2428</v>
      </c>
      <c r="R420" s="436" t="s">
        <v>2429</v>
      </c>
      <c r="S420" s="436" t="s">
        <v>2430</v>
      </c>
      <c r="T420" s="419" t="s">
        <v>162</v>
      </c>
      <c r="U420" s="436" t="s">
        <v>2431</v>
      </c>
      <c r="V420" s="451">
        <v>3.2365E29</v>
      </c>
      <c r="W420" s="474">
        <v>2.5</v>
      </c>
      <c r="X420" s="436"/>
      <c r="Y420" s="442">
        <f>IF((W420/((J420/5780)^4))^0.5&gt;0,(W420/((J420/5780)^4))^0.5,"")</f>
        <v>2.734688865</v>
      </c>
      <c r="Z420" s="469"/>
      <c r="AA420" s="470">
        <v>2.4</v>
      </c>
      <c r="AB420" s="470"/>
      <c r="AC420" s="436" t="str">
        <f>IF(ISNUMBER(VLOOKUP(B420,'New Masses'!A:C,3,FALSE)),VLOOKUP(B420,'New Masses'!A:C,3,FALSE),"")</f>
        <v/>
      </c>
      <c r="AD420" s="440">
        <f>10^AE420</f>
        <v>0.0000000301995172</v>
      </c>
      <c r="AE420" s="436">
        <v>-7.52</v>
      </c>
      <c r="AF420" s="438"/>
      <c r="AG420" s="459">
        <v>1.4</v>
      </c>
      <c r="AH420" s="436"/>
      <c r="AI420" s="446" t="str">
        <f>IF(ISNUMBER(VLOOKUP(B420,'New Masses'!A:C,2, FALSE)),VLOOKUP(B420,'New Masses'!A:C,2, FALSE),"")</f>
        <v/>
      </c>
      <c r="AJ420" s="438"/>
      <c r="AK420" s="436"/>
      <c r="AL420" s="436">
        <v>-0.35</v>
      </c>
      <c r="AM420" s="438"/>
      <c r="AN420" s="436">
        <v>1.0</v>
      </c>
      <c r="AO420" s="438"/>
      <c r="AP420" s="438"/>
      <c r="AQ420" s="438"/>
      <c r="AR420" s="438"/>
      <c r="AS420" s="438"/>
      <c r="AT420" s="438"/>
      <c r="AU420" s="438"/>
      <c r="AV420" s="438"/>
      <c r="AW420" s="450">
        <v>120.984816405541</v>
      </c>
    </row>
    <row r="421">
      <c r="A421" s="435" t="str">
        <f t="shared" ref="A421:C421" si="357">#REF!</f>
        <v>#REF!</v>
      </c>
      <c r="B421" s="485" t="str">
        <f t="shared" si="357"/>
        <v>#REF!</v>
      </c>
      <c r="C421" s="486" t="str">
        <f t="shared" si="357"/>
        <v>#REF!</v>
      </c>
      <c r="D421" s="486"/>
      <c r="E421" s="486"/>
      <c r="F421" s="528"/>
      <c r="G421" s="486"/>
      <c r="H421" s="486" t="s">
        <v>5917</v>
      </c>
      <c r="I421" s="491"/>
      <c r="J421" s="491"/>
      <c r="K421" s="491"/>
      <c r="L421" s="491"/>
      <c r="M421" s="486"/>
      <c r="N421" s="422"/>
      <c r="O421" s="422"/>
      <c r="P421" s="422"/>
      <c r="Q421" s="486"/>
      <c r="R421" s="491"/>
      <c r="S421" s="491"/>
      <c r="T421" s="491"/>
      <c r="U421" s="491"/>
      <c r="V421" s="491"/>
      <c r="W421" s="493"/>
      <c r="X421" s="486"/>
      <c r="Y421" s="442"/>
      <c r="Z421" s="491"/>
      <c r="AA421" s="524" t="str">
        <f>#REF!</f>
        <v>#REF!</v>
      </c>
      <c r="AB421" s="494"/>
      <c r="AC421" s="436"/>
      <c r="AD421" s="495"/>
      <c r="AE421" s="491"/>
      <c r="AF421" s="491"/>
      <c r="AG421" s="525" t="str">
        <f>#REF!</f>
        <v>#REF!</v>
      </c>
      <c r="AH421" s="491"/>
      <c r="AI421" s="446"/>
      <c r="AJ421" s="491"/>
      <c r="AK421" s="500"/>
      <c r="AL421" s="436"/>
      <c r="AM421" s="438"/>
      <c r="AN421" s="531"/>
      <c r="AO421" s="491"/>
      <c r="AP421" s="438"/>
      <c r="AQ421" s="438"/>
      <c r="AR421" s="438"/>
      <c r="AS421" s="438"/>
      <c r="AT421" s="438"/>
      <c r="AU421" s="438"/>
      <c r="AV421" s="438"/>
      <c r="AW421" s="450" t="str">
        <f>#REF!</f>
        <v>#REF!</v>
      </c>
    </row>
    <row r="422">
      <c r="A422" s="419" t="s">
        <v>254</v>
      </c>
      <c r="B422" s="420" t="s">
        <v>255</v>
      </c>
      <c r="C422" s="420"/>
      <c r="D422" s="436" t="s">
        <v>256</v>
      </c>
      <c r="E422" s="436"/>
      <c r="F422" s="436" t="s">
        <v>2432</v>
      </c>
      <c r="G422" s="436" t="s">
        <v>257</v>
      </c>
      <c r="H422" s="420" t="s">
        <v>201</v>
      </c>
      <c r="I422" s="438" t="s">
        <v>2207</v>
      </c>
      <c r="J422" s="436">
        <v>2950.0</v>
      </c>
      <c r="K422" s="438"/>
      <c r="L422" s="420" t="s">
        <v>217</v>
      </c>
      <c r="M422" s="429"/>
      <c r="N422" s="422">
        <v>15.178</v>
      </c>
      <c r="O422" s="422">
        <v>13.972</v>
      </c>
      <c r="P422" s="422"/>
      <c r="Q422" s="438" t="s">
        <v>2208</v>
      </c>
      <c r="R422" s="438" t="s">
        <v>2209</v>
      </c>
      <c r="S422" s="438" t="s">
        <v>2196</v>
      </c>
      <c r="T422" s="454" t="s">
        <v>162</v>
      </c>
      <c r="U422" s="438" t="s">
        <v>2210</v>
      </c>
      <c r="V422" s="451">
        <v>6.5</v>
      </c>
      <c r="W422" s="458"/>
      <c r="X422" s="438"/>
      <c r="Y422" s="442" t="str">
        <f t="shared" ref="Y422:Y423" si="358">IF((W422/((J422/5780)^4))^0.5&gt;0,(W422/((J422/5780)^4))^0.5,"")</f>
        <v/>
      </c>
      <c r="Z422" s="442"/>
      <c r="AA422" s="443"/>
      <c r="AB422" s="443"/>
      <c r="AC422" s="436" t="str">
        <f>IF(ISNUMBER(VLOOKUP(B422,'New Masses'!A:C,3,FALSE)),VLOOKUP(B422,'New Masses'!A:C,3,FALSE),"")</f>
        <v/>
      </c>
      <c r="AD422" s="423">
        <f t="shared" ref="AD422:AD423" si="359">10^AE422</f>
        <v>0.00000000316227766</v>
      </c>
      <c r="AE422" s="436">
        <v>-8.5</v>
      </c>
      <c r="AF422" s="438"/>
      <c r="AG422" s="459">
        <v>0.08</v>
      </c>
      <c r="AH422" s="438"/>
      <c r="AI422" s="446" t="str">
        <f>IF(ISNUMBER(VLOOKUP(B422,'New Masses'!A:C,2, FALSE)),VLOOKUP(B422,'New Masses'!A:C,2, FALSE),"")</f>
        <v/>
      </c>
      <c r="AJ422" s="438"/>
      <c r="AK422" s="438"/>
      <c r="AL422" s="438"/>
      <c r="AM422" s="438"/>
      <c r="AN422" s="436">
        <v>10.0</v>
      </c>
      <c r="AO422" s="438"/>
      <c r="AP422" s="438"/>
      <c r="AQ422" s="436"/>
      <c r="AR422" s="438"/>
      <c r="AS422" s="438"/>
      <c r="AT422" s="438"/>
      <c r="AU422" s="438" t="s">
        <v>259</v>
      </c>
      <c r="AV422" s="438"/>
      <c r="AW422" s="450">
        <v>147.544853635505</v>
      </c>
    </row>
    <row r="423">
      <c r="A423" s="419" t="s">
        <v>254</v>
      </c>
      <c r="B423" s="420" t="s">
        <v>255</v>
      </c>
      <c r="C423" s="420"/>
      <c r="D423" s="436" t="s">
        <v>256</v>
      </c>
      <c r="E423" s="436"/>
      <c r="F423" s="436" t="s">
        <v>2432</v>
      </c>
      <c r="G423" s="436" t="s">
        <v>257</v>
      </c>
      <c r="H423" s="420" t="s">
        <v>201</v>
      </c>
      <c r="I423" s="438" t="s">
        <v>2207</v>
      </c>
      <c r="J423" s="436">
        <v>2950.0</v>
      </c>
      <c r="K423" s="438"/>
      <c r="L423" s="420" t="s">
        <v>217</v>
      </c>
      <c r="M423" s="429"/>
      <c r="N423" s="422">
        <v>15.178</v>
      </c>
      <c r="O423" s="422">
        <v>13.972</v>
      </c>
      <c r="P423" s="422"/>
      <c r="Q423" s="438" t="s">
        <v>2208</v>
      </c>
      <c r="R423" s="438" t="s">
        <v>2209</v>
      </c>
      <c r="S423" s="438" t="s">
        <v>2196</v>
      </c>
      <c r="T423" s="454" t="s">
        <v>162</v>
      </c>
      <c r="U423" s="438" t="s">
        <v>2210</v>
      </c>
      <c r="V423" s="451">
        <v>6.5</v>
      </c>
      <c r="W423" s="458"/>
      <c r="X423" s="438"/>
      <c r="Y423" s="442" t="str">
        <f t="shared" si="358"/>
        <v/>
      </c>
      <c r="Z423" s="442"/>
      <c r="AA423" s="443"/>
      <c r="AB423" s="443"/>
      <c r="AC423" s="436" t="str">
        <f>IF(ISNUMBER(VLOOKUP(B423,'New Masses'!A:C,3,FALSE)),VLOOKUP(B423,'New Masses'!A:C,3,FALSE),"")</f>
        <v/>
      </c>
      <c r="AD423" s="423">
        <f t="shared" si="359"/>
        <v>0.000000001</v>
      </c>
      <c r="AE423" s="437">
        <v>-9.0</v>
      </c>
      <c r="AF423" s="438"/>
      <c r="AG423" s="459">
        <v>0.08</v>
      </c>
      <c r="AH423" s="438"/>
      <c r="AI423" s="446" t="str">
        <f>IF(ISNUMBER(VLOOKUP(B423,'New Masses'!A:C,2, FALSE)),VLOOKUP(B423,'New Masses'!A:C,2, FALSE),"")</f>
        <v/>
      </c>
      <c r="AJ423" s="438"/>
      <c r="AK423" s="438"/>
      <c r="AL423" s="438"/>
      <c r="AM423" s="438"/>
      <c r="AN423" s="436">
        <v>10.0</v>
      </c>
      <c r="AO423" s="438"/>
      <c r="AP423" s="438"/>
      <c r="AQ423" s="436"/>
      <c r="AR423" s="438"/>
      <c r="AS423" s="438"/>
      <c r="AT423" s="438"/>
      <c r="AU423" s="438" t="s">
        <v>258</v>
      </c>
      <c r="AV423" s="438"/>
      <c r="AW423" s="450">
        <v>147.544853635505</v>
      </c>
    </row>
    <row r="424">
      <c r="A424" s="435" t="str">
        <f t="shared" ref="A424:C424" si="360">#REF!</f>
        <v>#REF!</v>
      </c>
      <c r="B424" s="485" t="str">
        <f t="shared" si="360"/>
        <v>#REF!</v>
      </c>
      <c r="C424" s="486" t="str">
        <f t="shared" si="360"/>
        <v>#REF!</v>
      </c>
      <c r="D424" s="486"/>
      <c r="E424" s="486"/>
      <c r="F424" s="528"/>
      <c r="G424" s="486"/>
      <c r="H424" s="486" t="s">
        <v>5917</v>
      </c>
      <c r="I424" s="491"/>
      <c r="J424" s="491"/>
      <c r="K424" s="491"/>
      <c r="L424" s="491"/>
      <c r="M424" s="486"/>
      <c r="N424" s="422"/>
      <c r="O424" s="422"/>
      <c r="P424" s="422"/>
      <c r="Q424" s="486"/>
      <c r="R424" s="491"/>
      <c r="S424" s="491"/>
      <c r="T424" s="491"/>
      <c r="U424" s="491"/>
      <c r="V424" s="491"/>
      <c r="W424" s="493"/>
      <c r="X424" s="486"/>
      <c r="Y424" s="442"/>
      <c r="Z424" s="491"/>
      <c r="AA424" s="524" t="str">
        <f t="shared" ref="AA424:AA425" si="362">#REF!</f>
        <v>#REF!</v>
      </c>
      <c r="AB424" s="494"/>
      <c r="AC424" s="436"/>
      <c r="AD424" s="495"/>
      <c r="AE424" s="491"/>
      <c r="AF424" s="491"/>
      <c r="AG424" s="525" t="str">
        <f t="shared" ref="AG424:AG425" si="363">#REF!</f>
        <v>#REF!</v>
      </c>
      <c r="AH424" s="491"/>
      <c r="AI424" s="446"/>
      <c r="AJ424" s="491"/>
      <c r="AK424" s="500"/>
      <c r="AL424" s="436"/>
      <c r="AM424" s="438"/>
      <c r="AN424" s="531"/>
      <c r="AO424" s="491"/>
      <c r="AP424" s="438"/>
      <c r="AQ424" s="438"/>
      <c r="AR424" s="438"/>
      <c r="AS424" s="438"/>
      <c r="AT424" s="438"/>
      <c r="AU424" s="438"/>
      <c r="AV424" s="438"/>
      <c r="AW424" s="450" t="str">
        <f t="shared" ref="AW424:AW425" si="364">#REF!</f>
        <v>#REF!</v>
      </c>
    </row>
    <row r="425">
      <c r="A425" s="435" t="str">
        <f t="shared" ref="A425:C425" si="361">#REF!</f>
        <v>#REF!</v>
      </c>
      <c r="B425" s="485" t="str">
        <f t="shared" si="361"/>
        <v>#REF!</v>
      </c>
      <c r="C425" s="486" t="str">
        <f t="shared" si="361"/>
        <v>#REF!</v>
      </c>
      <c r="D425" s="486"/>
      <c r="E425" s="486"/>
      <c r="F425" s="528"/>
      <c r="G425" s="486"/>
      <c r="H425" s="486" t="s">
        <v>5917</v>
      </c>
      <c r="I425" s="491"/>
      <c r="J425" s="491"/>
      <c r="K425" s="491"/>
      <c r="L425" s="491"/>
      <c r="M425" s="486"/>
      <c r="N425" s="422"/>
      <c r="O425" s="422"/>
      <c r="P425" s="422"/>
      <c r="Q425" s="486"/>
      <c r="R425" s="491"/>
      <c r="S425" s="491"/>
      <c r="T425" s="491"/>
      <c r="U425" s="491"/>
      <c r="V425" s="491"/>
      <c r="W425" s="493"/>
      <c r="X425" s="486"/>
      <c r="Y425" s="442"/>
      <c r="Z425" s="491"/>
      <c r="AA425" s="524" t="str">
        <f t="shared" si="362"/>
        <v>#REF!</v>
      </c>
      <c r="AB425" s="494"/>
      <c r="AC425" s="436"/>
      <c r="AD425" s="495"/>
      <c r="AE425" s="491"/>
      <c r="AF425" s="491"/>
      <c r="AG425" s="525" t="str">
        <f t="shared" si="363"/>
        <v>#REF!</v>
      </c>
      <c r="AH425" s="491"/>
      <c r="AI425" s="446"/>
      <c r="AJ425" s="491"/>
      <c r="AK425" s="500"/>
      <c r="AL425" s="436"/>
      <c r="AM425" s="438"/>
      <c r="AN425" s="531"/>
      <c r="AO425" s="491"/>
      <c r="AP425" s="438"/>
      <c r="AQ425" s="438"/>
      <c r="AR425" s="438"/>
      <c r="AS425" s="438"/>
      <c r="AT425" s="438"/>
      <c r="AU425" s="438"/>
      <c r="AV425" s="438"/>
      <c r="AW425" s="450" t="str">
        <f t="shared" si="364"/>
        <v>#REF!</v>
      </c>
    </row>
    <row r="426">
      <c r="A426" s="419" t="s">
        <v>2433</v>
      </c>
      <c r="B426" s="436" t="s">
        <v>2434</v>
      </c>
      <c r="C426" s="436"/>
      <c r="D426" s="436" t="s">
        <v>2425</v>
      </c>
      <c r="E426" s="436"/>
      <c r="F426" s="436" t="s">
        <v>2435</v>
      </c>
      <c r="G426" s="436" t="s">
        <v>169</v>
      </c>
      <c r="H426" s="436" t="s">
        <v>1479</v>
      </c>
      <c r="I426" s="436" t="s">
        <v>2427</v>
      </c>
      <c r="J426" s="436">
        <v>4900.0</v>
      </c>
      <c r="K426" s="436"/>
      <c r="L426" s="436" t="s">
        <v>589</v>
      </c>
      <c r="M426" s="439"/>
      <c r="N426" s="422">
        <v>13.747</v>
      </c>
      <c r="O426" s="422">
        <v>7.066</v>
      </c>
      <c r="P426" s="422"/>
      <c r="Q426" s="436" t="s">
        <v>2428</v>
      </c>
      <c r="R426" s="436" t="s">
        <v>2429</v>
      </c>
      <c r="S426" s="436" t="s">
        <v>2430</v>
      </c>
      <c r="T426" s="419" t="s">
        <v>162</v>
      </c>
      <c r="U426" s="436" t="s">
        <v>2431</v>
      </c>
      <c r="V426" s="451">
        <v>1.5852E30</v>
      </c>
      <c r="W426" s="468"/>
      <c r="X426" s="436"/>
      <c r="Y426" s="442" t="str">
        <f>IF((W426/((J426/5780)^4))^0.5&gt;0,(W426/((J426/5780)^4))^0.5,"")</f>
        <v/>
      </c>
      <c r="Z426" s="469"/>
      <c r="AA426" s="470"/>
      <c r="AB426" s="470"/>
      <c r="AC426" s="436" t="str">
        <f>IF(ISNUMBER(VLOOKUP(B426,'New Masses'!A:C,3,FALSE)),VLOOKUP(B426,'New Masses'!A:C,3,FALSE),"")</f>
        <v/>
      </c>
      <c r="AD426" s="440"/>
      <c r="AE426" s="436"/>
      <c r="AF426" s="438"/>
      <c r="AG426" s="459"/>
      <c r="AH426" s="436"/>
      <c r="AI426" s="446" t="str">
        <f>IF(ISNUMBER(VLOOKUP(B426,'New Masses'!A:C,2, FALSE)),VLOOKUP(B426,'New Masses'!A:C,2, FALSE),"")</f>
        <v/>
      </c>
      <c r="AJ426" s="438"/>
      <c r="AK426" s="436"/>
      <c r="AL426" s="436">
        <v>0.28</v>
      </c>
      <c r="AM426" s="438"/>
      <c r="AN426" s="436">
        <v>1.0</v>
      </c>
      <c r="AO426" s="438"/>
      <c r="AP426" s="438"/>
      <c r="AQ426" s="438"/>
      <c r="AR426" s="438"/>
      <c r="AS426" s="438"/>
      <c r="AT426" s="438"/>
      <c r="AU426" s="438"/>
      <c r="AV426" s="438"/>
      <c r="AW426" s="450"/>
    </row>
    <row r="427">
      <c r="A427" s="435" t="str">
        <f t="shared" ref="A427:C427" si="365">#REF!</f>
        <v>#REF!</v>
      </c>
      <c r="B427" s="485" t="str">
        <f t="shared" si="365"/>
        <v>#REF!</v>
      </c>
      <c r="C427" s="486" t="str">
        <f t="shared" si="365"/>
        <v>#REF!</v>
      </c>
      <c r="D427" s="486"/>
      <c r="E427" s="486"/>
      <c r="F427" s="528"/>
      <c r="G427" s="486"/>
      <c r="H427" s="486" t="s">
        <v>5917</v>
      </c>
      <c r="I427" s="491"/>
      <c r="J427" s="491"/>
      <c r="K427" s="491"/>
      <c r="L427" s="491"/>
      <c r="M427" s="486"/>
      <c r="N427" s="422"/>
      <c r="O427" s="422"/>
      <c r="P427" s="422"/>
      <c r="Q427" s="486"/>
      <c r="R427" s="491"/>
      <c r="S427" s="491"/>
      <c r="T427" s="491"/>
      <c r="U427" s="491"/>
      <c r="V427" s="491"/>
      <c r="W427" s="493"/>
      <c r="X427" s="486"/>
      <c r="Y427" s="442"/>
      <c r="Z427" s="491"/>
      <c r="AA427" s="524" t="str">
        <f>#REF!</f>
        <v>#REF!</v>
      </c>
      <c r="AB427" s="494"/>
      <c r="AC427" s="436"/>
      <c r="AD427" s="495"/>
      <c r="AE427" s="491"/>
      <c r="AF427" s="491"/>
      <c r="AG427" s="525" t="str">
        <f>#REF!</f>
        <v>#REF!</v>
      </c>
      <c r="AH427" s="491"/>
      <c r="AI427" s="446"/>
      <c r="AJ427" s="491"/>
      <c r="AK427" s="500"/>
      <c r="AL427" s="436"/>
      <c r="AM427" s="438"/>
      <c r="AN427" s="531"/>
      <c r="AO427" s="491"/>
      <c r="AP427" s="438"/>
      <c r="AQ427" s="438"/>
      <c r="AR427" s="438"/>
      <c r="AS427" s="438"/>
      <c r="AT427" s="438"/>
      <c r="AU427" s="438"/>
      <c r="AV427" s="438"/>
      <c r="AW427" s="450" t="str">
        <f>#REF!</f>
        <v>#REF!</v>
      </c>
    </row>
    <row r="428">
      <c r="A428" s="435" t="s">
        <v>567</v>
      </c>
      <c r="B428" s="435" t="s">
        <v>568</v>
      </c>
      <c r="C428" s="440"/>
      <c r="D428" s="440" t="s">
        <v>314</v>
      </c>
      <c r="E428" s="440"/>
      <c r="F428" s="451" t="s">
        <v>2436</v>
      </c>
      <c r="G428" s="440" t="s">
        <v>169</v>
      </c>
      <c r="H428" s="440" t="s">
        <v>476</v>
      </c>
      <c r="I428" s="436">
        <v>2010.0</v>
      </c>
      <c r="J428" s="460">
        <v>4205.0</v>
      </c>
      <c r="K428" s="460">
        <v>193.0</v>
      </c>
      <c r="L428" s="460" t="s">
        <v>453</v>
      </c>
      <c r="M428" s="461">
        <v>1.0</v>
      </c>
      <c r="N428" s="422"/>
      <c r="O428" s="422"/>
      <c r="P428" s="422"/>
      <c r="Q428" s="440" t="s">
        <v>2189</v>
      </c>
      <c r="R428" s="451" t="s">
        <v>2190</v>
      </c>
      <c r="S428" s="451" t="s">
        <v>2191</v>
      </c>
      <c r="T428" s="462" t="s">
        <v>162</v>
      </c>
      <c r="U428" s="451" t="s">
        <v>2192</v>
      </c>
      <c r="V428" s="440"/>
      <c r="W428" s="514">
        <v>1.4454</v>
      </c>
      <c r="X428" s="447">
        <v>0.626</v>
      </c>
      <c r="Y428" s="442">
        <f>IF((W428/((J428/5780)^4))^0.5&gt;0,(W428/((J428/5780)^4))^0.5,"")</f>
        <v>2.271525946</v>
      </c>
      <c r="Z428" s="464" t="str">
        <f>0.5*((X424/W424)^2 + 16*(K424/J424)^2)^0.5</f>
        <v>#DIV/0!</v>
      </c>
      <c r="AA428" s="465">
        <v>2.26</v>
      </c>
      <c r="AB428" s="465">
        <v>0.53</v>
      </c>
      <c r="AC428" s="436" t="str">
        <f>IF(ISNUMBER(VLOOKUP(B428,'New Masses'!A:C,3,FALSE)),VLOOKUP(B428,'New Masses'!A:C,3,FALSE),"")</f>
        <v/>
      </c>
      <c r="AD428" s="440">
        <f>10^AE428</f>
        <v>0.00000001905460718</v>
      </c>
      <c r="AE428" s="460">
        <v>-7.72</v>
      </c>
      <c r="AF428" s="440"/>
      <c r="AG428" s="445">
        <v>0.51</v>
      </c>
      <c r="AH428" s="460">
        <v>0.14</v>
      </c>
      <c r="AI428" s="446" t="str">
        <f>IF(ISNUMBER(VLOOKUP(B428,'New Masses'!A:C,2, FALSE)),VLOOKUP(B428,'New Masses'!A:C,2, FALSE),"")</f>
        <v/>
      </c>
      <c r="AJ428" s="440">
        <f>LOG10(AG428)</f>
        <v>-0.2924298239</v>
      </c>
      <c r="AK428" s="460"/>
      <c r="AL428" s="460">
        <v>-0.7</v>
      </c>
      <c r="AM428" s="466">
        <v>43900.0</v>
      </c>
      <c r="AN428" s="436">
        <v>3.0</v>
      </c>
      <c r="AO428" s="440"/>
      <c r="AP428" s="440"/>
      <c r="AQ428" s="440"/>
      <c r="AR428" s="440"/>
      <c r="AS428" s="440"/>
      <c r="AT428" s="440"/>
      <c r="AU428" s="440"/>
      <c r="AV428" s="440"/>
      <c r="AW428" s="515">
        <v>151.8187891</v>
      </c>
    </row>
    <row r="429">
      <c r="A429" s="435" t="str">
        <f t="shared" ref="A429:C429" si="366">#REF!</f>
        <v>#REF!</v>
      </c>
      <c r="B429" s="485" t="str">
        <f t="shared" si="366"/>
        <v>#REF!</v>
      </c>
      <c r="C429" s="486" t="str">
        <f t="shared" si="366"/>
        <v>#REF!</v>
      </c>
      <c r="D429" s="486"/>
      <c r="E429" s="486"/>
      <c r="F429" s="528"/>
      <c r="G429" s="486"/>
      <c r="H429" s="486" t="s">
        <v>5917</v>
      </c>
      <c r="I429" s="491"/>
      <c r="J429" s="491"/>
      <c r="K429" s="491"/>
      <c r="L429" s="491"/>
      <c r="M429" s="486"/>
      <c r="N429" s="422"/>
      <c r="O429" s="422"/>
      <c r="P429" s="422"/>
      <c r="Q429" s="486"/>
      <c r="R429" s="491"/>
      <c r="S429" s="491"/>
      <c r="T429" s="491"/>
      <c r="U429" s="491"/>
      <c r="V429" s="491"/>
      <c r="W429" s="493"/>
      <c r="X429" s="486"/>
      <c r="Y429" s="442"/>
      <c r="Z429" s="491"/>
      <c r="AA429" s="524" t="str">
        <f>#REF!</f>
        <v>#REF!</v>
      </c>
      <c r="AB429" s="494"/>
      <c r="AC429" s="436"/>
      <c r="AD429" s="495"/>
      <c r="AE429" s="491"/>
      <c r="AF429" s="491"/>
      <c r="AG429" s="525" t="str">
        <f>#REF!</f>
        <v>#REF!</v>
      </c>
      <c r="AH429" s="491"/>
      <c r="AI429" s="446"/>
      <c r="AJ429" s="491"/>
      <c r="AK429" s="500"/>
      <c r="AL429" s="436"/>
      <c r="AM429" s="438"/>
      <c r="AN429" s="531"/>
      <c r="AO429" s="491"/>
      <c r="AP429" s="438"/>
      <c r="AQ429" s="438"/>
      <c r="AR429" s="438"/>
      <c r="AS429" s="438"/>
      <c r="AT429" s="438"/>
      <c r="AU429" s="438"/>
      <c r="AV429" s="438"/>
      <c r="AW429" s="450" t="str">
        <f>#REF!</f>
        <v>#REF!</v>
      </c>
    </row>
    <row r="430">
      <c r="A430" s="419" t="s">
        <v>2437</v>
      </c>
      <c r="B430" s="419" t="s">
        <v>313</v>
      </c>
      <c r="C430" s="438"/>
      <c r="D430" s="420" t="s">
        <v>314</v>
      </c>
      <c r="E430" s="420"/>
      <c r="F430" s="420" t="s">
        <v>2438</v>
      </c>
      <c r="G430" s="420" t="s">
        <v>189</v>
      </c>
      <c r="H430" s="420" t="s">
        <v>291</v>
      </c>
      <c r="I430" s="516">
        <v>40951.0</v>
      </c>
      <c r="J430" s="436">
        <v>2400.0</v>
      </c>
      <c r="K430" s="436"/>
      <c r="L430" s="420" t="s">
        <v>621</v>
      </c>
      <c r="M430" s="429"/>
      <c r="N430" s="422"/>
      <c r="O430" s="422"/>
      <c r="P430" s="422"/>
      <c r="Q430" s="420" t="s">
        <v>2439</v>
      </c>
      <c r="R430" s="420" t="s">
        <v>2176</v>
      </c>
      <c r="S430" s="420" t="s">
        <v>292</v>
      </c>
      <c r="T430" s="420" t="s">
        <v>293</v>
      </c>
      <c r="U430" s="420" t="s">
        <v>294</v>
      </c>
      <c r="V430" s="440">
        <v>1.3E-16</v>
      </c>
      <c r="W430" s="468"/>
      <c r="X430" s="436"/>
      <c r="Y430" s="442" t="str">
        <f t="shared" ref="Y430:Y431" si="367">IF((W430/((J430/5780)^4))^0.5&gt;0,(W430/((J430/5780)^4))^0.5,"")</f>
        <v/>
      </c>
      <c r="Z430" s="469"/>
      <c r="AA430" s="470">
        <f t="shared" ref="AA430:AA431" si="368">0.10049*4.6</f>
        <v>0.462254</v>
      </c>
      <c r="AB430" s="470">
        <f t="shared" ref="AB430:AB431" si="369">1.4*0.10049</f>
        <v>0.140686</v>
      </c>
      <c r="AC430" s="436" t="str">
        <f>IF(ISNUMBER(VLOOKUP(B430,'New Masses'!A:C,3,FALSE)),VLOOKUP(B430,'New Masses'!A:C,3,FALSE),"")</f>
        <v/>
      </c>
      <c r="AD430" s="451">
        <f t="shared" ref="AD430:AD431" si="370">10^(AE430)</f>
        <v>0.0000000005011872336</v>
      </c>
      <c r="AE430" s="436">
        <v>-9.3</v>
      </c>
      <c r="AF430" s="438"/>
      <c r="AG430" s="459">
        <f>0.0009543*31</f>
        <v>0.0295833</v>
      </c>
      <c r="AH430" s="436">
        <f>10/1048</f>
        <v>0.009541984733</v>
      </c>
      <c r="AI430" s="446" t="str">
        <f>IF(ISNUMBER(VLOOKUP(B430,'New Masses'!A:C,2, FALSE)),VLOOKUP(B430,'New Masses'!A:C,2, FALSE),"")</f>
        <v/>
      </c>
      <c r="AJ430" s="438"/>
      <c r="AK430" s="438"/>
      <c r="AL430" s="436">
        <v>-2.9</v>
      </c>
      <c r="AM430" s="466">
        <v>43900.0</v>
      </c>
      <c r="AN430" s="419">
        <v>3.0</v>
      </c>
      <c r="AO430" s="421" t="s">
        <v>5918</v>
      </c>
      <c r="AP430" s="517">
        <v>1.6</v>
      </c>
      <c r="AQ430" s="518"/>
      <c r="AR430" s="519" t="s">
        <v>2440</v>
      </c>
      <c r="AS430" s="518"/>
      <c r="AT430" s="518"/>
      <c r="AU430" s="420" t="s">
        <v>2441</v>
      </c>
      <c r="AV430" s="526" t="s">
        <v>2445</v>
      </c>
      <c r="AW430" s="515">
        <v>155.0</v>
      </c>
    </row>
    <row r="431">
      <c r="A431" s="419" t="s">
        <v>2437</v>
      </c>
      <c r="B431" s="419" t="s">
        <v>313</v>
      </c>
      <c r="C431" s="438"/>
      <c r="D431" s="420" t="s">
        <v>314</v>
      </c>
      <c r="E431" s="420"/>
      <c r="F431" s="420" t="s">
        <v>2438</v>
      </c>
      <c r="G431" s="420" t="s">
        <v>189</v>
      </c>
      <c r="H431" s="420" t="s">
        <v>291</v>
      </c>
      <c r="I431" s="516">
        <v>40951.0</v>
      </c>
      <c r="J431" s="419">
        <v>2050.0</v>
      </c>
      <c r="K431" s="436">
        <v>350.0</v>
      </c>
      <c r="L431" s="420" t="s">
        <v>621</v>
      </c>
      <c r="M431" s="429"/>
      <c r="N431" s="422"/>
      <c r="O431" s="422"/>
      <c r="P431" s="422"/>
      <c r="Q431" s="420" t="s">
        <v>2439</v>
      </c>
      <c r="R431" s="420" t="s">
        <v>2176</v>
      </c>
      <c r="S431" s="420" t="s">
        <v>292</v>
      </c>
      <c r="T431" s="420" t="s">
        <v>293</v>
      </c>
      <c r="U431" s="420" t="s">
        <v>294</v>
      </c>
      <c r="V431" s="440">
        <v>1.3E-16</v>
      </c>
      <c r="W431" s="468"/>
      <c r="X431" s="436"/>
      <c r="Y431" s="442" t="str">
        <f t="shared" si="367"/>
        <v/>
      </c>
      <c r="Z431" s="469"/>
      <c r="AA431" s="470">
        <f t="shared" si="368"/>
        <v>0.462254</v>
      </c>
      <c r="AB431" s="470">
        <f t="shared" si="369"/>
        <v>0.140686</v>
      </c>
      <c r="AC431" s="436" t="str">
        <f>IF(ISNUMBER(VLOOKUP(B431,'New Masses'!A:C,3,FALSE)),VLOOKUP(B431,'New Masses'!A:C,3,FALSE),"")</f>
        <v/>
      </c>
      <c r="AD431" s="451">
        <f t="shared" si="370"/>
        <v>0.0000000005011872336</v>
      </c>
      <c r="AE431" s="436">
        <v>-9.3</v>
      </c>
      <c r="AF431" s="438"/>
      <c r="AG431" s="459">
        <f>0.0009543*24</f>
        <v>0.0229032</v>
      </c>
      <c r="AH431" s="420">
        <f>12/1048</f>
        <v>0.01145038168</v>
      </c>
      <c r="AI431" s="446" t="str">
        <f>IF(ISNUMBER(VLOOKUP(B431,'New Masses'!A:C,2, FALSE)),VLOOKUP(B431,'New Masses'!A:C,2, FALSE),"")</f>
        <v/>
      </c>
      <c r="AJ431" s="420"/>
      <c r="AK431" s="420"/>
      <c r="AL431" s="436">
        <v>-2.9</v>
      </c>
      <c r="AM431" s="466">
        <v>43900.0</v>
      </c>
      <c r="AN431" s="419">
        <v>3.0</v>
      </c>
      <c r="AO431" s="421" t="s">
        <v>5918</v>
      </c>
      <c r="AP431" s="517">
        <v>1.6</v>
      </c>
      <c r="AQ431" s="518"/>
      <c r="AR431" s="519" t="s">
        <v>2440</v>
      </c>
      <c r="AS431" s="518"/>
      <c r="AT431" s="518"/>
      <c r="AU431" s="420" t="s">
        <v>2441</v>
      </c>
      <c r="AV431" s="520" t="s">
        <v>2442</v>
      </c>
      <c r="AW431" s="515">
        <v>155.0</v>
      </c>
    </row>
    <row r="432">
      <c r="A432" s="521" t="s">
        <v>2437</v>
      </c>
      <c r="B432" s="485" t="s">
        <v>313</v>
      </c>
      <c r="C432" s="486"/>
      <c r="D432" s="492" t="s">
        <v>314</v>
      </c>
      <c r="E432" s="492"/>
      <c r="F432" s="522" t="s">
        <v>2438</v>
      </c>
      <c r="G432" s="522" t="s">
        <v>189</v>
      </c>
      <c r="H432" s="523" t="s">
        <v>1626</v>
      </c>
      <c r="I432" s="491"/>
      <c r="J432" s="477">
        <v>2400.0</v>
      </c>
      <c r="K432" s="486">
        <v>100.0</v>
      </c>
      <c r="L432" s="486"/>
      <c r="M432" s="486"/>
      <c r="N432" s="422"/>
      <c r="O432" s="422"/>
      <c r="P432" s="422"/>
      <c r="Q432" s="486"/>
      <c r="R432" s="486" t="s">
        <v>2443</v>
      </c>
      <c r="S432" s="486" t="s">
        <v>2444</v>
      </c>
      <c r="T432" s="486" t="s">
        <v>2379</v>
      </c>
      <c r="U432" s="486" t="s">
        <v>2178</v>
      </c>
      <c r="V432" s="491"/>
      <c r="W432" s="493"/>
      <c r="X432" s="486"/>
      <c r="Y432" s="442"/>
      <c r="Z432" s="491"/>
      <c r="AA432" s="524">
        <f>3.4*0.10049</f>
        <v>0.341666</v>
      </c>
      <c r="AB432" s="494">
        <f>1.1*0.10049</f>
        <v>0.110539</v>
      </c>
      <c r="AC432" s="436" t="str">
        <f>IF(ISNUMBER(VLOOKUP(B432,'New Masses'!A:C,3,FALSE)),VLOOKUP(B432,'New Masses'!A:C,3,FALSE),"")</f>
        <v/>
      </c>
      <c r="AD432" s="495">
        <f>5E-12</f>
        <v>0</v>
      </c>
      <c r="AE432" s="491"/>
      <c r="AF432" s="491"/>
      <c r="AG432" s="525">
        <f>25/1048</f>
        <v>0.02385496183</v>
      </c>
      <c r="AH432" s="491">
        <f>15/1048</f>
        <v>0.0143129771</v>
      </c>
      <c r="AI432" s="446"/>
      <c r="AJ432" s="491"/>
      <c r="AK432" s="500"/>
      <c r="AL432" s="436"/>
      <c r="AM432" s="438"/>
      <c r="AN432" s="497">
        <v>3.0</v>
      </c>
      <c r="AO432" s="486" t="s">
        <v>5918</v>
      </c>
      <c r="AP432" s="454">
        <v>1.6</v>
      </c>
      <c r="AQ432" s="438"/>
      <c r="AR432" s="419" t="s">
        <v>2440</v>
      </c>
      <c r="AS432" s="438"/>
      <c r="AT432" s="438"/>
      <c r="AU432" s="438"/>
      <c r="AV432" s="438"/>
      <c r="AW432" s="450"/>
    </row>
    <row r="433">
      <c r="A433" s="435" t="str">
        <f t="shared" ref="A433:C433" si="371">#REF!</f>
        <v>#REF!</v>
      </c>
      <c r="B433" s="485" t="str">
        <f t="shared" si="371"/>
        <v>#REF!</v>
      </c>
      <c r="C433" s="486" t="str">
        <f t="shared" si="371"/>
        <v>#REF!</v>
      </c>
      <c r="D433" s="486"/>
      <c r="E433" s="486"/>
      <c r="F433" s="528"/>
      <c r="G433" s="486"/>
      <c r="H433" s="486" t="s">
        <v>5917</v>
      </c>
      <c r="I433" s="491"/>
      <c r="J433" s="491"/>
      <c r="K433" s="491"/>
      <c r="L433" s="491"/>
      <c r="M433" s="486"/>
      <c r="N433" s="422"/>
      <c r="O433" s="422"/>
      <c r="P433" s="422"/>
      <c r="Q433" s="486"/>
      <c r="R433" s="491"/>
      <c r="S433" s="491"/>
      <c r="T433" s="491"/>
      <c r="U433" s="491"/>
      <c r="V433" s="491"/>
      <c r="W433" s="493"/>
      <c r="X433" s="486"/>
      <c r="Y433" s="442"/>
      <c r="Z433" s="491"/>
      <c r="AA433" s="524" t="str">
        <f t="shared" ref="AA433:AA435" si="373">#REF!</f>
        <v>#REF!</v>
      </c>
      <c r="AB433" s="494"/>
      <c r="AC433" s="436"/>
      <c r="AD433" s="495"/>
      <c r="AE433" s="491"/>
      <c r="AF433" s="491"/>
      <c r="AG433" s="525" t="str">
        <f t="shared" ref="AG433:AG435" si="374">#REF!</f>
        <v>#REF!</v>
      </c>
      <c r="AH433" s="491"/>
      <c r="AI433" s="446"/>
      <c r="AJ433" s="491"/>
      <c r="AK433" s="500"/>
      <c r="AL433" s="436"/>
      <c r="AM433" s="438"/>
      <c r="AN433" s="531"/>
      <c r="AO433" s="491"/>
      <c r="AP433" s="438"/>
      <c r="AQ433" s="438"/>
      <c r="AR433" s="438"/>
      <c r="AS433" s="438"/>
      <c r="AT433" s="438"/>
      <c r="AU433" s="438"/>
      <c r="AV433" s="438"/>
      <c r="AW433" s="450" t="str">
        <f t="shared" ref="AW433:AW435" si="375">#REF!</f>
        <v>#REF!</v>
      </c>
    </row>
    <row r="434">
      <c r="A434" s="435" t="str">
        <f t="shared" ref="A434:C434" si="372">#REF!</f>
        <v>#REF!</v>
      </c>
      <c r="B434" s="485" t="str">
        <f t="shared" si="372"/>
        <v>#REF!</v>
      </c>
      <c r="C434" s="486" t="str">
        <f t="shared" si="372"/>
        <v>#REF!</v>
      </c>
      <c r="D434" s="486"/>
      <c r="E434" s="486"/>
      <c r="F434" s="528"/>
      <c r="G434" s="486"/>
      <c r="H434" s="486" t="s">
        <v>5917</v>
      </c>
      <c r="I434" s="491"/>
      <c r="J434" s="491"/>
      <c r="K434" s="491"/>
      <c r="L434" s="491"/>
      <c r="M434" s="486"/>
      <c r="N434" s="422"/>
      <c r="O434" s="422"/>
      <c r="P434" s="422"/>
      <c r="Q434" s="486"/>
      <c r="R434" s="491"/>
      <c r="S434" s="491"/>
      <c r="T434" s="491"/>
      <c r="U434" s="491"/>
      <c r="V434" s="491"/>
      <c r="W434" s="493"/>
      <c r="X434" s="486"/>
      <c r="Y434" s="442"/>
      <c r="Z434" s="491"/>
      <c r="AA434" s="524" t="str">
        <f t="shared" si="373"/>
        <v>#REF!</v>
      </c>
      <c r="AB434" s="494"/>
      <c r="AC434" s="436"/>
      <c r="AD434" s="495"/>
      <c r="AE434" s="491"/>
      <c r="AF434" s="491"/>
      <c r="AG434" s="525" t="str">
        <f t="shared" si="374"/>
        <v>#REF!</v>
      </c>
      <c r="AH434" s="491"/>
      <c r="AI434" s="446"/>
      <c r="AJ434" s="491"/>
      <c r="AK434" s="500"/>
      <c r="AL434" s="436"/>
      <c r="AM434" s="438"/>
      <c r="AN434" s="531"/>
      <c r="AO434" s="491"/>
      <c r="AP434" s="438"/>
      <c r="AQ434" s="438"/>
      <c r="AR434" s="438"/>
      <c r="AS434" s="438"/>
      <c r="AT434" s="438"/>
      <c r="AU434" s="438"/>
      <c r="AV434" s="438"/>
      <c r="AW434" s="450" t="str">
        <f t="shared" si="375"/>
        <v>#REF!</v>
      </c>
    </row>
    <row r="435">
      <c r="A435" s="435" t="str">
        <f t="shared" ref="A435:C435" si="376">#REF!</f>
        <v>#REF!</v>
      </c>
      <c r="B435" s="485" t="str">
        <f t="shared" si="376"/>
        <v>#REF!</v>
      </c>
      <c r="C435" s="486" t="str">
        <f t="shared" si="376"/>
        <v>#REF!</v>
      </c>
      <c r="D435" s="486"/>
      <c r="E435" s="486"/>
      <c r="F435" s="528"/>
      <c r="G435" s="486"/>
      <c r="H435" s="486" t="s">
        <v>5917</v>
      </c>
      <c r="I435" s="491"/>
      <c r="J435" s="491"/>
      <c r="K435" s="491"/>
      <c r="L435" s="491"/>
      <c r="M435" s="486"/>
      <c r="N435" s="422"/>
      <c r="O435" s="422"/>
      <c r="P435" s="422"/>
      <c r="Q435" s="486"/>
      <c r="R435" s="491"/>
      <c r="S435" s="491"/>
      <c r="T435" s="491"/>
      <c r="U435" s="491"/>
      <c r="V435" s="491"/>
      <c r="W435" s="493"/>
      <c r="X435" s="486"/>
      <c r="Y435" s="442"/>
      <c r="Z435" s="491"/>
      <c r="AA435" s="524" t="str">
        <f t="shared" si="373"/>
        <v>#REF!</v>
      </c>
      <c r="AB435" s="494"/>
      <c r="AC435" s="436"/>
      <c r="AD435" s="495"/>
      <c r="AE435" s="491"/>
      <c r="AF435" s="491"/>
      <c r="AG435" s="525" t="str">
        <f t="shared" si="374"/>
        <v>#REF!</v>
      </c>
      <c r="AH435" s="491"/>
      <c r="AI435" s="446"/>
      <c r="AJ435" s="491"/>
      <c r="AK435" s="500"/>
      <c r="AL435" s="436"/>
      <c r="AM435" s="438"/>
      <c r="AN435" s="531"/>
      <c r="AO435" s="491"/>
      <c r="AP435" s="438"/>
      <c r="AQ435" s="438"/>
      <c r="AR435" s="438"/>
      <c r="AS435" s="438"/>
      <c r="AT435" s="438"/>
      <c r="AU435" s="438"/>
      <c r="AV435" s="438"/>
      <c r="AW435" s="450" t="str">
        <f t="shared" si="375"/>
        <v>#REF!</v>
      </c>
    </row>
    <row r="436">
      <c r="A436" s="436" t="s">
        <v>627</v>
      </c>
      <c r="B436" s="436" t="s">
        <v>627</v>
      </c>
      <c r="C436" s="438"/>
      <c r="D436" s="420" t="s">
        <v>268</v>
      </c>
      <c r="E436" s="420"/>
      <c r="F436" s="420" t="s">
        <v>2446</v>
      </c>
      <c r="G436" s="420" t="s">
        <v>159</v>
      </c>
      <c r="H436" s="420" t="s">
        <v>598</v>
      </c>
      <c r="I436" s="467">
        <v>37985.0</v>
      </c>
      <c r="J436" s="436">
        <v>2710.0</v>
      </c>
      <c r="K436" s="436"/>
      <c r="L436" s="420" t="s">
        <v>318</v>
      </c>
      <c r="M436" s="429"/>
      <c r="N436" s="422">
        <v>13.53</v>
      </c>
      <c r="O436" s="422">
        <v>12.446</v>
      </c>
      <c r="P436" s="422"/>
      <c r="Q436" s="420" t="s">
        <v>2194</v>
      </c>
      <c r="R436" s="420" t="s">
        <v>2195</v>
      </c>
      <c r="S436" s="420" t="s">
        <v>2196</v>
      </c>
      <c r="T436" s="420" t="s">
        <v>596</v>
      </c>
      <c r="U436" s="420" t="s">
        <v>597</v>
      </c>
      <c r="V436" s="440"/>
      <c r="W436" s="468"/>
      <c r="X436" s="436"/>
      <c r="Y436" s="442" t="str">
        <f>IF((W436/((J436/5780)^4))^0.5&gt;0,(W436/((J436/5780)^4))^0.5,"")</f>
        <v/>
      </c>
      <c r="Z436" s="469"/>
      <c r="AA436" s="470">
        <v>0.48</v>
      </c>
      <c r="AB436" s="470"/>
      <c r="AC436" s="469">
        <f>IF(ISNUMBER(VLOOKUP(B436,'New Masses'!A:C,3,FALSE)),VLOOKUP(B436,'New Masses'!A:C,3,FALSE),"")</f>
        <v>0.350018</v>
      </c>
      <c r="AD436" s="440">
        <f>10^AE436</f>
        <v>0</v>
      </c>
      <c r="AE436" s="436">
        <v>-12.0</v>
      </c>
      <c r="AF436" s="438"/>
      <c r="AG436" s="459">
        <v>0.03</v>
      </c>
      <c r="AH436" s="436"/>
      <c r="AI436" s="446">
        <f>IF(ISNUMBER(VLOOKUP(B436,'New Masses'!A:C,2, FALSE)),VLOOKUP(B436,'New Masses'!A:C,2, FALSE),"")</f>
        <v>0.025752</v>
      </c>
      <c r="AJ436" s="436"/>
      <c r="AK436" s="438"/>
      <c r="AL436" s="438"/>
      <c r="AM436" s="438"/>
      <c r="AN436" s="436">
        <v>2.0</v>
      </c>
      <c r="AO436" s="438"/>
      <c r="AP436" s="436">
        <v>0.0</v>
      </c>
      <c r="AQ436" s="420"/>
      <c r="AR436" s="420" t="s">
        <v>628</v>
      </c>
      <c r="AS436" s="420"/>
      <c r="AT436" s="420" t="s">
        <v>5916</v>
      </c>
      <c r="AU436" s="420" t="s">
        <v>629</v>
      </c>
      <c r="AV436" s="438"/>
      <c r="AW436" s="450">
        <v>190.16106642326</v>
      </c>
    </row>
    <row r="437">
      <c r="A437" s="435" t="str">
        <f t="shared" ref="A437:C437" si="377">#REF!</f>
        <v>#REF!</v>
      </c>
      <c r="B437" s="485" t="str">
        <f t="shared" si="377"/>
        <v>#REF!</v>
      </c>
      <c r="C437" s="486" t="str">
        <f t="shared" si="377"/>
        <v>#REF!</v>
      </c>
      <c r="D437" s="486"/>
      <c r="E437" s="486"/>
      <c r="F437" s="528"/>
      <c r="G437" s="486"/>
      <c r="H437" s="486" t="s">
        <v>5917</v>
      </c>
      <c r="I437" s="491"/>
      <c r="J437" s="491"/>
      <c r="K437" s="491"/>
      <c r="L437" s="491"/>
      <c r="M437" s="486"/>
      <c r="N437" s="422"/>
      <c r="O437" s="422"/>
      <c r="P437" s="422"/>
      <c r="Q437" s="486"/>
      <c r="R437" s="491"/>
      <c r="S437" s="491"/>
      <c r="T437" s="491"/>
      <c r="U437" s="491"/>
      <c r="V437" s="491"/>
      <c r="W437" s="493"/>
      <c r="X437" s="486"/>
      <c r="Y437" s="442"/>
      <c r="Z437" s="491"/>
      <c r="AA437" s="524" t="str">
        <f>#REF!</f>
        <v>#REF!</v>
      </c>
      <c r="AB437" s="494"/>
      <c r="AC437" s="436"/>
      <c r="AD437" s="495"/>
      <c r="AE437" s="491"/>
      <c r="AF437" s="491"/>
      <c r="AG437" s="525" t="str">
        <f>#REF!</f>
        <v>#REF!</v>
      </c>
      <c r="AH437" s="491"/>
      <c r="AI437" s="446"/>
      <c r="AJ437" s="491"/>
      <c r="AK437" s="500"/>
      <c r="AL437" s="436"/>
      <c r="AM437" s="438"/>
      <c r="AN437" s="531"/>
      <c r="AO437" s="491"/>
      <c r="AP437" s="438"/>
      <c r="AQ437" s="438"/>
      <c r="AR437" s="438"/>
      <c r="AS437" s="438"/>
      <c r="AT437" s="438"/>
      <c r="AU437" s="438"/>
      <c r="AV437" s="438"/>
      <c r="AW437" s="450" t="str">
        <f>#REF!</f>
        <v>#REF!</v>
      </c>
    </row>
    <row r="438">
      <c r="A438" s="436" t="s">
        <v>666</v>
      </c>
      <c r="B438" s="436" t="s">
        <v>666</v>
      </c>
      <c r="C438" s="438"/>
      <c r="D438" s="420" t="s">
        <v>268</v>
      </c>
      <c r="E438" s="420"/>
      <c r="F438" s="420" t="s">
        <v>2447</v>
      </c>
      <c r="G438" s="420" t="s">
        <v>169</v>
      </c>
      <c r="H438" s="420" t="s">
        <v>598</v>
      </c>
      <c r="I438" s="467">
        <v>37985.0</v>
      </c>
      <c r="J438" s="436">
        <v>2990.0</v>
      </c>
      <c r="K438" s="436"/>
      <c r="L438" s="420" t="s">
        <v>353</v>
      </c>
      <c r="M438" s="429"/>
      <c r="N438" s="422">
        <v>14.22</v>
      </c>
      <c r="O438" s="422">
        <v>13.067</v>
      </c>
      <c r="P438" s="422"/>
      <c r="Q438" s="420" t="s">
        <v>2194</v>
      </c>
      <c r="R438" s="420" t="s">
        <v>2195</v>
      </c>
      <c r="S438" s="420" t="s">
        <v>2196</v>
      </c>
      <c r="T438" s="420" t="s">
        <v>596</v>
      </c>
      <c r="U438" s="420" t="s">
        <v>597</v>
      </c>
      <c r="V438" s="440"/>
      <c r="W438" s="468"/>
      <c r="X438" s="436"/>
      <c r="Y438" s="442" t="str">
        <f>IF((W438/((J438/5780)^4))^0.5&gt;0,(W438/((J438/5780)^4))^0.5,"")</f>
        <v/>
      </c>
      <c r="Z438" s="469"/>
      <c r="AA438" s="470">
        <v>0.39</v>
      </c>
      <c r="AB438" s="470"/>
      <c r="AC438" s="469">
        <f>IF(ISNUMBER(VLOOKUP(B438,'New Masses'!A:C,3,FALSE)),VLOOKUP(B438,'New Masses'!A:C,3,FALSE),"")</f>
        <v>0.637798</v>
      </c>
      <c r="AD438" s="440">
        <f>10^AE438</f>
        <v>0.0000000001</v>
      </c>
      <c r="AE438" s="436">
        <v>-10.0</v>
      </c>
      <c r="AF438" s="438"/>
      <c r="AG438" s="459">
        <v>0.07</v>
      </c>
      <c r="AH438" s="436"/>
      <c r="AI438" s="446">
        <f>IF(ISNUMBER(VLOOKUP(B438,'New Masses'!A:C,2, FALSE)),VLOOKUP(B438,'New Masses'!A:C,2, FALSE),"")</f>
        <v>0.057198</v>
      </c>
      <c r="AJ438" s="436"/>
      <c r="AK438" s="438"/>
      <c r="AL438" s="438"/>
      <c r="AM438" s="438"/>
      <c r="AN438" s="436">
        <v>2.0</v>
      </c>
      <c r="AO438" s="438"/>
      <c r="AP438" s="436">
        <v>1.6</v>
      </c>
      <c r="AQ438" s="438"/>
      <c r="AR438" s="420" t="s">
        <v>628</v>
      </c>
      <c r="AS438" s="420"/>
      <c r="AT438" s="438"/>
      <c r="AU438" s="420" t="s">
        <v>629</v>
      </c>
      <c r="AV438" s="438"/>
      <c r="AW438" s="450">
        <v>187.136253906469</v>
      </c>
    </row>
    <row r="439">
      <c r="A439" s="435" t="str">
        <f t="shared" ref="A439:C439" si="378">#REF!</f>
        <v>#REF!</v>
      </c>
      <c r="B439" s="485" t="str">
        <f t="shared" si="378"/>
        <v>#REF!</v>
      </c>
      <c r="C439" s="486" t="str">
        <f t="shared" si="378"/>
        <v>#REF!</v>
      </c>
      <c r="D439" s="486"/>
      <c r="E439" s="486"/>
      <c r="F439" s="528"/>
      <c r="G439" s="486"/>
      <c r="H439" s="486" t="s">
        <v>5917</v>
      </c>
      <c r="I439" s="491"/>
      <c r="J439" s="491"/>
      <c r="K439" s="491"/>
      <c r="L439" s="491"/>
      <c r="M439" s="486"/>
      <c r="N439" s="422"/>
      <c r="O439" s="422"/>
      <c r="P439" s="422"/>
      <c r="Q439" s="486"/>
      <c r="R439" s="491"/>
      <c r="S439" s="491"/>
      <c r="T439" s="491"/>
      <c r="U439" s="491"/>
      <c r="V439" s="491"/>
      <c r="W439" s="493"/>
      <c r="X439" s="486"/>
      <c r="Y439" s="442"/>
      <c r="Z439" s="491"/>
      <c r="AA439" s="524" t="str">
        <f>#REF!</f>
        <v>#REF!</v>
      </c>
      <c r="AB439" s="494"/>
      <c r="AC439" s="436"/>
      <c r="AD439" s="495"/>
      <c r="AE439" s="491"/>
      <c r="AF439" s="491"/>
      <c r="AG439" s="525" t="str">
        <f>#REF!</f>
        <v>#REF!</v>
      </c>
      <c r="AH439" s="491"/>
      <c r="AI439" s="446"/>
      <c r="AJ439" s="491"/>
      <c r="AK439" s="500"/>
      <c r="AL439" s="436"/>
      <c r="AM439" s="438"/>
      <c r="AN439" s="531"/>
      <c r="AO439" s="491"/>
      <c r="AP439" s="438"/>
      <c r="AQ439" s="438"/>
      <c r="AR439" s="438"/>
      <c r="AS439" s="438"/>
      <c r="AT439" s="438"/>
      <c r="AU439" s="438"/>
      <c r="AV439" s="438"/>
      <c r="AW439" s="450" t="str">
        <f>#REF!</f>
        <v>#REF!</v>
      </c>
    </row>
    <row r="440">
      <c r="A440" s="419" t="s">
        <v>1520</v>
      </c>
      <c r="B440" s="419" t="s">
        <v>1520</v>
      </c>
      <c r="C440" s="436"/>
      <c r="D440" s="436" t="s">
        <v>199</v>
      </c>
      <c r="E440" s="436"/>
      <c r="F440" s="436" t="s">
        <v>2448</v>
      </c>
      <c r="G440" s="436" t="s">
        <v>169</v>
      </c>
      <c r="H440" s="436" t="s">
        <v>1479</v>
      </c>
      <c r="I440" s="436" t="s">
        <v>2427</v>
      </c>
      <c r="J440" s="436">
        <v>4060.0</v>
      </c>
      <c r="K440" s="436"/>
      <c r="L440" s="436" t="s">
        <v>434</v>
      </c>
      <c r="M440" s="439"/>
      <c r="N440" s="422">
        <v>9.48</v>
      </c>
      <c r="O440" s="422">
        <v>7.793</v>
      </c>
      <c r="P440" s="422"/>
      <c r="Q440" s="436" t="s">
        <v>2428</v>
      </c>
      <c r="R440" s="436" t="s">
        <v>2429</v>
      </c>
      <c r="S440" s="436" t="s">
        <v>2430</v>
      </c>
      <c r="T440" s="419" t="s">
        <v>162</v>
      </c>
      <c r="U440" s="436" t="s">
        <v>2431</v>
      </c>
      <c r="V440" s="451">
        <v>1.4457E29</v>
      </c>
      <c r="W440" s="474">
        <v>0.84</v>
      </c>
      <c r="X440" s="436"/>
      <c r="Y440" s="442">
        <f>IF((W440/((J440/5780)^4))^0.5&gt;0,(W440/((J440/5780)^4))^0.5,"")</f>
        <v>1.85756172</v>
      </c>
      <c r="Z440" s="469"/>
      <c r="AA440" s="470"/>
      <c r="AB440" s="470"/>
      <c r="AC440" s="436" t="str">
        <f>IF(ISNUMBER(VLOOKUP(B440,'New Masses'!A:C,3,FALSE)),VLOOKUP(B440,'New Masses'!A:C,3,FALSE),"")</f>
        <v/>
      </c>
      <c r="AD440" s="440">
        <f>10^AE440</f>
        <v>0.00000002089296131</v>
      </c>
      <c r="AE440" s="436">
        <v>-7.68</v>
      </c>
      <c r="AF440" s="438"/>
      <c r="AG440" s="459">
        <v>0.77</v>
      </c>
      <c r="AH440" s="436"/>
      <c r="AI440" s="446" t="str">
        <f>IF(ISNUMBER(VLOOKUP(B440,'New Masses'!A:C,2, FALSE)),VLOOKUP(B440,'New Masses'!A:C,2, FALSE),"")</f>
        <v/>
      </c>
      <c r="AJ440" s="438"/>
      <c r="AK440" s="436"/>
      <c r="AL440" s="436">
        <v>-0.66</v>
      </c>
      <c r="AM440" s="438"/>
      <c r="AN440" s="436">
        <v>1.0</v>
      </c>
      <c r="AO440" s="438"/>
      <c r="AP440" s="438"/>
      <c r="AQ440" s="438"/>
      <c r="AR440" s="438"/>
      <c r="AS440" s="438"/>
      <c r="AT440" s="438"/>
      <c r="AU440" s="480"/>
      <c r="AV440" s="438"/>
      <c r="AW440" s="450">
        <v>158.71000507872</v>
      </c>
    </row>
    <row r="441">
      <c r="A441" s="435" t="str">
        <f t="shared" ref="A441:C441" si="379">#REF!</f>
        <v>#REF!</v>
      </c>
      <c r="B441" s="485" t="str">
        <f t="shared" si="379"/>
        <v>#REF!</v>
      </c>
      <c r="C441" s="486" t="str">
        <f t="shared" si="379"/>
        <v>#REF!</v>
      </c>
      <c r="D441" s="486"/>
      <c r="E441" s="486"/>
      <c r="F441" s="528"/>
      <c r="G441" s="486"/>
      <c r="H441" s="486" t="s">
        <v>5917</v>
      </c>
      <c r="I441" s="491"/>
      <c r="J441" s="491"/>
      <c r="K441" s="491"/>
      <c r="L441" s="491"/>
      <c r="M441" s="486"/>
      <c r="N441" s="422"/>
      <c r="O441" s="422"/>
      <c r="P441" s="422"/>
      <c r="Q441" s="486"/>
      <c r="R441" s="491"/>
      <c r="S441" s="491"/>
      <c r="T441" s="491"/>
      <c r="U441" s="491"/>
      <c r="V441" s="491"/>
      <c r="W441" s="493"/>
      <c r="X441" s="486"/>
      <c r="Y441" s="442"/>
      <c r="Z441" s="491"/>
      <c r="AA441" s="524" t="str">
        <f>#REF!</f>
        <v>#REF!</v>
      </c>
      <c r="AB441" s="494"/>
      <c r="AC441" s="436"/>
      <c r="AD441" s="495"/>
      <c r="AE441" s="491"/>
      <c r="AF441" s="491"/>
      <c r="AG441" s="525" t="str">
        <f>#REF!</f>
        <v>#REF!</v>
      </c>
      <c r="AH441" s="491"/>
      <c r="AI441" s="446"/>
      <c r="AJ441" s="491"/>
      <c r="AK441" s="500"/>
      <c r="AL441" s="436"/>
      <c r="AM441" s="438"/>
      <c r="AN441" s="531"/>
      <c r="AO441" s="491"/>
      <c r="AP441" s="438"/>
      <c r="AQ441" s="438"/>
      <c r="AR441" s="438"/>
      <c r="AS441" s="438"/>
      <c r="AT441" s="438"/>
      <c r="AU441" s="480"/>
      <c r="AV441" s="438"/>
      <c r="AW441" s="450" t="str">
        <f>#REF!</f>
        <v>#REF!</v>
      </c>
    </row>
    <row r="442">
      <c r="A442" s="436" t="s">
        <v>2449</v>
      </c>
      <c r="B442" s="436" t="s">
        <v>2449</v>
      </c>
      <c r="C442" s="436"/>
      <c r="D442" s="436" t="s">
        <v>2425</v>
      </c>
      <c r="E442" s="436"/>
      <c r="F442" s="436" t="s">
        <v>2450</v>
      </c>
      <c r="G442" s="436" t="s">
        <v>169</v>
      </c>
      <c r="H442" s="436" t="s">
        <v>1479</v>
      </c>
      <c r="I442" s="436" t="s">
        <v>2427</v>
      </c>
      <c r="J442" s="436">
        <v>4730.0</v>
      </c>
      <c r="K442" s="436"/>
      <c r="L442" s="436" t="s">
        <v>1471</v>
      </c>
      <c r="M442" s="439"/>
      <c r="N442" s="422">
        <v>13.072</v>
      </c>
      <c r="O442" s="422">
        <v>9.859</v>
      </c>
      <c r="P442" s="422"/>
      <c r="Q442" s="436" t="s">
        <v>2428</v>
      </c>
      <c r="R442" s="436" t="s">
        <v>2429</v>
      </c>
      <c r="S442" s="436" t="s">
        <v>2430</v>
      </c>
      <c r="T442" s="419" t="s">
        <v>162</v>
      </c>
      <c r="U442" s="436" t="s">
        <v>2431</v>
      </c>
      <c r="V442" s="451">
        <v>3.0908E29</v>
      </c>
      <c r="W442" s="468"/>
      <c r="X442" s="436"/>
      <c r="Y442" s="442" t="str">
        <f>IF((W442/((J442/5780)^4))^0.5&gt;0,(W442/((J442/5780)^4))^0.5,"")</f>
        <v/>
      </c>
      <c r="Z442" s="469"/>
      <c r="AA442" s="470"/>
      <c r="AB442" s="470"/>
      <c r="AC442" s="436" t="str">
        <f>IF(ISNUMBER(VLOOKUP(B442,'New Masses'!A:C,3,FALSE)),VLOOKUP(B442,'New Masses'!A:C,3,FALSE),"")</f>
        <v/>
      </c>
      <c r="AD442" s="440"/>
      <c r="AE442" s="436"/>
      <c r="AF442" s="438"/>
      <c r="AG442" s="459"/>
      <c r="AH442" s="436"/>
      <c r="AI442" s="446" t="str">
        <f>IF(ISNUMBER(VLOOKUP(B442,'New Masses'!A:C,2, FALSE)),VLOOKUP(B442,'New Masses'!A:C,2, FALSE),"")</f>
        <v/>
      </c>
      <c r="AJ442" s="438"/>
      <c r="AK442" s="436"/>
      <c r="AL442" s="436">
        <v>0.37</v>
      </c>
      <c r="AM442" s="438"/>
      <c r="AN442" s="436">
        <v>1.0</v>
      </c>
      <c r="AO442" s="438"/>
      <c r="AP442" s="438"/>
      <c r="AQ442" s="438"/>
      <c r="AR442" s="438"/>
      <c r="AS442" s="438"/>
      <c r="AT442" s="438"/>
      <c r="AU442" s="438"/>
      <c r="AV442" s="438"/>
      <c r="AW442" s="450">
        <v>413.018338014207</v>
      </c>
    </row>
    <row r="443">
      <c r="A443" s="435" t="str">
        <f t="shared" ref="A443:C443" si="380">#REF!</f>
        <v>#REF!</v>
      </c>
      <c r="B443" s="485" t="str">
        <f t="shared" si="380"/>
        <v>#REF!</v>
      </c>
      <c r="C443" s="486" t="str">
        <f t="shared" si="380"/>
        <v>#REF!</v>
      </c>
      <c r="D443" s="486"/>
      <c r="E443" s="486"/>
      <c r="F443" s="528"/>
      <c r="G443" s="486"/>
      <c r="H443" s="486" t="s">
        <v>5917</v>
      </c>
      <c r="I443" s="491"/>
      <c r="J443" s="491"/>
      <c r="K443" s="491"/>
      <c r="L443" s="491"/>
      <c r="M443" s="486"/>
      <c r="N443" s="422"/>
      <c r="O443" s="422"/>
      <c r="P443" s="422"/>
      <c r="Q443" s="486"/>
      <c r="R443" s="491"/>
      <c r="S443" s="491"/>
      <c r="T443" s="491"/>
      <c r="U443" s="491"/>
      <c r="V443" s="491"/>
      <c r="W443" s="493"/>
      <c r="X443" s="486"/>
      <c r="Y443" s="442"/>
      <c r="Z443" s="491"/>
      <c r="AA443" s="524" t="str">
        <f>#REF!</f>
        <v>#REF!</v>
      </c>
      <c r="AB443" s="494"/>
      <c r="AC443" s="436"/>
      <c r="AD443" s="495"/>
      <c r="AE443" s="491"/>
      <c r="AF443" s="491"/>
      <c r="AG443" s="525" t="str">
        <f>#REF!</f>
        <v>#REF!</v>
      </c>
      <c r="AH443" s="491"/>
      <c r="AI443" s="446"/>
      <c r="AJ443" s="491"/>
      <c r="AK443" s="500"/>
      <c r="AL443" s="436"/>
      <c r="AM443" s="438"/>
      <c r="AN443" s="531"/>
      <c r="AO443" s="491"/>
      <c r="AP443" s="438"/>
      <c r="AQ443" s="438"/>
      <c r="AR443" s="438"/>
      <c r="AS443" s="438"/>
      <c r="AT443" s="438"/>
      <c r="AU443" s="438"/>
      <c r="AV443" s="438"/>
      <c r="AW443" s="450" t="str">
        <f>#REF!</f>
        <v>#REF!</v>
      </c>
    </row>
    <row r="444">
      <c r="A444" s="419" t="s">
        <v>285</v>
      </c>
      <c r="B444" s="419" t="s">
        <v>285</v>
      </c>
      <c r="C444" s="419"/>
      <c r="D444" s="436" t="s">
        <v>2227</v>
      </c>
      <c r="E444" s="436"/>
      <c r="F444" s="436" t="s">
        <v>2451</v>
      </c>
      <c r="G444" s="436" t="s">
        <v>169</v>
      </c>
      <c r="H444" s="420" t="s">
        <v>201</v>
      </c>
      <c r="I444" s="438" t="s">
        <v>2207</v>
      </c>
      <c r="J444" s="436">
        <v>3100.0</v>
      </c>
      <c r="K444" s="438"/>
      <c r="L444" s="420" t="s">
        <v>283</v>
      </c>
      <c r="M444" s="429"/>
      <c r="N444" s="422">
        <v>13.25</v>
      </c>
      <c r="O444" s="422">
        <v>11.826</v>
      </c>
      <c r="P444" s="422">
        <v>17.71</v>
      </c>
      <c r="Q444" s="438" t="s">
        <v>2208</v>
      </c>
      <c r="R444" s="438" t="s">
        <v>2209</v>
      </c>
      <c r="S444" s="438" t="s">
        <v>2229</v>
      </c>
      <c r="T444" s="454" t="s">
        <v>162</v>
      </c>
      <c r="U444" s="438" t="s">
        <v>2210</v>
      </c>
      <c r="V444" s="451">
        <v>5.6</v>
      </c>
      <c r="W444" s="458"/>
      <c r="X444" s="438"/>
      <c r="Y444" s="442" t="str">
        <f t="shared" ref="Y444:Y445" si="381">IF((W444/((J444/5780)^4))^0.5&gt;0,(W444/((J444/5780)^4))^0.5,"")</f>
        <v/>
      </c>
      <c r="Z444" s="442"/>
      <c r="AA444" s="443"/>
      <c r="AB444" s="443"/>
      <c r="AC444" s="436" t="str">
        <f>IF(ISNUMBER(VLOOKUP(B444,'New Masses'!A:C,3,FALSE)),VLOOKUP(B444,'New Masses'!A:C,3,FALSE),"")</f>
        <v/>
      </c>
      <c r="AD444" s="423">
        <f t="shared" ref="AD444:AD445" si="382">10^AE444</f>
        <v>0.000000000316227766</v>
      </c>
      <c r="AE444" s="436">
        <v>-9.5</v>
      </c>
      <c r="AF444" s="438"/>
      <c r="AG444" s="459">
        <v>0.14</v>
      </c>
      <c r="AH444" s="438"/>
      <c r="AI444" s="446" t="str">
        <f>IF(ISNUMBER(VLOOKUP(B444,'New Masses'!A:C,2, FALSE)),VLOOKUP(B444,'New Masses'!A:C,2, FALSE),"")</f>
        <v/>
      </c>
      <c r="AJ444" s="438"/>
      <c r="AK444" s="438"/>
      <c r="AL444" s="451"/>
      <c r="AM444" s="438"/>
      <c r="AN444" s="436">
        <v>1.0</v>
      </c>
      <c r="AO444" s="438"/>
      <c r="AP444" s="438"/>
      <c r="AQ444" s="436"/>
      <c r="AR444" s="438"/>
      <c r="AS444" s="438"/>
      <c r="AT444" s="438"/>
      <c r="AU444" s="438" t="s">
        <v>250</v>
      </c>
      <c r="AV444" s="438"/>
      <c r="AW444" s="450">
        <v>321.32643552585</v>
      </c>
    </row>
    <row r="445">
      <c r="A445" s="419" t="s">
        <v>285</v>
      </c>
      <c r="B445" s="419" t="s">
        <v>285</v>
      </c>
      <c r="C445" s="419"/>
      <c r="D445" s="436" t="s">
        <v>2227</v>
      </c>
      <c r="E445" s="436"/>
      <c r="F445" s="436" t="s">
        <v>2451</v>
      </c>
      <c r="G445" s="436" t="s">
        <v>169</v>
      </c>
      <c r="H445" s="420" t="s">
        <v>201</v>
      </c>
      <c r="I445" s="438" t="s">
        <v>2207</v>
      </c>
      <c r="J445" s="436">
        <v>3100.0</v>
      </c>
      <c r="K445" s="438"/>
      <c r="L445" s="420" t="s">
        <v>283</v>
      </c>
      <c r="M445" s="429"/>
      <c r="N445" s="422">
        <v>13.25</v>
      </c>
      <c r="O445" s="422">
        <v>11.826</v>
      </c>
      <c r="P445" s="422">
        <v>17.71</v>
      </c>
      <c r="Q445" s="438" t="s">
        <v>2208</v>
      </c>
      <c r="R445" s="438" t="s">
        <v>2209</v>
      </c>
      <c r="S445" s="438" t="s">
        <v>2229</v>
      </c>
      <c r="T445" s="454" t="s">
        <v>162</v>
      </c>
      <c r="U445" s="438" t="s">
        <v>2210</v>
      </c>
      <c r="V445" s="451">
        <v>5.6</v>
      </c>
      <c r="W445" s="458"/>
      <c r="X445" s="438"/>
      <c r="Y445" s="442" t="str">
        <f t="shared" si="381"/>
        <v/>
      </c>
      <c r="Z445" s="442"/>
      <c r="AA445" s="443"/>
      <c r="AB445" s="443"/>
      <c r="AC445" s="436" t="str">
        <f>IF(ISNUMBER(VLOOKUP(B445,'New Masses'!A:C,3,FALSE)),VLOOKUP(B445,'New Masses'!A:C,3,FALSE),"")</f>
        <v/>
      </c>
      <c r="AD445" s="423">
        <f t="shared" si="382"/>
        <v>0.0000000001258925412</v>
      </c>
      <c r="AE445" s="437">
        <v>-9.9</v>
      </c>
      <c r="AF445" s="438"/>
      <c r="AG445" s="459">
        <v>0.14</v>
      </c>
      <c r="AH445" s="438"/>
      <c r="AI445" s="446" t="str">
        <f>IF(ISNUMBER(VLOOKUP(B445,'New Masses'!A:C,2, FALSE)),VLOOKUP(B445,'New Masses'!A:C,2, FALSE),"")</f>
        <v/>
      </c>
      <c r="AJ445" s="438"/>
      <c r="AK445" s="438"/>
      <c r="AL445" s="451"/>
      <c r="AM445" s="438"/>
      <c r="AN445" s="436">
        <v>1.0</v>
      </c>
      <c r="AO445" s="438"/>
      <c r="AP445" s="438"/>
      <c r="AQ445" s="436"/>
      <c r="AR445" s="438"/>
      <c r="AS445" s="438"/>
      <c r="AT445" s="438"/>
      <c r="AU445" s="438" t="s">
        <v>249</v>
      </c>
      <c r="AV445" s="438"/>
      <c r="AW445" s="450">
        <v>321.32643552585</v>
      </c>
    </row>
    <row r="446">
      <c r="A446" s="419" t="s">
        <v>285</v>
      </c>
      <c r="B446" s="419" t="s">
        <v>285</v>
      </c>
      <c r="C446" s="436"/>
      <c r="D446" s="436" t="s">
        <v>2227</v>
      </c>
      <c r="E446" s="436"/>
      <c r="F446" s="436" t="s">
        <v>2451</v>
      </c>
      <c r="G446" s="436" t="s">
        <v>169</v>
      </c>
      <c r="H446" s="436" t="s">
        <v>248</v>
      </c>
      <c r="I446" s="436" t="s">
        <v>2231</v>
      </c>
      <c r="J446" s="436"/>
      <c r="K446" s="436"/>
      <c r="L446" s="436" t="s">
        <v>283</v>
      </c>
      <c r="M446" s="439"/>
      <c r="N446" s="422">
        <v>13.25</v>
      </c>
      <c r="O446" s="422">
        <v>11.826</v>
      </c>
      <c r="P446" s="422">
        <v>17.71</v>
      </c>
      <c r="Q446" s="436" t="s">
        <v>2232</v>
      </c>
      <c r="R446" s="436" t="s">
        <v>2452</v>
      </c>
      <c r="S446" s="436" t="s">
        <v>2234</v>
      </c>
      <c r="T446" s="436" t="s">
        <v>596</v>
      </c>
      <c r="U446" s="436" t="s">
        <v>597</v>
      </c>
      <c r="V446" s="451"/>
      <c r="W446" s="468">
        <v>0.10471285480508996</v>
      </c>
      <c r="X446" s="436"/>
      <c r="Y446" s="442"/>
      <c r="Z446" s="469"/>
      <c r="AA446" s="470">
        <v>1.0</v>
      </c>
      <c r="AB446" s="470"/>
      <c r="AC446" s="436" t="str">
        <f>IF(ISNUMBER(VLOOKUP(B446,'New Masses'!A:C,3,FALSE)),VLOOKUP(B446,'New Masses'!A:C,3,FALSE),"")</f>
        <v/>
      </c>
      <c r="AD446" s="451">
        <f>10^(AE446)</f>
        <v>0.0000000001</v>
      </c>
      <c r="AE446" s="436">
        <v>-10.0</v>
      </c>
      <c r="AF446" s="436">
        <v>0.12</v>
      </c>
      <c r="AG446" s="459">
        <v>0.12</v>
      </c>
      <c r="AH446" s="436"/>
      <c r="AI446" s="446" t="str">
        <f>IF(ISNUMBER(VLOOKUP(B446,'New Masses'!A:C,2, FALSE)),VLOOKUP(B446,'New Masses'!A:C,2, FALSE),"")</f>
        <v/>
      </c>
      <c r="AJ446" s="436">
        <f>LOG10(AG446)</f>
        <v>-0.920818754</v>
      </c>
      <c r="AK446" s="460">
        <f>(6.67*10^(-11))*((2*10^(33))^2)*AD446*AG446/(3*10^7*AA446*7*10^10)</f>
        <v>1.52457E+27</v>
      </c>
      <c r="AL446" s="451">
        <f>LOG10(AK446/(4*10^33))</f>
        <v>-6.418912215</v>
      </c>
      <c r="AM446" s="438"/>
      <c r="AN446" s="436">
        <v>0.44</v>
      </c>
      <c r="AO446" s="438"/>
      <c r="AP446" s="454">
        <v>2.41</v>
      </c>
      <c r="AQ446" s="436"/>
      <c r="AR446" s="421" t="s">
        <v>2453</v>
      </c>
      <c r="AS446" s="421"/>
      <c r="AT446" s="438"/>
      <c r="AU446" s="438" t="s">
        <v>644</v>
      </c>
      <c r="AV446" s="438"/>
      <c r="AW446" s="450">
        <v>321.32643552585</v>
      </c>
    </row>
    <row r="447">
      <c r="A447" s="435" t="str">
        <f t="shared" ref="A447:C447" si="383">#REF!</f>
        <v>#REF!</v>
      </c>
      <c r="B447" s="485" t="str">
        <f t="shared" si="383"/>
        <v>#REF!</v>
      </c>
      <c r="C447" s="486" t="str">
        <f t="shared" si="383"/>
        <v>#REF!</v>
      </c>
      <c r="D447" s="486"/>
      <c r="E447" s="486"/>
      <c r="F447" s="528"/>
      <c r="G447" s="486"/>
      <c r="H447" s="486" t="s">
        <v>5917</v>
      </c>
      <c r="I447" s="491"/>
      <c r="J447" s="491"/>
      <c r="K447" s="491"/>
      <c r="L447" s="491"/>
      <c r="M447" s="486"/>
      <c r="N447" s="422"/>
      <c r="O447" s="422"/>
      <c r="P447" s="422"/>
      <c r="Q447" s="486"/>
      <c r="R447" s="491"/>
      <c r="S447" s="491"/>
      <c r="T447" s="491"/>
      <c r="U447" s="491"/>
      <c r="V447" s="491"/>
      <c r="W447" s="493"/>
      <c r="X447" s="486"/>
      <c r="Y447" s="442"/>
      <c r="Z447" s="491"/>
      <c r="AA447" s="524" t="str">
        <f t="shared" ref="AA447:AA449" si="385">#REF!</f>
        <v>#REF!</v>
      </c>
      <c r="AB447" s="494"/>
      <c r="AC447" s="436"/>
      <c r="AD447" s="495"/>
      <c r="AE447" s="491"/>
      <c r="AF447" s="491"/>
      <c r="AG447" s="525" t="str">
        <f t="shared" ref="AG447:AG449" si="386">#REF!</f>
        <v>#REF!</v>
      </c>
      <c r="AH447" s="491"/>
      <c r="AI447" s="446"/>
      <c r="AJ447" s="491"/>
      <c r="AK447" s="500"/>
      <c r="AL447" s="436"/>
      <c r="AM447" s="438"/>
      <c r="AN447" s="531"/>
      <c r="AO447" s="491"/>
      <c r="AP447" s="438"/>
      <c r="AQ447" s="438"/>
      <c r="AR447" s="438"/>
      <c r="AS447" s="438"/>
      <c r="AT447" s="438"/>
      <c r="AU447" s="438"/>
      <c r="AV447" s="438"/>
      <c r="AW447" s="450" t="str">
        <f t="shared" ref="AW447:AW449" si="387">#REF!</f>
        <v>#REF!</v>
      </c>
    </row>
    <row r="448">
      <c r="A448" s="435" t="str">
        <f t="shared" ref="A448:C448" si="384">#REF!</f>
        <v>#REF!</v>
      </c>
      <c r="B448" s="485" t="str">
        <f t="shared" si="384"/>
        <v>#REF!</v>
      </c>
      <c r="C448" s="486" t="str">
        <f t="shared" si="384"/>
        <v>#REF!</v>
      </c>
      <c r="D448" s="486"/>
      <c r="E448" s="486"/>
      <c r="F448" s="528"/>
      <c r="G448" s="486"/>
      <c r="H448" s="486" t="s">
        <v>5917</v>
      </c>
      <c r="I448" s="491"/>
      <c r="J448" s="491"/>
      <c r="K448" s="491"/>
      <c r="L448" s="491"/>
      <c r="M448" s="486"/>
      <c r="N448" s="422"/>
      <c r="O448" s="422"/>
      <c r="P448" s="422"/>
      <c r="Q448" s="486"/>
      <c r="R448" s="491"/>
      <c r="S448" s="491"/>
      <c r="T448" s="491"/>
      <c r="U448" s="491"/>
      <c r="V448" s="491"/>
      <c r="W448" s="493"/>
      <c r="X448" s="486"/>
      <c r="Y448" s="442"/>
      <c r="Z448" s="491"/>
      <c r="AA448" s="524" t="str">
        <f t="shared" si="385"/>
        <v>#REF!</v>
      </c>
      <c r="AB448" s="494"/>
      <c r="AC448" s="436"/>
      <c r="AD448" s="495"/>
      <c r="AE448" s="491"/>
      <c r="AF448" s="491"/>
      <c r="AG448" s="525" t="str">
        <f t="shared" si="386"/>
        <v>#REF!</v>
      </c>
      <c r="AH448" s="491"/>
      <c r="AI448" s="446"/>
      <c r="AJ448" s="491"/>
      <c r="AK448" s="500"/>
      <c r="AL448" s="436"/>
      <c r="AM448" s="438"/>
      <c r="AN448" s="531"/>
      <c r="AO448" s="491"/>
      <c r="AP448" s="438"/>
      <c r="AQ448" s="438"/>
      <c r="AR448" s="438"/>
      <c r="AS448" s="438"/>
      <c r="AT448" s="438"/>
      <c r="AU448" s="438"/>
      <c r="AV448" s="438"/>
      <c r="AW448" s="450" t="str">
        <f t="shared" si="387"/>
        <v>#REF!</v>
      </c>
    </row>
    <row r="449">
      <c r="A449" s="435" t="str">
        <f t="shared" ref="A449:C449" si="388">#REF!</f>
        <v>#REF!</v>
      </c>
      <c r="B449" s="485" t="str">
        <f t="shared" si="388"/>
        <v>#REF!</v>
      </c>
      <c r="C449" s="486" t="str">
        <f t="shared" si="388"/>
        <v>#REF!</v>
      </c>
      <c r="D449" s="486"/>
      <c r="E449" s="486"/>
      <c r="F449" s="528"/>
      <c r="G449" s="486"/>
      <c r="H449" s="486" t="s">
        <v>5917</v>
      </c>
      <c r="I449" s="491"/>
      <c r="J449" s="491"/>
      <c r="K449" s="491"/>
      <c r="L449" s="491"/>
      <c r="M449" s="486"/>
      <c r="N449" s="422"/>
      <c r="O449" s="422"/>
      <c r="P449" s="422"/>
      <c r="Q449" s="486"/>
      <c r="R449" s="491"/>
      <c r="S449" s="491"/>
      <c r="T449" s="491"/>
      <c r="U449" s="491"/>
      <c r="V449" s="491"/>
      <c r="W449" s="493"/>
      <c r="X449" s="486"/>
      <c r="Y449" s="442"/>
      <c r="Z449" s="491"/>
      <c r="AA449" s="524" t="str">
        <f t="shared" si="385"/>
        <v>#REF!</v>
      </c>
      <c r="AB449" s="494"/>
      <c r="AC449" s="436"/>
      <c r="AD449" s="495"/>
      <c r="AE449" s="491"/>
      <c r="AF449" s="491"/>
      <c r="AG449" s="525" t="str">
        <f t="shared" si="386"/>
        <v>#REF!</v>
      </c>
      <c r="AH449" s="491"/>
      <c r="AI449" s="446"/>
      <c r="AJ449" s="491"/>
      <c r="AK449" s="500"/>
      <c r="AL449" s="436"/>
      <c r="AM449" s="438"/>
      <c r="AN449" s="531"/>
      <c r="AO449" s="491"/>
      <c r="AP449" s="438"/>
      <c r="AQ449" s="438"/>
      <c r="AR449" s="438"/>
      <c r="AS449" s="438"/>
      <c r="AT449" s="438"/>
      <c r="AU449" s="438"/>
      <c r="AV449" s="438"/>
      <c r="AW449" s="450" t="str">
        <f t="shared" si="387"/>
        <v>#REF!</v>
      </c>
    </row>
    <row r="450">
      <c r="A450" s="419" t="s">
        <v>233</v>
      </c>
      <c r="B450" s="436" t="s">
        <v>234</v>
      </c>
      <c r="C450" s="420"/>
      <c r="D450" s="420" t="s">
        <v>2227</v>
      </c>
      <c r="E450" s="420"/>
      <c r="F450" s="420" t="s">
        <v>2454</v>
      </c>
      <c r="G450" s="420" t="s">
        <v>189</v>
      </c>
      <c r="H450" s="420" t="s">
        <v>201</v>
      </c>
      <c r="I450" s="420" t="s">
        <v>2207</v>
      </c>
      <c r="J450" s="436">
        <v>2850.0</v>
      </c>
      <c r="K450" s="438"/>
      <c r="L450" s="420" t="s">
        <v>237</v>
      </c>
      <c r="M450" s="429"/>
      <c r="N450" s="422">
        <v>14.02</v>
      </c>
      <c r="O450" s="422"/>
      <c r="P450" s="422">
        <v>19.47</v>
      </c>
      <c r="Q450" s="420" t="s">
        <v>2208</v>
      </c>
      <c r="R450" s="438" t="s">
        <v>2209</v>
      </c>
      <c r="S450" s="420" t="s">
        <v>2229</v>
      </c>
      <c r="T450" s="454" t="s">
        <v>162</v>
      </c>
      <c r="U450" s="420" t="s">
        <v>2210</v>
      </c>
      <c r="V450" s="438">
        <v>4.36</v>
      </c>
      <c r="W450" s="458"/>
      <c r="X450" s="438"/>
      <c r="Y450" s="442" t="str">
        <f t="shared" ref="Y450:Y451" si="389">IF((W450/((J450/5780)^4))^0.5&gt;0,(W450/((J450/5780)^4))^0.5,"")</f>
        <v/>
      </c>
      <c r="Z450" s="442"/>
      <c r="AA450" s="443"/>
      <c r="AB450" s="443"/>
      <c r="AC450" s="469">
        <f>IF(ISNUMBER(VLOOKUP(B450,'New Masses'!A:C,3,FALSE)),VLOOKUP(B450,'New Masses'!A:C,3,FALSE),"")</f>
        <v>0.502954</v>
      </c>
      <c r="AD450" s="423">
        <f t="shared" ref="AD450:AD451" si="390">10^AE450</f>
        <v>0</v>
      </c>
      <c r="AE450" s="420">
        <v>-10.8</v>
      </c>
      <c r="AF450" s="438"/>
      <c r="AG450" s="459">
        <v>0.05</v>
      </c>
      <c r="AH450" s="438"/>
      <c r="AI450" s="446" t="str">
        <f>IF(ISNUMBER(VLOOKUP(A450,'New Masses'!A:C,2, FALSE)),VLOOKUP(A450,'New Masses'!A:C,2, FALSE),"")</f>
        <v/>
      </c>
      <c r="AJ450" s="438"/>
      <c r="AK450" s="438"/>
      <c r="AL450" s="438"/>
      <c r="AM450" s="438"/>
      <c r="AN450" s="436">
        <v>1.0</v>
      </c>
      <c r="AO450" s="438"/>
      <c r="AP450" s="436">
        <v>1.06</v>
      </c>
      <c r="AQ450" s="420"/>
      <c r="AR450" s="420" t="s">
        <v>2455</v>
      </c>
      <c r="AS450" s="420"/>
      <c r="AT450" s="420" t="s">
        <v>5916</v>
      </c>
      <c r="AU450" s="420" t="s">
        <v>229</v>
      </c>
      <c r="AV450" s="438"/>
      <c r="AW450" s="450">
        <v>234.94032515741</v>
      </c>
    </row>
    <row r="451">
      <c r="A451" s="419" t="s">
        <v>233</v>
      </c>
      <c r="B451" s="436" t="s">
        <v>234</v>
      </c>
      <c r="C451" s="420"/>
      <c r="D451" s="420" t="s">
        <v>2227</v>
      </c>
      <c r="E451" s="420"/>
      <c r="F451" s="420" t="s">
        <v>2454</v>
      </c>
      <c r="G451" s="420" t="s">
        <v>189</v>
      </c>
      <c r="H451" s="420" t="s">
        <v>201</v>
      </c>
      <c r="I451" s="420" t="s">
        <v>2207</v>
      </c>
      <c r="J451" s="436">
        <v>2850.0</v>
      </c>
      <c r="K451" s="438"/>
      <c r="L451" s="420" t="s">
        <v>237</v>
      </c>
      <c r="M451" s="429"/>
      <c r="N451" s="422">
        <v>14.02</v>
      </c>
      <c r="O451" s="422"/>
      <c r="P451" s="422">
        <v>19.47</v>
      </c>
      <c r="Q451" s="420" t="s">
        <v>2208</v>
      </c>
      <c r="R451" s="438" t="s">
        <v>2209</v>
      </c>
      <c r="S451" s="420" t="s">
        <v>2229</v>
      </c>
      <c r="T451" s="454" t="s">
        <v>162</v>
      </c>
      <c r="U451" s="420" t="s">
        <v>2210</v>
      </c>
      <c r="V451" s="438">
        <v>4.36</v>
      </c>
      <c r="W451" s="458"/>
      <c r="X451" s="438"/>
      <c r="Y451" s="442" t="str">
        <f t="shared" si="389"/>
        <v/>
      </c>
      <c r="Z451" s="442"/>
      <c r="AA451" s="443"/>
      <c r="AB451" s="443"/>
      <c r="AC451" s="469">
        <f>IF(ISNUMBER(VLOOKUP(B451,'New Masses'!A:C,3,FALSE)),VLOOKUP(B451,'New Masses'!A:C,3,FALSE),"")</f>
        <v>0.502954</v>
      </c>
      <c r="AD451" s="423">
        <f t="shared" si="390"/>
        <v>0</v>
      </c>
      <c r="AE451" s="438">
        <v>-11.0</v>
      </c>
      <c r="AF451" s="438"/>
      <c r="AG451" s="459">
        <v>0.05</v>
      </c>
      <c r="AH451" s="438"/>
      <c r="AI451" s="446" t="str">
        <f>IF(ISNUMBER(VLOOKUP(A451,'New Masses'!A:C,2, FALSE)),VLOOKUP(A451,'New Masses'!A:C,2, FALSE),"")</f>
        <v/>
      </c>
      <c r="AJ451" s="438"/>
      <c r="AK451" s="438"/>
      <c r="AL451" s="438"/>
      <c r="AM451" s="438"/>
      <c r="AN451" s="436">
        <v>1.0</v>
      </c>
      <c r="AO451" s="438"/>
      <c r="AP451" s="436">
        <v>1.06</v>
      </c>
      <c r="AQ451" s="420"/>
      <c r="AR451" s="420" t="s">
        <v>2455</v>
      </c>
      <c r="AS451" s="420"/>
      <c r="AT451" s="420" t="s">
        <v>5916</v>
      </c>
      <c r="AU451" s="420" t="s">
        <v>228</v>
      </c>
      <c r="AV451" s="438"/>
      <c r="AW451" s="450">
        <v>234.94032515741</v>
      </c>
    </row>
    <row r="452">
      <c r="A452" s="435" t="str">
        <f t="shared" ref="A452:C452" si="391">#REF!</f>
        <v>#REF!</v>
      </c>
      <c r="B452" s="485" t="str">
        <f t="shared" si="391"/>
        <v>#REF!</v>
      </c>
      <c r="C452" s="486" t="str">
        <f t="shared" si="391"/>
        <v>#REF!</v>
      </c>
      <c r="D452" s="486"/>
      <c r="E452" s="486"/>
      <c r="F452" s="528"/>
      <c r="G452" s="486"/>
      <c r="H452" s="486" t="s">
        <v>5917</v>
      </c>
      <c r="I452" s="491"/>
      <c r="J452" s="491"/>
      <c r="K452" s="491"/>
      <c r="L452" s="491"/>
      <c r="M452" s="486"/>
      <c r="N452" s="422"/>
      <c r="O452" s="422"/>
      <c r="P452" s="422"/>
      <c r="Q452" s="486"/>
      <c r="R452" s="491"/>
      <c r="S452" s="491"/>
      <c r="T452" s="491"/>
      <c r="U452" s="491"/>
      <c r="V452" s="491"/>
      <c r="W452" s="493"/>
      <c r="X452" s="486"/>
      <c r="Y452" s="442"/>
      <c r="Z452" s="491"/>
      <c r="AA452" s="524" t="str">
        <f t="shared" ref="AA452:AA453" si="393">#REF!</f>
        <v>#REF!</v>
      </c>
      <c r="AB452" s="494"/>
      <c r="AC452" s="436"/>
      <c r="AD452" s="495"/>
      <c r="AE452" s="491"/>
      <c r="AF452" s="491"/>
      <c r="AG452" s="525" t="str">
        <f t="shared" ref="AG452:AG453" si="394">#REF!</f>
        <v>#REF!</v>
      </c>
      <c r="AH452" s="491"/>
      <c r="AI452" s="446"/>
      <c r="AJ452" s="491"/>
      <c r="AK452" s="500"/>
      <c r="AL452" s="436"/>
      <c r="AM452" s="438"/>
      <c r="AN452" s="531"/>
      <c r="AO452" s="491"/>
      <c r="AP452" s="438"/>
      <c r="AQ452" s="438"/>
      <c r="AR452" s="438"/>
      <c r="AS452" s="438"/>
      <c r="AT452" s="438"/>
      <c r="AU452" s="438"/>
      <c r="AV452" s="438"/>
      <c r="AW452" s="450" t="str">
        <f t="shared" ref="AW452:AW453" si="395">#REF!</f>
        <v>#REF!</v>
      </c>
    </row>
    <row r="453">
      <c r="A453" s="435" t="str">
        <f t="shared" ref="A453:C453" si="392">#REF!</f>
        <v>#REF!</v>
      </c>
      <c r="B453" s="485" t="str">
        <f t="shared" si="392"/>
        <v>#REF!</v>
      </c>
      <c r="C453" s="486" t="str">
        <f t="shared" si="392"/>
        <v>#REF!</v>
      </c>
      <c r="D453" s="486"/>
      <c r="E453" s="486"/>
      <c r="F453" s="528"/>
      <c r="G453" s="486"/>
      <c r="H453" s="486" t="s">
        <v>5917</v>
      </c>
      <c r="I453" s="491"/>
      <c r="J453" s="491"/>
      <c r="K453" s="491"/>
      <c r="L453" s="491"/>
      <c r="M453" s="486"/>
      <c r="N453" s="422"/>
      <c r="O453" s="422"/>
      <c r="P453" s="422"/>
      <c r="Q453" s="486"/>
      <c r="R453" s="491"/>
      <c r="S453" s="491"/>
      <c r="T453" s="491"/>
      <c r="U453" s="491"/>
      <c r="V453" s="491"/>
      <c r="W453" s="493"/>
      <c r="X453" s="486"/>
      <c r="Y453" s="442"/>
      <c r="Z453" s="491"/>
      <c r="AA453" s="524" t="str">
        <f t="shared" si="393"/>
        <v>#REF!</v>
      </c>
      <c r="AB453" s="494"/>
      <c r="AC453" s="436"/>
      <c r="AD453" s="495"/>
      <c r="AE453" s="491"/>
      <c r="AF453" s="491"/>
      <c r="AG453" s="525" t="str">
        <f t="shared" si="394"/>
        <v>#REF!</v>
      </c>
      <c r="AH453" s="491"/>
      <c r="AI453" s="446"/>
      <c r="AJ453" s="491"/>
      <c r="AK453" s="500"/>
      <c r="AL453" s="436"/>
      <c r="AM453" s="438"/>
      <c r="AN453" s="531"/>
      <c r="AO453" s="491"/>
      <c r="AP453" s="438"/>
      <c r="AQ453" s="438"/>
      <c r="AR453" s="438"/>
      <c r="AS453" s="438"/>
      <c r="AT453" s="438"/>
      <c r="AU453" s="438"/>
      <c r="AV453" s="438"/>
      <c r="AW453" s="450" t="str">
        <f t="shared" si="395"/>
        <v>#REF!</v>
      </c>
    </row>
    <row r="454">
      <c r="A454" s="419" t="s">
        <v>696</v>
      </c>
      <c r="B454" s="419" t="s">
        <v>696</v>
      </c>
      <c r="C454" s="436"/>
      <c r="D454" s="436" t="s">
        <v>2227</v>
      </c>
      <c r="E454" s="436"/>
      <c r="F454" s="436" t="s">
        <v>2456</v>
      </c>
      <c r="G454" s="436" t="s">
        <v>169</v>
      </c>
      <c r="H454" s="436" t="s">
        <v>248</v>
      </c>
      <c r="I454" s="436" t="s">
        <v>2231</v>
      </c>
      <c r="J454" s="436"/>
      <c r="K454" s="436"/>
      <c r="L454" s="436" t="s">
        <v>264</v>
      </c>
      <c r="M454" s="439"/>
      <c r="N454" s="422">
        <v>14.884</v>
      </c>
      <c r="O454" s="422">
        <v>13.48</v>
      </c>
      <c r="P454" s="422">
        <v>20.68</v>
      </c>
      <c r="Q454" s="436" t="s">
        <v>2232</v>
      </c>
      <c r="R454" s="436" t="s">
        <v>2457</v>
      </c>
      <c r="S454" s="436" t="s">
        <v>2234</v>
      </c>
      <c r="T454" s="436" t="s">
        <v>596</v>
      </c>
      <c r="U454" s="436" t="s">
        <v>597</v>
      </c>
      <c r="V454" s="451"/>
      <c r="W454" s="468">
        <v>0.039810717055349734</v>
      </c>
      <c r="X454" s="436"/>
      <c r="Y454" s="442"/>
      <c r="Z454" s="469"/>
      <c r="AA454" s="470">
        <v>1.0</v>
      </c>
      <c r="AB454" s="470"/>
      <c r="AC454" s="436" t="str">
        <f>IF(ISNUMBER(VLOOKUP(B454,'New Masses'!A:C,3,FALSE)),VLOOKUP(B454,'New Masses'!A:C,3,FALSE),"")</f>
        <v/>
      </c>
      <c r="AD454" s="451">
        <f>10^(AE454)</f>
        <v>0.0000000001</v>
      </c>
      <c r="AE454" s="436">
        <v>-10.0</v>
      </c>
      <c r="AF454" s="436">
        <v>0.1</v>
      </c>
      <c r="AG454" s="459">
        <v>0.1</v>
      </c>
      <c r="AH454" s="436"/>
      <c r="AI454" s="446" t="str">
        <f>IF(ISNUMBER(VLOOKUP(B454,'New Masses'!A:C,2, FALSE)),VLOOKUP(B454,'New Masses'!A:C,2, FALSE),"")</f>
        <v/>
      </c>
      <c r="AJ454" s="436">
        <f>LOG10(AG454)</f>
        <v>-1</v>
      </c>
      <c r="AK454" s="460">
        <f>(6.67*10^(-11))*((2*10^(33))^2)*AD454*AG454/(3*10^7*AA454*7*10^10)</f>
        <v>1.27048E+27</v>
      </c>
      <c r="AL454" s="451">
        <f>LOG10(AK454/(4*10^33))</f>
        <v>-6.498093461</v>
      </c>
      <c r="AM454" s="436"/>
      <c r="AN454" s="436">
        <v>2.6</v>
      </c>
      <c r="AO454" s="436"/>
      <c r="AP454" s="419">
        <v>3.12</v>
      </c>
      <c r="AQ454" s="436"/>
      <c r="AR454" s="438"/>
      <c r="AS454" s="438"/>
      <c r="AT454" s="438"/>
      <c r="AU454" s="438" t="s">
        <v>644</v>
      </c>
      <c r="AV454" s="438"/>
      <c r="AW454" s="450">
        <v>248.651067956336</v>
      </c>
    </row>
    <row r="455">
      <c r="A455" s="435" t="str">
        <f t="shared" ref="A455:C455" si="396">#REF!</f>
        <v>#REF!</v>
      </c>
      <c r="B455" s="485" t="str">
        <f t="shared" si="396"/>
        <v>#REF!</v>
      </c>
      <c r="C455" s="486" t="str">
        <f t="shared" si="396"/>
        <v>#REF!</v>
      </c>
      <c r="D455" s="486"/>
      <c r="E455" s="486"/>
      <c r="F455" s="528"/>
      <c r="G455" s="486"/>
      <c r="H455" s="486" t="s">
        <v>5917</v>
      </c>
      <c r="I455" s="491"/>
      <c r="J455" s="491"/>
      <c r="K455" s="491"/>
      <c r="L455" s="491"/>
      <c r="M455" s="486"/>
      <c r="N455" s="422"/>
      <c r="O455" s="422"/>
      <c r="P455" s="422"/>
      <c r="Q455" s="486"/>
      <c r="R455" s="491"/>
      <c r="S455" s="491"/>
      <c r="T455" s="491"/>
      <c r="U455" s="491"/>
      <c r="V455" s="491"/>
      <c r="W455" s="493"/>
      <c r="X455" s="486"/>
      <c r="Y455" s="442"/>
      <c r="Z455" s="491"/>
      <c r="AA455" s="524" t="str">
        <f>#REF!</f>
        <v>#REF!</v>
      </c>
      <c r="AB455" s="494"/>
      <c r="AC455" s="436"/>
      <c r="AD455" s="495"/>
      <c r="AE455" s="491"/>
      <c r="AF455" s="491"/>
      <c r="AG455" s="525" t="str">
        <f>#REF!</f>
        <v>#REF!</v>
      </c>
      <c r="AH455" s="491"/>
      <c r="AI455" s="446"/>
      <c r="AJ455" s="491"/>
      <c r="AK455" s="500"/>
      <c r="AL455" s="436"/>
      <c r="AM455" s="438"/>
      <c r="AN455" s="531"/>
      <c r="AO455" s="491"/>
      <c r="AP455" s="438"/>
      <c r="AQ455" s="438"/>
      <c r="AR455" s="438"/>
      <c r="AS455" s="438"/>
      <c r="AT455" s="438"/>
      <c r="AU455" s="438"/>
      <c r="AV455" s="438"/>
      <c r="AW455" s="450" t="str">
        <f>#REF!</f>
        <v>#REF!</v>
      </c>
    </row>
    <row r="456">
      <c r="A456" s="419" t="s">
        <v>263</v>
      </c>
      <c r="B456" s="419" t="s">
        <v>645</v>
      </c>
      <c r="C456" s="421"/>
      <c r="D456" s="420" t="s">
        <v>2227</v>
      </c>
      <c r="E456" s="420"/>
      <c r="F456" s="420" t="s">
        <v>2458</v>
      </c>
      <c r="G456" s="420" t="s">
        <v>169</v>
      </c>
      <c r="H456" s="420" t="s">
        <v>248</v>
      </c>
      <c r="I456" s="420" t="s">
        <v>2231</v>
      </c>
      <c r="J456" s="420"/>
      <c r="K456" s="420"/>
      <c r="L456" s="420" t="s">
        <v>217</v>
      </c>
      <c r="M456" s="429"/>
      <c r="N456" s="422">
        <v>15.53</v>
      </c>
      <c r="O456" s="422">
        <v>13.72</v>
      </c>
      <c r="P456" s="422"/>
      <c r="Q456" s="420" t="s">
        <v>2232</v>
      </c>
      <c r="R456" s="420" t="s">
        <v>2459</v>
      </c>
      <c r="S456" s="420" t="s">
        <v>2234</v>
      </c>
      <c r="T456" s="420" t="s">
        <v>596</v>
      </c>
      <c r="U456" s="420" t="s">
        <v>597</v>
      </c>
      <c r="V456" s="440"/>
      <c r="W456" s="468">
        <v>0.012302687708123818</v>
      </c>
      <c r="X456" s="436"/>
      <c r="Y456" s="442"/>
      <c r="Z456" s="469"/>
      <c r="AA456" s="470">
        <v>0.5</v>
      </c>
      <c r="AB456" s="426"/>
      <c r="AC456" s="436" t="str">
        <f>IF(ISNUMBER(VLOOKUP(B456,'New Masses'!A:C,3,FALSE)),VLOOKUP(B456,'New Masses'!A:C,3,FALSE),"")</f>
        <v/>
      </c>
      <c r="AD456" s="451">
        <f>10^(AE456)</f>
        <v>0</v>
      </c>
      <c r="AE456" s="436">
        <v>-10.3</v>
      </c>
      <c r="AF456" s="436">
        <v>0.04</v>
      </c>
      <c r="AG456" s="459">
        <v>0.04</v>
      </c>
      <c r="AH456" s="420"/>
      <c r="AI456" s="446" t="str">
        <f>IF(ISNUMBER(VLOOKUP(A456,'New Masses'!A:C,2, FALSE)),VLOOKUP(A456,'New Masses'!A:C,2, FALSE),"")</f>
        <v/>
      </c>
      <c r="AJ456" s="420"/>
      <c r="AK456" s="460">
        <f>(6.67*10^(-11))*((2*10^(33))^2)*AD456*AG456/(3*10^7*AA456*7*10^10)</f>
        <v>5.09397E+26</v>
      </c>
      <c r="AL456" s="451">
        <f>LOG10(AK456/(4*10^33))</f>
        <v>-6.895003474</v>
      </c>
      <c r="AM456" s="438"/>
      <c r="AN456" s="436">
        <v>2.0</v>
      </c>
      <c r="AO456" s="438"/>
      <c r="AP456" s="436">
        <v>5.1</v>
      </c>
      <c r="AQ456" s="438"/>
      <c r="AR456" s="420" t="s">
        <v>2455</v>
      </c>
      <c r="AS456" s="420"/>
      <c r="AT456" s="438"/>
      <c r="AU456" s="420" t="s">
        <v>644</v>
      </c>
      <c r="AV456" s="454">
        <v>2.77</v>
      </c>
      <c r="AW456" s="450"/>
    </row>
    <row r="457">
      <c r="A457" s="419" t="s">
        <v>263</v>
      </c>
      <c r="B457" s="419" t="s">
        <v>263</v>
      </c>
      <c r="C457" s="420"/>
      <c r="D457" s="420" t="s">
        <v>2227</v>
      </c>
      <c r="E457" s="420"/>
      <c r="F457" s="420" t="s">
        <v>2458</v>
      </c>
      <c r="G457" s="420" t="s">
        <v>169</v>
      </c>
      <c r="H457" s="420" t="s">
        <v>201</v>
      </c>
      <c r="I457" s="438" t="s">
        <v>2207</v>
      </c>
      <c r="J457" s="436">
        <v>3050.0</v>
      </c>
      <c r="K457" s="438"/>
      <c r="L457" s="420" t="s">
        <v>264</v>
      </c>
      <c r="M457" s="429"/>
      <c r="N457" s="422">
        <v>15.53</v>
      </c>
      <c r="O457" s="422">
        <v>13.72</v>
      </c>
      <c r="P457" s="422"/>
      <c r="Q457" s="438" t="s">
        <v>2208</v>
      </c>
      <c r="R457" s="438" t="s">
        <v>2209</v>
      </c>
      <c r="S457" s="438" t="s">
        <v>2229</v>
      </c>
      <c r="T457" s="454" t="s">
        <v>162</v>
      </c>
      <c r="U457" s="438" t="s">
        <v>2210</v>
      </c>
      <c r="V457" s="451">
        <v>4.82</v>
      </c>
      <c r="W457" s="458"/>
      <c r="X457" s="438"/>
      <c r="Y457" s="442" t="str">
        <f t="shared" ref="Y457:Y458" si="397">IF((W457/((J457/5780)^4))^0.5&gt;0,(W457/((J457/5780)^4))^0.5,"")</f>
        <v/>
      </c>
      <c r="Z457" s="442"/>
      <c r="AA457" s="443"/>
      <c r="AB457" s="443"/>
      <c r="AC457" s="436" t="str">
        <f>IF(ISNUMBER(VLOOKUP(B457,'New Masses'!A:C,3,FALSE)),VLOOKUP(B457,'New Masses'!A:C,3,FALSE),"")</f>
        <v/>
      </c>
      <c r="AD457" s="423">
        <f t="shared" ref="AD457:AD458" si="398">10^AE457</f>
        <v>0</v>
      </c>
      <c r="AE457" s="436">
        <v>-10.3</v>
      </c>
      <c r="AF457" s="438"/>
      <c r="AG457" s="459">
        <v>0.11</v>
      </c>
      <c r="AH457" s="438"/>
      <c r="AI457" s="446" t="str">
        <f>IF(ISNUMBER(VLOOKUP(B457,'New Masses'!A:C,2, FALSE)),VLOOKUP(B457,'New Masses'!A:C,2, FALSE),"")</f>
        <v/>
      </c>
      <c r="AJ457" s="438"/>
      <c r="AK457" s="438"/>
      <c r="AL457" s="451"/>
      <c r="AM457" s="438"/>
      <c r="AN457" s="436">
        <v>1.0</v>
      </c>
      <c r="AO457" s="438"/>
      <c r="AP457" s="454">
        <v>5.1</v>
      </c>
      <c r="AQ457" s="438"/>
      <c r="AR457" s="454" t="s">
        <v>2460</v>
      </c>
      <c r="AS457" s="438"/>
      <c r="AT457" s="438"/>
      <c r="AU457" s="473" t="s">
        <v>250</v>
      </c>
      <c r="AV457" s="438"/>
      <c r="AW457" s="450"/>
    </row>
    <row r="458">
      <c r="A458" s="419" t="s">
        <v>263</v>
      </c>
      <c r="B458" s="419" t="s">
        <v>263</v>
      </c>
      <c r="C458" s="420"/>
      <c r="D458" s="420" t="s">
        <v>2227</v>
      </c>
      <c r="E458" s="420"/>
      <c r="F458" s="420" t="s">
        <v>2458</v>
      </c>
      <c r="G458" s="420" t="s">
        <v>169</v>
      </c>
      <c r="H458" s="420" t="s">
        <v>201</v>
      </c>
      <c r="I458" s="438" t="s">
        <v>2207</v>
      </c>
      <c r="J458" s="436">
        <v>3050.0</v>
      </c>
      <c r="K458" s="438"/>
      <c r="L458" s="420" t="s">
        <v>264</v>
      </c>
      <c r="M458" s="429"/>
      <c r="N458" s="422">
        <v>15.53</v>
      </c>
      <c r="O458" s="422">
        <v>13.72</v>
      </c>
      <c r="P458" s="422"/>
      <c r="Q458" s="438" t="s">
        <v>2208</v>
      </c>
      <c r="R458" s="438" t="s">
        <v>2209</v>
      </c>
      <c r="S458" s="438" t="s">
        <v>2229</v>
      </c>
      <c r="T458" s="454" t="s">
        <v>162</v>
      </c>
      <c r="U458" s="438" t="s">
        <v>2210</v>
      </c>
      <c r="V458" s="451">
        <v>4.82</v>
      </c>
      <c r="W458" s="458"/>
      <c r="X458" s="438"/>
      <c r="Y458" s="442" t="str">
        <f t="shared" si="397"/>
        <v/>
      </c>
      <c r="Z458" s="442"/>
      <c r="AA458" s="443"/>
      <c r="AB458" s="443"/>
      <c r="AC458" s="436" t="str">
        <f>IF(ISNUMBER(VLOOKUP(B458,'New Masses'!A:C,3,FALSE)),VLOOKUP(B458,'New Masses'!A:C,3,FALSE),"")</f>
        <v/>
      </c>
      <c r="AD458" s="423">
        <f t="shared" si="398"/>
        <v>0</v>
      </c>
      <c r="AE458" s="437">
        <v>-10.6</v>
      </c>
      <c r="AF458" s="438"/>
      <c r="AG458" s="459">
        <v>0.11</v>
      </c>
      <c r="AH458" s="438"/>
      <c r="AI458" s="446" t="str">
        <f>IF(ISNUMBER(VLOOKUP(B458,'New Masses'!A:C,2, FALSE)),VLOOKUP(B458,'New Masses'!A:C,2, FALSE),"")</f>
        <v/>
      </c>
      <c r="AJ458" s="438"/>
      <c r="AK458" s="438"/>
      <c r="AL458" s="438"/>
      <c r="AM458" s="438"/>
      <c r="AN458" s="436">
        <v>1.0</v>
      </c>
      <c r="AO458" s="438"/>
      <c r="AP458" s="454">
        <v>5.1</v>
      </c>
      <c r="AQ458" s="438"/>
      <c r="AR458" s="454" t="s">
        <v>2460</v>
      </c>
      <c r="AS458" s="438"/>
      <c r="AT458" s="438"/>
      <c r="AU458" s="473" t="s">
        <v>249</v>
      </c>
      <c r="AV458" s="438"/>
      <c r="AW458" s="450"/>
    </row>
    <row r="459">
      <c r="A459" s="435" t="str">
        <f t="shared" ref="A459:C459" si="399">#REF!</f>
        <v>#REF!</v>
      </c>
      <c r="B459" s="485" t="str">
        <f t="shared" si="399"/>
        <v>#REF!</v>
      </c>
      <c r="C459" s="486" t="str">
        <f t="shared" si="399"/>
        <v>#REF!</v>
      </c>
      <c r="D459" s="486"/>
      <c r="E459" s="486"/>
      <c r="F459" s="528"/>
      <c r="G459" s="486"/>
      <c r="H459" s="486" t="s">
        <v>5917</v>
      </c>
      <c r="I459" s="491"/>
      <c r="J459" s="491"/>
      <c r="K459" s="491"/>
      <c r="L459" s="491"/>
      <c r="M459" s="486"/>
      <c r="N459" s="422"/>
      <c r="O459" s="422"/>
      <c r="P459" s="422"/>
      <c r="Q459" s="486"/>
      <c r="R459" s="491"/>
      <c r="S459" s="491"/>
      <c r="T459" s="491"/>
      <c r="U459" s="491"/>
      <c r="V459" s="491"/>
      <c r="W459" s="493"/>
      <c r="X459" s="486"/>
      <c r="Y459" s="442"/>
      <c r="Z459" s="491"/>
      <c r="AA459" s="524" t="str">
        <f t="shared" ref="AA459:AA461" si="401">#REF!</f>
        <v>#REF!</v>
      </c>
      <c r="AB459" s="494"/>
      <c r="AC459" s="436"/>
      <c r="AD459" s="495"/>
      <c r="AE459" s="491"/>
      <c r="AF459" s="491"/>
      <c r="AG459" s="525" t="str">
        <f t="shared" ref="AG459:AG461" si="402">#REF!</f>
        <v>#REF!</v>
      </c>
      <c r="AH459" s="491"/>
      <c r="AI459" s="446"/>
      <c r="AJ459" s="491"/>
      <c r="AK459" s="500"/>
      <c r="AL459" s="436"/>
      <c r="AM459" s="438"/>
      <c r="AN459" s="531"/>
      <c r="AO459" s="491"/>
      <c r="AP459" s="438"/>
      <c r="AQ459" s="438"/>
      <c r="AR459" s="438"/>
      <c r="AS459" s="438"/>
      <c r="AT459" s="438"/>
      <c r="AU459" s="438"/>
      <c r="AV459" s="438"/>
      <c r="AW459" s="450" t="str">
        <f t="shared" ref="AW459:AW461" si="403">#REF!</f>
        <v>#REF!</v>
      </c>
    </row>
    <row r="460">
      <c r="A460" s="435" t="str">
        <f t="shared" ref="A460:C460" si="400">#REF!</f>
        <v>#REF!</v>
      </c>
      <c r="B460" s="485" t="str">
        <f t="shared" si="400"/>
        <v>#REF!</v>
      </c>
      <c r="C460" s="486" t="str">
        <f t="shared" si="400"/>
        <v>#REF!</v>
      </c>
      <c r="D460" s="486"/>
      <c r="E460" s="486"/>
      <c r="F460" s="528"/>
      <c r="G460" s="486"/>
      <c r="H460" s="486" t="s">
        <v>5917</v>
      </c>
      <c r="I460" s="491"/>
      <c r="J460" s="491"/>
      <c r="K460" s="491"/>
      <c r="L460" s="491"/>
      <c r="M460" s="486"/>
      <c r="N460" s="422"/>
      <c r="O460" s="422"/>
      <c r="P460" s="422"/>
      <c r="Q460" s="486"/>
      <c r="R460" s="491"/>
      <c r="S460" s="491"/>
      <c r="T460" s="491"/>
      <c r="U460" s="491"/>
      <c r="V460" s="491"/>
      <c r="W460" s="493"/>
      <c r="X460" s="486"/>
      <c r="Y460" s="442"/>
      <c r="Z460" s="491"/>
      <c r="AA460" s="524" t="str">
        <f t="shared" si="401"/>
        <v>#REF!</v>
      </c>
      <c r="AB460" s="494"/>
      <c r="AC460" s="436"/>
      <c r="AD460" s="495"/>
      <c r="AE460" s="491"/>
      <c r="AF460" s="491"/>
      <c r="AG460" s="525" t="str">
        <f t="shared" si="402"/>
        <v>#REF!</v>
      </c>
      <c r="AH460" s="491"/>
      <c r="AI460" s="446"/>
      <c r="AJ460" s="491"/>
      <c r="AK460" s="500"/>
      <c r="AL460" s="436"/>
      <c r="AM460" s="438"/>
      <c r="AN460" s="531"/>
      <c r="AO460" s="491"/>
      <c r="AP460" s="438"/>
      <c r="AQ460" s="438"/>
      <c r="AR460" s="438"/>
      <c r="AS460" s="438"/>
      <c r="AT460" s="438"/>
      <c r="AU460" s="438"/>
      <c r="AV460" s="438"/>
      <c r="AW460" s="450" t="str">
        <f t="shared" si="403"/>
        <v>#REF!</v>
      </c>
    </row>
    <row r="461">
      <c r="A461" s="435" t="str">
        <f t="shared" ref="A461:C461" si="404">#REF!</f>
        <v>#REF!</v>
      </c>
      <c r="B461" s="485" t="str">
        <f t="shared" si="404"/>
        <v>#REF!</v>
      </c>
      <c r="C461" s="486" t="str">
        <f t="shared" si="404"/>
        <v>#REF!</v>
      </c>
      <c r="D461" s="486"/>
      <c r="E461" s="486"/>
      <c r="F461" s="528"/>
      <c r="G461" s="486"/>
      <c r="H461" s="486" t="s">
        <v>5917</v>
      </c>
      <c r="I461" s="491"/>
      <c r="J461" s="491"/>
      <c r="K461" s="491"/>
      <c r="L461" s="491"/>
      <c r="M461" s="486"/>
      <c r="N461" s="422"/>
      <c r="O461" s="422"/>
      <c r="P461" s="422"/>
      <c r="Q461" s="486"/>
      <c r="R461" s="491"/>
      <c r="S461" s="491"/>
      <c r="T461" s="491"/>
      <c r="U461" s="491"/>
      <c r="V461" s="491"/>
      <c r="W461" s="493"/>
      <c r="X461" s="486"/>
      <c r="Y461" s="442"/>
      <c r="Z461" s="491"/>
      <c r="AA461" s="524" t="str">
        <f t="shared" si="401"/>
        <v>#REF!</v>
      </c>
      <c r="AB461" s="494"/>
      <c r="AC461" s="436"/>
      <c r="AD461" s="495"/>
      <c r="AE461" s="491"/>
      <c r="AF461" s="491"/>
      <c r="AG461" s="525" t="str">
        <f t="shared" si="402"/>
        <v>#REF!</v>
      </c>
      <c r="AH461" s="491"/>
      <c r="AI461" s="446"/>
      <c r="AJ461" s="491"/>
      <c r="AK461" s="500"/>
      <c r="AL461" s="436"/>
      <c r="AM461" s="438"/>
      <c r="AN461" s="531"/>
      <c r="AO461" s="491"/>
      <c r="AP461" s="438"/>
      <c r="AQ461" s="438"/>
      <c r="AR461" s="438"/>
      <c r="AS461" s="438"/>
      <c r="AT461" s="438"/>
      <c r="AU461" s="438"/>
      <c r="AV461" s="438"/>
      <c r="AW461" s="450" t="str">
        <f t="shared" si="403"/>
        <v>#REF!</v>
      </c>
    </row>
    <row r="462">
      <c r="A462" s="419" t="s">
        <v>246</v>
      </c>
      <c r="B462" s="436" t="s">
        <v>247</v>
      </c>
      <c r="C462" s="420"/>
      <c r="D462" s="420" t="s">
        <v>2227</v>
      </c>
      <c r="E462" s="420"/>
      <c r="F462" s="420" t="s">
        <v>2461</v>
      </c>
      <c r="G462" s="420" t="s">
        <v>169</v>
      </c>
      <c r="H462" s="420" t="s">
        <v>201</v>
      </c>
      <c r="I462" s="420" t="s">
        <v>2207</v>
      </c>
      <c r="J462" s="436">
        <v>2950.0</v>
      </c>
      <c r="K462" s="438"/>
      <c r="L462" s="420" t="s">
        <v>217</v>
      </c>
      <c r="M462" s="429"/>
      <c r="N462" s="422">
        <v>15.218</v>
      </c>
      <c r="O462" s="422">
        <v>13.748</v>
      </c>
      <c r="P462" s="422"/>
      <c r="Q462" s="420" t="s">
        <v>2208</v>
      </c>
      <c r="R462" s="438" t="s">
        <v>2209</v>
      </c>
      <c r="S462" s="420" t="s">
        <v>2229</v>
      </c>
      <c r="T462" s="454" t="s">
        <v>162</v>
      </c>
      <c r="U462" s="420" t="s">
        <v>2210</v>
      </c>
      <c r="V462" s="436">
        <v>5.68</v>
      </c>
      <c r="W462" s="458"/>
      <c r="X462" s="438"/>
      <c r="Y462" s="442" t="str">
        <f t="shared" ref="Y462:Y463" si="405">IF((W462/((J462/5780)^4))^0.5&gt;0,(W462/((J462/5780)^4))^0.5,"")</f>
        <v/>
      </c>
      <c r="Z462" s="442"/>
      <c r="AA462" s="443"/>
      <c r="AB462" s="443"/>
      <c r="AC462" s="469">
        <f>IF(ISNUMBER(VLOOKUP(B462,'New Masses'!A:C,3,FALSE)),VLOOKUP(B462,'New Masses'!A:C,3,FALSE),"")</f>
        <v>0.604621</v>
      </c>
      <c r="AD462" s="423">
        <f t="shared" ref="AD462:AD463" si="406">10^AE462</f>
        <v>0.0000000003981071706</v>
      </c>
      <c r="AE462" s="436">
        <v>-9.4</v>
      </c>
      <c r="AF462" s="438"/>
      <c r="AG462" s="459">
        <v>0.07</v>
      </c>
      <c r="AH462" s="438"/>
      <c r="AI462" s="446" t="str">
        <f>IF(ISNUMBER(VLOOKUP(A462,'New Masses'!A:C,2, FALSE)),VLOOKUP(A462,'New Masses'!A:C,2, FALSE),"")</f>
        <v/>
      </c>
      <c r="AJ462" s="438"/>
      <c r="AK462" s="438"/>
      <c r="AL462" s="438"/>
      <c r="AM462" s="438"/>
      <c r="AN462" s="436">
        <v>1.0</v>
      </c>
      <c r="AO462" s="438"/>
      <c r="AP462" s="436">
        <v>2.9</v>
      </c>
      <c r="AQ462" s="438"/>
      <c r="AR462" s="420" t="s">
        <v>2455</v>
      </c>
      <c r="AS462" s="420"/>
      <c r="AT462" s="438"/>
      <c r="AU462" s="420" t="s">
        <v>250</v>
      </c>
      <c r="AV462" s="438"/>
      <c r="AW462" s="450">
        <v>417.955362367299</v>
      </c>
    </row>
    <row r="463">
      <c r="A463" s="419" t="s">
        <v>246</v>
      </c>
      <c r="B463" s="436" t="s">
        <v>247</v>
      </c>
      <c r="C463" s="420"/>
      <c r="D463" s="420" t="s">
        <v>2227</v>
      </c>
      <c r="E463" s="420"/>
      <c r="F463" s="420" t="s">
        <v>2461</v>
      </c>
      <c r="G463" s="420" t="s">
        <v>169</v>
      </c>
      <c r="H463" s="420" t="s">
        <v>201</v>
      </c>
      <c r="I463" s="420" t="s">
        <v>2207</v>
      </c>
      <c r="J463" s="436">
        <v>2950.0</v>
      </c>
      <c r="K463" s="438"/>
      <c r="L463" s="420" t="s">
        <v>217</v>
      </c>
      <c r="M463" s="429"/>
      <c r="N463" s="422">
        <v>15.218</v>
      </c>
      <c r="O463" s="422">
        <v>13.748</v>
      </c>
      <c r="P463" s="422"/>
      <c r="Q463" s="420" t="s">
        <v>2208</v>
      </c>
      <c r="R463" s="438" t="s">
        <v>2209</v>
      </c>
      <c r="S463" s="420" t="s">
        <v>2229</v>
      </c>
      <c r="T463" s="454" t="s">
        <v>162</v>
      </c>
      <c r="U463" s="420" t="s">
        <v>2210</v>
      </c>
      <c r="V463" s="436">
        <v>5.68</v>
      </c>
      <c r="W463" s="458"/>
      <c r="X463" s="438"/>
      <c r="Y463" s="442" t="str">
        <f t="shared" si="405"/>
        <v/>
      </c>
      <c r="Z463" s="442"/>
      <c r="AA463" s="443"/>
      <c r="AB463" s="443"/>
      <c r="AC463" s="469">
        <f>IF(ISNUMBER(VLOOKUP(B463,'New Masses'!A:C,3,FALSE)),VLOOKUP(B463,'New Masses'!A:C,3,FALSE),"")</f>
        <v>0.604621</v>
      </c>
      <c r="AD463" s="423">
        <f t="shared" si="406"/>
        <v>0.0000000001584893192</v>
      </c>
      <c r="AE463" s="437">
        <v>-9.8</v>
      </c>
      <c r="AF463" s="438"/>
      <c r="AG463" s="459">
        <v>0.07</v>
      </c>
      <c r="AH463" s="438"/>
      <c r="AI463" s="446" t="str">
        <f>IF(ISNUMBER(VLOOKUP(A463,'New Masses'!A:C,2, FALSE)),VLOOKUP(A463,'New Masses'!A:C,2, FALSE),"")</f>
        <v/>
      </c>
      <c r="AJ463" s="438"/>
      <c r="AK463" s="438"/>
      <c r="AL463" s="438"/>
      <c r="AM463" s="438"/>
      <c r="AN463" s="436">
        <v>1.0</v>
      </c>
      <c r="AO463" s="438"/>
      <c r="AP463" s="436">
        <v>2.9</v>
      </c>
      <c r="AQ463" s="438"/>
      <c r="AR463" s="420" t="s">
        <v>2455</v>
      </c>
      <c r="AS463" s="420"/>
      <c r="AT463" s="438"/>
      <c r="AU463" s="420" t="s">
        <v>249</v>
      </c>
      <c r="AV463" s="438"/>
      <c r="AW463" s="450">
        <v>417.955362367299</v>
      </c>
    </row>
    <row r="464">
      <c r="A464" s="419" t="s">
        <v>246</v>
      </c>
      <c r="B464" s="436" t="s">
        <v>247</v>
      </c>
      <c r="C464" s="420"/>
      <c r="D464" s="420" t="s">
        <v>2227</v>
      </c>
      <c r="E464" s="420"/>
      <c r="F464" s="420" t="s">
        <v>2461</v>
      </c>
      <c r="G464" s="420" t="s">
        <v>169</v>
      </c>
      <c r="H464" s="420" t="s">
        <v>248</v>
      </c>
      <c r="I464" s="420" t="s">
        <v>2231</v>
      </c>
      <c r="J464" s="420"/>
      <c r="K464" s="420"/>
      <c r="L464" s="420" t="s">
        <v>642</v>
      </c>
      <c r="M464" s="429"/>
      <c r="N464" s="422">
        <v>15.218</v>
      </c>
      <c r="O464" s="422">
        <v>13.748</v>
      </c>
      <c r="P464" s="422"/>
      <c r="Q464" s="420" t="s">
        <v>2232</v>
      </c>
      <c r="R464" s="420" t="s">
        <v>2462</v>
      </c>
      <c r="S464" s="420" t="s">
        <v>2234</v>
      </c>
      <c r="T464" s="420" t="s">
        <v>596</v>
      </c>
      <c r="U464" s="420" t="s">
        <v>597</v>
      </c>
      <c r="V464" s="440"/>
      <c r="W464" s="468">
        <v>0.01</v>
      </c>
      <c r="X464" s="436"/>
      <c r="Y464" s="442"/>
      <c r="Z464" s="469"/>
      <c r="AA464" s="470">
        <v>0.5</v>
      </c>
      <c r="AB464" s="426"/>
      <c r="AC464" s="469">
        <f>IF(ISNUMBER(VLOOKUP(B464,'New Masses'!A:C,3,FALSE)),VLOOKUP(B464,'New Masses'!A:C,3,FALSE),"")</f>
        <v>0.604621</v>
      </c>
      <c r="AD464" s="451">
        <f>10^(AE464)</f>
        <v>0.0000000005011872336</v>
      </c>
      <c r="AE464" s="436">
        <v>-9.3</v>
      </c>
      <c r="AF464" s="436">
        <v>0.04</v>
      </c>
      <c r="AG464" s="459">
        <v>0.04</v>
      </c>
      <c r="AH464" s="420"/>
      <c r="AI464" s="446" t="str">
        <f>IF(ISNUMBER(VLOOKUP(A464,'New Masses'!A:C,2, FALSE)),VLOOKUP(A464,'New Masses'!A:C,2, FALSE),"")</f>
        <v/>
      </c>
      <c r="AJ464" s="420"/>
      <c r="AK464" s="460">
        <f>(6.67*10^(-11))*((2*10^(33))^2)*AD464*AG464/(3*10^7*AA464*7*10^10)</f>
        <v>5.09397E+27</v>
      </c>
      <c r="AL464" s="451">
        <f>LOG10(AK464/(4*10^33))</f>
        <v>-5.895003474</v>
      </c>
      <c r="AM464" s="438"/>
      <c r="AN464" s="436">
        <v>2.0</v>
      </c>
      <c r="AO464" s="438"/>
      <c r="AP464" s="436">
        <v>2.9</v>
      </c>
      <c r="AQ464" s="438"/>
      <c r="AR464" s="420" t="s">
        <v>2455</v>
      </c>
      <c r="AS464" s="420"/>
      <c r="AT464" s="438"/>
      <c r="AU464" s="420" t="s">
        <v>644</v>
      </c>
      <c r="AV464" s="454">
        <v>1.35</v>
      </c>
      <c r="AW464" s="450">
        <v>417.955362367299</v>
      </c>
    </row>
    <row r="465">
      <c r="A465" s="435" t="str">
        <f t="shared" ref="A465:C465" si="407">#REF!</f>
        <v>#REF!</v>
      </c>
      <c r="B465" s="485" t="str">
        <f t="shared" si="407"/>
        <v>#REF!</v>
      </c>
      <c r="C465" s="486" t="str">
        <f t="shared" si="407"/>
        <v>#REF!</v>
      </c>
      <c r="D465" s="486"/>
      <c r="E465" s="486"/>
      <c r="F465" s="528"/>
      <c r="G465" s="486"/>
      <c r="H465" s="486" t="s">
        <v>5917</v>
      </c>
      <c r="I465" s="491"/>
      <c r="J465" s="491"/>
      <c r="K465" s="491"/>
      <c r="L465" s="491"/>
      <c r="M465" s="486"/>
      <c r="N465" s="422"/>
      <c r="O465" s="422"/>
      <c r="P465" s="422"/>
      <c r="Q465" s="486"/>
      <c r="R465" s="491"/>
      <c r="S465" s="491"/>
      <c r="T465" s="491"/>
      <c r="U465" s="491"/>
      <c r="V465" s="491"/>
      <c r="W465" s="493"/>
      <c r="X465" s="486"/>
      <c r="Y465" s="442"/>
      <c r="Z465" s="491"/>
      <c r="AA465" s="524" t="str">
        <f t="shared" ref="AA465:AA467" si="409">#REF!</f>
        <v>#REF!</v>
      </c>
      <c r="AB465" s="494"/>
      <c r="AC465" s="436"/>
      <c r="AD465" s="495"/>
      <c r="AE465" s="491"/>
      <c r="AF465" s="491"/>
      <c r="AG465" s="525" t="str">
        <f t="shared" ref="AG465:AG467" si="410">#REF!</f>
        <v>#REF!</v>
      </c>
      <c r="AH465" s="491"/>
      <c r="AI465" s="446"/>
      <c r="AJ465" s="491"/>
      <c r="AK465" s="500"/>
      <c r="AL465" s="436"/>
      <c r="AM465" s="438"/>
      <c r="AN465" s="531"/>
      <c r="AO465" s="491"/>
      <c r="AP465" s="438"/>
      <c r="AQ465" s="438"/>
      <c r="AR465" s="438"/>
      <c r="AS465" s="438"/>
      <c r="AT465" s="438"/>
      <c r="AU465" s="438"/>
      <c r="AV465" s="438"/>
      <c r="AW465" s="450" t="str">
        <f t="shared" ref="AW465:AW467" si="411">#REF!</f>
        <v>#REF!</v>
      </c>
    </row>
    <row r="466">
      <c r="A466" s="435" t="str">
        <f t="shared" ref="A466:C466" si="408">#REF!</f>
        <v>#REF!</v>
      </c>
      <c r="B466" s="485" t="str">
        <f t="shared" si="408"/>
        <v>#REF!</v>
      </c>
      <c r="C466" s="486" t="str">
        <f t="shared" si="408"/>
        <v>#REF!</v>
      </c>
      <c r="D466" s="486"/>
      <c r="E466" s="486"/>
      <c r="F466" s="528"/>
      <c r="G466" s="486"/>
      <c r="H466" s="486" t="s">
        <v>5917</v>
      </c>
      <c r="I466" s="491"/>
      <c r="J466" s="491"/>
      <c r="K466" s="491"/>
      <c r="L466" s="491"/>
      <c r="M466" s="486"/>
      <c r="N466" s="422"/>
      <c r="O466" s="422"/>
      <c r="P466" s="422"/>
      <c r="Q466" s="486"/>
      <c r="R466" s="491"/>
      <c r="S466" s="491"/>
      <c r="T466" s="491"/>
      <c r="U466" s="491"/>
      <c r="V466" s="491"/>
      <c r="W466" s="493"/>
      <c r="X466" s="486"/>
      <c r="Y466" s="442"/>
      <c r="Z466" s="491"/>
      <c r="AA466" s="524" t="str">
        <f t="shared" si="409"/>
        <v>#REF!</v>
      </c>
      <c r="AB466" s="494"/>
      <c r="AC466" s="436"/>
      <c r="AD466" s="495"/>
      <c r="AE466" s="491"/>
      <c r="AF466" s="491"/>
      <c r="AG466" s="525" t="str">
        <f t="shared" si="410"/>
        <v>#REF!</v>
      </c>
      <c r="AH466" s="491"/>
      <c r="AI466" s="446"/>
      <c r="AJ466" s="491"/>
      <c r="AK466" s="500"/>
      <c r="AL466" s="436"/>
      <c r="AM466" s="438"/>
      <c r="AN466" s="531"/>
      <c r="AO466" s="491"/>
      <c r="AP466" s="438"/>
      <c r="AQ466" s="438"/>
      <c r="AR466" s="438"/>
      <c r="AS466" s="438"/>
      <c r="AT466" s="438"/>
      <c r="AU466" s="438"/>
      <c r="AV466" s="438"/>
      <c r="AW466" s="450" t="str">
        <f t="shared" si="411"/>
        <v>#REF!</v>
      </c>
    </row>
    <row r="467">
      <c r="A467" s="435" t="str">
        <f t="shared" ref="A467:C467" si="412">#REF!</f>
        <v>#REF!</v>
      </c>
      <c r="B467" s="485" t="str">
        <f t="shared" si="412"/>
        <v>#REF!</v>
      </c>
      <c r="C467" s="486" t="str">
        <f t="shared" si="412"/>
        <v>#REF!</v>
      </c>
      <c r="D467" s="486"/>
      <c r="E467" s="486"/>
      <c r="F467" s="528"/>
      <c r="G467" s="486"/>
      <c r="H467" s="486" t="s">
        <v>5917</v>
      </c>
      <c r="I467" s="491"/>
      <c r="J467" s="491"/>
      <c r="K467" s="491"/>
      <c r="L467" s="491"/>
      <c r="M467" s="486"/>
      <c r="N467" s="422"/>
      <c r="O467" s="422"/>
      <c r="P467" s="422"/>
      <c r="Q467" s="486"/>
      <c r="R467" s="491"/>
      <c r="S467" s="491"/>
      <c r="T467" s="491"/>
      <c r="U467" s="491"/>
      <c r="V467" s="491"/>
      <c r="W467" s="493"/>
      <c r="X467" s="486"/>
      <c r="Y467" s="442"/>
      <c r="Z467" s="491"/>
      <c r="AA467" s="524" t="str">
        <f t="shared" si="409"/>
        <v>#REF!</v>
      </c>
      <c r="AB467" s="494"/>
      <c r="AC467" s="436"/>
      <c r="AD467" s="495"/>
      <c r="AE467" s="491"/>
      <c r="AF467" s="491"/>
      <c r="AG467" s="525" t="str">
        <f t="shared" si="410"/>
        <v>#REF!</v>
      </c>
      <c r="AH467" s="491"/>
      <c r="AI467" s="446"/>
      <c r="AJ467" s="491"/>
      <c r="AK467" s="500"/>
      <c r="AL467" s="436"/>
      <c r="AM467" s="438"/>
      <c r="AN467" s="531"/>
      <c r="AO467" s="491"/>
      <c r="AP467" s="438"/>
      <c r="AQ467" s="438"/>
      <c r="AR467" s="438"/>
      <c r="AS467" s="438"/>
      <c r="AT467" s="438"/>
      <c r="AU467" s="438"/>
      <c r="AV467" s="438"/>
      <c r="AW467" s="450" t="str">
        <f t="shared" si="411"/>
        <v>#REF!</v>
      </c>
    </row>
    <row r="468">
      <c r="A468" s="419" t="s">
        <v>1566</v>
      </c>
      <c r="B468" s="419" t="s">
        <v>1566</v>
      </c>
      <c r="C468" s="436"/>
      <c r="D468" s="436" t="s">
        <v>268</v>
      </c>
      <c r="E468" s="436"/>
      <c r="F468" s="436" t="s">
        <v>2463</v>
      </c>
      <c r="G468" s="436" t="s">
        <v>169</v>
      </c>
      <c r="H468" s="436" t="s">
        <v>1479</v>
      </c>
      <c r="I468" s="436" t="s">
        <v>2427</v>
      </c>
      <c r="J468" s="436">
        <v>5451.0</v>
      </c>
      <c r="K468" s="436"/>
      <c r="L468" s="436" t="s">
        <v>1567</v>
      </c>
      <c r="M468" s="439"/>
      <c r="N468" s="422">
        <v>8.285</v>
      </c>
      <c r="O468" s="422">
        <v>6.845</v>
      </c>
      <c r="P468" s="422">
        <v>10.51</v>
      </c>
      <c r="Q468" s="436" t="s">
        <v>2428</v>
      </c>
      <c r="R468" s="436" t="s">
        <v>2429</v>
      </c>
      <c r="S468" s="436" t="s">
        <v>2430</v>
      </c>
      <c r="T468" s="419" t="s">
        <v>162</v>
      </c>
      <c r="U468" s="436" t="s">
        <v>2431</v>
      </c>
      <c r="V468" s="451">
        <v>2.2391E30</v>
      </c>
      <c r="W468" s="474">
        <v>8.0</v>
      </c>
      <c r="X468" s="436"/>
      <c r="Y468" s="442">
        <f>IF((W468/((J468/5780)^4))^0.5&gt;0,(W468/((J468/5780)^4))^0.5,"")</f>
        <v>3.180155135</v>
      </c>
      <c r="Z468" s="469"/>
      <c r="AA468" s="470">
        <v>3.2</v>
      </c>
      <c r="AB468" s="470"/>
      <c r="AC468" s="436" t="str">
        <f>IF(ISNUMBER(VLOOKUP(B468,'New Masses'!A:C,3,FALSE)),VLOOKUP(B468,'New Masses'!A:C,3,FALSE),"")</f>
        <v/>
      </c>
      <c r="AD468" s="440">
        <f>10^AE468</f>
        <v>0.0000001548816619</v>
      </c>
      <c r="AE468" s="436">
        <v>-6.81</v>
      </c>
      <c r="AF468" s="438"/>
      <c r="AG468" s="459">
        <v>2.1</v>
      </c>
      <c r="AH468" s="436"/>
      <c r="AI468" s="446" t="str">
        <f>IF(ISNUMBER(VLOOKUP(B468,'New Masses'!A:C,2, FALSE)),VLOOKUP(B468,'New Masses'!A:C,2, FALSE),"")</f>
        <v/>
      </c>
      <c r="AJ468" s="438"/>
      <c r="AK468" s="436"/>
      <c r="AL468" s="436">
        <v>0.41</v>
      </c>
      <c r="AM468" s="438"/>
      <c r="AN468" s="436">
        <v>2.0</v>
      </c>
      <c r="AO468" s="438"/>
      <c r="AP468" s="438"/>
      <c r="AQ468" s="438"/>
      <c r="AR468" s="438"/>
      <c r="AS468" s="438"/>
      <c r="AT468" s="438"/>
      <c r="AU468" s="438"/>
      <c r="AV468" s="438"/>
      <c r="AW468" s="450">
        <v>193.240449090803</v>
      </c>
    </row>
    <row r="469">
      <c r="A469" s="435" t="str">
        <f t="shared" ref="A469:C469" si="413">#REF!</f>
        <v>#REF!</v>
      </c>
      <c r="B469" s="485" t="str">
        <f t="shared" si="413"/>
        <v>#REF!</v>
      </c>
      <c r="C469" s="486" t="str">
        <f t="shared" si="413"/>
        <v>#REF!</v>
      </c>
      <c r="D469" s="486"/>
      <c r="E469" s="486"/>
      <c r="F469" s="528"/>
      <c r="G469" s="486"/>
      <c r="H469" s="486" t="s">
        <v>5917</v>
      </c>
      <c r="I469" s="491"/>
      <c r="J469" s="491"/>
      <c r="K469" s="491"/>
      <c r="L469" s="491"/>
      <c r="M469" s="486"/>
      <c r="N469" s="422"/>
      <c r="O469" s="422"/>
      <c r="P469" s="422"/>
      <c r="Q469" s="486"/>
      <c r="R469" s="491"/>
      <c r="S469" s="491"/>
      <c r="T469" s="491"/>
      <c r="U469" s="491"/>
      <c r="V469" s="491"/>
      <c r="W469" s="493"/>
      <c r="X469" s="486"/>
      <c r="Y469" s="442"/>
      <c r="Z469" s="491"/>
      <c r="AA469" s="524" t="str">
        <f>#REF!</f>
        <v>#REF!</v>
      </c>
      <c r="AB469" s="494"/>
      <c r="AC469" s="436"/>
      <c r="AD469" s="495"/>
      <c r="AE469" s="491"/>
      <c r="AF469" s="491"/>
      <c r="AG469" s="525" t="str">
        <f>#REF!</f>
        <v>#REF!</v>
      </c>
      <c r="AH469" s="491"/>
      <c r="AI469" s="446"/>
      <c r="AJ469" s="491"/>
      <c r="AK469" s="500"/>
      <c r="AL469" s="436"/>
      <c r="AM469" s="438"/>
      <c r="AN469" s="531"/>
      <c r="AO469" s="491"/>
      <c r="AP469" s="438"/>
      <c r="AQ469" s="438"/>
      <c r="AR469" s="438"/>
      <c r="AS469" s="438"/>
      <c r="AT469" s="438"/>
      <c r="AU469" s="438"/>
      <c r="AV469" s="438"/>
      <c r="AW469" s="450" t="str">
        <f>#REF!</f>
        <v>#REF!</v>
      </c>
    </row>
    <row r="470">
      <c r="A470" s="419" t="s">
        <v>435</v>
      </c>
      <c r="B470" s="419" t="s">
        <v>435</v>
      </c>
      <c r="C470" s="436"/>
      <c r="D470" s="436" t="s">
        <v>199</v>
      </c>
      <c r="E470" s="436"/>
      <c r="F470" s="436" t="s">
        <v>2464</v>
      </c>
      <c r="G470" s="436" t="s">
        <v>169</v>
      </c>
      <c r="H470" s="436" t="s">
        <v>413</v>
      </c>
      <c r="I470" s="456">
        <v>35400.0</v>
      </c>
      <c r="J470" s="438"/>
      <c r="K470" s="438"/>
      <c r="L470" s="436" t="s">
        <v>419</v>
      </c>
      <c r="M470" s="439"/>
      <c r="N470" s="422">
        <v>9.828</v>
      </c>
      <c r="O470" s="422">
        <v>8.597</v>
      </c>
      <c r="P470" s="422">
        <v>12.59</v>
      </c>
      <c r="Q470" s="436" t="s">
        <v>2189</v>
      </c>
      <c r="R470" s="436" t="s">
        <v>2257</v>
      </c>
      <c r="S470" s="436" t="s">
        <v>414</v>
      </c>
      <c r="T470" s="436" t="s">
        <v>293</v>
      </c>
      <c r="U470" s="436" t="s">
        <v>294</v>
      </c>
      <c r="V470" s="440"/>
      <c r="W470" s="474">
        <v>0.46</v>
      </c>
      <c r="X470" s="436"/>
      <c r="Y470" s="442"/>
      <c r="Z470" s="469"/>
      <c r="AA470" s="470">
        <v>1.63</v>
      </c>
      <c r="AB470" s="470"/>
      <c r="AC470" s="436" t="str">
        <f>IF(ISNUMBER(VLOOKUP(B470,'New Masses'!A:C,3,FALSE)),VLOOKUP(B470,'New Masses'!A:C,3,FALSE),"")</f>
        <v/>
      </c>
      <c r="AD470" s="451">
        <v>7.5E-9</v>
      </c>
      <c r="AE470" s="438">
        <f>LOG10(AD470)</f>
        <v>-8.124938737</v>
      </c>
      <c r="AF470" s="438"/>
      <c r="AG470" s="459">
        <v>0.424</v>
      </c>
      <c r="AH470" s="436"/>
      <c r="AI470" s="446" t="str">
        <f>IF(ISNUMBER(VLOOKUP(B470,'New Masses'!A:C,2, FALSE)),VLOOKUP(B470,'New Masses'!A:C,2, FALSE),"")</f>
        <v/>
      </c>
      <c r="AJ470" s="436"/>
      <c r="AK470" s="436"/>
      <c r="AL470" s="436">
        <v>0.041</v>
      </c>
      <c r="AM470" s="438"/>
      <c r="AN470" s="436">
        <v>1.0</v>
      </c>
      <c r="AO470" s="438"/>
      <c r="AP470" s="438"/>
      <c r="AQ470" s="438"/>
      <c r="AR470" s="438"/>
      <c r="AS470" s="438"/>
      <c r="AT470" s="438"/>
      <c r="AU470" s="438"/>
      <c r="AV470" s="438"/>
      <c r="AW470" s="450">
        <v>128.880926911626</v>
      </c>
    </row>
    <row r="471">
      <c r="A471" s="435" t="str">
        <f t="shared" ref="A471:C471" si="414">#REF!</f>
        <v>#REF!</v>
      </c>
      <c r="B471" s="485" t="str">
        <f t="shared" si="414"/>
        <v>#REF!</v>
      </c>
      <c r="C471" s="486" t="str">
        <f t="shared" si="414"/>
        <v>#REF!</v>
      </c>
      <c r="D471" s="486"/>
      <c r="E471" s="486"/>
      <c r="F471" s="528"/>
      <c r="G471" s="486"/>
      <c r="H471" s="486" t="s">
        <v>5917</v>
      </c>
      <c r="I471" s="491"/>
      <c r="J471" s="491"/>
      <c r="K471" s="491"/>
      <c r="L471" s="491"/>
      <c r="M471" s="486"/>
      <c r="N471" s="422"/>
      <c r="O471" s="422"/>
      <c r="P471" s="422"/>
      <c r="Q471" s="486"/>
      <c r="R471" s="491"/>
      <c r="S471" s="491"/>
      <c r="T471" s="491"/>
      <c r="U471" s="491"/>
      <c r="V471" s="491"/>
      <c r="W471" s="493"/>
      <c r="X471" s="486"/>
      <c r="Y471" s="442"/>
      <c r="Z471" s="491"/>
      <c r="AA471" s="524" t="str">
        <f>#REF!</f>
        <v>#REF!</v>
      </c>
      <c r="AB471" s="494"/>
      <c r="AC471" s="436"/>
      <c r="AD471" s="495"/>
      <c r="AE471" s="491"/>
      <c r="AF471" s="491"/>
      <c r="AG471" s="525" t="str">
        <f>#REF!</f>
        <v>#REF!</v>
      </c>
      <c r="AH471" s="491"/>
      <c r="AI471" s="446"/>
      <c r="AJ471" s="491"/>
      <c r="AK471" s="500"/>
      <c r="AL471" s="436"/>
      <c r="AM471" s="438"/>
      <c r="AN471" s="531"/>
      <c r="AO471" s="491"/>
      <c r="AP471" s="438"/>
      <c r="AQ471" s="438"/>
      <c r="AR471" s="438"/>
      <c r="AS471" s="438"/>
      <c r="AT471" s="438"/>
      <c r="AU471" s="438"/>
      <c r="AV471" s="438"/>
      <c r="AW471" s="450" t="str">
        <f>#REF!</f>
        <v>#REF!</v>
      </c>
    </row>
    <row r="472">
      <c r="A472" s="419" t="s">
        <v>412</v>
      </c>
      <c r="B472" s="419" t="s">
        <v>412</v>
      </c>
      <c r="C472" s="436"/>
      <c r="D472" s="436" t="s">
        <v>199</v>
      </c>
      <c r="E472" s="436"/>
      <c r="F472" s="436" t="s">
        <v>2465</v>
      </c>
      <c r="G472" s="436" t="s">
        <v>169</v>
      </c>
      <c r="H472" s="436" t="s">
        <v>413</v>
      </c>
      <c r="I472" s="456">
        <v>35400.0</v>
      </c>
      <c r="J472" s="438"/>
      <c r="K472" s="438"/>
      <c r="L472" s="436" t="s">
        <v>415</v>
      </c>
      <c r="M472" s="439"/>
      <c r="N472" s="422">
        <v>9.18</v>
      </c>
      <c r="O472" s="422">
        <v>7.799</v>
      </c>
      <c r="P472" s="422"/>
      <c r="Q472" s="436" t="s">
        <v>2189</v>
      </c>
      <c r="R472" s="436" t="s">
        <v>2257</v>
      </c>
      <c r="S472" s="436" t="s">
        <v>414</v>
      </c>
      <c r="T472" s="436" t="s">
        <v>293</v>
      </c>
      <c r="U472" s="436" t="s">
        <v>294</v>
      </c>
      <c r="V472" s="440"/>
      <c r="W472" s="474">
        <v>0.87</v>
      </c>
      <c r="X472" s="436"/>
      <c r="Y472" s="442"/>
      <c r="Z472" s="469"/>
      <c r="AA472" s="470">
        <v>2.45</v>
      </c>
      <c r="AB472" s="470"/>
      <c r="AC472" s="436" t="str">
        <f>IF(ISNUMBER(VLOOKUP(B472,'New Masses'!A:C,3,FALSE)),VLOOKUP(B472,'New Masses'!A:C,3,FALSE),"")</f>
        <v/>
      </c>
      <c r="AD472" s="451">
        <v>2.64E-8</v>
      </c>
      <c r="AE472" s="438">
        <f>LOG10(AD472)</f>
        <v>-7.578396073</v>
      </c>
      <c r="AF472" s="438"/>
      <c r="AG472" s="459">
        <v>0.259</v>
      </c>
      <c r="AH472" s="436"/>
      <c r="AI472" s="446" t="str">
        <f>IF(ISNUMBER(VLOOKUP(B472,'New Masses'!A:C,2, FALSE)),VLOOKUP(B472,'New Masses'!A:C,2, FALSE),"")</f>
        <v/>
      </c>
      <c r="AJ472" s="436"/>
      <c r="AK472" s="436"/>
      <c r="AL472" s="436">
        <v>0.071</v>
      </c>
      <c r="AM472" s="438"/>
      <c r="AN472" s="436">
        <v>1.0</v>
      </c>
      <c r="AO472" s="438"/>
      <c r="AP472" s="438"/>
      <c r="AQ472" s="438"/>
      <c r="AR472" s="438"/>
      <c r="AS472" s="438"/>
      <c r="AT472" s="438"/>
      <c r="AU472" s="438"/>
      <c r="AV472" s="438"/>
      <c r="AW472" s="450">
        <v>127.369064601589</v>
      </c>
    </row>
    <row r="473">
      <c r="A473" s="435" t="str">
        <f t="shared" ref="A473:C473" si="415">#REF!</f>
        <v>#REF!</v>
      </c>
      <c r="B473" s="485" t="str">
        <f t="shared" si="415"/>
        <v>#REF!</v>
      </c>
      <c r="C473" s="486" t="str">
        <f t="shared" si="415"/>
        <v>#REF!</v>
      </c>
      <c r="D473" s="486"/>
      <c r="E473" s="486"/>
      <c r="F473" s="528"/>
      <c r="G473" s="486"/>
      <c r="H473" s="486" t="s">
        <v>5917</v>
      </c>
      <c r="I473" s="491"/>
      <c r="J473" s="491"/>
      <c r="K473" s="491"/>
      <c r="L473" s="491"/>
      <c r="M473" s="486"/>
      <c r="N473" s="422"/>
      <c r="O473" s="422"/>
      <c r="P473" s="422"/>
      <c r="Q473" s="486"/>
      <c r="R473" s="491"/>
      <c r="S473" s="491"/>
      <c r="T473" s="491"/>
      <c r="U473" s="491"/>
      <c r="V473" s="491"/>
      <c r="W473" s="493"/>
      <c r="X473" s="486"/>
      <c r="Y473" s="442"/>
      <c r="Z473" s="491"/>
      <c r="AA473" s="524" t="str">
        <f>#REF!</f>
        <v>#REF!</v>
      </c>
      <c r="AB473" s="494"/>
      <c r="AC473" s="436"/>
      <c r="AD473" s="495"/>
      <c r="AE473" s="491"/>
      <c r="AF473" s="491"/>
      <c r="AG473" s="525" t="str">
        <f>#REF!</f>
        <v>#REF!</v>
      </c>
      <c r="AH473" s="491"/>
      <c r="AI473" s="446"/>
      <c r="AJ473" s="491"/>
      <c r="AK473" s="500"/>
      <c r="AL473" s="436"/>
      <c r="AM473" s="438"/>
      <c r="AN473" s="531"/>
      <c r="AO473" s="491"/>
      <c r="AP473" s="438"/>
      <c r="AQ473" s="438"/>
      <c r="AR473" s="438"/>
      <c r="AS473" s="438"/>
      <c r="AT473" s="438"/>
      <c r="AU473" s="438"/>
      <c r="AV473" s="438"/>
      <c r="AW473" s="450" t="str">
        <f>#REF!</f>
        <v>#REF!</v>
      </c>
    </row>
    <row r="474">
      <c r="A474" s="436" t="s">
        <v>230</v>
      </c>
      <c r="B474" s="478" t="s">
        <v>231</v>
      </c>
      <c r="C474" s="421" t="s">
        <v>2466</v>
      </c>
      <c r="D474" s="420" t="s">
        <v>224</v>
      </c>
      <c r="E474" s="420"/>
      <c r="F474" s="420" t="s">
        <v>2467</v>
      </c>
      <c r="G474" s="420" t="s">
        <v>189</v>
      </c>
      <c r="H474" s="420" t="s">
        <v>201</v>
      </c>
      <c r="I474" s="420" t="s">
        <v>2207</v>
      </c>
      <c r="J474" s="436">
        <v>2800.0</v>
      </c>
      <c r="K474" s="438"/>
      <c r="L474" s="420" t="s">
        <v>232</v>
      </c>
      <c r="M474" s="429"/>
      <c r="N474" s="422">
        <v>13.528</v>
      </c>
      <c r="O474" s="422">
        <v>12.475</v>
      </c>
      <c r="P474" s="422"/>
      <c r="Q474" s="420" t="s">
        <v>2208</v>
      </c>
      <c r="R474" s="438" t="s">
        <v>2209</v>
      </c>
      <c r="S474" s="420" t="s">
        <v>2196</v>
      </c>
      <c r="T474" s="454" t="s">
        <v>162</v>
      </c>
      <c r="U474" s="420" t="s">
        <v>2210</v>
      </c>
      <c r="V474" s="438">
        <v>4.32</v>
      </c>
      <c r="W474" s="458"/>
      <c r="X474" s="438"/>
      <c r="Y474" s="442" t="str">
        <f t="shared" ref="Y474:Y476" si="416">IF((W474/((J474/5780)^4))^0.5&gt;0,(W474/((J474/5780)^4))^0.5,"")</f>
        <v/>
      </c>
      <c r="Z474" s="442"/>
      <c r="AA474" s="443"/>
      <c r="AB474" s="443"/>
      <c r="AC474" s="469">
        <f>IF(ISNUMBER(VLOOKUP(B474,'New Masses'!A:C,3,FALSE)),VLOOKUP(B474,'New Masses'!A:C,3,FALSE),"")</f>
        <v>0.287334</v>
      </c>
      <c r="AD474" s="423">
        <f t="shared" ref="AD474:AD475" si="417">10^AE474</f>
        <v>0</v>
      </c>
      <c r="AE474" s="420">
        <v>-10.8</v>
      </c>
      <c r="AF474" s="438"/>
      <c r="AG474" s="459">
        <v>0.04</v>
      </c>
      <c r="AH474" s="438"/>
      <c r="AI474" s="446">
        <f>IF(ISNUMBER(VLOOKUP(B474,'New Masses'!A:C,2, FALSE)),VLOOKUP(B474,'New Masses'!A:C,2, FALSE),"")</f>
        <v>0.034142</v>
      </c>
      <c r="AJ474" s="438"/>
      <c r="AK474" s="438"/>
      <c r="AL474" s="438"/>
      <c r="AM474" s="438"/>
      <c r="AN474" s="436">
        <v>11.0</v>
      </c>
      <c r="AO474" s="438"/>
      <c r="AP474" s="436">
        <v>0.0</v>
      </c>
      <c r="AQ474" s="420"/>
      <c r="AR474" s="420" t="s">
        <v>2349</v>
      </c>
      <c r="AS474" s="420"/>
      <c r="AT474" s="420" t="s">
        <v>5916</v>
      </c>
      <c r="AU474" s="436" t="s">
        <v>229</v>
      </c>
      <c r="AV474" s="438"/>
      <c r="AW474" s="450">
        <v>137.0</v>
      </c>
    </row>
    <row r="475">
      <c r="A475" s="436" t="s">
        <v>230</v>
      </c>
      <c r="B475" s="478" t="s">
        <v>231</v>
      </c>
      <c r="C475" s="421" t="s">
        <v>2466</v>
      </c>
      <c r="D475" s="420" t="s">
        <v>224</v>
      </c>
      <c r="E475" s="420"/>
      <c r="F475" s="420" t="s">
        <v>2467</v>
      </c>
      <c r="G475" s="420" t="s">
        <v>189</v>
      </c>
      <c r="H475" s="420" t="s">
        <v>201</v>
      </c>
      <c r="I475" s="420" t="s">
        <v>2207</v>
      </c>
      <c r="J475" s="436">
        <v>2800.0</v>
      </c>
      <c r="K475" s="438"/>
      <c r="L475" s="420" t="s">
        <v>232</v>
      </c>
      <c r="M475" s="429"/>
      <c r="N475" s="422">
        <v>13.528</v>
      </c>
      <c r="O475" s="422">
        <v>12.475</v>
      </c>
      <c r="P475" s="422"/>
      <c r="Q475" s="420" t="s">
        <v>2208</v>
      </c>
      <c r="R475" s="438" t="s">
        <v>2209</v>
      </c>
      <c r="S475" s="420" t="s">
        <v>2196</v>
      </c>
      <c r="T475" s="454" t="s">
        <v>162</v>
      </c>
      <c r="U475" s="420" t="s">
        <v>2210</v>
      </c>
      <c r="V475" s="438">
        <v>4.32</v>
      </c>
      <c r="W475" s="458"/>
      <c r="X475" s="438"/>
      <c r="Y475" s="442" t="str">
        <f t="shared" si="416"/>
        <v/>
      </c>
      <c r="Z475" s="442"/>
      <c r="AA475" s="443"/>
      <c r="AB475" s="443"/>
      <c r="AC475" s="469">
        <f>IF(ISNUMBER(VLOOKUP(B475,'New Masses'!A:C,3,FALSE)),VLOOKUP(B475,'New Masses'!A:C,3,FALSE),"")</f>
        <v>0.287334</v>
      </c>
      <c r="AD475" s="423">
        <f t="shared" si="417"/>
        <v>0</v>
      </c>
      <c r="AE475" s="438">
        <v>-11.0</v>
      </c>
      <c r="AF475" s="438"/>
      <c r="AG475" s="459">
        <v>0.04</v>
      </c>
      <c r="AH475" s="438"/>
      <c r="AI475" s="446">
        <f>IF(ISNUMBER(VLOOKUP(B475,'New Masses'!A:C,2, FALSE)),VLOOKUP(B475,'New Masses'!A:C,2, FALSE),"")</f>
        <v>0.034142</v>
      </c>
      <c r="AJ475" s="438"/>
      <c r="AK475" s="438"/>
      <c r="AL475" s="438"/>
      <c r="AM475" s="438"/>
      <c r="AN475" s="436">
        <v>11.0</v>
      </c>
      <c r="AO475" s="438"/>
      <c r="AP475" s="436">
        <v>0.0</v>
      </c>
      <c r="AQ475" s="420"/>
      <c r="AR475" s="420" t="s">
        <v>2349</v>
      </c>
      <c r="AS475" s="420"/>
      <c r="AT475" s="420" t="s">
        <v>5916</v>
      </c>
      <c r="AU475" s="436" t="s">
        <v>228</v>
      </c>
      <c r="AV475" s="438"/>
      <c r="AW475" s="450">
        <v>137.0</v>
      </c>
    </row>
    <row r="476">
      <c r="A476" s="436" t="s">
        <v>230</v>
      </c>
      <c r="B476" s="419" t="s">
        <v>337</v>
      </c>
      <c r="C476" s="438"/>
      <c r="D476" s="420" t="s">
        <v>305</v>
      </c>
      <c r="E476" s="420"/>
      <c r="F476" s="420" t="s">
        <v>2468</v>
      </c>
      <c r="G476" s="420" t="s">
        <v>169</v>
      </c>
      <c r="H476" s="420" t="s">
        <v>306</v>
      </c>
      <c r="I476" s="467">
        <v>39596.0</v>
      </c>
      <c r="J476" s="436">
        <v>2838.0</v>
      </c>
      <c r="K476" s="420"/>
      <c r="L476" s="420" t="s">
        <v>237</v>
      </c>
      <c r="M476" s="429"/>
      <c r="N476" s="422">
        <v>13.528</v>
      </c>
      <c r="O476" s="422">
        <v>12.475</v>
      </c>
      <c r="P476" s="422"/>
      <c r="Q476" s="420" t="s">
        <v>2239</v>
      </c>
      <c r="R476" s="420" t="s">
        <v>2240</v>
      </c>
      <c r="S476" s="420" t="s">
        <v>307</v>
      </c>
      <c r="T476" s="420" t="s">
        <v>293</v>
      </c>
      <c r="U476" s="420" t="s">
        <v>294</v>
      </c>
      <c r="V476" s="440"/>
      <c r="W476" s="468"/>
      <c r="X476" s="436"/>
      <c r="Y476" s="442" t="str">
        <f t="shared" si="416"/>
        <v/>
      </c>
      <c r="Z476" s="469"/>
      <c r="AA476" s="470">
        <v>0.41</v>
      </c>
      <c r="AB476" s="426"/>
      <c r="AC476" s="469">
        <f>IF(ISNUMBER(VLOOKUP(B476,'New Masses'!A:C,3,FALSE)),VLOOKUP(B476,'New Masses'!A:C,3,FALSE),"")</f>
        <v>0.291525</v>
      </c>
      <c r="AD476" s="451">
        <f>10^(AE476)</f>
        <v>0</v>
      </c>
      <c r="AE476" s="436">
        <v>-11.6</v>
      </c>
      <c r="AF476" s="438"/>
      <c r="AG476" s="459">
        <v>0.05</v>
      </c>
      <c r="AH476" s="420"/>
      <c r="AI476" s="446">
        <f>IF(ISNUMBER(VLOOKUP(B476,'New Masses'!A:C,2, FALSE)),VLOOKUP(B476,'New Masses'!A:C,2, FALSE),"")</f>
        <v>0.03689</v>
      </c>
      <c r="AJ476" s="420"/>
      <c r="AK476" s="420"/>
      <c r="AL476" s="436">
        <v>-5.1</v>
      </c>
      <c r="AM476" s="438"/>
      <c r="AN476" s="436">
        <v>11.0</v>
      </c>
      <c r="AO476" s="438"/>
      <c r="AP476" s="436">
        <v>0.0</v>
      </c>
      <c r="AQ476" s="438"/>
      <c r="AR476" s="420" t="s">
        <v>2349</v>
      </c>
      <c r="AS476" s="420"/>
      <c r="AT476" s="438"/>
      <c r="AU476" s="438"/>
      <c r="AV476" s="438"/>
      <c r="AW476" s="450">
        <v>137.0</v>
      </c>
    </row>
    <row r="477">
      <c r="A477" s="435" t="str">
        <f t="shared" ref="A477:C477" si="418">#REF!</f>
        <v>#REF!</v>
      </c>
      <c r="B477" s="485" t="str">
        <f t="shared" si="418"/>
        <v>#REF!</v>
      </c>
      <c r="C477" s="486" t="str">
        <f t="shared" si="418"/>
        <v>#REF!</v>
      </c>
      <c r="D477" s="486"/>
      <c r="E477" s="486"/>
      <c r="F477" s="528"/>
      <c r="G477" s="486"/>
      <c r="H477" s="486" t="s">
        <v>5917</v>
      </c>
      <c r="I477" s="491"/>
      <c r="J477" s="491"/>
      <c r="K477" s="491"/>
      <c r="L477" s="491"/>
      <c r="M477" s="486"/>
      <c r="N477" s="422"/>
      <c r="O477" s="422"/>
      <c r="P477" s="422"/>
      <c r="Q477" s="486"/>
      <c r="R477" s="491"/>
      <c r="S477" s="491"/>
      <c r="T477" s="491"/>
      <c r="U477" s="491"/>
      <c r="V477" s="491"/>
      <c r="W477" s="493"/>
      <c r="X477" s="486"/>
      <c r="Y477" s="442"/>
      <c r="Z477" s="491"/>
      <c r="AA477" s="524" t="str">
        <f t="shared" ref="AA477:AA479" si="420">#REF!</f>
        <v>#REF!</v>
      </c>
      <c r="AB477" s="494"/>
      <c r="AC477" s="436"/>
      <c r="AD477" s="495"/>
      <c r="AE477" s="491"/>
      <c r="AF477" s="491"/>
      <c r="AG477" s="525" t="str">
        <f t="shared" ref="AG477:AG479" si="421">#REF!</f>
        <v>#REF!</v>
      </c>
      <c r="AH477" s="491"/>
      <c r="AI477" s="446"/>
      <c r="AJ477" s="491"/>
      <c r="AK477" s="500"/>
      <c r="AL477" s="436"/>
      <c r="AM477" s="438"/>
      <c r="AN477" s="531"/>
      <c r="AO477" s="491"/>
      <c r="AP477" s="438"/>
      <c r="AQ477" s="438"/>
      <c r="AR477" s="438"/>
      <c r="AS477" s="438"/>
      <c r="AT477" s="438"/>
      <c r="AU477" s="438"/>
      <c r="AV477" s="438"/>
      <c r="AW477" s="450" t="str">
        <f t="shared" ref="AW477:AW479" si="422">#REF!</f>
        <v>#REF!</v>
      </c>
    </row>
    <row r="478">
      <c r="A478" s="435" t="str">
        <f t="shared" ref="A478:C478" si="419">#REF!</f>
        <v>#REF!</v>
      </c>
      <c r="B478" s="485" t="str">
        <f t="shared" si="419"/>
        <v>#REF!</v>
      </c>
      <c r="C478" s="486" t="str">
        <f t="shared" si="419"/>
        <v>#REF!</v>
      </c>
      <c r="D478" s="486"/>
      <c r="E478" s="486"/>
      <c r="F478" s="528"/>
      <c r="G478" s="486"/>
      <c r="H478" s="486" t="s">
        <v>5917</v>
      </c>
      <c r="I478" s="491"/>
      <c r="J478" s="491"/>
      <c r="K478" s="491"/>
      <c r="L478" s="491"/>
      <c r="M478" s="486"/>
      <c r="N478" s="422"/>
      <c r="O478" s="422"/>
      <c r="P478" s="422"/>
      <c r="Q478" s="486"/>
      <c r="R478" s="491"/>
      <c r="S478" s="491"/>
      <c r="T478" s="491"/>
      <c r="U478" s="491"/>
      <c r="V478" s="491"/>
      <c r="W478" s="493"/>
      <c r="X478" s="486"/>
      <c r="Y478" s="442"/>
      <c r="Z478" s="491"/>
      <c r="AA478" s="524" t="str">
        <f t="shared" si="420"/>
        <v>#REF!</v>
      </c>
      <c r="AB478" s="494"/>
      <c r="AC478" s="436"/>
      <c r="AD478" s="495"/>
      <c r="AE478" s="491"/>
      <c r="AF478" s="491"/>
      <c r="AG478" s="525" t="str">
        <f t="shared" si="421"/>
        <v>#REF!</v>
      </c>
      <c r="AH478" s="491"/>
      <c r="AI478" s="446"/>
      <c r="AJ478" s="491"/>
      <c r="AK478" s="500"/>
      <c r="AL478" s="436"/>
      <c r="AM478" s="438"/>
      <c r="AN478" s="531"/>
      <c r="AO478" s="491"/>
      <c r="AP478" s="438"/>
      <c r="AQ478" s="438"/>
      <c r="AR478" s="438"/>
      <c r="AS478" s="438"/>
      <c r="AT478" s="438"/>
      <c r="AU478" s="438"/>
      <c r="AV478" s="438"/>
      <c r="AW478" s="450" t="str">
        <f t="shared" si="422"/>
        <v>#REF!</v>
      </c>
    </row>
    <row r="479">
      <c r="A479" s="435" t="str">
        <f t="shared" ref="A479:C479" si="423">#REF!</f>
        <v>#REF!</v>
      </c>
      <c r="B479" s="485" t="str">
        <f t="shared" si="423"/>
        <v>#REF!</v>
      </c>
      <c r="C479" s="486" t="str">
        <f t="shared" si="423"/>
        <v>#REF!</v>
      </c>
      <c r="D479" s="486"/>
      <c r="E479" s="486"/>
      <c r="F479" s="528"/>
      <c r="G479" s="486"/>
      <c r="H479" s="486" t="s">
        <v>5917</v>
      </c>
      <c r="I479" s="491"/>
      <c r="J479" s="491"/>
      <c r="K479" s="491"/>
      <c r="L479" s="491"/>
      <c r="M479" s="486"/>
      <c r="N479" s="422"/>
      <c r="O479" s="422"/>
      <c r="P479" s="422"/>
      <c r="Q479" s="486"/>
      <c r="R479" s="491"/>
      <c r="S479" s="491"/>
      <c r="T479" s="491"/>
      <c r="U479" s="491"/>
      <c r="V479" s="491"/>
      <c r="W479" s="493"/>
      <c r="X479" s="486"/>
      <c r="Y479" s="442"/>
      <c r="Z479" s="491"/>
      <c r="AA479" s="524" t="str">
        <f t="shared" si="420"/>
        <v>#REF!</v>
      </c>
      <c r="AB479" s="494"/>
      <c r="AC479" s="436"/>
      <c r="AD479" s="495"/>
      <c r="AE479" s="491"/>
      <c r="AF479" s="491"/>
      <c r="AG479" s="525" t="str">
        <f t="shared" si="421"/>
        <v>#REF!</v>
      </c>
      <c r="AH479" s="491"/>
      <c r="AI479" s="446"/>
      <c r="AJ479" s="491"/>
      <c r="AK479" s="500"/>
      <c r="AL479" s="436"/>
      <c r="AM479" s="438"/>
      <c r="AN479" s="531"/>
      <c r="AO479" s="491"/>
      <c r="AP479" s="438"/>
      <c r="AQ479" s="438"/>
      <c r="AR479" s="438"/>
      <c r="AS479" s="438"/>
      <c r="AT479" s="438"/>
      <c r="AU479" s="438"/>
      <c r="AV479" s="438"/>
      <c r="AW479" s="450" t="str">
        <f t="shared" si="422"/>
        <v>#REF!</v>
      </c>
    </row>
    <row r="480">
      <c r="A480" s="419" t="s">
        <v>418</v>
      </c>
      <c r="B480" s="419" t="s">
        <v>418</v>
      </c>
      <c r="C480" s="436"/>
      <c r="D480" s="436" t="s">
        <v>199</v>
      </c>
      <c r="E480" s="436"/>
      <c r="F480" s="436" t="s">
        <v>2469</v>
      </c>
      <c r="G480" s="436" t="s">
        <v>169</v>
      </c>
      <c r="H480" s="436" t="s">
        <v>413</v>
      </c>
      <c r="I480" s="456">
        <v>35400.0</v>
      </c>
      <c r="J480" s="438"/>
      <c r="K480" s="438"/>
      <c r="L480" s="436" t="s">
        <v>419</v>
      </c>
      <c r="M480" s="439"/>
      <c r="N480" s="422">
        <v>8.171</v>
      </c>
      <c r="O480" s="422">
        <v>6.734</v>
      </c>
      <c r="P480" s="422">
        <v>10.31</v>
      </c>
      <c r="Q480" s="436" t="s">
        <v>2189</v>
      </c>
      <c r="R480" s="436" t="s">
        <v>2257</v>
      </c>
      <c r="S480" s="436" t="s">
        <v>414</v>
      </c>
      <c r="T480" s="436" t="s">
        <v>293</v>
      </c>
      <c r="U480" s="436" t="s">
        <v>294</v>
      </c>
      <c r="V480" s="440"/>
      <c r="W480" s="474">
        <v>1.97</v>
      </c>
      <c r="X480" s="436"/>
      <c r="Y480" s="442"/>
      <c r="Z480" s="469"/>
      <c r="AA480" s="470">
        <v>3.37</v>
      </c>
      <c r="AB480" s="470"/>
      <c r="AC480" s="436" t="str">
        <f>IF(ISNUMBER(VLOOKUP(B480,'New Masses'!A:C,3,FALSE)),VLOOKUP(B480,'New Masses'!A:C,3,FALSE),"")</f>
        <v/>
      </c>
      <c r="AD480" s="451">
        <v>1.77E-7</v>
      </c>
      <c r="AE480" s="438">
        <f>LOG10(AD480)</f>
        <v>-6.752026734</v>
      </c>
      <c r="AF480" s="438"/>
      <c r="AG480" s="459">
        <v>0.27</v>
      </c>
      <c r="AH480" s="436"/>
      <c r="AI480" s="446" t="str">
        <f>IF(ISNUMBER(VLOOKUP(B480,'New Masses'!A:C,2, FALSE)),VLOOKUP(B480,'New Masses'!A:C,2, FALSE),"")</f>
        <v/>
      </c>
      <c r="AJ480" s="436"/>
      <c r="AK480" s="436"/>
      <c r="AL480" s="436">
        <v>0.358</v>
      </c>
      <c r="AM480" s="438"/>
      <c r="AN480" s="436">
        <v>1.0</v>
      </c>
      <c r="AO480" s="438"/>
      <c r="AP480" s="438"/>
      <c r="AQ480" s="438"/>
      <c r="AR480" s="438"/>
      <c r="AS480" s="438"/>
      <c r="AT480" s="438"/>
      <c r="AU480" s="438"/>
      <c r="AV480" s="438"/>
      <c r="AW480" s="450">
        <v>124.354908910029</v>
      </c>
    </row>
    <row r="481">
      <c r="A481" s="435" t="str">
        <f t="shared" ref="A481:C481" si="424">#REF!</f>
        <v>#REF!</v>
      </c>
      <c r="B481" s="485" t="str">
        <f t="shared" si="424"/>
        <v>#REF!</v>
      </c>
      <c r="C481" s="486" t="str">
        <f t="shared" si="424"/>
        <v>#REF!</v>
      </c>
      <c r="D481" s="486"/>
      <c r="E481" s="486"/>
      <c r="F481" s="528"/>
      <c r="G481" s="486"/>
      <c r="H481" s="486" t="s">
        <v>5917</v>
      </c>
      <c r="I481" s="491"/>
      <c r="J481" s="491"/>
      <c r="K481" s="491"/>
      <c r="L481" s="491"/>
      <c r="M481" s="486"/>
      <c r="N481" s="422"/>
      <c r="O481" s="422"/>
      <c r="P481" s="422"/>
      <c r="Q481" s="486"/>
      <c r="R481" s="491"/>
      <c r="S481" s="491"/>
      <c r="T481" s="491"/>
      <c r="U481" s="491"/>
      <c r="V481" s="491"/>
      <c r="W481" s="493"/>
      <c r="X481" s="486"/>
      <c r="Y481" s="442"/>
      <c r="Z481" s="491"/>
      <c r="AA481" s="524" t="str">
        <f>#REF!</f>
        <v>#REF!</v>
      </c>
      <c r="AB481" s="494"/>
      <c r="AC481" s="436"/>
      <c r="AD481" s="495"/>
      <c r="AE481" s="491"/>
      <c r="AF481" s="491"/>
      <c r="AG481" s="525" t="str">
        <f>#REF!</f>
        <v>#REF!</v>
      </c>
      <c r="AH481" s="491"/>
      <c r="AI481" s="446"/>
      <c r="AJ481" s="491"/>
      <c r="AK481" s="500"/>
      <c r="AL481" s="436"/>
      <c r="AM481" s="438"/>
      <c r="AN481" s="531"/>
      <c r="AO481" s="491"/>
      <c r="AP481" s="438"/>
      <c r="AQ481" s="438"/>
      <c r="AR481" s="438"/>
      <c r="AS481" s="438"/>
      <c r="AT481" s="438"/>
      <c r="AU481" s="438"/>
      <c r="AV481" s="438"/>
      <c r="AW481" s="450" t="str">
        <f>#REF!</f>
        <v>#REF!</v>
      </c>
    </row>
    <row r="482">
      <c r="A482" s="419" t="s">
        <v>436</v>
      </c>
      <c r="B482" s="419" t="s">
        <v>436</v>
      </c>
      <c r="C482" s="436"/>
      <c r="D482" s="436" t="s">
        <v>199</v>
      </c>
      <c r="E482" s="436"/>
      <c r="F482" s="436" t="s">
        <v>2470</v>
      </c>
      <c r="G482" s="436" t="s">
        <v>169</v>
      </c>
      <c r="H482" s="436" t="s">
        <v>413</v>
      </c>
      <c r="I482" s="456">
        <v>35400.0</v>
      </c>
      <c r="J482" s="438"/>
      <c r="K482" s="438"/>
      <c r="L482" s="436" t="s">
        <v>434</v>
      </c>
      <c r="M482" s="439"/>
      <c r="N482" s="422">
        <v>8.719</v>
      </c>
      <c r="O482" s="422">
        <v>7.096</v>
      </c>
      <c r="P482" s="422">
        <v>12.08</v>
      </c>
      <c r="Q482" s="436" t="s">
        <v>2189</v>
      </c>
      <c r="R482" s="436" t="s">
        <v>2257</v>
      </c>
      <c r="S482" s="436" t="s">
        <v>414</v>
      </c>
      <c r="T482" s="436" t="s">
        <v>293</v>
      </c>
      <c r="U482" s="436" t="s">
        <v>294</v>
      </c>
      <c r="V482" s="440"/>
      <c r="W482" s="474">
        <v>1.45</v>
      </c>
      <c r="X482" s="436"/>
      <c r="Y482" s="442"/>
      <c r="Z482" s="469"/>
      <c r="AA482" s="470">
        <v>2.49</v>
      </c>
      <c r="AB482" s="470"/>
      <c r="AC482" s="436" t="str">
        <f>IF(ISNUMBER(VLOOKUP(B482,'New Masses'!A:C,3,FALSE)),VLOOKUP(B482,'New Masses'!A:C,3,FALSE),"")</f>
        <v/>
      </c>
      <c r="AD482" s="451">
        <v>3.79E-8</v>
      </c>
      <c r="AE482" s="438">
        <f>LOG10(AD482)</f>
        <v>-7.42136079</v>
      </c>
      <c r="AF482" s="438"/>
      <c r="AG482" s="459">
        <v>0.431</v>
      </c>
      <c r="AH482" s="436"/>
      <c r="AI482" s="446" t="str">
        <f>IF(ISNUMBER(VLOOKUP(B482,'New Masses'!A:C,2, FALSE)),VLOOKUP(B482,'New Masses'!A:C,2, FALSE),"")</f>
        <v/>
      </c>
      <c r="AJ482" s="436"/>
      <c r="AK482" s="436"/>
      <c r="AL482" s="436">
        <v>0.166</v>
      </c>
      <c r="AM482" s="438"/>
      <c r="AN482" s="436">
        <v>1.0</v>
      </c>
      <c r="AO482" s="438"/>
      <c r="AP482" s="438"/>
      <c r="AQ482" s="438"/>
      <c r="AR482" s="438"/>
      <c r="AS482" s="438"/>
      <c r="AT482" s="438"/>
      <c r="AU482" s="438"/>
      <c r="AV482" s="438"/>
      <c r="AW482" s="450">
        <v>128.518185323223</v>
      </c>
    </row>
    <row r="483">
      <c r="A483" s="435" t="str">
        <f t="shared" ref="A483:C483" si="425">#REF!</f>
        <v>#REF!</v>
      </c>
      <c r="B483" s="485" t="str">
        <f t="shared" si="425"/>
        <v>#REF!</v>
      </c>
      <c r="C483" s="486" t="str">
        <f t="shared" si="425"/>
        <v>#REF!</v>
      </c>
      <c r="D483" s="486"/>
      <c r="E483" s="486"/>
      <c r="F483" s="528"/>
      <c r="G483" s="486"/>
      <c r="H483" s="486" t="s">
        <v>5917</v>
      </c>
      <c r="I483" s="491"/>
      <c r="J483" s="491"/>
      <c r="K483" s="491"/>
      <c r="L483" s="491"/>
      <c r="M483" s="486"/>
      <c r="N483" s="422"/>
      <c r="O483" s="422"/>
      <c r="P483" s="422"/>
      <c r="Q483" s="486"/>
      <c r="R483" s="491"/>
      <c r="S483" s="491"/>
      <c r="T483" s="491"/>
      <c r="U483" s="491"/>
      <c r="V483" s="491"/>
      <c r="W483" s="493"/>
      <c r="X483" s="486"/>
      <c r="Y483" s="442"/>
      <c r="Z483" s="491"/>
      <c r="AA483" s="524" t="str">
        <f>#REF!</f>
        <v>#REF!</v>
      </c>
      <c r="AB483" s="494"/>
      <c r="AC483" s="436"/>
      <c r="AD483" s="495"/>
      <c r="AE483" s="491"/>
      <c r="AF483" s="491"/>
      <c r="AG483" s="525" t="str">
        <f>#REF!</f>
        <v>#REF!</v>
      </c>
      <c r="AH483" s="491"/>
      <c r="AI483" s="446"/>
      <c r="AJ483" s="491"/>
      <c r="AK483" s="500"/>
      <c r="AL483" s="436"/>
      <c r="AM483" s="438"/>
      <c r="AN483" s="531"/>
      <c r="AO483" s="491"/>
      <c r="AP483" s="438"/>
      <c r="AQ483" s="438"/>
      <c r="AR483" s="438"/>
      <c r="AS483" s="438"/>
      <c r="AT483" s="438"/>
      <c r="AU483" s="438"/>
      <c r="AV483" s="438"/>
      <c r="AW483" s="450" t="str">
        <f>#REF!</f>
        <v>#REF!</v>
      </c>
    </row>
    <row r="484">
      <c r="A484" s="419" t="s">
        <v>431</v>
      </c>
      <c r="B484" s="419" t="s">
        <v>431</v>
      </c>
      <c r="C484" s="436"/>
      <c r="D484" s="436" t="s">
        <v>199</v>
      </c>
      <c r="E484" s="436"/>
      <c r="F484" s="436" t="s">
        <v>2471</v>
      </c>
      <c r="G484" s="436" t="s">
        <v>169</v>
      </c>
      <c r="H484" s="436" t="s">
        <v>413</v>
      </c>
      <c r="I484" s="456">
        <v>35400.0</v>
      </c>
      <c r="J484" s="438"/>
      <c r="K484" s="438"/>
      <c r="L484" s="436" t="s">
        <v>427</v>
      </c>
      <c r="M484" s="439"/>
      <c r="N484" s="422">
        <v>9.139</v>
      </c>
      <c r="O484" s="422">
        <v>8.015</v>
      </c>
      <c r="P484" s="422">
        <v>11.79</v>
      </c>
      <c r="Q484" s="436" t="s">
        <v>2189</v>
      </c>
      <c r="R484" s="436" t="s">
        <v>2257</v>
      </c>
      <c r="S484" s="436" t="s">
        <v>414</v>
      </c>
      <c r="T484" s="436" t="s">
        <v>293</v>
      </c>
      <c r="U484" s="436" t="s">
        <v>294</v>
      </c>
      <c r="V484" s="440"/>
      <c r="W484" s="474">
        <v>0.87</v>
      </c>
      <c r="X484" s="436"/>
      <c r="Y484" s="442"/>
      <c r="Z484" s="469"/>
      <c r="AA484" s="470">
        <v>2.09</v>
      </c>
      <c r="AB484" s="470"/>
      <c r="AC484" s="436" t="str">
        <f>IF(ISNUMBER(VLOOKUP(B484,'New Masses'!A:C,3,FALSE)),VLOOKUP(B484,'New Masses'!A:C,3,FALSE),"")</f>
        <v/>
      </c>
      <c r="AD484" s="451">
        <v>3.5E-9</v>
      </c>
      <c r="AE484" s="438">
        <f>LOG10(AD484)</f>
        <v>-8.455931956</v>
      </c>
      <c r="AF484" s="438"/>
      <c r="AG484" s="459">
        <v>0.382</v>
      </c>
      <c r="AH484" s="436"/>
      <c r="AI484" s="446" t="str">
        <f>IF(ISNUMBER(VLOOKUP(B484,'New Masses'!A:C,2, FALSE)),VLOOKUP(B484,'New Masses'!A:C,2, FALSE),"")</f>
        <v/>
      </c>
      <c r="AJ484" s="436"/>
      <c r="AK484" s="436"/>
      <c r="AL484" s="436">
        <v>0.016</v>
      </c>
      <c r="AM484" s="438"/>
      <c r="AN484" s="436">
        <v>1.0</v>
      </c>
      <c r="AO484" s="438"/>
      <c r="AP484" s="438"/>
      <c r="AQ484" s="438"/>
      <c r="AR484" s="438"/>
      <c r="AS484" s="438"/>
      <c r="AT484" s="438"/>
      <c r="AU484" s="438"/>
      <c r="AV484" s="438"/>
      <c r="AW484" s="450">
        <v>128.219922811606</v>
      </c>
    </row>
    <row r="485">
      <c r="A485" s="435" t="str">
        <f t="shared" ref="A485:C485" si="426">#REF!</f>
        <v>#REF!</v>
      </c>
      <c r="B485" s="485" t="str">
        <f t="shared" si="426"/>
        <v>#REF!</v>
      </c>
      <c r="C485" s="486" t="str">
        <f t="shared" si="426"/>
        <v>#REF!</v>
      </c>
      <c r="D485" s="486"/>
      <c r="E485" s="486"/>
      <c r="F485" s="528"/>
      <c r="G485" s="486"/>
      <c r="H485" s="486" t="s">
        <v>5917</v>
      </c>
      <c r="I485" s="491"/>
      <c r="J485" s="491"/>
      <c r="K485" s="491"/>
      <c r="L485" s="491"/>
      <c r="M485" s="486"/>
      <c r="N485" s="422"/>
      <c r="O485" s="422"/>
      <c r="P485" s="422"/>
      <c r="Q485" s="486"/>
      <c r="R485" s="491"/>
      <c r="S485" s="491"/>
      <c r="T485" s="491"/>
      <c r="U485" s="491"/>
      <c r="V485" s="491"/>
      <c r="W485" s="493"/>
      <c r="X485" s="486"/>
      <c r="Y485" s="442"/>
      <c r="Z485" s="491"/>
      <c r="AA485" s="524" t="str">
        <f>#REF!</f>
        <v>#REF!</v>
      </c>
      <c r="AB485" s="494"/>
      <c r="AC485" s="436"/>
      <c r="AD485" s="495"/>
      <c r="AE485" s="491"/>
      <c r="AF485" s="491"/>
      <c r="AG485" s="525" t="str">
        <f>#REF!</f>
        <v>#REF!</v>
      </c>
      <c r="AH485" s="491"/>
      <c r="AI485" s="446"/>
      <c r="AJ485" s="491"/>
      <c r="AK485" s="500"/>
      <c r="AL485" s="436"/>
      <c r="AM485" s="438"/>
      <c r="AN485" s="531"/>
      <c r="AO485" s="491"/>
      <c r="AP485" s="438"/>
      <c r="AQ485" s="438"/>
      <c r="AR485" s="438"/>
      <c r="AS485" s="438"/>
      <c r="AT485" s="438"/>
      <c r="AU485" s="438"/>
      <c r="AV485" s="438"/>
      <c r="AW485" s="450" t="str">
        <f>#REF!</f>
        <v>#REF!</v>
      </c>
    </row>
    <row r="486">
      <c r="A486" s="419" t="s">
        <v>426</v>
      </c>
      <c r="B486" s="419" t="s">
        <v>426</v>
      </c>
      <c r="C486" s="436"/>
      <c r="D486" s="436" t="s">
        <v>199</v>
      </c>
      <c r="E486" s="436"/>
      <c r="F486" s="436" t="s">
        <v>2472</v>
      </c>
      <c r="G486" s="436" t="s">
        <v>169</v>
      </c>
      <c r="H486" s="436" t="s">
        <v>413</v>
      </c>
      <c r="I486" s="456">
        <v>35400.0</v>
      </c>
      <c r="J486" s="438"/>
      <c r="K486" s="438"/>
      <c r="L486" s="436" t="s">
        <v>427</v>
      </c>
      <c r="M486" s="439"/>
      <c r="N486" s="422">
        <v>9.47</v>
      </c>
      <c r="O486" s="422">
        <v>7.303</v>
      </c>
      <c r="P486" s="422">
        <v>13.01</v>
      </c>
      <c r="Q486" s="436" t="s">
        <v>2189</v>
      </c>
      <c r="R486" s="436" t="s">
        <v>2257</v>
      </c>
      <c r="S486" s="436" t="s">
        <v>414</v>
      </c>
      <c r="T486" s="436" t="s">
        <v>293</v>
      </c>
      <c r="U486" s="436" t="s">
        <v>294</v>
      </c>
      <c r="V486" s="440"/>
      <c r="W486" s="474">
        <v>1.01</v>
      </c>
      <c r="X486" s="436"/>
      <c r="Y486" s="442"/>
      <c r="Z486" s="469"/>
      <c r="AA486" s="470">
        <v>2.25</v>
      </c>
      <c r="AB486" s="470"/>
      <c r="AC486" s="436" t="str">
        <f>IF(ISNUMBER(VLOOKUP(B486,'New Masses'!A:C,3,FALSE)),VLOOKUP(B486,'New Masses'!A:C,3,FALSE),"")</f>
        <v/>
      </c>
      <c r="AD486" s="451">
        <v>1.44E-7</v>
      </c>
      <c r="AE486" s="438">
        <f>LOG10(AD486)</f>
        <v>-6.841637508</v>
      </c>
      <c r="AF486" s="438"/>
      <c r="AG486" s="459">
        <v>0.369</v>
      </c>
      <c r="AH486" s="436"/>
      <c r="AI486" s="446" t="str">
        <f>IF(ISNUMBER(VLOOKUP(B486,'New Masses'!A:C,2, FALSE)),VLOOKUP(B486,'New Masses'!A:C,2, FALSE),"")</f>
        <v/>
      </c>
      <c r="AJ486" s="436"/>
      <c r="AK486" s="436"/>
      <c r="AL486" s="436">
        <v>0.6</v>
      </c>
      <c r="AM486" s="438"/>
      <c r="AN486" s="436">
        <v>1.0</v>
      </c>
      <c r="AO486" s="438"/>
      <c r="AP486" s="438"/>
      <c r="AQ486" s="438"/>
      <c r="AR486" s="438"/>
      <c r="AS486" s="438"/>
      <c r="AT486" s="438"/>
      <c r="AU486" s="438"/>
      <c r="AV486" s="438"/>
      <c r="AW486" s="450">
        <v>139.380592646279</v>
      </c>
    </row>
    <row r="487">
      <c r="A487" s="435" t="str">
        <f t="shared" ref="A487:C487" si="427">#REF!</f>
        <v>#REF!</v>
      </c>
      <c r="B487" s="485" t="str">
        <f t="shared" si="427"/>
        <v>#REF!</v>
      </c>
      <c r="C487" s="486" t="str">
        <f t="shared" si="427"/>
        <v>#REF!</v>
      </c>
      <c r="D487" s="486"/>
      <c r="E487" s="486"/>
      <c r="F487" s="528"/>
      <c r="G487" s="486"/>
      <c r="H487" s="486" t="s">
        <v>5917</v>
      </c>
      <c r="I487" s="491"/>
      <c r="J487" s="491"/>
      <c r="K487" s="491"/>
      <c r="L487" s="491"/>
      <c r="M487" s="486"/>
      <c r="N487" s="422"/>
      <c r="O487" s="422"/>
      <c r="P487" s="422"/>
      <c r="Q487" s="486"/>
      <c r="R487" s="491"/>
      <c r="S487" s="491"/>
      <c r="T487" s="491"/>
      <c r="U487" s="491"/>
      <c r="V487" s="491"/>
      <c r="W487" s="493"/>
      <c r="X487" s="486"/>
      <c r="Y487" s="442"/>
      <c r="Z487" s="491"/>
      <c r="AA487" s="524" t="str">
        <f>#REF!</f>
        <v>#REF!</v>
      </c>
      <c r="AB487" s="494"/>
      <c r="AC487" s="436"/>
      <c r="AD487" s="495"/>
      <c r="AE487" s="491"/>
      <c r="AF487" s="491"/>
      <c r="AG487" s="525" t="str">
        <f>#REF!</f>
        <v>#REF!</v>
      </c>
      <c r="AH487" s="491"/>
      <c r="AI487" s="446"/>
      <c r="AJ487" s="491"/>
      <c r="AK487" s="500"/>
      <c r="AL487" s="436"/>
      <c r="AM487" s="438"/>
      <c r="AN487" s="531"/>
      <c r="AO487" s="491"/>
      <c r="AP487" s="438"/>
      <c r="AQ487" s="438"/>
      <c r="AR487" s="438"/>
      <c r="AS487" s="438"/>
      <c r="AT487" s="438"/>
      <c r="AU487" s="438"/>
      <c r="AV487" s="438"/>
      <c r="AW487" s="450" t="str">
        <f>#REF!</f>
        <v>#REF!</v>
      </c>
    </row>
    <row r="488">
      <c r="A488" s="419" t="s">
        <v>437</v>
      </c>
      <c r="B488" s="419" t="s">
        <v>437</v>
      </c>
      <c r="C488" s="436"/>
      <c r="D488" s="436" t="s">
        <v>199</v>
      </c>
      <c r="E488" s="436"/>
      <c r="F488" s="436" t="s">
        <v>2473</v>
      </c>
      <c r="G488" s="436" t="s">
        <v>169</v>
      </c>
      <c r="H488" s="436" t="s">
        <v>413</v>
      </c>
      <c r="I488" s="456">
        <v>35400.0</v>
      </c>
      <c r="J488" s="438"/>
      <c r="K488" s="438"/>
      <c r="L488" s="436" t="s">
        <v>427</v>
      </c>
      <c r="M488" s="439"/>
      <c r="N488" s="422">
        <v>9.511</v>
      </c>
      <c r="O488" s="422">
        <v>7.981</v>
      </c>
      <c r="P488" s="422">
        <v>13.21</v>
      </c>
      <c r="Q488" s="436" t="s">
        <v>2189</v>
      </c>
      <c r="R488" s="436" t="s">
        <v>2257</v>
      </c>
      <c r="S488" s="436" t="s">
        <v>414</v>
      </c>
      <c r="T488" s="436" t="s">
        <v>293</v>
      </c>
      <c r="U488" s="436" t="s">
        <v>294</v>
      </c>
      <c r="V488" s="440"/>
      <c r="W488" s="474">
        <v>0.635</v>
      </c>
      <c r="X488" s="436"/>
      <c r="Y488" s="442"/>
      <c r="Z488" s="469"/>
      <c r="AA488" s="470">
        <v>1.785</v>
      </c>
      <c r="AB488" s="470"/>
      <c r="AC488" s="436" t="str">
        <f>IF(ISNUMBER(VLOOKUP(B488,'New Masses'!A:C,3,FALSE)),VLOOKUP(B488,'New Masses'!A:C,3,FALSE),"")</f>
        <v/>
      </c>
      <c r="AD488" s="451">
        <v>6.0E-10</v>
      </c>
      <c r="AE488" s="438">
        <f>LOG10(AD488)</f>
        <v>-9.22184875</v>
      </c>
      <c r="AF488" s="438"/>
      <c r="AG488" s="459">
        <v>0.439</v>
      </c>
      <c r="AH488" s="436"/>
      <c r="AI488" s="446" t="str">
        <f>IF(ISNUMBER(VLOOKUP(B488,'New Masses'!A:C,2, FALSE)),VLOOKUP(B488,'New Masses'!A:C,2, FALSE),"")</f>
        <v/>
      </c>
      <c r="AJ488" s="436"/>
      <c r="AK488" s="436"/>
      <c r="AL488" s="436">
        <v>0.004</v>
      </c>
      <c r="AM488" s="438"/>
      <c r="AN488" s="436">
        <v>1.0</v>
      </c>
      <c r="AO488" s="438"/>
      <c r="AP488" s="438"/>
      <c r="AQ488" s="438"/>
      <c r="AR488" s="438"/>
      <c r="AS488" s="438"/>
      <c r="AT488" s="438"/>
      <c r="AU488" s="438"/>
      <c r="AV488" s="438"/>
      <c r="AW488" s="450">
        <v>197.448959443983</v>
      </c>
    </row>
    <row r="489">
      <c r="A489" s="435" t="str">
        <f t="shared" ref="A489:C489" si="428">#REF!</f>
        <v>#REF!</v>
      </c>
      <c r="B489" s="485" t="str">
        <f t="shared" si="428"/>
        <v>#REF!</v>
      </c>
      <c r="C489" s="486" t="str">
        <f t="shared" si="428"/>
        <v>#REF!</v>
      </c>
      <c r="D489" s="486"/>
      <c r="E489" s="486"/>
      <c r="F489" s="528"/>
      <c r="G489" s="486"/>
      <c r="H489" s="486" t="s">
        <v>5917</v>
      </c>
      <c r="I489" s="491"/>
      <c r="J489" s="491"/>
      <c r="K489" s="491"/>
      <c r="L489" s="491"/>
      <c r="M489" s="486"/>
      <c r="N489" s="422"/>
      <c r="O489" s="422"/>
      <c r="P489" s="422"/>
      <c r="Q489" s="486"/>
      <c r="R489" s="491"/>
      <c r="S489" s="491"/>
      <c r="T489" s="491"/>
      <c r="U489" s="491"/>
      <c r="V489" s="491"/>
      <c r="W489" s="493"/>
      <c r="X489" s="486"/>
      <c r="Y489" s="442"/>
      <c r="Z489" s="491"/>
      <c r="AA489" s="524" t="str">
        <f>#REF!</f>
        <v>#REF!</v>
      </c>
      <c r="AB489" s="494"/>
      <c r="AC489" s="436"/>
      <c r="AD489" s="495"/>
      <c r="AE489" s="491"/>
      <c r="AF489" s="491"/>
      <c r="AG489" s="525" t="str">
        <f>#REF!</f>
        <v>#REF!</v>
      </c>
      <c r="AH489" s="491"/>
      <c r="AI489" s="446"/>
      <c r="AJ489" s="491"/>
      <c r="AK489" s="500"/>
      <c r="AL489" s="436"/>
      <c r="AM489" s="438"/>
      <c r="AN489" s="531"/>
      <c r="AO489" s="491"/>
      <c r="AP489" s="438"/>
      <c r="AQ489" s="438"/>
      <c r="AR489" s="438"/>
      <c r="AS489" s="438"/>
      <c r="AT489" s="438"/>
      <c r="AU489" s="438"/>
      <c r="AV489" s="438"/>
      <c r="AW489" s="450" t="str">
        <f>#REF!</f>
        <v>#REF!</v>
      </c>
    </row>
    <row r="490">
      <c r="A490" s="419" t="s">
        <v>462</v>
      </c>
      <c r="B490" s="419" t="s">
        <v>462</v>
      </c>
      <c r="C490" s="436"/>
      <c r="D490" s="436" t="s">
        <v>199</v>
      </c>
      <c r="E490" s="436"/>
      <c r="F490" s="436" t="s">
        <v>2474</v>
      </c>
      <c r="G490" s="436" t="s">
        <v>169</v>
      </c>
      <c r="H490" s="436" t="s">
        <v>413</v>
      </c>
      <c r="I490" s="456">
        <v>35400.0</v>
      </c>
      <c r="J490" s="438"/>
      <c r="K490" s="438"/>
      <c r="L490" s="436" t="s">
        <v>459</v>
      </c>
      <c r="M490" s="439"/>
      <c r="N490" s="422">
        <v>9.465</v>
      </c>
      <c r="O490" s="422">
        <v>8.036</v>
      </c>
      <c r="P490" s="422">
        <v>12.37</v>
      </c>
      <c r="Q490" s="436" t="s">
        <v>2189</v>
      </c>
      <c r="R490" s="436" t="s">
        <v>2257</v>
      </c>
      <c r="S490" s="436" t="s">
        <v>414</v>
      </c>
      <c r="T490" s="436" t="s">
        <v>293</v>
      </c>
      <c r="U490" s="436" t="s">
        <v>294</v>
      </c>
      <c r="V490" s="440"/>
      <c r="W490" s="474">
        <v>0.57</v>
      </c>
      <c r="X490" s="436"/>
      <c r="Y490" s="442"/>
      <c r="Z490" s="469"/>
      <c r="AA490" s="470">
        <v>1.36</v>
      </c>
      <c r="AB490" s="470"/>
      <c r="AC490" s="436" t="str">
        <f>IF(ISNUMBER(VLOOKUP(B490,'New Masses'!A:C,3,FALSE)),VLOOKUP(B490,'New Masses'!A:C,3,FALSE),"")</f>
        <v/>
      </c>
      <c r="AD490" s="451">
        <v>1.29E-8</v>
      </c>
      <c r="AE490" s="438">
        <f>LOG10(AD490)</f>
        <v>-7.88941029</v>
      </c>
      <c r="AF490" s="438"/>
      <c r="AG490" s="459">
        <v>0.87</v>
      </c>
      <c r="AH490" s="436"/>
      <c r="AI490" s="446" t="str">
        <f>IF(ISNUMBER(VLOOKUP(B490,'New Masses'!A:C,2, FALSE)),VLOOKUP(B490,'New Masses'!A:C,2, FALSE),"")</f>
        <v/>
      </c>
      <c r="AJ490" s="436"/>
      <c r="AK490" s="436"/>
      <c r="AL490" s="436">
        <v>0.209</v>
      </c>
      <c r="AM490" s="438"/>
      <c r="AN490" s="436">
        <v>1.0</v>
      </c>
      <c r="AO490" s="438"/>
      <c r="AP490" s="438"/>
      <c r="AQ490" s="438"/>
      <c r="AR490" s="438"/>
      <c r="AS490" s="438"/>
      <c r="AT490" s="438"/>
      <c r="AU490" s="438"/>
      <c r="AV490" s="438"/>
      <c r="AW490" s="450">
        <v>159.071025212757</v>
      </c>
    </row>
    <row r="491">
      <c r="A491" s="435" t="str">
        <f t="shared" ref="A491:C491" si="429">#REF!</f>
        <v>#REF!</v>
      </c>
      <c r="B491" s="485" t="str">
        <f t="shared" si="429"/>
        <v>#REF!</v>
      </c>
      <c r="C491" s="486" t="str">
        <f t="shared" si="429"/>
        <v>#REF!</v>
      </c>
      <c r="D491" s="486"/>
      <c r="E491" s="486"/>
      <c r="F491" s="528"/>
      <c r="G491" s="486"/>
      <c r="H491" s="486" t="s">
        <v>5917</v>
      </c>
      <c r="I491" s="491"/>
      <c r="J491" s="491"/>
      <c r="K491" s="491"/>
      <c r="L491" s="491"/>
      <c r="M491" s="486"/>
      <c r="N491" s="422"/>
      <c r="O491" s="422"/>
      <c r="P491" s="422"/>
      <c r="Q491" s="486"/>
      <c r="R491" s="491"/>
      <c r="S491" s="491"/>
      <c r="T491" s="491"/>
      <c r="U491" s="491"/>
      <c r="V491" s="491"/>
      <c r="W491" s="493"/>
      <c r="X491" s="486"/>
      <c r="Y491" s="442"/>
      <c r="Z491" s="491"/>
      <c r="AA491" s="524" t="str">
        <f>#REF!</f>
        <v>#REF!</v>
      </c>
      <c r="AB491" s="494"/>
      <c r="AC491" s="436"/>
      <c r="AD491" s="495"/>
      <c r="AE491" s="491"/>
      <c r="AF491" s="491"/>
      <c r="AG491" s="525" t="str">
        <f>#REF!</f>
        <v>#REF!</v>
      </c>
      <c r="AH491" s="491"/>
      <c r="AI491" s="446"/>
      <c r="AJ491" s="491"/>
      <c r="AK491" s="500"/>
      <c r="AL491" s="436"/>
      <c r="AM491" s="438"/>
      <c r="AN491" s="531"/>
      <c r="AO491" s="491"/>
      <c r="AP491" s="438"/>
      <c r="AQ491" s="438"/>
      <c r="AR491" s="438"/>
      <c r="AS491" s="438"/>
      <c r="AT491" s="438"/>
      <c r="AU491" s="438"/>
      <c r="AV491" s="438"/>
      <c r="AW491" s="450" t="str">
        <f>#REF!</f>
        <v>#REF!</v>
      </c>
    </row>
    <row r="492">
      <c r="A492" s="485" t="s">
        <v>808</v>
      </c>
      <c r="B492" s="485" t="s">
        <v>809</v>
      </c>
      <c r="C492" s="486"/>
      <c r="D492" s="491"/>
      <c r="E492" s="491"/>
      <c r="F492" s="528" t="s">
        <v>2475</v>
      </c>
      <c r="G492" s="486" t="s">
        <v>169</v>
      </c>
      <c r="H492" s="486" t="s">
        <v>810</v>
      </c>
      <c r="I492" s="491"/>
      <c r="J492" s="491"/>
      <c r="K492" s="491"/>
      <c r="L492" s="491"/>
      <c r="M492" s="486"/>
      <c r="N492" s="422"/>
      <c r="O492" s="422"/>
      <c r="P492" s="422"/>
      <c r="Q492" s="486" t="s">
        <v>2476</v>
      </c>
      <c r="R492" s="486" t="s">
        <v>2477</v>
      </c>
      <c r="S492" s="486" t="s">
        <v>2478</v>
      </c>
      <c r="T492" s="486" t="s">
        <v>2379</v>
      </c>
      <c r="U492" s="486" t="s">
        <v>2178</v>
      </c>
      <c r="V492" s="486">
        <f>7.6E-14</f>
        <v>0</v>
      </c>
      <c r="W492" s="529"/>
      <c r="X492" s="486"/>
      <c r="Y492" s="442"/>
      <c r="Z492" s="491"/>
      <c r="AA492" s="494">
        <f>1.6*0.10049</f>
        <v>0.160784</v>
      </c>
      <c r="AB492" s="494"/>
      <c r="AC492" s="436" t="str">
        <f>IF(ISNUMBER(VLOOKUP(B492,'New Masses'!A:C,3,FALSE)),VLOOKUP(B492,'New Masses'!A:C,3,FALSE),"")</f>
        <v/>
      </c>
      <c r="AD492" s="486">
        <f>1/1048 * (3*10^-6)/5</f>
        <v>0.000000000572519084</v>
      </c>
      <c r="AE492" s="491"/>
      <c r="AF492" s="491"/>
      <c r="AG492" s="525">
        <f>5/1048</f>
        <v>0.004770992366</v>
      </c>
      <c r="AH492" s="486"/>
      <c r="AI492" s="446" t="str">
        <f>IF(ISNUMBER(VLOOKUP(B492,'New Masses'!A:C,2, FALSE)),VLOOKUP(B492,'New Masses'!A:C,2, FALSE),"")</f>
        <v/>
      </c>
      <c r="AJ492" s="486"/>
      <c r="AK492" s="486"/>
      <c r="AL492" s="436"/>
      <c r="AM492" s="438"/>
      <c r="AN492" s="497">
        <v>2.0</v>
      </c>
      <c r="AO492" s="486" t="s">
        <v>5918</v>
      </c>
      <c r="AP492" s="454">
        <v>0.75</v>
      </c>
      <c r="AQ492" s="438"/>
      <c r="AR492" s="438"/>
      <c r="AS492" s="438"/>
      <c r="AT492" s="438"/>
      <c r="AU492" s="438"/>
      <c r="AV492" s="438"/>
      <c r="AW492" s="450">
        <f>1000/6.2947</f>
        <v>158.8638061</v>
      </c>
    </row>
    <row r="493">
      <c r="A493" s="435" t="str">
        <f t="shared" ref="A493:C493" si="430">#REF!</f>
        <v>#REF!</v>
      </c>
      <c r="B493" s="485" t="str">
        <f t="shared" si="430"/>
        <v>#REF!</v>
      </c>
      <c r="C493" s="486" t="str">
        <f t="shared" si="430"/>
        <v>#REF!</v>
      </c>
      <c r="D493" s="486"/>
      <c r="E493" s="486"/>
      <c r="F493" s="528"/>
      <c r="G493" s="486"/>
      <c r="H493" s="486" t="s">
        <v>5917</v>
      </c>
      <c r="I493" s="491"/>
      <c r="J493" s="491"/>
      <c r="K493" s="491"/>
      <c r="L493" s="491"/>
      <c r="M493" s="486"/>
      <c r="N493" s="422"/>
      <c r="O493" s="422"/>
      <c r="P493" s="422"/>
      <c r="Q493" s="486"/>
      <c r="R493" s="491"/>
      <c r="S493" s="491"/>
      <c r="T493" s="491"/>
      <c r="U493" s="491"/>
      <c r="V493" s="491"/>
      <c r="W493" s="493"/>
      <c r="X493" s="486"/>
      <c r="Y493" s="442"/>
      <c r="Z493" s="491"/>
      <c r="AA493" s="524" t="str">
        <f>#REF!</f>
        <v>#REF!</v>
      </c>
      <c r="AB493" s="494"/>
      <c r="AC493" s="436"/>
      <c r="AD493" s="495"/>
      <c r="AE493" s="491"/>
      <c r="AF493" s="491"/>
      <c r="AG493" s="525" t="str">
        <f>#REF!</f>
        <v>#REF!</v>
      </c>
      <c r="AH493" s="491"/>
      <c r="AI493" s="446"/>
      <c r="AJ493" s="491"/>
      <c r="AK493" s="500"/>
      <c r="AL493" s="436"/>
      <c r="AM493" s="438"/>
      <c r="AN493" s="531"/>
      <c r="AO493" s="491"/>
      <c r="AP493" s="438"/>
      <c r="AQ493" s="438"/>
      <c r="AR493" s="438"/>
      <c r="AS493" s="438"/>
      <c r="AT493" s="438"/>
      <c r="AU493" s="438"/>
      <c r="AV493" s="438"/>
      <c r="AW493" s="450" t="str">
        <f>#REF!</f>
        <v>#REF!</v>
      </c>
    </row>
    <row r="494">
      <c r="A494" s="419" t="s">
        <v>1456</v>
      </c>
      <c r="B494" s="436" t="s">
        <v>1457</v>
      </c>
      <c r="C494" s="436"/>
      <c r="D494" s="436" t="s">
        <v>158</v>
      </c>
      <c r="E494" s="436"/>
      <c r="F494" s="436" t="s">
        <v>2479</v>
      </c>
      <c r="G494" s="436" t="s">
        <v>169</v>
      </c>
      <c r="H494" s="436" t="s">
        <v>160</v>
      </c>
      <c r="I494" s="436" t="s">
        <v>1963</v>
      </c>
      <c r="J494" s="436">
        <v>4168.69383</v>
      </c>
      <c r="K494" s="436"/>
      <c r="L494" s="438"/>
      <c r="M494" s="453"/>
      <c r="N494" s="422">
        <v>9.753</v>
      </c>
      <c r="O494" s="422">
        <v>7.057</v>
      </c>
      <c r="P494" s="422">
        <v>14.15</v>
      </c>
      <c r="Q494" s="436" t="s">
        <v>2183</v>
      </c>
      <c r="R494" s="436" t="s">
        <v>2184</v>
      </c>
      <c r="S494" s="436" t="s">
        <v>1964</v>
      </c>
      <c r="T494" s="419" t="s">
        <v>162</v>
      </c>
      <c r="U494" s="436" t="s">
        <v>2185</v>
      </c>
      <c r="V494" s="451">
        <v>4.61549E30</v>
      </c>
      <c r="W494" s="458">
        <v>2.51188643150958</v>
      </c>
      <c r="X494" s="438"/>
      <c r="Y494" s="442">
        <f>IF((W494/((J494/5780)^4))^0.5&gt;0,(W494/((J494/5780)^4))^0.5,"")</f>
        <v>3.046882299</v>
      </c>
      <c r="Z494" s="442"/>
      <c r="AA494" s="443"/>
      <c r="AB494" s="443"/>
      <c r="AC494" s="436" t="str">
        <f>IF(ISNUMBER(VLOOKUP(B494,'New Masses'!A:C,3,FALSE)),VLOOKUP(B494,'New Masses'!A:C,3,FALSE),"")</f>
        <v/>
      </c>
      <c r="AD494" s="440">
        <f>10^AE494</f>
        <v>0.0000001258925412</v>
      </c>
      <c r="AE494" s="436">
        <v>-6.9</v>
      </c>
      <c r="AF494" s="438"/>
      <c r="AG494" s="459">
        <f>10^AJ494</f>
        <v>0.7244359601</v>
      </c>
      <c r="AH494" s="436"/>
      <c r="AI494" s="446" t="str">
        <f>IF(ISNUMBER(VLOOKUP(B494,'New Masses'!A:C,2, FALSE)),VLOOKUP(B494,'New Masses'!A:C,2, FALSE),"")</f>
        <v/>
      </c>
      <c r="AJ494" s="436">
        <v>-0.14</v>
      </c>
      <c r="AK494" s="436"/>
      <c r="AL494" s="436">
        <v>0.03</v>
      </c>
      <c r="AM494" s="438"/>
      <c r="AN494" s="436">
        <v>1.0</v>
      </c>
      <c r="AO494" s="419" t="s">
        <v>5918</v>
      </c>
      <c r="AP494" s="438"/>
      <c r="AQ494" s="436"/>
      <c r="AR494" s="438"/>
      <c r="AS494" s="420" t="str">
        <f>VLOOKUP(B494,natta06!A:F,6,FALSE)</f>
        <v>#REF!</v>
      </c>
      <c r="AT494" s="438"/>
      <c r="AU494" s="438" t="s">
        <v>1459</v>
      </c>
      <c r="AV494" s="438"/>
      <c r="AW494" s="450"/>
    </row>
    <row r="495">
      <c r="A495" s="435" t="str">
        <f t="shared" ref="A495:C495" si="431">#REF!</f>
        <v>#REF!</v>
      </c>
      <c r="B495" s="485" t="str">
        <f t="shared" si="431"/>
        <v>#REF!</v>
      </c>
      <c r="C495" s="486" t="str">
        <f t="shared" si="431"/>
        <v>#REF!</v>
      </c>
      <c r="D495" s="486"/>
      <c r="E495" s="486"/>
      <c r="F495" s="528"/>
      <c r="G495" s="486"/>
      <c r="H495" s="486" t="s">
        <v>5917</v>
      </c>
      <c r="I495" s="491"/>
      <c r="J495" s="491"/>
      <c r="K495" s="491"/>
      <c r="L495" s="491"/>
      <c r="M495" s="486"/>
      <c r="N495" s="422"/>
      <c r="O495" s="422"/>
      <c r="P495" s="422"/>
      <c r="Q495" s="486"/>
      <c r="R495" s="491"/>
      <c r="S495" s="491"/>
      <c r="T495" s="491"/>
      <c r="U495" s="491"/>
      <c r="V495" s="491"/>
      <c r="W495" s="493"/>
      <c r="X495" s="486"/>
      <c r="Y495" s="442"/>
      <c r="Z495" s="491"/>
      <c r="AA495" s="524" t="str">
        <f>#REF!</f>
        <v>#REF!</v>
      </c>
      <c r="AB495" s="494"/>
      <c r="AC495" s="436"/>
      <c r="AD495" s="495"/>
      <c r="AE495" s="491"/>
      <c r="AF495" s="491"/>
      <c r="AG495" s="525" t="str">
        <f>#REF!</f>
        <v>#REF!</v>
      </c>
      <c r="AH495" s="491"/>
      <c r="AI495" s="446"/>
      <c r="AJ495" s="491"/>
      <c r="AK495" s="500"/>
      <c r="AL495" s="436"/>
      <c r="AM495" s="438"/>
      <c r="AN495" s="531"/>
      <c r="AO495" s="491"/>
      <c r="AP495" s="438"/>
      <c r="AQ495" s="438"/>
      <c r="AR495" s="438"/>
      <c r="AS495" s="438"/>
      <c r="AT495" s="438"/>
      <c r="AU495" s="438"/>
      <c r="AV495" s="438"/>
      <c r="AW495" s="450" t="str">
        <f>#REF!</f>
        <v>#REF!</v>
      </c>
    </row>
    <row r="496">
      <c r="A496" s="419" t="s">
        <v>1454</v>
      </c>
      <c r="B496" s="436" t="s">
        <v>1455</v>
      </c>
      <c r="C496" s="436"/>
      <c r="D496" s="436" t="s">
        <v>158</v>
      </c>
      <c r="E496" s="436"/>
      <c r="F496" s="436" t="s">
        <v>2480</v>
      </c>
      <c r="G496" s="436" t="s">
        <v>169</v>
      </c>
      <c r="H496" s="436" t="s">
        <v>160</v>
      </c>
      <c r="I496" s="436" t="s">
        <v>1963</v>
      </c>
      <c r="J496" s="436">
        <v>4168.69383</v>
      </c>
      <c r="K496" s="436"/>
      <c r="L496" s="438"/>
      <c r="M496" s="453"/>
      <c r="N496" s="422">
        <v>10.365</v>
      </c>
      <c r="O496" s="422">
        <v>7.549</v>
      </c>
      <c r="P496" s="422"/>
      <c r="Q496" s="436" t="s">
        <v>2183</v>
      </c>
      <c r="R496" s="436" t="s">
        <v>2184</v>
      </c>
      <c r="S496" s="436" t="s">
        <v>1964</v>
      </c>
      <c r="T496" s="419" t="s">
        <v>162</v>
      </c>
      <c r="U496" s="436" t="s">
        <v>2185</v>
      </c>
      <c r="V496" s="451">
        <v>2.98001E30</v>
      </c>
      <c r="W496" s="458">
        <v>2.4547089156850306</v>
      </c>
      <c r="X496" s="438"/>
      <c r="Y496" s="442">
        <f>IF((W496/((J496/5780)^4))^0.5&gt;0,(W496/((J496/5780)^4))^0.5,"")</f>
        <v>3.012004926</v>
      </c>
      <c r="Z496" s="442"/>
      <c r="AA496" s="443"/>
      <c r="AB496" s="443"/>
      <c r="AC496" s="436" t="str">
        <f>IF(ISNUMBER(VLOOKUP(B496,'New Masses'!A:C,3,FALSE)),VLOOKUP(B496,'New Masses'!A:C,3,FALSE),"")</f>
        <v/>
      </c>
      <c r="AD496" s="440">
        <f>10^AE496</f>
        <v>0.00000007079457844</v>
      </c>
      <c r="AE496" s="436">
        <v>-7.15</v>
      </c>
      <c r="AF496" s="438"/>
      <c r="AG496" s="459">
        <f>10^AJ496</f>
        <v>0.7079457844</v>
      </c>
      <c r="AH496" s="436"/>
      <c r="AI496" s="446" t="str">
        <f>IF(ISNUMBER(VLOOKUP(B496,'New Masses'!A:C,2, FALSE)),VLOOKUP(B496,'New Masses'!A:C,2, FALSE),"")</f>
        <v/>
      </c>
      <c r="AJ496" s="436">
        <v>-0.15</v>
      </c>
      <c r="AK496" s="436"/>
      <c r="AL496" s="436">
        <v>-0.23</v>
      </c>
      <c r="AM496" s="438"/>
      <c r="AN496" s="436">
        <v>1.0</v>
      </c>
      <c r="AO496" s="419" t="s">
        <v>5918</v>
      </c>
      <c r="AP496" s="438"/>
      <c r="AQ496" s="438"/>
      <c r="AR496" s="438"/>
      <c r="AS496" s="420" t="str">
        <f>VLOOKUP(B496,natta06!A:F,6,FALSE)</f>
        <v>#REF!</v>
      </c>
      <c r="AT496" s="438"/>
      <c r="AU496" s="438"/>
      <c r="AV496" s="438"/>
      <c r="AW496" s="450"/>
    </row>
    <row r="497">
      <c r="A497" s="435" t="str">
        <f t="shared" ref="A497:C497" si="432">#REF!</f>
        <v>#REF!</v>
      </c>
      <c r="B497" s="485" t="str">
        <f t="shared" si="432"/>
        <v>#REF!</v>
      </c>
      <c r="C497" s="486" t="str">
        <f t="shared" si="432"/>
        <v>#REF!</v>
      </c>
      <c r="D497" s="486"/>
      <c r="E497" s="486"/>
      <c r="F497" s="528"/>
      <c r="G497" s="486"/>
      <c r="H497" s="486" t="s">
        <v>5917</v>
      </c>
      <c r="I497" s="491"/>
      <c r="J497" s="491"/>
      <c r="K497" s="491"/>
      <c r="L497" s="491"/>
      <c r="M497" s="486"/>
      <c r="N497" s="422"/>
      <c r="O497" s="422"/>
      <c r="P497" s="422"/>
      <c r="Q497" s="486"/>
      <c r="R497" s="491"/>
      <c r="S497" s="491"/>
      <c r="T497" s="491"/>
      <c r="U497" s="491"/>
      <c r="V497" s="491"/>
      <c r="W497" s="493"/>
      <c r="X497" s="486"/>
      <c r="Y497" s="442"/>
      <c r="Z497" s="491"/>
      <c r="AA497" s="524" t="str">
        <f>#REF!</f>
        <v>#REF!</v>
      </c>
      <c r="AB497" s="494"/>
      <c r="AC497" s="436"/>
      <c r="AD497" s="495"/>
      <c r="AE497" s="491"/>
      <c r="AF497" s="491"/>
      <c r="AG497" s="525" t="str">
        <f>#REF!</f>
        <v>#REF!</v>
      </c>
      <c r="AH497" s="491"/>
      <c r="AI497" s="446"/>
      <c r="AJ497" s="491"/>
      <c r="AK497" s="500"/>
      <c r="AL497" s="436"/>
      <c r="AM497" s="438"/>
      <c r="AN497" s="531"/>
      <c r="AO497" s="491"/>
      <c r="AP497" s="438"/>
      <c r="AQ497" s="438"/>
      <c r="AR497" s="438"/>
      <c r="AS497" s="438"/>
      <c r="AT497" s="438"/>
      <c r="AU497" s="438"/>
      <c r="AV497" s="438"/>
      <c r="AW497" s="450" t="str">
        <f>#REF!</f>
        <v>#REF!</v>
      </c>
    </row>
    <row r="498">
      <c r="A498" s="435" t="s">
        <v>1719</v>
      </c>
      <c r="B498" s="436" t="s">
        <v>1720</v>
      </c>
      <c r="C498" s="436"/>
      <c r="D498" s="436" t="s">
        <v>350</v>
      </c>
      <c r="E498" s="436"/>
      <c r="F498" s="436" t="s">
        <v>2481</v>
      </c>
      <c r="G498" s="437" t="s">
        <v>169</v>
      </c>
      <c r="H498" s="437" t="s">
        <v>702</v>
      </c>
      <c r="I498" s="437" t="s">
        <v>1999</v>
      </c>
      <c r="J498" s="437">
        <v>3400.0</v>
      </c>
      <c r="K498" s="438"/>
      <c r="L498" s="436" t="s">
        <v>422</v>
      </c>
      <c r="M498" s="439"/>
      <c r="N498" s="422">
        <v>12.844</v>
      </c>
      <c r="O498" s="422">
        <v>11.863</v>
      </c>
      <c r="P498" s="422">
        <v>15.82</v>
      </c>
      <c r="Q498" s="436" t="s">
        <v>1632</v>
      </c>
      <c r="R498" s="438"/>
      <c r="S498" s="436" t="s">
        <v>2000</v>
      </c>
      <c r="T498" s="436" t="s">
        <v>1632</v>
      </c>
      <c r="U498" s="436" t="s">
        <v>1633</v>
      </c>
      <c r="V498" s="440"/>
      <c r="W498" s="441">
        <v>0.13</v>
      </c>
      <c r="X498" s="438"/>
      <c r="Y498" s="442">
        <f>IF((W498/((J498/5780)^4))^0.5&gt;0,(W498/((J498/5780)^4))^0.5,"")</f>
        <v>1.042004319</v>
      </c>
      <c r="Z498" s="442"/>
      <c r="AA498" s="443"/>
      <c r="AB498" s="443"/>
      <c r="AC498" s="436" t="str">
        <f>IF(ISNUMBER(VLOOKUP(B498,'New Masses'!A:C,3,FALSE)),VLOOKUP(B498,'New Masses'!A:C,3,FALSE),"")</f>
        <v/>
      </c>
      <c r="AD498" s="440">
        <f>10^AE498</f>
        <v>0.000000000316227766</v>
      </c>
      <c r="AE498" s="437">
        <v>-9.5</v>
      </c>
      <c r="AF498" s="438"/>
      <c r="AG498" s="445">
        <v>0.35</v>
      </c>
      <c r="AH498" s="438"/>
      <c r="AI498" s="446" t="str">
        <f>IF(ISNUMBER(VLOOKUP(B498,'New Masses'!A:C,2, FALSE)),VLOOKUP(B498,'New Masses'!A:C,2, FALSE),"")</f>
        <v/>
      </c>
      <c r="AJ498" s="438"/>
      <c r="AK498" s="437"/>
      <c r="AL498" s="447">
        <v>-2.59</v>
      </c>
      <c r="AM498" s="438"/>
      <c r="AN498" s="436">
        <v>3.0</v>
      </c>
      <c r="AO498" s="438"/>
      <c r="AP498" s="438"/>
      <c r="AQ498" s="436"/>
      <c r="AR498" s="438"/>
      <c r="AS498" s="438"/>
      <c r="AT498" s="438"/>
      <c r="AU498" s="438" t="s">
        <v>705</v>
      </c>
      <c r="AV498" s="438"/>
      <c r="AW498" s="450">
        <v>370.713623725671</v>
      </c>
    </row>
    <row r="499">
      <c r="A499" s="435" t="str">
        <f t="shared" ref="A499:C499" si="433">#REF!</f>
        <v>#REF!</v>
      </c>
      <c r="B499" s="485" t="str">
        <f t="shared" si="433"/>
        <v>#REF!</v>
      </c>
      <c r="C499" s="486" t="str">
        <f t="shared" si="433"/>
        <v>#REF!</v>
      </c>
      <c r="D499" s="486"/>
      <c r="E499" s="486"/>
      <c r="F499" s="528"/>
      <c r="G499" s="486"/>
      <c r="H499" s="486" t="s">
        <v>5917</v>
      </c>
      <c r="I499" s="491"/>
      <c r="J499" s="491"/>
      <c r="K499" s="491"/>
      <c r="L499" s="491"/>
      <c r="M499" s="486"/>
      <c r="N499" s="422"/>
      <c r="O499" s="422"/>
      <c r="P499" s="422"/>
      <c r="Q499" s="486"/>
      <c r="R499" s="491"/>
      <c r="S499" s="491"/>
      <c r="T499" s="491"/>
      <c r="U499" s="491"/>
      <c r="V499" s="491"/>
      <c r="W499" s="493"/>
      <c r="X499" s="486"/>
      <c r="Y499" s="442"/>
      <c r="Z499" s="491"/>
      <c r="AA499" s="524" t="str">
        <f>#REF!</f>
        <v>#REF!</v>
      </c>
      <c r="AB499" s="494"/>
      <c r="AC499" s="436"/>
      <c r="AD499" s="495"/>
      <c r="AE499" s="491"/>
      <c r="AF499" s="491"/>
      <c r="AG499" s="525" t="str">
        <f>#REF!</f>
        <v>#REF!</v>
      </c>
      <c r="AH499" s="491"/>
      <c r="AI499" s="446"/>
      <c r="AJ499" s="491"/>
      <c r="AK499" s="500"/>
      <c r="AL499" s="436"/>
      <c r="AM499" s="438"/>
      <c r="AN499" s="531"/>
      <c r="AO499" s="491"/>
      <c r="AP499" s="438"/>
      <c r="AQ499" s="438"/>
      <c r="AR499" s="438"/>
      <c r="AS499" s="438"/>
      <c r="AT499" s="438"/>
      <c r="AU499" s="438"/>
      <c r="AV499" s="438"/>
      <c r="AW499" s="450" t="str">
        <f>#REF!</f>
        <v>#REF!</v>
      </c>
    </row>
    <row r="500">
      <c r="A500" s="435" t="s">
        <v>1725</v>
      </c>
      <c r="B500" s="436" t="s">
        <v>1726</v>
      </c>
      <c r="C500" s="436"/>
      <c r="D500" s="436" t="s">
        <v>350</v>
      </c>
      <c r="E500" s="436"/>
      <c r="F500" s="436" t="s">
        <v>2482</v>
      </c>
      <c r="G500" s="437" t="s">
        <v>169</v>
      </c>
      <c r="H500" s="437" t="s">
        <v>702</v>
      </c>
      <c r="I500" s="437" t="s">
        <v>1999</v>
      </c>
      <c r="J500" s="437">
        <v>3400.0</v>
      </c>
      <c r="K500" s="438"/>
      <c r="L500" s="436" t="s">
        <v>422</v>
      </c>
      <c r="M500" s="439"/>
      <c r="N500" s="422">
        <v>12.174</v>
      </c>
      <c r="O500" s="422">
        <v>10.986</v>
      </c>
      <c r="P500" s="422">
        <v>15.22</v>
      </c>
      <c r="Q500" s="436" t="s">
        <v>1632</v>
      </c>
      <c r="R500" s="438"/>
      <c r="S500" s="436" t="s">
        <v>2000</v>
      </c>
      <c r="T500" s="436" t="s">
        <v>1632</v>
      </c>
      <c r="U500" s="436" t="s">
        <v>1633</v>
      </c>
      <c r="V500" s="451"/>
      <c r="W500" s="441">
        <v>0.22</v>
      </c>
      <c r="X500" s="438"/>
      <c r="Y500" s="442">
        <f>IF((W500/((J500/5780)^4))^0.5&gt;0,(W500/((J500/5780)^4))^0.5,"")</f>
        <v>1.355530155</v>
      </c>
      <c r="Z500" s="442"/>
      <c r="AA500" s="443"/>
      <c r="AB500" s="443"/>
      <c r="AC500" s="436" t="str">
        <f>IF(ISNUMBER(VLOOKUP(B500,'New Masses'!A:C,3,FALSE)),VLOOKUP(B500,'New Masses'!A:C,3,FALSE),"")</f>
        <v/>
      </c>
      <c r="AD500" s="440">
        <f>10^AE500</f>
        <v>0.000000002187761624</v>
      </c>
      <c r="AE500" s="437">
        <v>-8.66</v>
      </c>
      <c r="AF500" s="438"/>
      <c r="AG500" s="445">
        <v>0.4</v>
      </c>
      <c r="AH500" s="438"/>
      <c r="AI500" s="446" t="str">
        <f>IF(ISNUMBER(VLOOKUP(B500,'New Masses'!A:C,2, FALSE)),VLOOKUP(B500,'New Masses'!A:C,2, FALSE),"")</f>
        <v/>
      </c>
      <c r="AJ500" s="438"/>
      <c r="AK500" s="437"/>
      <c r="AL500" s="447">
        <v>-1.8</v>
      </c>
      <c r="AM500" s="438"/>
      <c r="AN500" s="436">
        <v>3.0</v>
      </c>
      <c r="AO500" s="438"/>
      <c r="AP500" s="438"/>
      <c r="AQ500" s="436"/>
      <c r="AR500" s="438"/>
      <c r="AS500" s="438"/>
      <c r="AT500" s="438"/>
      <c r="AU500" s="438" t="s">
        <v>705</v>
      </c>
      <c r="AV500" s="438"/>
      <c r="AW500" s="450"/>
    </row>
    <row r="501">
      <c r="A501" s="435" t="str">
        <f t="shared" ref="A501:C501" si="434">#REF!</f>
        <v>#REF!</v>
      </c>
      <c r="B501" s="485" t="str">
        <f t="shared" si="434"/>
        <v>#REF!</v>
      </c>
      <c r="C501" s="486" t="str">
        <f t="shared" si="434"/>
        <v>#REF!</v>
      </c>
      <c r="D501" s="486"/>
      <c r="E501" s="486"/>
      <c r="F501" s="528"/>
      <c r="G501" s="486"/>
      <c r="H501" s="486" t="s">
        <v>5917</v>
      </c>
      <c r="I501" s="491"/>
      <c r="J501" s="491"/>
      <c r="K501" s="491"/>
      <c r="L501" s="491"/>
      <c r="M501" s="486"/>
      <c r="N501" s="422"/>
      <c r="O501" s="422"/>
      <c r="P501" s="422"/>
      <c r="Q501" s="486"/>
      <c r="R501" s="491"/>
      <c r="S501" s="491"/>
      <c r="T501" s="491"/>
      <c r="U501" s="491"/>
      <c r="V501" s="491"/>
      <c r="W501" s="493"/>
      <c r="X501" s="486"/>
      <c r="Y501" s="442"/>
      <c r="Z501" s="491"/>
      <c r="AA501" s="524" t="str">
        <f>#REF!</f>
        <v>#REF!</v>
      </c>
      <c r="AB501" s="494"/>
      <c r="AC501" s="436"/>
      <c r="AD501" s="495"/>
      <c r="AE501" s="491"/>
      <c r="AF501" s="491"/>
      <c r="AG501" s="525" t="str">
        <f>#REF!</f>
        <v>#REF!</v>
      </c>
      <c r="AH501" s="491"/>
      <c r="AI501" s="446"/>
      <c r="AJ501" s="491"/>
      <c r="AK501" s="500"/>
      <c r="AL501" s="436"/>
      <c r="AM501" s="438"/>
      <c r="AN501" s="531"/>
      <c r="AO501" s="491"/>
      <c r="AP501" s="438"/>
      <c r="AQ501" s="438"/>
      <c r="AR501" s="438"/>
      <c r="AS501" s="438"/>
      <c r="AT501" s="438"/>
      <c r="AU501" s="438"/>
      <c r="AV501" s="438"/>
      <c r="AW501" s="450" t="str">
        <f>#REF!</f>
        <v>#REF!</v>
      </c>
    </row>
    <row r="502">
      <c r="A502" s="435" t="s">
        <v>1749</v>
      </c>
      <c r="B502" s="436" t="s">
        <v>1750</v>
      </c>
      <c r="C502" s="436"/>
      <c r="D502" s="436" t="s">
        <v>350</v>
      </c>
      <c r="E502" s="436"/>
      <c r="F502" s="436" t="s">
        <v>2483</v>
      </c>
      <c r="G502" s="437" t="s">
        <v>169</v>
      </c>
      <c r="H502" s="437" t="s">
        <v>702</v>
      </c>
      <c r="I502" s="437" t="s">
        <v>1999</v>
      </c>
      <c r="J502" s="437">
        <v>3900.0</v>
      </c>
      <c r="K502" s="438"/>
      <c r="L502" s="436" t="s">
        <v>427</v>
      </c>
      <c r="M502" s="439"/>
      <c r="N502" s="422">
        <v>11.512</v>
      </c>
      <c r="O502" s="422">
        <v>10.395</v>
      </c>
      <c r="P502" s="422">
        <v>14.48</v>
      </c>
      <c r="Q502" s="436" t="s">
        <v>1632</v>
      </c>
      <c r="R502" s="438"/>
      <c r="S502" s="436" t="s">
        <v>2000</v>
      </c>
      <c r="T502" s="436" t="s">
        <v>1632</v>
      </c>
      <c r="U502" s="436" t="s">
        <v>1633</v>
      </c>
      <c r="V502" s="440"/>
      <c r="W502" s="441">
        <v>0.41</v>
      </c>
      <c r="X502" s="438"/>
      <c r="Y502" s="442">
        <f>IF((W502/((J502/5780)^4))^0.5&gt;0,(W502/((J502/5780)^4))^0.5,"")</f>
        <v>1.406430873</v>
      </c>
      <c r="Z502" s="442"/>
      <c r="AA502" s="443"/>
      <c r="AB502" s="443"/>
      <c r="AC502" s="436" t="str">
        <f>IF(ISNUMBER(VLOOKUP(B502,'New Masses'!A:C,3,FALSE)),VLOOKUP(B502,'New Masses'!A:C,3,FALSE),"")</f>
        <v/>
      </c>
      <c r="AD502" s="440">
        <f>10^AE502</f>
        <v>0.0000000005495408739</v>
      </c>
      <c r="AE502" s="437">
        <v>-9.26</v>
      </c>
      <c r="AF502" s="438"/>
      <c r="AG502" s="445">
        <v>0.9</v>
      </c>
      <c r="AH502" s="438"/>
      <c r="AI502" s="446" t="str">
        <f>IF(ISNUMBER(VLOOKUP(B502,'New Masses'!A:C,2, FALSE)),VLOOKUP(B502,'New Masses'!A:C,2, FALSE),"")</f>
        <v/>
      </c>
      <c r="AJ502" s="438"/>
      <c r="AK502" s="437"/>
      <c r="AL502" s="447">
        <v>-2.06</v>
      </c>
      <c r="AM502" s="438"/>
      <c r="AN502" s="436">
        <v>3.0</v>
      </c>
      <c r="AO502" s="438"/>
      <c r="AP502" s="436"/>
      <c r="AQ502" s="436"/>
      <c r="AR502" s="438"/>
      <c r="AS502" s="438"/>
      <c r="AT502" s="438" t="s">
        <v>5916</v>
      </c>
      <c r="AU502" s="438" t="s">
        <v>1676</v>
      </c>
      <c r="AV502" s="438"/>
      <c r="AW502" s="450">
        <v>380.734818199124</v>
      </c>
    </row>
    <row r="503">
      <c r="A503" s="435" t="str">
        <f t="shared" ref="A503:C503" si="435">#REF!</f>
        <v>#REF!</v>
      </c>
      <c r="B503" s="485" t="str">
        <f t="shared" si="435"/>
        <v>#REF!</v>
      </c>
      <c r="C503" s="486" t="str">
        <f t="shared" si="435"/>
        <v>#REF!</v>
      </c>
      <c r="D503" s="486"/>
      <c r="E503" s="486"/>
      <c r="F503" s="528"/>
      <c r="G503" s="486"/>
      <c r="H503" s="486" t="s">
        <v>5917</v>
      </c>
      <c r="I503" s="491"/>
      <c r="J503" s="491"/>
      <c r="K503" s="491"/>
      <c r="L503" s="491"/>
      <c r="M503" s="486"/>
      <c r="N503" s="422"/>
      <c r="O503" s="422"/>
      <c r="P503" s="422"/>
      <c r="Q503" s="486"/>
      <c r="R503" s="491"/>
      <c r="S503" s="491"/>
      <c r="T503" s="491"/>
      <c r="U503" s="491"/>
      <c r="V503" s="491"/>
      <c r="W503" s="493"/>
      <c r="X503" s="486"/>
      <c r="Y503" s="442"/>
      <c r="Z503" s="491"/>
      <c r="AA503" s="524" t="str">
        <f>#REF!</f>
        <v>#REF!</v>
      </c>
      <c r="AB503" s="494"/>
      <c r="AC503" s="436"/>
      <c r="AD503" s="495"/>
      <c r="AE503" s="491"/>
      <c r="AF503" s="491"/>
      <c r="AG503" s="525" t="str">
        <f>#REF!</f>
        <v>#REF!</v>
      </c>
      <c r="AH503" s="491"/>
      <c r="AI503" s="446"/>
      <c r="AJ503" s="491"/>
      <c r="AK503" s="500"/>
      <c r="AL503" s="436"/>
      <c r="AM503" s="438"/>
      <c r="AN503" s="531"/>
      <c r="AO503" s="491"/>
      <c r="AP503" s="438"/>
      <c r="AQ503" s="438"/>
      <c r="AR503" s="438"/>
      <c r="AS503" s="438"/>
      <c r="AT503" s="438"/>
      <c r="AU503" s="438"/>
      <c r="AV503" s="438"/>
      <c r="AW503" s="450" t="str">
        <f>#REF!</f>
        <v>#REF!</v>
      </c>
    </row>
    <row r="504">
      <c r="A504" s="435" t="s">
        <v>1733</v>
      </c>
      <c r="B504" s="436" t="s">
        <v>1734</v>
      </c>
      <c r="C504" s="436"/>
      <c r="D504" s="436" t="s">
        <v>350</v>
      </c>
      <c r="E504" s="436"/>
      <c r="F504" s="436" t="s">
        <v>2484</v>
      </c>
      <c r="G504" s="437" t="s">
        <v>169</v>
      </c>
      <c r="H504" s="437" t="s">
        <v>702</v>
      </c>
      <c r="I504" s="437" t="s">
        <v>1999</v>
      </c>
      <c r="J504" s="437">
        <v>3600.0</v>
      </c>
      <c r="K504" s="438"/>
      <c r="L504" s="436" t="s">
        <v>571</v>
      </c>
      <c r="M504" s="439"/>
      <c r="N504" s="422">
        <v>11.733</v>
      </c>
      <c r="O504" s="422">
        <v>10.335</v>
      </c>
      <c r="P504" s="422">
        <v>14.02</v>
      </c>
      <c r="Q504" s="436" t="s">
        <v>1632</v>
      </c>
      <c r="R504" s="438"/>
      <c r="S504" s="436" t="s">
        <v>2000</v>
      </c>
      <c r="T504" s="436" t="s">
        <v>1632</v>
      </c>
      <c r="U504" s="436" t="s">
        <v>1633</v>
      </c>
      <c r="V504" s="440"/>
      <c r="W504" s="441">
        <v>0.42</v>
      </c>
      <c r="X504" s="438"/>
      <c r="Y504" s="442">
        <f>IF((W504/((J504/5780)^4))^0.5&gt;0,(W504/((J504/5780)^4))^0.5,"")</f>
        <v>1.670610938</v>
      </c>
      <c r="Z504" s="442"/>
      <c r="AA504" s="443"/>
      <c r="AB504" s="443"/>
      <c r="AC504" s="436" t="str">
        <f>IF(ISNUMBER(VLOOKUP(B504,'New Masses'!A:C,3,FALSE)),VLOOKUP(B504,'New Masses'!A:C,3,FALSE),"")</f>
        <v/>
      </c>
      <c r="AD504" s="440">
        <f>10^AE504</f>
        <v>0.000000001122018454</v>
      </c>
      <c r="AE504" s="437">
        <v>-8.95</v>
      </c>
      <c r="AF504" s="438"/>
      <c r="AG504" s="445">
        <v>0.6</v>
      </c>
      <c r="AH504" s="438"/>
      <c r="AI504" s="446" t="str">
        <f>IF(ISNUMBER(VLOOKUP(B504,'New Masses'!A:C,2, FALSE)),VLOOKUP(B504,'New Masses'!A:C,2, FALSE),"")</f>
        <v/>
      </c>
      <c r="AJ504" s="438"/>
      <c r="AK504" s="437"/>
      <c r="AL504" s="447">
        <v>-2.01</v>
      </c>
      <c r="AM504" s="438"/>
      <c r="AN504" s="436">
        <v>3.0</v>
      </c>
      <c r="AO504" s="438"/>
      <c r="AP504" s="438"/>
      <c r="AQ504" s="436"/>
      <c r="AR504" s="438"/>
      <c r="AS504" s="438"/>
      <c r="AT504" s="438"/>
      <c r="AU504" s="438" t="s">
        <v>705</v>
      </c>
      <c r="AV504" s="438"/>
      <c r="AW504" s="450">
        <v>420.433046037418</v>
      </c>
    </row>
    <row r="505">
      <c r="A505" s="435" t="str">
        <f t="shared" ref="A505:C505" si="436">#REF!</f>
        <v>#REF!</v>
      </c>
      <c r="B505" s="485" t="str">
        <f t="shared" si="436"/>
        <v>#REF!</v>
      </c>
      <c r="C505" s="486" t="str">
        <f t="shared" si="436"/>
        <v>#REF!</v>
      </c>
      <c r="D505" s="486"/>
      <c r="E505" s="486"/>
      <c r="F505" s="528"/>
      <c r="G505" s="486"/>
      <c r="H505" s="486" t="s">
        <v>5917</v>
      </c>
      <c r="I505" s="491"/>
      <c r="J505" s="491"/>
      <c r="K505" s="491"/>
      <c r="L505" s="491"/>
      <c r="M505" s="486"/>
      <c r="N505" s="422"/>
      <c r="O505" s="422"/>
      <c r="P505" s="422"/>
      <c r="Q505" s="486"/>
      <c r="R505" s="491"/>
      <c r="S505" s="491"/>
      <c r="T505" s="491"/>
      <c r="U505" s="491"/>
      <c r="V505" s="491"/>
      <c r="W505" s="493"/>
      <c r="X505" s="486"/>
      <c r="Y505" s="442"/>
      <c r="Z505" s="491"/>
      <c r="AA505" s="524" t="str">
        <f>#REF!</f>
        <v>#REF!</v>
      </c>
      <c r="AB505" s="494"/>
      <c r="AC505" s="436"/>
      <c r="AD505" s="495"/>
      <c r="AE505" s="491"/>
      <c r="AF505" s="491"/>
      <c r="AG505" s="525" t="str">
        <f>#REF!</f>
        <v>#REF!</v>
      </c>
      <c r="AH505" s="491"/>
      <c r="AI505" s="446"/>
      <c r="AJ505" s="491"/>
      <c r="AK505" s="500"/>
      <c r="AL505" s="436"/>
      <c r="AM505" s="438"/>
      <c r="AN505" s="531"/>
      <c r="AO505" s="491"/>
      <c r="AP505" s="438"/>
      <c r="AQ505" s="438"/>
      <c r="AR505" s="438"/>
      <c r="AS505" s="438"/>
      <c r="AT505" s="438"/>
      <c r="AU505" s="438"/>
      <c r="AV505" s="438"/>
      <c r="AW505" s="450" t="str">
        <f>#REF!</f>
        <v>#REF!</v>
      </c>
    </row>
    <row r="506">
      <c r="A506" s="435" t="s">
        <v>1721</v>
      </c>
      <c r="B506" s="436" t="s">
        <v>1722</v>
      </c>
      <c r="C506" s="436"/>
      <c r="D506" s="436" t="s">
        <v>350</v>
      </c>
      <c r="E506" s="436"/>
      <c r="F506" s="436" t="s">
        <v>2485</v>
      </c>
      <c r="G506" s="437" t="s">
        <v>169</v>
      </c>
      <c r="H506" s="437" t="s">
        <v>702</v>
      </c>
      <c r="I506" s="437" t="s">
        <v>1999</v>
      </c>
      <c r="J506" s="437">
        <v>3400.0</v>
      </c>
      <c r="K506" s="438"/>
      <c r="L506" s="436" t="s">
        <v>1285</v>
      </c>
      <c r="M506" s="439"/>
      <c r="N506" s="422">
        <v>12.888</v>
      </c>
      <c r="O506" s="422">
        <v>11.401</v>
      </c>
      <c r="P506" s="422">
        <v>15.59</v>
      </c>
      <c r="Q506" s="436" t="s">
        <v>1632</v>
      </c>
      <c r="R506" s="438"/>
      <c r="S506" s="436" t="s">
        <v>2000</v>
      </c>
      <c r="T506" s="436" t="s">
        <v>1632</v>
      </c>
      <c r="U506" s="436" t="s">
        <v>1633</v>
      </c>
      <c r="V506" s="451"/>
      <c r="W506" s="441">
        <v>0.06</v>
      </c>
      <c r="X506" s="438"/>
      <c r="Y506" s="442">
        <f>IF((W506/((J506/5780)^4))^0.5&gt;0,(W506/((J506/5780)^4))^0.5,"")</f>
        <v>0.7079025357</v>
      </c>
      <c r="Z506" s="442"/>
      <c r="AA506" s="443"/>
      <c r="AB506" s="443"/>
      <c r="AC506" s="436" t="str">
        <f>IF(ISNUMBER(VLOOKUP(B506,'New Masses'!A:C,3,FALSE)),VLOOKUP(B506,'New Masses'!A:C,3,FALSE),"")</f>
        <v/>
      </c>
      <c r="AD506" s="440">
        <f>10^AE506</f>
        <v>0.0000000001513561248</v>
      </c>
      <c r="AE506" s="437">
        <v>-9.82</v>
      </c>
      <c r="AF506" s="438"/>
      <c r="AG506" s="445">
        <v>0.35</v>
      </c>
      <c r="AH506" s="438"/>
      <c r="AI506" s="446" t="str">
        <f>IF(ISNUMBER(VLOOKUP(B506,'New Masses'!A:C,2, FALSE)),VLOOKUP(B506,'New Masses'!A:C,2, FALSE),"")</f>
        <v/>
      </c>
      <c r="AJ506" s="438"/>
      <c r="AK506" s="437"/>
      <c r="AL506" s="447">
        <v>-2.74</v>
      </c>
      <c r="AM506" s="438"/>
      <c r="AN506" s="436">
        <v>3.0</v>
      </c>
      <c r="AO506" s="438"/>
      <c r="AP506" s="438"/>
      <c r="AQ506" s="436"/>
      <c r="AR506" s="438"/>
      <c r="AS506" s="438"/>
      <c r="AT506" s="438"/>
      <c r="AU506" s="438" t="s">
        <v>705</v>
      </c>
      <c r="AV506" s="438"/>
      <c r="AW506" s="450">
        <v>396.039603960396</v>
      </c>
    </row>
    <row r="507">
      <c r="A507" s="435" t="str">
        <f t="shared" ref="A507:C507" si="437">#REF!</f>
        <v>#REF!</v>
      </c>
      <c r="B507" s="485" t="str">
        <f t="shared" si="437"/>
        <v>#REF!</v>
      </c>
      <c r="C507" s="486" t="str">
        <f t="shared" si="437"/>
        <v>#REF!</v>
      </c>
      <c r="D507" s="486"/>
      <c r="E507" s="486"/>
      <c r="F507" s="528"/>
      <c r="G507" s="486"/>
      <c r="H507" s="486" t="s">
        <v>5917</v>
      </c>
      <c r="I507" s="491"/>
      <c r="J507" s="491"/>
      <c r="K507" s="491"/>
      <c r="L507" s="491"/>
      <c r="M507" s="486"/>
      <c r="N507" s="422"/>
      <c r="O507" s="422"/>
      <c r="P507" s="422"/>
      <c r="Q507" s="486"/>
      <c r="R507" s="491"/>
      <c r="S507" s="491"/>
      <c r="T507" s="491"/>
      <c r="U507" s="491"/>
      <c r="V507" s="491"/>
      <c r="W507" s="493"/>
      <c r="X507" s="486"/>
      <c r="Y507" s="442"/>
      <c r="Z507" s="491"/>
      <c r="AA507" s="524" t="str">
        <f>#REF!</f>
        <v>#REF!</v>
      </c>
      <c r="AB507" s="494"/>
      <c r="AC507" s="436"/>
      <c r="AD507" s="495"/>
      <c r="AE507" s="491"/>
      <c r="AF507" s="491"/>
      <c r="AG507" s="525" t="str">
        <f>#REF!</f>
        <v>#REF!</v>
      </c>
      <c r="AH507" s="491"/>
      <c r="AI507" s="446"/>
      <c r="AJ507" s="491"/>
      <c r="AK507" s="500"/>
      <c r="AL507" s="436"/>
      <c r="AM507" s="438"/>
      <c r="AN507" s="531"/>
      <c r="AO507" s="491"/>
      <c r="AP507" s="438"/>
      <c r="AQ507" s="438"/>
      <c r="AR507" s="438"/>
      <c r="AS507" s="438"/>
      <c r="AT507" s="438"/>
      <c r="AU507" s="438"/>
      <c r="AV507" s="438"/>
      <c r="AW507" s="450" t="str">
        <f>#REF!</f>
        <v>#REF!</v>
      </c>
    </row>
    <row r="508">
      <c r="A508" s="435" t="s">
        <v>714</v>
      </c>
      <c r="B508" s="436" t="s">
        <v>715</v>
      </c>
      <c r="C508" s="436"/>
      <c r="D508" s="436" t="s">
        <v>350</v>
      </c>
      <c r="E508" s="436"/>
      <c r="F508" s="436" t="s">
        <v>2486</v>
      </c>
      <c r="G508" s="437" t="s">
        <v>712</v>
      </c>
      <c r="H508" s="437" t="s">
        <v>702</v>
      </c>
      <c r="I508" s="437" t="s">
        <v>1999</v>
      </c>
      <c r="J508" s="437">
        <v>3700.0</v>
      </c>
      <c r="K508" s="438"/>
      <c r="L508" s="436" t="s">
        <v>716</v>
      </c>
      <c r="M508" s="439"/>
      <c r="N508" s="422">
        <v>11.298</v>
      </c>
      <c r="O508" s="422">
        <v>10.26</v>
      </c>
      <c r="P508" s="422">
        <v>13.18</v>
      </c>
      <c r="Q508" s="436" t="s">
        <v>1632</v>
      </c>
      <c r="R508" s="438"/>
      <c r="S508" s="436" t="s">
        <v>2000</v>
      </c>
      <c r="T508" s="436" t="s">
        <v>1632</v>
      </c>
      <c r="U508" s="436" t="s">
        <v>1633</v>
      </c>
      <c r="V508" s="440"/>
      <c r="W508" s="441">
        <v>0.5</v>
      </c>
      <c r="X508" s="438"/>
      <c r="Y508" s="442">
        <f>IF((W508/((J508/5780)^4))^0.5&gt;0,(W508/((J508/5780)^4))^0.5,"")</f>
        <v>1.725588473</v>
      </c>
      <c r="Z508" s="442"/>
      <c r="AA508" s="443"/>
      <c r="AB508" s="443"/>
      <c r="AC508" s="436" t="str">
        <f>IF(ISNUMBER(VLOOKUP(B508,'New Masses'!A:C,3,FALSE)),VLOOKUP(B508,'New Masses'!A:C,3,FALSE),"")</f>
        <v/>
      </c>
      <c r="AD508" s="440">
        <f>10^AE508</f>
        <v>0.0000000007413102413</v>
      </c>
      <c r="AE508" s="437">
        <v>-9.13</v>
      </c>
      <c r="AF508" s="438"/>
      <c r="AG508" s="445">
        <v>0.8</v>
      </c>
      <c r="AH508" s="438"/>
      <c r="AI508" s="446" t="str">
        <f>IF(ISNUMBER(VLOOKUP(B508,'New Masses'!A:C,2, FALSE)),VLOOKUP(B508,'New Masses'!A:C,2, FALSE),"")</f>
        <v/>
      </c>
      <c r="AJ508" s="438"/>
      <c r="AK508" s="437"/>
      <c r="AL508" s="447">
        <v>-2.07</v>
      </c>
      <c r="AM508" s="438"/>
      <c r="AN508" s="436">
        <v>3.0</v>
      </c>
      <c r="AO508" s="438"/>
      <c r="AP508" s="436"/>
      <c r="AQ508" s="436"/>
      <c r="AR508" s="438"/>
      <c r="AS508" s="438"/>
      <c r="AT508" s="438" t="s">
        <v>5920</v>
      </c>
      <c r="AU508" s="438" t="s">
        <v>705</v>
      </c>
      <c r="AV508" s="438"/>
      <c r="AW508" s="450">
        <v>400.914084111774</v>
      </c>
    </row>
    <row r="509">
      <c r="A509" s="435" t="str">
        <f t="shared" ref="A509:C509" si="438">#REF!</f>
        <v>#REF!</v>
      </c>
      <c r="B509" s="485" t="str">
        <f t="shared" si="438"/>
        <v>#REF!</v>
      </c>
      <c r="C509" s="486" t="str">
        <f t="shared" si="438"/>
        <v>#REF!</v>
      </c>
      <c r="D509" s="486"/>
      <c r="E509" s="486"/>
      <c r="F509" s="528"/>
      <c r="G509" s="486"/>
      <c r="H509" s="486" t="s">
        <v>5917</v>
      </c>
      <c r="I509" s="491"/>
      <c r="J509" s="491"/>
      <c r="K509" s="491"/>
      <c r="L509" s="491"/>
      <c r="M509" s="486"/>
      <c r="N509" s="422"/>
      <c r="O509" s="422"/>
      <c r="P509" s="422"/>
      <c r="Q509" s="486"/>
      <c r="R509" s="491"/>
      <c r="S509" s="491"/>
      <c r="T509" s="491"/>
      <c r="U509" s="491"/>
      <c r="V509" s="491"/>
      <c r="W509" s="493"/>
      <c r="X509" s="486"/>
      <c r="Y509" s="442"/>
      <c r="Z509" s="491"/>
      <c r="AA509" s="524" t="str">
        <f>#REF!</f>
        <v>#REF!</v>
      </c>
      <c r="AB509" s="494"/>
      <c r="AC509" s="436"/>
      <c r="AD509" s="495"/>
      <c r="AE509" s="491"/>
      <c r="AF509" s="491"/>
      <c r="AG509" s="525" t="str">
        <f>#REF!</f>
        <v>#REF!</v>
      </c>
      <c r="AH509" s="491"/>
      <c r="AI509" s="446"/>
      <c r="AJ509" s="491"/>
      <c r="AK509" s="500"/>
      <c r="AL509" s="436"/>
      <c r="AM509" s="438"/>
      <c r="AN509" s="531"/>
      <c r="AO509" s="491"/>
      <c r="AP509" s="438"/>
      <c r="AQ509" s="438"/>
      <c r="AR509" s="438"/>
      <c r="AS509" s="438"/>
      <c r="AT509" s="438"/>
      <c r="AU509" s="438"/>
      <c r="AV509" s="438"/>
      <c r="AW509" s="450" t="str">
        <f>#REF!</f>
        <v>#REF!</v>
      </c>
    </row>
    <row r="510">
      <c r="A510" s="435" t="s">
        <v>1742</v>
      </c>
      <c r="B510" s="436" t="s">
        <v>1743</v>
      </c>
      <c r="C510" s="436"/>
      <c r="D510" s="436" t="s">
        <v>350</v>
      </c>
      <c r="E510" s="436"/>
      <c r="F510" s="436" t="s">
        <v>2487</v>
      </c>
      <c r="G510" s="437" t="s">
        <v>169</v>
      </c>
      <c r="H510" s="437" t="s">
        <v>702</v>
      </c>
      <c r="I510" s="437" t="s">
        <v>1999</v>
      </c>
      <c r="J510" s="437">
        <v>3700.0</v>
      </c>
      <c r="K510" s="438"/>
      <c r="L510" s="436" t="s">
        <v>713</v>
      </c>
      <c r="M510" s="439"/>
      <c r="N510" s="422">
        <v>11.994</v>
      </c>
      <c r="O510" s="422">
        <v>10.734</v>
      </c>
      <c r="P510" s="422">
        <v>14.56</v>
      </c>
      <c r="Q510" s="436" t="s">
        <v>1632</v>
      </c>
      <c r="R510" s="438"/>
      <c r="S510" s="436" t="s">
        <v>2000</v>
      </c>
      <c r="T510" s="436" t="s">
        <v>1632</v>
      </c>
      <c r="U510" s="436" t="s">
        <v>1633</v>
      </c>
      <c r="V510" s="440"/>
      <c r="W510" s="441">
        <v>0.29</v>
      </c>
      <c r="X510" s="438"/>
      <c r="Y510" s="442">
        <f>IF((W510/((J510/5780)^4))^0.5&gt;0,(W510/((J510/5780)^4))^0.5,"")</f>
        <v>1.314169028</v>
      </c>
      <c r="Z510" s="442"/>
      <c r="AA510" s="443"/>
      <c r="AB510" s="443"/>
      <c r="AC510" s="436" t="str">
        <f>IF(ISNUMBER(VLOOKUP(B510,'New Masses'!A:C,3,FALSE)),VLOOKUP(B510,'New Masses'!A:C,3,FALSE),"")</f>
        <v/>
      </c>
      <c r="AD510" s="440">
        <f>10^AE510</f>
        <v>0.0000000002951209227</v>
      </c>
      <c r="AE510" s="437">
        <v>-9.53</v>
      </c>
      <c r="AF510" s="438"/>
      <c r="AG510" s="445">
        <v>0.7</v>
      </c>
      <c r="AH510" s="438"/>
      <c r="AI510" s="446" t="str">
        <f>IF(ISNUMBER(VLOOKUP(B510,'New Masses'!A:C,2, FALSE)),VLOOKUP(B510,'New Masses'!A:C,2, FALSE),"")</f>
        <v/>
      </c>
      <c r="AJ510" s="438"/>
      <c r="AK510" s="437"/>
      <c r="AL510" s="447">
        <v>-2.41</v>
      </c>
      <c r="AM510" s="438"/>
      <c r="AN510" s="436">
        <v>3.0</v>
      </c>
      <c r="AO510" s="438"/>
      <c r="AP510" s="436"/>
      <c r="AQ510" s="436"/>
      <c r="AR510" s="438"/>
      <c r="AS510" s="438"/>
      <c r="AT510" s="438" t="s">
        <v>5916</v>
      </c>
      <c r="AU510" s="438" t="s">
        <v>705</v>
      </c>
      <c r="AV510" s="438"/>
      <c r="AW510" s="450">
        <v>410.694484373074</v>
      </c>
    </row>
    <row r="511">
      <c r="A511" s="435" t="str">
        <f t="shared" ref="A511:C511" si="439">#REF!</f>
        <v>#REF!</v>
      </c>
      <c r="B511" s="485" t="str">
        <f t="shared" si="439"/>
        <v>#REF!</v>
      </c>
      <c r="C511" s="486" t="str">
        <f t="shared" si="439"/>
        <v>#REF!</v>
      </c>
      <c r="D511" s="486"/>
      <c r="E511" s="486"/>
      <c r="F511" s="528"/>
      <c r="G511" s="486"/>
      <c r="H511" s="486" t="s">
        <v>5917</v>
      </c>
      <c r="I511" s="491"/>
      <c r="J511" s="491"/>
      <c r="K511" s="491"/>
      <c r="L511" s="491"/>
      <c r="M511" s="486"/>
      <c r="N511" s="422"/>
      <c r="O511" s="422"/>
      <c r="P511" s="422"/>
      <c r="Q511" s="486"/>
      <c r="R511" s="491"/>
      <c r="S511" s="491"/>
      <c r="T511" s="491"/>
      <c r="U511" s="491"/>
      <c r="V511" s="491"/>
      <c r="W511" s="493"/>
      <c r="X511" s="486"/>
      <c r="Y511" s="442"/>
      <c r="Z511" s="491"/>
      <c r="AA511" s="524" t="str">
        <f>#REF!</f>
        <v>#REF!</v>
      </c>
      <c r="AB511" s="494"/>
      <c r="AC511" s="436"/>
      <c r="AD511" s="495"/>
      <c r="AE511" s="491"/>
      <c r="AF511" s="491"/>
      <c r="AG511" s="525" t="str">
        <f>#REF!</f>
        <v>#REF!</v>
      </c>
      <c r="AH511" s="491"/>
      <c r="AI511" s="446"/>
      <c r="AJ511" s="491"/>
      <c r="AK511" s="500"/>
      <c r="AL511" s="436"/>
      <c r="AM511" s="438"/>
      <c r="AN511" s="531"/>
      <c r="AO511" s="491"/>
      <c r="AP511" s="438"/>
      <c r="AQ511" s="438"/>
      <c r="AR511" s="438"/>
      <c r="AS511" s="438"/>
      <c r="AT511" s="438"/>
      <c r="AU511" s="438"/>
      <c r="AV511" s="438"/>
      <c r="AW511" s="450" t="str">
        <f>#REF!</f>
        <v>#REF!</v>
      </c>
    </row>
    <row r="512">
      <c r="A512" s="435" t="s">
        <v>1746</v>
      </c>
      <c r="B512" s="436" t="s">
        <v>1747</v>
      </c>
      <c r="C512" s="436"/>
      <c r="D512" s="436" t="s">
        <v>350</v>
      </c>
      <c r="E512" s="436"/>
      <c r="F512" s="436" t="s">
        <v>2488</v>
      </c>
      <c r="G512" s="437" t="s">
        <v>169</v>
      </c>
      <c r="H512" s="437" t="s">
        <v>702</v>
      </c>
      <c r="I512" s="437" t="s">
        <v>1999</v>
      </c>
      <c r="J512" s="437">
        <v>3800.0</v>
      </c>
      <c r="K512" s="438"/>
      <c r="L512" s="436" t="s">
        <v>1748</v>
      </c>
      <c r="M512" s="439"/>
      <c r="N512" s="422">
        <v>11.4</v>
      </c>
      <c r="O512" s="422">
        <v>10.34</v>
      </c>
      <c r="P512" s="422">
        <v>13.49</v>
      </c>
      <c r="Q512" s="436" t="s">
        <v>1632</v>
      </c>
      <c r="R512" s="438"/>
      <c r="S512" s="436" t="s">
        <v>2000</v>
      </c>
      <c r="T512" s="436" t="s">
        <v>1632</v>
      </c>
      <c r="U512" s="436" t="s">
        <v>1633</v>
      </c>
      <c r="V512" s="440"/>
      <c r="W512" s="441">
        <v>0.53</v>
      </c>
      <c r="X512" s="438"/>
      <c r="Y512" s="442">
        <f>IF((W512/((J512/5780)^4))^0.5&gt;0,(W512/((J512/5780)^4))^0.5,"")</f>
        <v>1.684327031</v>
      </c>
      <c r="Z512" s="442"/>
      <c r="AA512" s="443"/>
      <c r="AB512" s="443"/>
      <c r="AC512" s="436" t="str">
        <f>IF(ISNUMBER(VLOOKUP(B512,'New Masses'!A:C,3,FALSE)),VLOOKUP(B512,'New Masses'!A:C,3,FALSE),"")</f>
        <v/>
      </c>
      <c r="AD512" s="440">
        <f>10^AE512</f>
        <v>0.0000000005754399373</v>
      </c>
      <c r="AE512" s="437">
        <v>-9.24</v>
      </c>
      <c r="AF512" s="438"/>
      <c r="AG512" s="445">
        <v>0.9</v>
      </c>
      <c r="AH512" s="438"/>
      <c r="AI512" s="446" t="str">
        <f>IF(ISNUMBER(VLOOKUP(B512,'New Masses'!A:C,2, FALSE)),VLOOKUP(B512,'New Masses'!A:C,2, FALSE),"")</f>
        <v/>
      </c>
      <c r="AJ512" s="438"/>
      <c r="AK512" s="437"/>
      <c r="AL512" s="447">
        <v>-2.12</v>
      </c>
      <c r="AM512" s="438"/>
      <c r="AN512" s="436">
        <v>3.0</v>
      </c>
      <c r="AO512" s="438"/>
      <c r="AP512" s="436"/>
      <c r="AQ512" s="436"/>
      <c r="AR512" s="438"/>
      <c r="AS512" s="438"/>
      <c r="AT512" s="438" t="s">
        <v>5916</v>
      </c>
      <c r="AU512" s="438" t="s">
        <v>705</v>
      </c>
      <c r="AV512" s="438"/>
      <c r="AW512" s="450">
        <v>402.252614641995</v>
      </c>
    </row>
    <row r="513">
      <c r="A513" s="435" t="str">
        <f t="shared" ref="A513:C513" si="440">#REF!</f>
        <v>#REF!</v>
      </c>
      <c r="B513" s="485" t="str">
        <f t="shared" si="440"/>
        <v>#REF!</v>
      </c>
      <c r="C513" s="486" t="str">
        <f t="shared" si="440"/>
        <v>#REF!</v>
      </c>
      <c r="D513" s="486"/>
      <c r="E513" s="486"/>
      <c r="F513" s="528"/>
      <c r="G513" s="486"/>
      <c r="H513" s="486" t="s">
        <v>5917</v>
      </c>
      <c r="I513" s="491"/>
      <c r="J513" s="491"/>
      <c r="K513" s="491"/>
      <c r="L513" s="491"/>
      <c r="M513" s="486"/>
      <c r="N513" s="422"/>
      <c r="O513" s="422"/>
      <c r="P513" s="422"/>
      <c r="Q513" s="486"/>
      <c r="R513" s="491"/>
      <c r="S513" s="491"/>
      <c r="T513" s="491"/>
      <c r="U513" s="491"/>
      <c r="V513" s="491"/>
      <c r="W513" s="493"/>
      <c r="X513" s="486"/>
      <c r="Y513" s="442"/>
      <c r="Z513" s="491"/>
      <c r="AA513" s="524" t="str">
        <f>#REF!</f>
        <v>#REF!</v>
      </c>
      <c r="AB513" s="494"/>
      <c r="AC513" s="436"/>
      <c r="AD513" s="495"/>
      <c r="AE513" s="491"/>
      <c r="AF513" s="491"/>
      <c r="AG513" s="525" t="str">
        <f>#REF!</f>
        <v>#REF!</v>
      </c>
      <c r="AH513" s="491"/>
      <c r="AI513" s="446"/>
      <c r="AJ513" s="491"/>
      <c r="AK513" s="500"/>
      <c r="AL513" s="436"/>
      <c r="AM513" s="438"/>
      <c r="AN513" s="531"/>
      <c r="AO513" s="491"/>
      <c r="AP513" s="438"/>
      <c r="AQ513" s="438"/>
      <c r="AR513" s="438"/>
      <c r="AS513" s="438"/>
      <c r="AT513" s="438"/>
      <c r="AU513" s="438"/>
      <c r="AV513" s="438"/>
      <c r="AW513" s="450" t="str">
        <f>#REF!</f>
        <v>#REF!</v>
      </c>
    </row>
    <row r="514">
      <c r="A514" s="435" t="s">
        <v>416</v>
      </c>
      <c r="B514" s="436" t="s">
        <v>417</v>
      </c>
      <c r="C514" s="436"/>
      <c r="D514" s="436" t="s">
        <v>350</v>
      </c>
      <c r="E514" s="436"/>
      <c r="F514" s="436" t="s">
        <v>2490</v>
      </c>
      <c r="G514" s="437" t="s">
        <v>169</v>
      </c>
      <c r="H514" s="437" t="s">
        <v>702</v>
      </c>
      <c r="I514" s="437" t="s">
        <v>1999</v>
      </c>
      <c r="J514" s="437">
        <v>3400.0</v>
      </c>
      <c r="K514" s="438"/>
      <c r="L514" s="436"/>
      <c r="M514" s="439"/>
      <c r="N514" s="422">
        <v>12.825</v>
      </c>
      <c r="O514" s="422">
        <v>11.59</v>
      </c>
      <c r="P514" s="422">
        <v>15.84</v>
      </c>
      <c r="Q514" s="436" t="s">
        <v>1632</v>
      </c>
      <c r="R514" s="438"/>
      <c r="S514" s="436" t="s">
        <v>2000</v>
      </c>
      <c r="T514" s="436" t="s">
        <v>1632</v>
      </c>
      <c r="U514" s="436" t="s">
        <v>1633</v>
      </c>
      <c r="V514" s="451"/>
      <c r="W514" s="441">
        <v>0.13</v>
      </c>
      <c r="X514" s="438"/>
      <c r="Y514" s="442">
        <f t="shared" ref="Y514:Y515" si="441">IF((W514/((J514/5780)^4))^0.5&gt;0,(W514/((J514/5780)^4))^0.5,"")</f>
        <v>1.042004319</v>
      </c>
      <c r="Z514" s="442"/>
      <c r="AA514" s="443"/>
      <c r="AB514" s="443"/>
      <c r="AC514" s="436" t="str">
        <f>IF(ISNUMBER(VLOOKUP(B514,'New Masses'!A:C,3,FALSE)),VLOOKUP(B514,'New Masses'!A:C,3,FALSE),"")</f>
        <v/>
      </c>
      <c r="AD514" s="440">
        <f t="shared" ref="AD514:AD515" si="442">10^AE514</f>
        <v>0.000000002511886432</v>
      </c>
      <c r="AE514" s="437">
        <v>-8.6</v>
      </c>
      <c r="AF514" s="438"/>
      <c r="AG514" s="445">
        <v>0.35</v>
      </c>
      <c r="AH514" s="438"/>
      <c r="AI514" s="446" t="str">
        <f>IF(ISNUMBER(VLOOKUP(B514,'New Masses'!A:C,2, FALSE)),VLOOKUP(B514,'New Masses'!A:C,2, FALSE),"")</f>
        <v/>
      </c>
      <c r="AJ514" s="438"/>
      <c r="AK514" s="437"/>
      <c r="AL514" s="447">
        <v>-1.68</v>
      </c>
      <c r="AM514" s="438"/>
      <c r="AN514" s="436">
        <v>3.0</v>
      </c>
      <c r="AO514" s="438"/>
      <c r="AP514" s="438"/>
      <c r="AQ514" s="436"/>
      <c r="AR514" s="438"/>
      <c r="AS514" s="438"/>
      <c r="AT514" s="438"/>
      <c r="AU514" s="438"/>
      <c r="AV514" s="438"/>
      <c r="AW514" s="450">
        <v>387.672029463074</v>
      </c>
    </row>
    <row r="515">
      <c r="A515" s="435" t="s">
        <v>416</v>
      </c>
      <c r="B515" s="436" t="s">
        <v>417</v>
      </c>
      <c r="C515" s="436"/>
      <c r="D515" s="436" t="s">
        <v>350</v>
      </c>
      <c r="E515" s="436"/>
      <c r="F515" s="436" t="s">
        <v>2489</v>
      </c>
      <c r="G515" s="436" t="s">
        <v>169</v>
      </c>
      <c r="H515" s="436" t="s">
        <v>352</v>
      </c>
      <c r="I515" s="436" t="s">
        <v>2223</v>
      </c>
      <c r="J515" s="436">
        <v>3270.0</v>
      </c>
      <c r="K515" s="436"/>
      <c r="L515" s="436" t="s">
        <v>395</v>
      </c>
      <c r="M515" s="439"/>
      <c r="N515" s="422">
        <v>12.825</v>
      </c>
      <c r="O515" s="422">
        <v>11.59</v>
      </c>
      <c r="P515" s="422">
        <v>15.84</v>
      </c>
      <c r="Q515" s="436" t="s">
        <v>2224</v>
      </c>
      <c r="R515" s="436" t="s">
        <v>2225</v>
      </c>
      <c r="S515" s="436" t="s">
        <v>2191</v>
      </c>
      <c r="T515" s="436" t="s">
        <v>293</v>
      </c>
      <c r="U515" s="436" t="s">
        <v>294</v>
      </c>
      <c r="V515" s="440"/>
      <c r="W515" s="474">
        <v>0.13</v>
      </c>
      <c r="X515" s="436"/>
      <c r="Y515" s="442">
        <f t="shared" si="441"/>
        <v>1.12650169</v>
      </c>
      <c r="Z515" s="469"/>
      <c r="AA515" s="470">
        <v>1.12</v>
      </c>
      <c r="AB515" s="470"/>
      <c r="AC515" s="436" t="str">
        <f>IF(ISNUMBER(VLOOKUP(B515,'New Masses'!A:C,3,FALSE)),VLOOKUP(B515,'New Masses'!A:C,3,FALSE),"")</f>
        <v/>
      </c>
      <c r="AD515" s="440">
        <f t="shared" si="442"/>
        <v>0.000000001071519305</v>
      </c>
      <c r="AE515" s="436">
        <v>-8.97</v>
      </c>
      <c r="AF515" s="438"/>
      <c r="AG515" s="459">
        <v>0.26</v>
      </c>
      <c r="AH515" s="436"/>
      <c r="AI515" s="446" t="str">
        <f>IF(ISNUMBER(VLOOKUP(B515,'New Masses'!A:C,2, FALSE)),VLOOKUP(B515,'New Masses'!A:C,2, FALSE),"")</f>
        <v/>
      </c>
      <c r="AJ515" s="436"/>
      <c r="AK515" s="436"/>
      <c r="AL515" s="419">
        <v>-2.0</v>
      </c>
      <c r="AM515" s="466">
        <v>43864.0</v>
      </c>
      <c r="AN515" s="436">
        <v>3.0</v>
      </c>
      <c r="AO515" s="438"/>
      <c r="AP515" s="438"/>
      <c r="AQ515" s="438"/>
      <c r="AR515" s="438"/>
      <c r="AS515" s="438"/>
      <c r="AT515" s="438"/>
      <c r="AU515" s="438"/>
      <c r="AV515" s="438"/>
      <c r="AW515" s="450">
        <v>387.672029463074</v>
      </c>
    </row>
    <row r="516">
      <c r="A516" s="435" t="str">
        <f t="shared" ref="A516:C516" si="443">#REF!</f>
        <v>#REF!</v>
      </c>
      <c r="B516" s="485" t="str">
        <f t="shared" si="443"/>
        <v>#REF!</v>
      </c>
      <c r="C516" s="486" t="str">
        <f t="shared" si="443"/>
        <v>#REF!</v>
      </c>
      <c r="D516" s="486"/>
      <c r="E516" s="486"/>
      <c r="F516" s="528"/>
      <c r="G516" s="486"/>
      <c r="H516" s="486" t="s">
        <v>5917</v>
      </c>
      <c r="I516" s="491"/>
      <c r="J516" s="491"/>
      <c r="K516" s="491"/>
      <c r="L516" s="491"/>
      <c r="M516" s="486"/>
      <c r="N516" s="422"/>
      <c r="O516" s="422"/>
      <c r="P516" s="422"/>
      <c r="Q516" s="486"/>
      <c r="R516" s="491"/>
      <c r="S516" s="491"/>
      <c r="T516" s="491"/>
      <c r="U516" s="491"/>
      <c r="V516" s="491"/>
      <c r="W516" s="493"/>
      <c r="X516" s="486"/>
      <c r="Y516" s="442"/>
      <c r="Z516" s="491"/>
      <c r="AA516" s="524" t="str">
        <f t="shared" ref="AA516:AA517" si="445">#REF!</f>
        <v>#REF!</v>
      </c>
      <c r="AB516" s="494"/>
      <c r="AC516" s="436"/>
      <c r="AD516" s="495"/>
      <c r="AE516" s="491"/>
      <c r="AF516" s="491"/>
      <c r="AG516" s="525" t="str">
        <f t="shared" ref="AG516:AG517" si="446">#REF!</f>
        <v>#REF!</v>
      </c>
      <c r="AH516" s="491"/>
      <c r="AI516" s="446"/>
      <c r="AJ516" s="491"/>
      <c r="AK516" s="500"/>
      <c r="AL516" s="436"/>
      <c r="AM516" s="438"/>
      <c r="AN516" s="531"/>
      <c r="AO516" s="491"/>
      <c r="AP516" s="438"/>
      <c r="AQ516" s="438"/>
      <c r="AR516" s="438"/>
      <c r="AS516" s="438"/>
      <c r="AT516" s="438"/>
      <c r="AU516" s="438"/>
      <c r="AV516" s="438"/>
      <c r="AW516" s="450" t="str">
        <f t="shared" ref="AW516:AW517" si="447">#REF!</f>
        <v>#REF!</v>
      </c>
    </row>
    <row r="517">
      <c r="A517" s="435" t="str">
        <f t="shared" ref="A517:C517" si="444">#REF!</f>
        <v>#REF!</v>
      </c>
      <c r="B517" s="485" t="str">
        <f t="shared" si="444"/>
        <v>#REF!</v>
      </c>
      <c r="C517" s="486" t="str">
        <f t="shared" si="444"/>
        <v>#REF!</v>
      </c>
      <c r="D517" s="486"/>
      <c r="E517" s="486"/>
      <c r="F517" s="528"/>
      <c r="G517" s="486"/>
      <c r="H517" s="486" t="s">
        <v>5917</v>
      </c>
      <c r="I517" s="491"/>
      <c r="J517" s="491"/>
      <c r="K517" s="491"/>
      <c r="L517" s="491"/>
      <c r="M517" s="486"/>
      <c r="N517" s="422"/>
      <c r="O517" s="422"/>
      <c r="P517" s="422"/>
      <c r="Q517" s="486"/>
      <c r="R517" s="491"/>
      <c r="S517" s="491"/>
      <c r="T517" s="491"/>
      <c r="U517" s="491"/>
      <c r="V517" s="491"/>
      <c r="W517" s="493"/>
      <c r="X517" s="486"/>
      <c r="Y517" s="442"/>
      <c r="Z517" s="491"/>
      <c r="AA517" s="524" t="str">
        <f t="shared" si="445"/>
        <v>#REF!</v>
      </c>
      <c r="AB517" s="494"/>
      <c r="AC517" s="436"/>
      <c r="AD517" s="495"/>
      <c r="AE517" s="491"/>
      <c r="AF517" s="491"/>
      <c r="AG517" s="525" t="str">
        <f t="shared" si="446"/>
        <v>#REF!</v>
      </c>
      <c r="AH517" s="491"/>
      <c r="AI517" s="446"/>
      <c r="AJ517" s="491"/>
      <c r="AK517" s="500"/>
      <c r="AL517" s="436"/>
      <c r="AM517" s="438"/>
      <c r="AN517" s="531"/>
      <c r="AO517" s="491"/>
      <c r="AP517" s="438"/>
      <c r="AQ517" s="438"/>
      <c r="AR517" s="438"/>
      <c r="AS517" s="438"/>
      <c r="AT517" s="438"/>
      <c r="AU517" s="438"/>
      <c r="AV517" s="438"/>
      <c r="AW517" s="450" t="str">
        <f t="shared" si="447"/>
        <v>#REF!</v>
      </c>
    </row>
    <row r="518">
      <c r="A518" s="435" t="s">
        <v>1739</v>
      </c>
      <c r="B518" s="436" t="s">
        <v>1740</v>
      </c>
      <c r="C518" s="436"/>
      <c r="D518" s="436" t="s">
        <v>350</v>
      </c>
      <c r="E518" s="436"/>
      <c r="F518" s="436" t="s">
        <v>2491</v>
      </c>
      <c r="G518" s="437" t="s">
        <v>169</v>
      </c>
      <c r="H518" s="437" t="s">
        <v>702</v>
      </c>
      <c r="I518" s="437" t="s">
        <v>1999</v>
      </c>
      <c r="J518" s="437">
        <v>3600.0</v>
      </c>
      <c r="K518" s="438"/>
      <c r="L518" s="436" t="s">
        <v>453</v>
      </c>
      <c r="M518" s="439"/>
      <c r="N518" s="422">
        <v>11.054</v>
      </c>
      <c r="O518" s="422">
        <v>9.832</v>
      </c>
      <c r="P518" s="422">
        <v>13.51</v>
      </c>
      <c r="Q518" s="436" t="s">
        <v>1632</v>
      </c>
      <c r="R518" s="438"/>
      <c r="S518" s="436" t="s">
        <v>2000</v>
      </c>
      <c r="T518" s="436" t="s">
        <v>1632</v>
      </c>
      <c r="U518" s="436" t="s">
        <v>1633</v>
      </c>
      <c r="V518" s="440"/>
      <c r="W518" s="441">
        <v>0.64</v>
      </c>
      <c r="X518" s="438"/>
      <c r="Y518" s="442">
        <f>IF((W518/((J518/5780)^4))^0.5&gt;0,(W518/((J518/5780)^4))^0.5,"")</f>
        <v>2.062246914</v>
      </c>
      <c r="Z518" s="442"/>
      <c r="AA518" s="443"/>
      <c r="AB518" s="443"/>
      <c r="AC518" s="436" t="str">
        <f>IF(ISNUMBER(VLOOKUP(B518,'New Masses'!A:C,3,FALSE)),VLOOKUP(B518,'New Masses'!A:C,3,FALSE),"")</f>
        <v/>
      </c>
      <c r="AD518" s="440">
        <f>10^AE518</f>
        <v>0.0000000008511380382</v>
      </c>
      <c r="AE518" s="437">
        <v>-9.07</v>
      </c>
      <c r="AF518" s="438"/>
      <c r="AG518" s="445">
        <v>0.7</v>
      </c>
      <c r="AH518" s="438"/>
      <c r="AI518" s="446" t="str">
        <f>IF(ISNUMBER(VLOOKUP(B518,'New Masses'!A:C,2, FALSE)),VLOOKUP(B518,'New Masses'!A:C,2, FALSE),"")</f>
        <v/>
      </c>
      <c r="AJ518" s="438"/>
      <c r="AK518" s="437"/>
      <c r="AL518" s="447">
        <v>-2.15</v>
      </c>
      <c r="AM518" s="438"/>
      <c r="AN518" s="436">
        <v>3.0</v>
      </c>
      <c r="AO518" s="438"/>
      <c r="AP518" s="436"/>
      <c r="AQ518" s="436"/>
      <c r="AR518" s="438"/>
      <c r="AS518" s="438"/>
      <c r="AT518" s="438" t="s">
        <v>5920</v>
      </c>
      <c r="AU518" s="438" t="s">
        <v>705</v>
      </c>
      <c r="AV518" s="438"/>
      <c r="AW518" s="450">
        <v>406.752084604433</v>
      </c>
    </row>
    <row r="519">
      <c r="A519" s="435" t="str">
        <f t="shared" ref="A519:C519" si="448">#REF!</f>
        <v>#REF!</v>
      </c>
      <c r="B519" s="485" t="str">
        <f t="shared" si="448"/>
        <v>#REF!</v>
      </c>
      <c r="C519" s="486" t="str">
        <f t="shared" si="448"/>
        <v>#REF!</v>
      </c>
      <c r="D519" s="486"/>
      <c r="E519" s="486"/>
      <c r="F519" s="528"/>
      <c r="G519" s="486"/>
      <c r="H519" s="486" t="s">
        <v>5917</v>
      </c>
      <c r="I519" s="491"/>
      <c r="J519" s="491"/>
      <c r="K519" s="491"/>
      <c r="L519" s="491"/>
      <c r="M519" s="486"/>
      <c r="N519" s="422"/>
      <c r="O519" s="422"/>
      <c r="P519" s="422"/>
      <c r="Q519" s="486"/>
      <c r="R519" s="491"/>
      <c r="S519" s="491"/>
      <c r="T519" s="491"/>
      <c r="U519" s="491"/>
      <c r="V519" s="491"/>
      <c r="W519" s="493"/>
      <c r="X519" s="486"/>
      <c r="Y519" s="442"/>
      <c r="Z519" s="491"/>
      <c r="AA519" s="524" t="str">
        <f>#REF!</f>
        <v>#REF!</v>
      </c>
      <c r="AB519" s="494"/>
      <c r="AC519" s="436"/>
      <c r="AD519" s="495"/>
      <c r="AE519" s="491"/>
      <c r="AF519" s="491"/>
      <c r="AG519" s="525" t="str">
        <f>#REF!</f>
        <v>#REF!</v>
      </c>
      <c r="AH519" s="491"/>
      <c r="AI519" s="446"/>
      <c r="AJ519" s="491"/>
      <c r="AK519" s="500"/>
      <c r="AL519" s="436"/>
      <c r="AM519" s="438"/>
      <c r="AN519" s="531"/>
      <c r="AO519" s="491"/>
      <c r="AP519" s="438"/>
      <c r="AQ519" s="438"/>
      <c r="AR519" s="438"/>
      <c r="AS519" s="438"/>
      <c r="AT519" s="438"/>
      <c r="AU519" s="438"/>
      <c r="AV519" s="438"/>
      <c r="AW519" s="450" t="str">
        <f>#REF!</f>
        <v>#REF!</v>
      </c>
    </row>
    <row r="520">
      <c r="A520" s="435" t="s">
        <v>1705</v>
      </c>
      <c r="B520" s="436" t="s">
        <v>1706</v>
      </c>
      <c r="C520" s="436"/>
      <c r="D520" s="436" t="s">
        <v>350</v>
      </c>
      <c r="E520" s="436"/>
      <c r="F520" s="436" t="s">
        <v>2492</v>
      </c>
      <c r="G520" s="437" t="s">
        <v>169</v>
      </c>
      <c r="H520" s="437" t="s">
        <v>702</v>
      </c>
      <c r="I520" s="437" t="s">
        <v>1999</v>
      </c>
      <c r="J520" s="437">
        <v>3300.0</v>
      </c>
      <c r="K520" s="438"/>
      <c r="L520" s="436" t="s">
        <v>402</v>
      </c>
      <c r="M520" s="439"/>
      <c r="N520" s="422">
        <v>12.339</v>
      </c>
      <c r="O520" s="422">
        <v>11.254</v>
      </c>
      <c r="P520" s="422">
        <v>15.46</v>
      </c>
      <c r="Q520" s="436" t="s">
        <v>1632</v>
      </c>
      <c r="R520" s="438"/>
      <c r="S520" s="436" t="s">
        <v>2000</v>
      </c>
      <c r="T520" s="436" t="s">
        <v>1632</v>
      </c>
      <c r="U520" s="436" t="s">
        <v>1633</v>
      </c>
      <c r="V520" s="440"/>
      <c r="W520" s="441">
        <v>0.2</v>
      </c>
      <c r="X520" s="438"/>
      <c r="Y520" s="442">
        <f>IF((W520/((J520/5780)^4))^0.5&gt;0,(W520/((J520/5780)^4))^0.5,"")</f>
        <v>1.37196425</v>
      </c>
      <c r="Z520" s="442"/>
      <c r="AA520" s="443"/>
      <c r="AB520" s="443"/>
      <c r="AC520" s="436" t="str">
        <f>IF(ISNUMBER(VLOOKUP(B520,'New Masses'!A:C,3,FALSE)),VLOOKUP(B520,'New Masses'!A:C,3,FALSE),"")</f>
        <v/>
      </c>
      <c r="AD520" s="440">
        <f>10^AE520</f>
        <v>0.0000000004073802778</v>
      </c>
      <c r="AE520" s="437">
        <v>-9.39</v>
      </c>
      <c r="AF520" s="438"/>
      <c r="AG520" s="445">
        <v>0.3</v>
      </c>
      <c r="AH520" s="438"/>
      <c r="AI520" s="446" t="str">
        <f>IF(ISNUMBER(VLOOKUP(B520,'New Masses'!A:C,2, FALSE)),VLOOKUP(B520,'New Masses'!A:C,2, FALSE),"")</f>
        <v/>
      </c>
      <c r="AJ520" s="438"/>
      <c r="AK520" s="437"/>
      <c r="AL520" s="447">
        <v>-2.66</v>
      </c>
      <c r="AM520" s="438"/>
      <c r="AN520" s="436">
        <v>3.0</v>
      </c>
      <c r="AO520" s="438"/>
      <c r="AP520" s="438"/>
      <c r="AQ520" s="436"/>
      <c r="AR520" s="438"/>
      <c r="AS520" s="438"/>
      <c r="AT520" s="438"/>
      <c r="AU520" s="438" t="s">
        <v>705</v>
      </c>
      <c r="AV520" s="438"/>
      <c r="AW520" s="450">
        <v>372.661548781396</v>
      </c>
    </row>
    <row r="521">
      <c r="A521" s="435" t="str">
        <f t="shared" ref="A521:C521" si="449">#REF!</f>
        <v>#REF!</v>
      </c>
      <c r="B521" s="485" t="str">
        <f t="shared" si="449"/>
        <v>#REF!</v>
      </c>
      <c r="C521" s="486" t="str">
        <f t="shared" si="449"/>
        <v>#REF!</v>
      </c>
      <c r="D521" s="486"/>
      <c r="E521" s="486"/>
      <c r="F521" s="528"/>
      <c r="G521" s="486"/>
      <c r="H521" s="486" t="s">
        <v>5917</v>
      </c>
      <c r="I521" s="491"/>
      <c r="J521" s="491"/>
      <c r="K521" s="491"/>
      <c r="L521" s="491"/>
      <c r="M521" s="486"/>
      <c r="N521" s="422"/>
      <c r="O521" s="422"/>
      <c r="P521" s="422"/>
      <c r="Q521" s="486"/>
      <c r="R521" s="491"/>
      <c r="S521" s="491"/>
      <c r="T521" s="491"/>
      <c r="U521" s="491"/>
      <c r="V521" s="491"/>
      <c r="W521" s="493"/>
      <c r="X521" s="486"/>
      <c r="Y521" s="442"/>
      <c r="Z521" s="491"/>
      <c r="AA521" s="524" t="str">
        <f>#REF!</f>
        <v>#REF!</v>
      </c>
      <c r="AB521" s="494"/>
      <c r="AC521" s="436"/>
      <c r="AD521" s="495"/>
      <c r="AE521" s="491"/>
      <c r="AF521" s="491"/>
      <c r="AG521" s="525" t="str">
        <f>#REF!</f>
        <v>#REF!</v>
      </c>
      <c r="AH521" s="491"/>
      <c r="AI521" s="446"/>
      <c r="AJ521" s="491"/>
      <c r="AK521" s="500"/>
      <c r="AL521" s="436"/>
      <c r="AM521" s="438"/>
      <c r="AN521" s="531"/>
      <c r="AO521" s="491"/>
      <c r="AP521" s="438"/>
      <c r="AQ521" s="438"/>
      <c r="AR521" s="438"/>
      <c r="AS521" s="438"/>
      <c r="AT521" s="438"/>
      <c r="AU521" s="438"/>
      <c r="AV521" s="438"/>
      <c r="AW521" s="450" t="str">
        <f>#REF!</f>
        <v>#REF!</v>
      </c>
    </row>
    <row r="522">
      <c r="A522" s="435" t="s">
        <v>2001</v>
      </c>
      <c r="B522" s="436" t="s">
        <v>2002</v>
      </c>
      <c r="C522" s="436"/>
      <c r="D522" s="436" t="s">
        <v>350</v>
      </c>
      <c r="E522" s="436"/>
      <c r="F522" s="436" t="s">
        <v>2493</v>
      </c>
      <c r="G522" s="437" t="s">
        <v>169</v>
      </c>
      <c r="H522" s="437" t="s">
        <v>702</v>
      </c>
      <c r="I522" s="437" t="s">
        <v>1999</v>
      </c>
      <c r="J522" s="437">
        <v>4000.0</v>
      </c>
      <c r="K522" s="438"/>
      <c r="L522" s="436" t="s">
        <v>716</v>
      </c>
      <c r="M522" s="439"/>
      <c r="N522" s="422">
        <v>11.697</v>
      </c>
      <c r="O522" s="422">
        <v>10.759</v>
      </c>
      <c r="P522" s="422">
        <v>13.2</v>
      </c>
      <c r="Q522" s="436" t="s">
        <v>1632</v>
      </c>
      <c r="R522" s="438"/>
      <c r="S522" s="436" t="s">
        <v>2000</v>
      </c>
      <c r="T522" s="436" t="s">
        <v>1632</v>
      </c>
      <c r="U522" s="436" t="s">
        <v>1633</v>
      </c>
      <c r="V522" s="440"/>
      <c r="W522" s="441">
        <v>0.43</v>
      </c>
      <c r="X522" s="438"/>
      <c r="Y522" s="442">
        <f>IF((W522/((J522/5780)^4))^0.5&gt;0,(W522/((J522/5780)^4))^0.5,"")</f>
        <v>1.369209557</v>
      </c>
      <c r="Z522" s="442"/>
      <c r="AA522" s="443"/>
      <c r="AB522" s="443"/>
      <c r="AC522" s="436" t="str">
        <f>IF(ISNUMBER(VLOOKUP(B522,'New Masses'!A:C,3,FALSE)),VLOOKUP(B522,'New Masses'!A:C,3,FALSE),"")</f>
        <v/>
      </c>
      <c r="AD522" s="440"/>
      <c r="AE522" s="437"/>
      <c r="AF522" s="438"/>
      <c r="AG522" s="445">
        <v>1.0</v>
      </c>
      <c r="AH522" s="438"/>
      <c r="AI522" s="446" t="str">
        <f>IF(ISNUMBER(VLOOKUP(B522,'New Masses'!A:C,2, FALSE)),VLOOKUP(B522,'New Masses'!A:C,2, FALSE),"")</f>
        <v/>
      </c>
      <c r="AJ522" s="438"/>
      <c r="AK522" s="437"/>
      <c r="AL522" s="447"/>
      <c r="AM522" s="438"/>
      <c r="AN522" s="436">
        <v>3.0</v>
      </c>
      <c r="AO522" s="438"/>
      <c r="AP522" s="438"/>
      <c r="AQ522" s="436"/>
      <c r="AR522" s="438"/>
      <c r="AS522" s="438"/>
      <c r="AT522" s="438"/>
      <c r="AU522" s="438" t="s">
        <v>705</v>
      </c>
      <c r="AV522" s="438"/>
      <c r="AW522" s="450">
        <v>414.593698175787</v>
      </c>
    </row>
    <row r="523">
      <c r="A523" s="435" t="str">
        <f t="shared" ref="A523:C523" si="450">#REF!</f>
        <v>#REF!</v>
      </c>
      <c r="B523" s="485" t="str">
        <f t="shared" si="450"/>
        <v>#REF!</v>
      </c>
      <c r="C523" s="486" t="str">
        <f t="shared" si="450"/>
        <v>#REF!</v>
      </c>
      <c r="D523" s="486"/>
      <c r="E523" s="486"/>
      <c r="F523" s="528"/>
      <c r="G523" s="486"/>
      <c r="H523" s="486" t="s">
        <v>5917</v>
      </c>
      <c r="I523" s="491"/>
      <c r="J523" s="491"/>
      <c r="K523" s="491"/>
      <c r="L523" s="491"/>
      <c r="M523" s="486"/>
      <c r="N523" s="422"/>
      <c r="O523" s="422"/>
      <c r="P523" s="422"/>
      <c r="Q523" s="486"/>
      <c r="R523" s="491"/>
      <c r="S523" s="491"/>
      <c r="T523" s="491"/>
      <c r="U523" s="491"/>
      <c r="V523" s="491"/>
      <c r="W523" s="493"/>
      <c r="X523" s="486"/>
      <c r="Y523" s="442"/>
      <c r="Z523" s="491"/>
      <c r="AA523" s="524" t="str">
        <f>#REF!</f>
        <v>#REF!</v>
      </c>
      <c r="AB523" s="494"/>
      <c r="AC523" s="436"/>
      <c r="AD523" s="495"/>
      <c r="AE523" s="491"/>
      <c r="AF523" s="491"/>
      <c r="AG523" s="525" t="str">
        <f>#REF!</f>
        <v>#REF!</v>
      </c>
      <c r="AH523" s="491"/>
      <c r="AI523" s="446"/>
      <c r="AJ523" s="491"/>
      <c r="AK523" s="500"/>
      <c r="AL523" s="436"/>
      <c r="AM523" s="438"/>
      <c r="AN523" s="531"/>
      <c r="AO523" s="491"/>
      <c r="AP523" s="438"/>
      <c r="AQ523" s="438"/>
      <c r="AR523" s="438"/>
      <c r="AS523" s="438"/>
      <c r="AT523" s="438"/>
      <c r="AU523" s="438"/>
      <c r="AV523" s="438"/>
      <c r="AW523" s="450" t="str">
        <f>#REF!</f>
        <v>#REF!</v>
      </c>
    </row>
    <row r="524">
      <c r="A524" s="419" t="s">
        <v>372</v>
      </c>
      <c r="B524" s="436" t="s">
        <v>2494</v>
      </c>
      <c r="C524" s="436"/>
      <c r="D524" s="436" t="s">
        <v>199</v>
      </c>
      <c r="E524" s="436"/>
      <c r="F524" s="419" t="s">
        <v>2495</v>
      </c>
      <c r="G524" s="436" t="s">
        <v>169</v>
      </c>
      <c r="H524" s="436" t="s">
        <v>248</v>
      </c>
      <c r="I524" s="436" t="s">
        <v>2231</v>
      </c>
      <c r="J524" s="436"/>
      <c r="K524" s="436"/>
      <c r="L524" s="436" t="s">
        <v>371</v>
      </c>
      <c r="M524" s="439"/>
      <c r="N524" s="422">
        <v>10.402</v>
      </c>
      <c r="O524" s="422">
        <v>9.408</v>
      </c>
      <c r="P524" s="422"/>
      <c r="Q524" s="436" t="s">
        <v>2232</v>
      </c>
      <c r="R524" s="436" t="s">
        <v>2496</v>
      </c>
      <c r="S524" s="436" t="s">
        <v>2234</v>
      </c>
      <c r="T524" s="436" t="s">
        <v>596</v>
      </c>
      <c r="U524" s="436" t="s">
        <v>597</v>
      </c>
      <c r="V524" s="451"/>
      <c r="W524" s="474">
        <v>0.2290867652767773</v>
      </c>
      <c r="X524" s="436"/>
      <c r="Y524" s="442"/>
      <c r="Z524" s="469"/>
      <c r="AA524" s="470">
        <v>1.0</v>
      </c>
      <c r="AB524" s="470"/>
      <c r="AC524" s="436" t="str">
        <f>IF(ISNUMBER(VLOOKUP(B524,'New Masses'!A:C,3,FALSE)),VLOOKUP(B524,'New Masses'!A:C,3,FALSE),"")</f>
        <v/>
      </c>
      <c r="AD524" s="451">
        <f>10^(AE524)</f>
        <v>0</v>
      </c>
      <c r="AE524" s="436">
        <v>-10.3</v>
      </c>
      <c r="AF524" s="436">
        <v>0.12</v>
      </c>
      <c r="AG524" s="459">
        <v>0.12</v>
      </c>
      <c r="AH524" s="436"/>
      <c r="AI524" s="446" t="str">
        <f>IF(ISNUMBER(VLOOKUP(B524,'New Masses'!A:C,2, FALSE)),VLOOKUP(B524,'New Masses'!A:C,2, FALSE),"")</f>
        <v/>
      </c>
      <c r="AJ524" s="436">
        <f>LOG10(AG524)</f>
        <v>-0.920818754</v>
      </c>
      <c r="AK524" s="460">
        <f>(6.67*10^(-11))*((2*10^(33))^2)*AD524*AG524/(3*10^7*AA524*7*10^10)</f>
        <v>7.64096E+26</v>
      </c>
      <c r="AL524" s="451">
        <f>log10(AK524/(4*10^33))</f>
        <v>-6.718912215</v>
      </c>
      <c r="AM524" s="436"/>
      <c r="AN524" s="436">
        <v>2.04</v>
      </c>
      <c r="AO524" s="436"/>
      <c r="AP524" s="419">
        <v>0.34</v>
      </c>
      <c r="AQ524" s="436"/>
      <c r="AR524" s="438"/>
      <c r="AS524" s="438"/>
      <c r="AT524" s="438"/>
      <c r="AU524" s="438" t="s">
        <v>599</v>
      </c>
      <c r="AV524" s="438"/>
      <c r="AW524" s="450">
        <v>171.16839546746</v>
      </c>
    </row>
    <row r="525">
      <c r="A525" s="435" t="str">
        <f t="shared" ref="A525:C525" si="451">#REF!</f>
        <v>#REF!</v>
      </c>
      <c r="B525" s="485" t="str">
        <f t="shared" si="451"/>
        <v>#REF!</v>
      </c>
      <c r="C525" s="486" t="str">
        <f t="shared" si="451"/>
        <v>#REF!</v>
      </c>
      <c r="D525" s="486"/>
      <c r="E525" s="486"/>
      <c r="F525" s="528"/>
      <c r="G525" s="486"/>
      <c r="H525" s="486" t="s">
        <v>5917</v>
      </c>
      <c r="I525" s="491"/>
      <c r="J525" s="491"/>
      <c r="K525" s="491"/>
      <c r="L525" s="491"/>
      <c r="M525" s="486"/>
      <c r="N525" s="422"/>
      <c r="O525" s="422"/>
      <c r="P525" s="422"/>
      <c r="Q525" s="486"/>
      <c r="R525" s="491"/>
      <c r="S525" s="491"/>
      <c r="T525" s="491"/>
      <c r="U525" s="491"/>
      <c r="V525" s="491"/>
      <c r="W525" s="493"/>
      <c r="X525" s="486"/>
      <c r="Y525" s="442"/>
      <c r="Z525" s="491"/>
      <c r="AA525" s="524" t="str">
        <f>#REF!</f>
        <v>#REF!</v>
      </c>
      <c r="AB525" s="494"/>
      <c r="AC525" s="436"/>
      <c r="AD525" s="495"/>
      <c r="AE525" s="491"/>
      <c r="AF525" s="491"/>
      <c r="AG525" s="525" t="str">
        <f>#REF!</f>
        <v>#REF!</v>
      </c>
      <c r="AH525" s="491"/>
      <c r="AI525" s="446"/>
      <c r="AJ525" s="491"/>
      <c r="AK525" s="500"/>
      <c r="AL525" s="436"/>
      <c r="AM525" s="438"/>
      <c r="AN525" s="531"/>
      <c r="AO525" s="491"/>
      <c r="AP525" s="438"/>
      <c r="AQ525" s="438"/>
      <c r="AR525" s="438"/>
      <c r="AS525" s="438"/>
      <c r="AT525" s="438"/>
      <c r="AU525" s="438"/>
      <c r="AV525" s="438"/>
      <c r="AW525" s="450" t="str">
        <f>#REF!</f>
        <v>#REF!</v>
      </c>
    </row>
    <row r="526">
      <c r="A526" s="419" t="s">
        <v>444</v>
      </c>
      <c r="B526" s="419" t="s">
        <v>444</v>
      </c>
      <c r="C526" s="436"/>
      <c r="D526" s="436" t="s">
        <v>199</v>
      </c>
      <c r="E526" s="436"/>
      <c r="F526" s="436" t="s">
        <v>2497</v>
      </c>
      <c r="G526" s="436" t="s">
        <v>169</v>
      </c>
      <c r="H526" s="436" t="s">
        <v>413</v>
      </c>
      <c r="I526" s="456">
        <v>35400.0</v>
      </c>
      <c r="J526" s="438"/>
      <c r="K526" s="438"/>
      <c r="L526" s="436" t="s">
        <v>427</v>
      </c>
      <c r="M526" s="439"/>
      <c r="N526" s="422">
        <v>9.781</v>
      </c>
      <c r="O526" s="422">
        <v>8.349</v>
      </c>
      <c r="P526" s="422">
        <v>12.46</v>
      </c>
      <c r="Q526" s="436" t="s">
        <v>2189</v>
      </c>
      <c r="R526" s="436" t="s">
        <v>2257</v>
      </c>
      <c r="S526" s="436" t="s">
        <v>414</v>
      </c>
      <c r="T526" s="436" t="s">
        <v>293</v>
      </c>
      <c r="U526" s="436" t="s">
        <v>294</v>
      </c>
      <c r="V526" s="440"/>
      <c r="W526" s="468"/>
      <c r="X526" s="436"/>
      <c r="Y526" s="442"/>
      <c r="Z526" s="469"/>
      <c r="AA526" s="470">
        <v>1.44</v>
      </c>
      <c r="AB526" s="470"/>
      <c r="AC526" s="436" t="str">
        <f>IF(ISNUMBER(VLOOKUP(B526,'New Masses'!A:C,3,FALSE)),VLOOKUP(B526,'New Masses'!A:C,3,FALSE),"")</f>
        <v/>
      </c>
      <c r="AD526" s="451">
        <v>8.0E-10</v>
      </c>
      <c r="AE526" s="438">
        <f>LOG10(AD526)</f>
        <v>-9.096910013</v>
      </c>
      <c r="AF526" s="438"/>
      <c r="AG526" s="459">
        <v>0.522</v>
      </c>
      <c r="AH526" s="436"/>
      <c r="AI526" s="446" t="str">
        <f>IF(ISNUMBER(VLOOKUP(B526,'New Masses'!A:C,2, FALSE)),VLOOKUP(B526,'New Masses'!A:C,2, FALSE),"")</f>
        <v/>
      </c>
      <c r="AJ526" s="436"/>
      <c r="AK526" s="436"/>
      <c r="AL526" s="436">
        <v>0.007</v>
      </c>
      <c r="AM526" s="438"/>
      <c r="AN526" s="436">
        <v>1.0</v>
      </c>
      <c r="AO526" s="438"/>
      <c r="AP526" s="438"/>
      <c r="AQ526" s="438"/>
      <c r="AR526" s="438"/>
      <c r="AS526" s="438"/>
      <c r="AT526" s="438"/>
      <c r="AU526" s="438"/>
      <c r="AV526" s="438"/>
      <c r="AW526" s="450">
        <v>130.573872168179</v>
      </c>
    </row>
    <row r="527">
      <c r="A527" s="435" t="str">
        <f t="shared" ref="A527:C527" si="452">#REF!</f>
        <v>#REF!</v>
      </c>
      <c r="B527" s="485" t="str">
        <f t="shared" si="452"/>
        <v>#REF!</v>
      </c>
      <c r="C527" s="486" t="str">
        <f t="shared" si="452"/>
        <v>#REF!</v>
      </c>
      <c r="D527" s="486"/>
      <c r="E527" s="486"/>
      <c r="F527" s="528"/>
      <c r="G527" s="486"/>
      <c r="H527" s="486" t="s">
        <v>5917</v>
      </c>
      <c r="I527" s="491"/>
      <c r="J527" s="491"/>
      <c r="K527" s="491"/>
      <c r="L527" s="491"/>
      <c r="M527" s="486"/>
      <c r="N527" s="422"/>
      <c r="O527" s="422"/>
      <c r="P527" s="422"/>
      <c r="Q527" s="486"/>
      <c r="R527" s="491"/>
      <c r="S527" s="491"/>
      <c r="T527" s="491"/>
      <c r="U527" s="491"/>
      <c r="V527" s="491"/>
      <c r="W527" s="493"/>
      <c r="X527" s="486"/>
      <c r="Y527" s="442"/>
      <c r="Z527" s="491"/>
      <c r="AA527" s="524" t="str">
        <f>#REF!</f>
        <v>#REF!</v>
      </c>
      <c r="AB527" s="494"/>
      <c r="AC527" s="436"/>
      <c r="AD527" s="495"/>
      <c r="AE527" s="491"/>
      <c r="AF527" s="491"/>
      <c r="AG527" s="525" t="str">
        <f>#REF!</f>
        <v>#REF!</v>
      </c>
      <c r="AH527" s="491"/>
      <c r="AI527" s="446"/>
      <c r="AJ527" s="491"/>
      <c r="AK527" s="500"/>
      <c r="AL527" s="436"/>
      <c r="AM527" s="438"/>
      <c r="AN527" s="531"/>
      <c r="AO527" s="491"/>
      <c r="AP527" s="438"/>
      <c r="AQ527" s="438"/>
      <c r="AR527" s="438"/>
      <c r="AS527" s="438"/>
      <c r="AT527" s="438"/>
      <c r="AU527" s="438"/>
      <c r="AV527" s="438"/>
      <c r="AW527" s="450" t="str">
        <f>#REF!</f>
        <v>#REF!</v>
      </c>
    </row>
    <row r="528">
      <c r="A528" s="435" t="s">
        <v>545</v>
      </c>
      <c r="B528" s="451" t="s">
        <v>546</v>
      </c>
      <c r="C528" s="440"/>
      <c r="D528" s="440" t="s">
        <v>314</v>
      </c>
      <c r="E528" s="440"/>
      <c r="F528" s="451" t="s">
        <v>2498</v>
      </c>
      <c r="G528" s="440" t="s">
        <v>169</v>
      </c>
      <c r="H528" s="440" t="s">
        <v>476</v>
      </c>
      <c r="I528" s="438"/>
      <c r="J528" s="460">
        <v>3270.0</v>
      </c>
      <c r="K528" s="460">
        <v>75.0</v>
      </c>
      <c r="L528" s="460" t="s">
        <v>395</v>
      </c>
      <c r="M528" s="461">
        <v>0.5</v>
      </c>
      <c r="N528" s="422">
        <v>11.445</v>
      </c>
      <c r="O528" s="422">
        <v>9.544</v>
      </c>
      <c r="P528" s="422">
        <v>15.89</v>
      </c>
      <c r="Q528" s="440" t="s">
        <v>2189</v>
      </c>
      <c r="R528" s="451" t="s">
        <v>2190</v>
      </c>
      <c r="S528" s="451" t="s">
        <v>2191</v>
      </c>
      <c r="T528" s="462" t="s">
        <v>162</v>
      </c>
      <c r="U528" s="451" t="s">
        <v>2192</v>
      </c>
      <c r="V528" s="440"/>
      <c r="W528" s="463"/>
      <c r="X528" s="437"/>
      <c r="Y528" s="442" t="str">
        <f>IF((W528/((J528/5780)^4))^0.5&gt;0,(W528/((J528/5780)^4))^0.5,"")</f>
        <v/>
      </c>
      <c r="Z528" s="464"/>
      <c r="AA528" s="465">
        <v>1.59</v>
      </c>
      <c r="AB528" s="465">
        <v>0.37</v>
      </c>
      <c r="AC528" s="436" t="str">
        <f>IF(ISNUMBER(VLOOKUP(B528,'New Masses'!A:C,3,FALSE)),VLOOKUP(B528,'New Masses'!A:C,3,FALSE),"")</f>
        <v/>
      </c>
      <c r="AD528" s="440">
        <f>10^AE528</f>
        <v>0.0000000003090295433</v>
      </c>
      <c r="AE528" s="460">
        <v>-9.51</v>
      </c>
      <c r="AF528" s="440"/>
      <c r="AG528" s="445">
        <v>0.26</v>
      </c>
      <c r="AH528" s="460">
        <v>0.03</v>
      </c>
      <c r="AI528" s="446" t="str">
        <f>IF(ISNUMBER(VLOOKUP(B528,'New Masses'!A:C,2, FALSE)),VLOOKUP(B528,'New Masses'!A:C,2, FALSE),"")</f>
        <v/>
      </c>
      <c r="AJ528" s="440">
        <f>LOG10(AG528)</f>
        <v>-0.585026652</v>
      </c>
      <c r="AK528" s="460"/>
      <c r="AL528" s="460">
        <v>-2.9</v>
      </c>
      <c r="AM528" s="466">
        <v>43900.0</v>
      </c>
      <c r="AN528" s="436">
        <v>3.0</v>
      </c>
      <c r="AO528" s="440"/>
      <c r="AP528" s="440"/>
      <c r="AQ528" s="440"/>
      <c r="AR528" s="440"/>
      <c r="AS528" s="440"/>
      <c r="AT528" s="440"/>
      <c r="AU528" s="440"/>
      <c r="AV528" s="440"/>
      <c r="AW528" s="450"/>
    </row>
    <row r="529">
      <c r="A529" s="435" t="str">
        <f t="shared" ref="A529:C529" si="453">#REF!</f>
        <v>#REF!</v>
      </c>
      <c r="B529" s="485" t="str">
        <f t="shared" si="453"/>
        <v>#REF!</v>
      </c>
      <c r="C529" s="486" t="str">
        <f t="shared" si="453"/>
        <v>#REF!</v>
      </c>
      <c r="D529" s="486"/>
      <c r="E529" s="486"/>
      <c r="F529" s="528"/>
      <c r="G529" s="486"/>
      <c r="H529" s="486" t="s">
        <v>5917</v>
      </c>
      <c r="I529" s="491"/>
      <c r="J529" s="491"/>
      <c r="K529" s="491"/>
      <c r="L529" s="491"/>
      <c r="M529" s="486"/>
      <c r="N529" s="422"/>
      <c r="O529" s="422"/>
      <c r="P529" s="422"/>
      <c r="Q529" s="486"/>
      <c r="R529" s="491"/>
      <c r="S529" s="491"/>
      <c r="T529" s="491"/>
      <c r="U529" s="491"/>
      <c r="V529" s="491"/>
      <c r="W529" s="493"/>
      <c r="X529" s="486"/>
      <c r="Y529" s="442"/>
      <c r="Z529" s="491"/>
      <c r="AA529" s="524" t="str">
        <f>#REF!</f>
        <v>#REF!</v>
      </c>
      <c r="AB529" s="494"/>
      <c r="AC529" s="436"/>
      <c r="AD529" s="495"/>
      <c r="AE529" s="491"/>
      <c r="AF529" s="491"/>
      <c r="AG529" s="525" t="str">
        <f>#REF!</f>
        <v>#REF!</v>
      </c>
      <c r="AH529" s="491"/>
      <c r="AI529" s="446"/>
      <c r="AJ529" s="491"/>
      <c r="AK529" s="500"/>
      <c r="AL529" s="436"/>
      <c r="AM529" s="438"/>
      <c r="AN529" s="531"/>
      <c r="AO529" s="491"/>
      <c r="AP529" s="438"/>
      <c r="AQ529" s="438"/>
      <c r="AR529" s="438"/>
      <c r="AS529" s="438"/>
      <c r="AT529" s="438"/>
      <c r="AU529" s="438"/>
      <c r="AV529" s="438"/>
      <c r="AW529" s="450" t="str">
        <f>#REF!</f>
        <v>#REF!</v>
      </c>
    </row>
    <row r="530">
      <c r="A530" s="419" t="s">
        <v>1394</v>
      </c>
      <c r="B530" s="419" t="s">
        <v>1394</v>
      </c>
      <c r="C530" s="419"/>
      <c r="D530" s="436" t="s">
        <v>158</v>
      </c>
      <c r="E530" s="436"/>
      <c r="F530" s="436" t="s">
        <v>2499</v>
      </c>
      <c r="G530" s="436" t="s">
        <v>169</v>
      </c>
      <c r="H530" s="436" t="s">
        <v>160</v>
      </c>
      <c r="I530" s="436" t="s">
        <v>1963</v>
      </c>
      <c r="J530" s="436">
        <v>3388.44156</v>
      </c>
      <c r="K530" s="436"/>
      <c r="L530" s="438"/>
      <c r="M530" s="453"/>
      <c r="N530" s="422">
        <v>12.838</v>
      </c>
      <c r="O530" s="422">
        <v>9.545</v>
      </c>
      <c r="P530" s="422"/>
      <c r="Q530" s="436" t="s">
        <v>2183</v>
      </c>
      <c r="R530" s="436" t="s">
        <v>2184</v>
      </c>
      <c r="S530" s="436" t="s">
        <v>1964</v>
      </c>
      <c r="T530" s="419" t="s">
        <v>162</v>
      </c>
      <c r="U530" s="436" t="s">
        <v>2185</v>
      </c>
      <c r="V530" s="451"/>
      <c r="W530" s="458">
        <v>0.5888436553555889</v>
      </c>
      <c r="X530" s="438"/>
      <c r="Y530" s="442">
        <f t="shared" ref="Y530:Y531" si="454">IF((W530/((J530/5780)^4))^0.5&gt;0,(W530/((J530/5780)^4))^0.5,"")</f>
        <v>2.232830095</v>
      </c>
      <c r="Z530" s="442"/>
      <c r="AA530" s="443"/>
      <c r="AB530" s="443"/>
      <c r="AC530" s="436" t="str">
        <f>IF(ISNUMBER(VLOOKUP(B530,'New Masses'!A:C,3,FALSE)),VLOOKUP(B530,'New Masses'!A:C,3,FALSE),"")</f>
        <v/>
      </c>
      <c r="AD530" s="440">
        <f>10^AE530</f>
        <v>0.000000006025595861</v>
      </c>
      <c r="AE530" s="436">
        <v>-8.22</v>
      </c>
      <c r="AF530" s="438"/>
      <c r="AG530" s="459">
        <f>10^AJ530</f>
        <v>0.301995172</v>
      </c>
      <c r="AH530" s="436"/>
      <c r="AI530" s="446" t="str">
        <f>IF(ISNUMBER(VLOOKUP(B530,'New Masses'!A:C,2, FALSE)),VLOOKUP(B530,'New Masses'!A:C,2, FALSE),"")</f>
        <v/>
      </c>
      <c r="AJ530" s="436">
        <v>-0.52</v>
      </c>
      <c r="AK530" s="436"/>
      <c r="AL530" s="436">
        <v>-1.54</v>
      </c>
      <c r="AM530" s="438"/>
      <c r="AN530" s="436">
        <v>1.0</v>
      </c>
      <c r="AO530" s="438"/>
      <c r="AP530" s="438"/>
      <c r="AQ530" s="438"/>
      <c r="AR530" s="438"/>
      <c r="AS530" s="420" t="str">
        <f>VLOOKUP(B530,natta06!A:F,6,FALSE)</f>
        <v>#REF!</v>
      </c>
      <c r="AT530" s="438"/>
      <c r="AU530" s="438"/>
      <c r="AV530" s="438"/>
      <c r="AW530" s="450">
        <v>143.696742394849</v>
      </c>
    </row>
    <row r="531">
      <c r="A531" s="419" t="s">
        <v>1394</v>
      </c>
      <c r="B531" s="419" t="s">
        <v>1394</v>
      </c>
      <c r="C531" s="419"/>
      <c r="D531" s="436" t="s">
        <v>158</v>
      </c>
      <c r="E531" s="436"/>
      <c r="F531" s="436" t="s">
        <v>2499</v>
      </c>
      <c r="G531" s="436" t="s">
        <v>169</v>
      </c>
      <c r="H531" s="436" t="s">
        <v>1309</v>
      </c>
      <c r="I531" s="436" t="s">
        <v>2409</v>
      </c>
      <c r="J531" s="436">
        <v>3850.0</v>
      </c>
      <c r="K531" s="436"/>
      <c r="L531" s="436" t="s">
        <v>427</v>
      </c>
      <c r="M531" s="457">
        <v>2.0</v>
      </c>
      <c r="N531" s="422">
        <v>12.838</v>
      </c>
      <c r="O531" s="422">
        <v>9.545</v>
      </c>
      <c r="P531" s="422"/>
      <c r="Q531" s="436" t="s">
        <v>2410</v>
      </c>
      <c r="R531" s="436" t="s">
        <v>2500</v>
      </c>
      <c r="S531" s="436" t="s">
        <v>2412</v>
      </c>
      <c r="T531" s="436" t="s">
        <v>596</v>
      </c>
      <c r="U531" s="436" t="s">
        <v>2413</v>
      </c>
      <c r="V531" s="440"/>
      <c r="W531" s="474">
        <v>0.55</v>
      </c>
      <c r="X531" s="419"/>
      <c r="Y531" s="442">
        <f t="shared" si="454"/>
        <v>1.671535338</v>
      </c>
      <c r="Z531" s="469"/>
      <c r="AA531" s="470"/>
      <c r="AB531" s="470"/>
      <c r="AC531" s="436" t="str">
        <f>IF(ISNUMBER(VLOOKUP(B531,'New Masses'!A:C,3,FALSE)),VLOOKUP(B531,'New Masses'!A:C,3,FALSE),"")</f>
        <v/>
      </c>
      <c r="AD531" s="451">
        <f>10^(AE531)</f>
        <v>0.000000001862087137</v>
      </c>
      <c r="AE531" s="436">
        <v>-8.73</v>
      </c>
      <c r="AF531" s="438"/>
      <c r="AG531" s="459">
        <v>0.4</v>
      </c>
      <c r="AH531" s="436"/>
      <c r="AI531" s="446" t="str">
        <f>IF(ISNUMBER(VLOOKUP(B531,'New Masses'!A:C,2, FALSE)),VLOOKUP(B531,'New Masses'!A:C,2, FALSE),"")</f>
        <v/>
      </c>
      <c r="AJ531" s="436"/>
      <c r="AK531" s="438"/>
      <c r="AL531" s="438"/>
      <c r="AM531" s="436" t="s">
        <v>2407</v>
      </c>
      <c r="AN531" s="436">
        <v>1.0</v>
      </c>
      <c r="AO531" s="438"/>
      <c r="AP531" s="438"/>
      <c r="AQ531" s="438"/>
      <c r="AR531" s="438"/>
      <c r="AS531" s="438"/>
      <c r="AT531" s="438"/>
      <c r="AU531" s="438"/>
      <c r="AV531" s="438"/>
      <c r="AW531" s="450">
        <v>143.696742394849</v>
      </c>
    </row>
    <row r="532">
      <c r="A532" s="435" t="str">
        <f t="shared" ref="A532:C532" si="455">#REF!</f>
        <v>#REF!</v>
      </c>
      <c r="B532" s="485" t="str">
        <f t="shared" si="455"/>
        <v>#REF!</v>
      </c>
      <c r="C532" s="486" t="str">
        <f t="shared" si="455"/>
        <v>#REF!</v>
      </c>
      <c r="D532" s="486"/>
      <c r="E532" s="486"/>
      <c r="F532" s="528"/>
      <c r="G532" s="486"/>
      <c r="H532" s="486" t="s">
        <v>5917</v>
      </c>
      <c r="I532" s="491"/>
      <c r="J532" s="491"/>
      <c r="K532" s="491"/>
      <c r="L532" s="491"/>
      <c r="M532" s="486"/>
      <c r="N532" s="422"/>
      <c r="O532" s="422"/>
      <c r="P532" s="422"/>
      <c r="Q532" s="486"/>
      <c r="R532" s="491"/>
      <c r="S532" s="491"/>
      <c r="T532" s="491"/>
      <c r="U532" s="491"/>
      <c r="V532" s="491"/>
      <c r="W532" s="493"/>
      <c r="X532" s="486"/>
      <c r="Y532" s="442"/>
      <c r="Z532" s="491"/>
      <c r="AA532" s="524" t="str">
        <f t="shared" ref="AA532:AA533" si="457">#REF!</f>
        <v>#REF!</v>
      </c>
      <c r="AB532" s="494"/>
      <c r="AC532" s="436"/>
      <c r="AD532" s="495"/>
      <c r="AE532" s="491"/>
      <c r="AF532" s="491"/>
      <c r="AG532" s="525" t="str">
        <f t="shared" ref="AG532:AG533" si="458">#REF!</f>
        <v>#REF!</v>
      </c>
      <c r="AH532" s="491"/>
      <c r="AI532" s="446"/>
      <c r="AJ532" s="491"/>
      <c r="AK532" s="500"/>
      <c r="AL532" s="436"/>
      <c r="AM532" s="438"/>
      <c r="AN532" s="531"/>
      <c r="AO532" s="491"/>
      <c r="AP532" s="438"/>
      <c r="AQ532" s="438"/>
      <c r="AR532" s="438"/>
      <c r="AS532" s="438"/>
      <c r="AT532" s="438"/>
      <c r="AU532" s="438"/>
      <c r="AV532" s="438"/>
      <c r="AW532" s="450" t="str">
        <f t="shared" ref="AW532:AW533" si="459">#REF!</f>
        <v>#REF!</v>
      </c>
    </row>
    <row r="533">
      <c r="A533" s="435" t="str">
        <f t="shared" ref="A533:C533" si="456">#REF!</f>
        <v>#REF!</v>
      </c>
      <c r="B533" s="485" t="str">
        <f t="shared" si="456"/>
        <v>#REF!</v>
      </c>
      <c r="C533" s="486" t="str">
        <f t="shared" si="456"/>
        <v>#REF!</v>
      </c>
      <c r="D533" s="486"/>
      <c r="E533" s="486"/>
      <c r="F533" s="528"/>
      <c r="G533" s="486"/>
      <c r="H533" s="486" t="s">
        <v>5917</v>
      </c>
      <c r="I533" s="491"/>
      <c r="J533" s="491"/>
      <c r="K533" s="491"/>
      <c r="L533" s="491"/>
      <c r="M533" s="486"/>
      <c r="N533" s="422"/>
      <c r="O533" s="422"/>
      <c r="P533" s="422"/>
      <c r="Q533" s="486"/>
      <c r="R533" s="491"/>
      <c r="S533" s="491"/>
      <c r="T533" s="491"/>
      <c r="U533" s="491"/>
      <c r="V533" s="491"/>
      <c r="W533" s="493"/>
      <c r="X533" s="486"/>
      <c r="Y533" s="442"/>
      <c r="Z533" s="491"/>
      <c r="AA533" s="524" t="str">
        <f t="shared" si="457"/>
        <v>#REF!</v>
      </c>
      <c r="AB533" s="494"/>
      <c r="AC533" s="436"/>
      <c r="AD533" s="495"/>
      <c r="AE533" s="491"/>
      <c r="AF533" s="491"/>
      <c r="AG533" s="525" t="str">
        <f t="shared" si="458"/>
        <v>#REF!</v>
      </c>
      <c r="AH533" s="491"/>
      <c r="AI533" s="446"/>
      <c r="AJ533" s="491"/>
      <c r="AK533" s="500"/>
      <c r="AL533" s="436"/>
      <c r="AM533" s="438"/>
      <c r="AN533" s="531"/>
      <c r="AO533" s="491"/>
      <c r="AP533" s="438"/>
      <c r="AQ533" s="438"/>
      <c r="AR533" s="438"/>
      <c r="AS533" s="438"/>
      <c r="AT533" s="438"/>
      <c r="AU533" s="438"/>
      <c r="AV533" s="438"/>
      <c r="AW533" s="450" t="str">
        <f t="shared" si="459"/>
        <v>#REF!</v>
      </c>
    </row>
    <row r="534">
      <c r="A534" s="419" t="s">
        <v>1319</v>
      </c>
      <c r="B534" s="419" t="s">
        <v>1319</v>
      </c>
      <c r="C534" s="454"/>
      <c r="D534" s="420" t="s">
        <v>158</v>
      </c>
      <c r="E534" s="420"/>
      <c r="F534" s="420" t="s">
        <v>2501</v>
      </c>
      <c r="G534" s="420" t="s">
        <v>169</v>
      </c>
      <c r="H534" s="420" t="s">
        <v>1309</v>
      </c>
      <c r="I534" s="420" t="s">
        <v>2409</v>
      </c>
      <c r="J534" s="436">
        <v>2650.0</v>
      </c>
      <c r="K534" s="419">
        <v>150.0</v>
      </c>
      <c r="L534" s="420" t="s">
        <v>345</v>
      </c>
      <c r="M534" s="422">
        <v>2.0</v>
      </c>
      <c r="N534" s="422">
        <v>14.844</v>
      </c>
      <c r="O534" s="422">
        <v>12.143</v>
      </c>
      <c r="P534" s="422"/>
      <c r="Q534" s="420" t="s">
        <v>2410</v>
      </c>
      <c r="R534" s="420" t="s">
        <v>2500</v>
      </c>
      <c r="S534" s="420" t="s">
        <v>2412</v>
      </c>
      <c r="T534" s="420" t="s">
        <v>596</v>
      </c>
      <c r="U534" s="420" t="s">
        <v>2413</v>
      </c>
      <c r="V534" s="440"/>
      <c r="W534" s="441">
        <v>0.04</v>
      </c>
      <c r="X534" s="454"/>
      <c r="Y534" s="442">
        <f t="shared" ref="Y534:Y537" si="460">IF((W534/((J534/5780)^4))^0.5&gt;0,(W534/((J534/5780)^4))^0.5,"")</f>
        <v>0.9514674261</v>
      </c>
      <c r="Z534" s="442"/>
      <c r="AA534" s="443"/>
      <c r="AB534" s="443"/>
      <c r="AC534" s="469">
        <f>IF(ISNUMBER(VLOOKUP(B534,'New Masses'!A:C,3,FALSE)),VLOOKUP(B534,'New Masses'!A:C,3,FALSE),"")</f>
        <v>0.53496</v>
      </c>
      <c r="AD534" s="451">
        <f t="shared" ref="AD534:AD535" si="461">10^AE534</f>
        <v>0.0000000002041737945</v>
      </c>
      <c r="AE534" s="436">
        <v>-9.69</v>
      </c>
      <c r="AF534" s="438"/>
      <c r="AG534" s="459">
        <v>0.04</v>
      </c>
      <c r="AH534" s="436"/>
      <c r="AI534" s="446">
        <f>IF(ISNUMBER(VLOOKUP(B534,'New Masses'!A:C,2, FALSE)),VLOOKUP(B534,'New Masses'!A:C,2, FALSE),"")</f>
        <v>0.038933</v>
      </c>
      <c r="AJ534" s="436"/>
      <c r="AK534" s="438"/>
      <c r="AL534" s="438"/>
      <c r="AM534" s="420" t="s">
        <v>2407</v>
      </c>
      <c r="AN534" s="505">
        <v>1.0</v>
      </c>
      <c r="AO534" s="506"/>
      <c r="AP534" s="505">
        <v>8.5</v>
      </c>
      <c r="AQ534" s="506"/>
      <c r="AR534" s="507" t="s">
        <v>2408</v>
      </c>
      <c r="AS534" s="507"/>
      <c r="AT534" s="506"/>
      <c r="AU534" s="506"/>
      <c r="AV534" s="506"/>
      <c r="AW534" s="450"/>
    </row>
    <row r="535">
      <c r="A535" s="419" t="s">
        <v>1319</v>
      </c>
      <c r="B535" s="419" t="s">
        <v>1319</v>
      </c>
      <c r="C535" s="454"/>
      <c r="D535" s="420" t="s">
        <v>158</v>
      </c>
      <c r="E535" s="420"/>
      <c r="F535" s="420" t="s">
        <v>2501</v>
      </c>
      <c r="G535" s="420" t="s">
        <v>169</v>
      </c>
      <c r="H535" s="420" t="s">
        <v>754</v>
      </c>
      <c r="I535" s="436">
        <v>2010.0</v>
      </c>
      <c r="J535" s="436">
        <v>2900.0</v>
      </c>
      <c r="K535" s="419">
        <v>75.0</v>
      </c>
      <c r="L535" s="420" t="s">
        <v>345</v>
      </c>
      <c r="M535" s="429"/>
      <c r="N535" s="422">
        <v>14.844</v>
      </c>
      <c r="O535" s="422">
        <v>12.143</v>
      </c>
      <c r="P535" s="422"/>
      <c r="Q535" s="420" t="s">
        <v>2417</v>
      </c>
      <c r="R535" s="420" t="s">
        <v>2502</v>
      </c>
      <c r="S535" s="420" t="s">
        <v>2419</v>
      </c>
      <c r="T535" s="421" t="s">
        <v>162</v>
      </c>
      <c r="U535" s="420" t="s">
        <v>1754</v>
      </c>
      <c r="V535" s="440"/>
      <c r="W535" s="474">
        <v>0.04</v>
      </c>
      <c r="X535" s="436"/>
      <c r="Y535" s="442">
        <f t="shared" si="460"/>
        <v>0.7944922711</v>
      </c>
      <c r="Z535" s="469"/>
      <c r="AA535" s="470">
        <v>0.79</v>
      </c>
      <c r="AB535" s="470">
        <v>0.2</v>
      </c>
      <c r="AC535" s="469">
        <f>IF(ISNUMBER(VLOOKUP(B535,'New Masses'!A:C,3,FALSE)),VLOOKUP(B535,'New Masses'!A:C,3,FALSE),"")</f>
        <v>0.53496</v>
      </c>
      <c r="AD535" s="451">
        <f t="shared" si="461"/>
        <v>0.0000000001412537545</v>
      </c>
      <c r="AE535" s="436">
        <v>-9.85</v>
      </c>
      <c r="AF535" s="438"/>
      <c r="AG535" s="459">
        <v>0.07</v>
      </c>
      <c r="AH535" s="436">
        <v>0.02</v>
      </c>
      <c r="AI535" s="446">
        <f>IF(ISNUMBER(VLOOKUP(B535,'New Masses'!A:C,2, FALSE)),VLOOKUP(B535,'New Masses'!A:C,2, FALSE),"")</f>
        <v>0.038933</v>
      </c>
      <c r="AJ535" s="436"/>
      <c r="AK535" s="436"/>
      <c r="AL535" s="436">
        <v>-3.51</v>
      </c>
      <c r="AM535" s="438"/>
      <c r="AN535" s="436">
        <v>1.0</v>
      </c>
      <c r="AO535" s="438"/>
      <c r="AP535" s="436">
        <v>8.5</v>
      </c>
      <c r="AQ535" s="438"/>
      <c r="AR535" s="420" t="s">
        <v>2408</v>
      </c>
      <c r="AS535" s="420"/>
      <c r="AT535" s="438"/>
      <c r="AU535" s="438"/>
      <c r="AV535" s="438"/>
      <c r="AW535" s="450"/>
    </row>
    <row r="536">
      <c r="A536" s="419" t="s">
        <v>1319</v>
      </c>
      <c r="B536" s="419" t="s">
        <v>1319</v>
      </c>
      <c r="C536" s="454"/>
      <c r="D536" s="420" t="s">
        <v>158</v>
      </c>
      <c r="E536" s="420"/>
      <c r="F536" s="420" t="s">
        <v>2501</v>
      </c>
      <c r="G536" s="420" t="s">
        <v>169</v>
      </c>
      <c r="H536" s="420" t="s">
        <v>269</v>
      </c>
      <c r="I536" s="420" t="s">
        <v>2199</v>
      </c>
      <c r="J536" s="436">
        <v>2700.0</v>
      </c>
      <c r="K536" s="421">
        <v>100.0</v>
      </c>
      <c r="L536" s="420" t="s">
        <v>353</v>
      </c>
      <c r="M536" s="429"/>
      <c r="N536" s="422">
        <v>14.844</v>
      </c>
      <c r="O536" s="422">
        <v>12.143</v>
      </c>
      <c r="P536" s="422"/>
      <c r="Q536" s="420" t="s">
        <v>2200</v>
      </c>
      <c r="R536" s="420" t="s">
        <v>2176</v>
      </c>
      <c r="S536" s="420" t="s">
        <v>2201</v>
      </c>
      <c r="T536" s="421" t="s">
        <v>162</v>
      </c>
      <c r="U536" s="420" t="s">
        <v>1965</v>
      </c>
      <c r="V536" s="440"/>
      <c r="W536" s="458">
        <v>0.039810717055349734</v>
      </c>
      <c r="X536" s="438"/>
      <c r="Y536" s="442">
        <f t="shared" si="460"/>
        <v>0.9143830113</v>
      </c>
      <c r="Z536" s="442"/>
      <c r="AA536" s="443"/>
      <c r="AB536" s="443"/>
      <c r="AC536" s="469">
        <f>IF(ISNUMBER(VLOOKUP(B536,'New Masses'!A:C,3,FALSE)),VLOOKUP(B536,'New Masses'!A:C,3,FALSE),"")</f>
        <v>0.53496</v>
      </c>
      <c r="AD536" s="451">
        <f>(10^-10.1)</f>
        <v>0</v>
      </c>
      <c r="AE536" s="436">
        <f>LOG10(AD536)</f>
        <v>-10.1</v>
      </c>
      <c r="AF536" s="438"/>
      <c r="AG536" s="459">
        <f>0.0009543*60</f>
        <v>0.057258</v>
      </c>
      <c r="AH536" s="420"/>
      <c r="AI536" s="446">
        <f>VLOOKUP(A536,'New Masses'!A:C,2, FALSE)</f>
        <v>0.038933</v>
      </c>
      <c r="AJ536" s="420"/>
      <c r="AK536" s="438"/>
      <c r="AL536" s="438"/>
      <c r="AM536" s="420" t="s">
        <v>2407</v>
      </c>
      <c r="AN536" s="505">
        <v>1.0</v>
      </c>
      <c r="AO536" s="506"/>
      <c r="AP536" s="505">
        <v>8.5</v>
      </c>
      <c r="AQ536" s="506"/>
      <c r="AR536" s="507" t="s">
        <v>2408</v>
      </c>
      <c r="AS536" s="507"/>
      <c r="AT536" s="506"/>
      <c r="AU536" s="506"/>
      <c r="AV536" s="506"/>
      <c r="AW536" s="450"/>
    </row>
    <row r="537">
      <c r="A537" s="419" t="s">
        <v>1319</v>
      </c>
      <c r="B537" s="419" t="s">
        <v>1319</v>
      </c>
      <c r="C537" s="454"/>
      <c r="D537" s="420" t="s">
        <v>158</v>
      </c>
      <c r="E537" s="420"/>
      <c r="F537" s="420" t="s">
        <v>2501</v>
      </c>
      <c r="G537" s="420" t="s">
        <v>169</v>
      </c>
      <c r="H537" s="420" t="s">
        <v>160</v>
      </c>
      <c r="I537" s="420" t="s">
        <v>1963</v>
      </c>
      <c r="J537" s="436">
        <v>2630.26799</v>
      </c>
      <c r="K537" s="436"/>
      <c r="L537" s="420" t="s">
        <v>345</v>
      </c>
      <c r="M537" s="429"/>
      <c r="N537" s="422">
        <v>14.844</v>
      </c>
      <c r="O537" s="422">
        <v>12.143</v>
      </c>
      <c r="P537" s="422"/>
      <c r="Q537" s="420" t="s">
        <v>2183</v>
      </c>
      <c r="R537" s="438"/>
      <c r="S537" s="438" t="s">
        <v>1964</v>
      </c>
      <c r="T537" s="421" t="s">
        <v>162</v>
      </c>
      <c r="U537" s="420" t="s">
        <v>2185</v>
      </c>
      <c r="V537" s="451"/>
      <c r="W537" s="458">
        <v>0.020417379446695295</v>
      </c>
      <c r="X537" s="438"/>
      <c r="Y537" s="442">
        <f t="shared" si="460"/>
        <v>0.690010465</v>
      </c>
      <c r="Z537" s="442"/>
      <c r="AA537" s="443"/>
      <c r="AB537" s="443"/>
      <c r="AC537" s="469">
        <f>IF(ISNUMBER(VLOOKUP(B537,'New Masses'!A:C,3,FALSE)),VLOOKUP(B537,'New Masses'!A:C,3,FALSE),"")</f>
        <v>0.53496</v>
      </c>
      <c r="AD537" s="440">
        <f>10^AE537</f>
        <v>0.0000000001174897555</v>
      </c>
      <c r="AE537" s="436">
        <v>-9.93</v>
      </c>
      <c r="AF537" s="438"/>
      <c r="AG537" s="459">
        <f>10^AJ537</f>
        <v>0.03981071706</v>
      </c>
      <c r="AH537" s="438"/>
      <c r="AI537" s="446">
        <f>IF(ISNUMBER(VLOOKUP(B537,'New Masses'!A:C,2, FALSE)),VLOOKUP(B537,'New Masses'!A:C,2, FALSE),"")</f>
        <v>0.038933</v>
      </c>
      <c r="AJ537" s="436">
        <v>-1.4</v>
      </c>
      <c r="AK537" s="436"/>
      <c r="AL537" s="489">
        <v>-3.61</v>
      </c>
      <c r="AM537" s="436"/>
      <c r="AN537" s="436">
        <v>1.0</v>
      </c>
      <c r="AO537" s="438"/>
      <c r="AP537" s="436">
        <v>8.5</v>
      </c>
      <c r="AQ537" s="438"/>
      <c r="AR537" s="420" t="s">
        <v>2408</v>
      </c>
      <c r="AS537" s="420" t="str">
        <f>VLOOKUP(B537,natta06!A:F,6,FALSE)</f>
        <v>#REF!</v>
      </c>
      <c r="AT537" s="438"/>
      <c r="AU537" s="420" t="s">
        <v>1304</v>
      </c>
      <c r="AV537" s="438"/>
      <c r="AW537" s="450"/>
    </row>
    <row r="538">
      <c r="A538" s="435" t="str">
        <f t="shared" ref="A538:C538" si="462">A3</f>
        <v>#REF!</v>
      </c>
      <c r="B538" s="485" t="str">
        <f t="shared" si="462"/>
        <v>#REF!</v>
      </c>
      <c r="C538" s="486" t="str">
        <f t="shared" si="462"/>
        <v>#REF!</v>
      </c>
      <c r="D538" s="486"/>
      <c r="E538" s="486"/>
      <c r="F538" s="528"/>
      <c r="G538" s="486"/>
      <c r="H538" s="486" t="s">
        <v>5917</v>
      </c>
      <c r="I538" s="491"/>
      <c r="J538" s="491"/>
      <c r="K538" s="491"/>
      <c r="L538" s="491"/>
      <c r="M538" s="486"/>
      <c r="N538" s="422"/>
      <c r="O538" s="422"/>
      <c r="P538" s="422"/>
      <c r="Q538" s="486"/>
      <c r="R538" s="491"/>
      <c r="S538" s="491"/>
      <c r="T538" s="491"/>
      <c r="U538" s="491"/>
      <c r="V538" s="491"/>
      <c r="W538" s="493"/>
      <c r="X538" s="486"/>
      <c r="Y538" s="442"/>
      <c r="Z538" s="491"/>
      <c r="AA538" s="524" t="str">
        <f t="shared" ref="AA538:AA541" si="464">AC3</f>
        <v/>
      </c>
      <c r="AB538" s="494"/>
      <c r="AC538" s="436"/>
      <c r="AD538" s="495"/>
      <c r="AE538" s="491"/>
      <c r="AF538" s="491"/>
      <c r="AG538" s="525" t="str">
        <f t="shared" ref="AG538:AG541" si="465">AI3</f>
        <v/>
      </c>
      <c r="AH538" s="491"/>
      <c r="AI538" s="446"/>
      <c r="AJ538" s="491"/>
      <c r="AK538" s="500"/>
      <c r="AL538" s="436"/>
      <c r="AM538" s="438"/>
      <c r="AN538" s="531"/>
      <c r="AO538" s="491"/>
      <c r="AP538" s="438"/>
      <c r="AQ538" s="438"/>
      <c r="AR538" s="438"/>
      <c r="AS538" s="438"/>
      <c r="AT538" s="438"/>
      <c r="AU538" s="438"/>
      <c r="AV538" s="438"/>
      <c r="AW538" s="450" t="str">
        <f t="shared" ref="AW538:AW541" si="466">AW3</f>
        <v>#REF!</v>
      </c>
    </row>
    <row r="539">
      <c r="A539" s="435" t="str">
        <f t="shared" ref="A539:C539" si="463">A4</f>
        <v>[BNM2013] 92.01 11</v>
      </c>
      <c r="B539" s="485" t="str">
        <f t="shared" si="463"/>
        <v>SO759</v>
      </c>
      <c r="C539" s="486" t="str">
        <f t="shared" si="463"/>
        <v/>
      </c>
      <c r="D539" s="486"/>
      <c r="E539" s="486"/>
      <c r="F539" s="528"/>
      <c r="G539" s="486"/>
      <c r="H539" s="486" t="s">
        <v>5917</v>
      </c>
      <c r="I539" s="491"/>
      <c r="J539" s="491"/>
      <c r="K539" s="491"/>
      <c r="L539" s="491"/>
      <c r="M539" s="486"/>
      <c r="N539" s="422"/>
      <c r="O539" s="422"/>
      <c r="P539" s="422"/>
      <c r="Q539" s="486"/>
      <c r="R539" s="491"/>
      <c r="S539" s="491"/>
      <c r="T539" s="491"/>
      <c r="U539" s="491"/>
      <c r="V539" s="491"/>
      <c r="W539" s="493"/>
      <c r="X539" s="486"/>
      <c r="Y539" s="442"/>
      <c r="Z539" s="491"/>
      <c r="AA539" s="524" t="str">
        <f t="shared" si="464"/>
        <v/>
      </c>
      <c r="AB539" s="494"/>
      <c r="AC539" s="436"/>
      <c r="AD539" s="495"/>
      <c r="AE539" s="491"/>
      <c r="AF539" s="491"/>
      <c r="AG539" s="525" t="str">
        <f t="shared" si="465"/>
        <v/>
      </c>
      <c r="AH539" s="491"/>
      <c r="AI539" s="446"/>
      <c r="AJ539" s="491"/>
      <c r="AK539" s="500"/>
      <c r="AL539" s="436"/>
      <c r="AM539" s="438"/>
      <c r="AN539" s="531"/>
      <c r="AO539" s="491"/>
      <c r="AP539" s="438"/>
      <c r="AQ539" s="438"/>
      <c r="AR539" s="438"/>
      <c r="AS539" s="438"/>
      <c r="AT539" s="438"/>
      <c r="AU539" s="438"/>
      <c r="AV539" s="438"/>
      <c r="AW539" s="450">
        <f t="shared" si="466"/>
        <v>335.2891869</v>
      </c>
    </row>
    <row r="540">
      <c r="A540" s="435" t="str">
        <f t="shared" ref="A540:C540" si="467">A5</f>
        <v>#REF!</v>
      </c>
      <c r="B540" s="485" t="str">
        <f t="shared" si="467"/>
        <v>#REF!</v>
      </c>
      <c r="C540" s="486" t="str">
        <f t="shared" si="467"/>
        <v>#REF!</v>
      </c>
      <c r="D540" s="486"/>
      <c r="E540" s="486"/>
      <c r="F540" s="528"/>
      <c r="G540" s="486"/>
      <c r="H540" s="486" t="s">
        <v>5917</v>
      </c>
      <c r="I540" s="491"/>
      <c r="J540" s="491"/>
      <c r="K540" s="491"/>
      <c r="L540" s="491"/>
      <c r="M540" s="486"/>
      <c r="N540" s="422"/>
      <c r="O540" s="422"/>
      <c r="P540" s="422"/>
      <c r="Q540" s="486"/>
      <c r="R540" s="491"/>
      <c r="S540" s="491"/>
      <c r="T540" s="491"/>
      <c r="U540" s="491"/>
      <c r="V540" s="491"/>
      <c r="W540" s="493"/>
      <c r="X540" s="486"/>
      <c r="Y540" s="442"/>
      <c r="Z540" s="491"/>
      <c r="AA540" s="524" t="str">
        <f t="shared" si="464"/>
        <v/>
      </c>
      <c r="AB540" s="494"/>
      <c r="AC540" s="436"/>
      <c r="AD540" s="495"/>
      <c r="AE540" s="491"/>
      <c r="AF540" s="491"/>
      <c r="AG540" s="525" t="str">
        <f t="shared" si="465"/>
        <v/>
      </c>
      <c r="AH540" s="491"/>
      <c r="AI540" s="446"/>
      <c r="AJ540" s="491"/>
      <c r="AK540" s="500"/>
      <c r="AL540" s="436"/>
      <c r="AM540" s="438"/>
      <c r="AN540" s="531"/>
      <c r="AO540" s="491"/>
      <c r="AP540" s="438"/>
      <c r="AQ540" s="438"/>
      <c r="AR540" s="438"/>
      <c r="AS540" s="438"/>
      <c r="AT540" s="438"/>
      <c r="AU540" s="438"/>
      <c r="AV540" s="438"/>
      <c r="AW540" s="450" t="str">
        <f t="shared" si="466"/>
        <v>#REF!</v>
      </c>
    </row>
    <row r="541">
      <c r="A541" s="435" t="str">
        <f t="shared" ref="A541:C541" si="468">A6</f>
        <v>[BNM2013] 92.01 24</v>
      </c>
      <c r="B541" s="485" t="str">
        <f t="shared" si="468"/>
        <v>SO674</v>
      </c>
      <c r="C541" s="486" t="str">
        <f t="shared" si="468"/>
        <v/>
      </c>
      <c r="D541" s="486"/>
      <c r="E541" s="486"/>
      <c r="F541" s="528"/>
      <c r="G541" s="486"/>
      <c r="H541" s="486" t="s">
        <v>5917</v>
      </c>
      <c r="I541" s="491"/>
      <c r="J541" s="491"/>
      <c r="K541" s="491"/>
      <c r="L541" s="491"/>
      <c r="M541" s="486"/>
      <c r="N541" s="422"/>
      <c r="O541" s="422"/>
      <c r="P541" s="422"/>
      <c r="Q541" s="486"/>
      <c r="R541" s="491"/>
      <c r="S541" s="491"/>
      <c r="T541" s="491"/>
      <c r="U541" s="491"/>
      <c r="V541" s="491"/>
      <c r="W541" s="493"/>
      <c r="X541" s="486"/>
      <c r="Y541" s="442"/>
      <c r="Z541" s="491"/>
      <c r="AA541" s="524" t="str">
        <f t="shared" si="464"/>
        <v/>
      </c>
      <c r="AB541" s="494"/>
      <c r="AC541" s="436"/>
      <c r="AD541" s="495"/>
      <c r="AE541" s="491"/>
      <c r="AF541" s="491"/>
      <c r="AG541" s="525" t="str">
        <f t="shared" si="465"/>
        <v/>
      </c>
      <c r="AH541" s="491"/>
      <c r="AI541" s="446"/>
      <c r="AJ541" s="491"/>
      <c r="AK541" s="500"/>
      <c r="AL541" s="436"/>
      <c r="AM541" s="438"/>
      <c r="AN541" s="531"/>
      <c r="AO541" s="491"/>
      <c r="AP541" s="438"/>
      <c r="AQ541" s="438"/>
      <c r="AR541" s="438"/>
      <c r="AS541" s="438"/>
      <c r="AT541" s="438"/>
      <c r="AU541" s="438"/>
      <c r="AV541" s="438"/>
      <c r="AW541" s="450">
        <f t="shared" si="466"/>
        <v>388.3344336</v>
      </c>
    </row>
    <row r="542">
      <c r="A542" s="436" t="s">
        <v>636</v>
      </c>
      <c r="B542" s="436" t="s">
        <v>636</v>
      </c>
      <c r="C542" s="420"/>
      <c r="D542" s="420" t="s">
        <v>158</v>
      </c>
      <c r="E542" s="420"/>
      <c r="F542" s="420" t="s">
        <v>2503</v>
      </c>
      <c r="G542" s="420" t="s">
        <v>169</v>
      </c>
      <c r="H542" s="420" t="s">
        <v>754</v>
      </c>
      <c r="I542" s="436">
        <v>2010.0</v>
      </c>
      <c r="J542" s="436">
        <v>2935.0</v>
      </c>
      <c r="K542" s="419">
        <v>50.0</v>
      </c>
      <c r="L542" s="420" t="s">
        <v>217</v>
      </c>
      <c r="M542" s="429"/>
      <c r="N542" s="422">
        <v>12.34</v>
      </c>
      <c r="O542" s="422">
        <v>10.857</v>
      </c>
      <c r="P542" s="422">
        <v>17.95</v>
      </c>
      <c r="Q542" s="420" t="s">
        <v>2417</v>
      </c>
      <c r="R542" s="420" t="s">
        <v>2505</v>
      </c>
      <c r="S542" s="420" t="s">
        <v>2419</v>
      </c>
      <c r="T542" s="421" t="s">
        <v>162</v>
      </c>
      <c r="U542" s="420" t="s">
        <v>1754</v>
      </c>
      <c r="V542" s="440"/>
      <c r="W542" s="474">
        <v>0.033</v>
      </c>
      <c r="X542" s="436"/>
      <c r="Y542" s="442">
        <f t="shared" ref="Y542:Y545" si="469">IF((W542/((J542/5780)^4))^0.5&gt;0,(W542/((J542/5780)^4))^0.5,"")</f>
        <v>0.7045250438</v>
      </c>
      <c r="Z542" s="469"/>
      <c r="AA542" s="470">
        <v>0.7</v>
      </c>
      <c r="AB542" s="470">
        <v>0.03</v>
      </c>
      <c r="AC542" s="469">
        <f>IF(ISNUMBER(VLOOKUP(B542,'New Masses'!A:C,3,FALSE)),VLOOKUP(B542,'New Masses'!A:C,3,FALSE),"")</f>
        <v>0.604621</v>
      </c>
      <c r="AD542" s="451">
        <f>10^AE542</f>
        <v>0</v>
      </c>
      <c r="AE542" s="436">
        <v>-10.49</v>
      </c>
      <c r="AF542" s="438"/>
      <c r="AG542" s="459">
        <v>0.07</v>
      </c>
      <c r="AH542" s="436">
        <v>0.01</v>
      </c>
      <c r="AI542" s="446">
        <f>IF(ISNUMBER(VLOOKUP(B542,'New Masses'!A:C,2, FALSE)),VLOOKUP(B542,'New Masses'!A:C,2, FALSE),"")</f>
        <v>0.047607</v>
      </c>
      <c r="AJ542" s="436"/>
      <c r="AK542" s="436"/>
      <c r="AL542" s="436">
        <v>-4.09</v>
      </c>
      <c r="AM542" s="438"/>
      <c r="AN542" s="436">
        <v>1.0</v>
      </c>
      <c r="AO542" s="438"/>
      <c r="AP542" s="436">
        <v>2.0</v>
      </c>
      <c r="AQ542" s="438"/>
      <c r="AR542" s="420" t="s">
        <v>2504</v>
      </c>
      <c r="AS542" s="420"/>
      <c r="AT542" s="438"/>
      <c r="AU542" s="438"/>
      <c r="AV542" s="438"/>
      <c r="AW542" s="450">
        <v>151.258470474346</v>
      </c>
    </row>
    <row r="543">
      <c r="A543" s="436" t="s">
        <v>636</v>
      </c>
      <c r="B543" s="436" t="s">
        <v>636</v>
      </c>
      <c r="C543" s="420"/>
      <c r="D543" s="420" t="s">
        <v>158</v>
      </c>
      <c r="E543" s="420"/>
      <c r="F543" s="420" t="s">
        <v>2503</v>
      </c>
      <c r="G543" s="420" t="s">
        <v>169</v>
      </c>
      <c r="H543" s="420" t="s">
        <v>269</v>
      </c>
      <c r="I543" s="420" t="s">
        <v>2199</v>
      </c>
      <c r="J543" s="436">
        <v>2600.0</v>
      </c>
      <c r="K543" s="421">
        <v>100.0</v>
      </c>
      <c r="L543" s="420" t="s">
        <v>232</v>
      </c>
      <c r="M543" s="429"/>
      <c r="N543" s="422">
        <v>12.34</v>
      </c>
      <c r="O543" s="422">
        <v>10.857</v>
      </c>
      <c r="P543" s="422">
        <v>17.95</v>
      </c>
      <c r="Q543" s="420" t="s">
        <v>2200</v>
      </c>
      <c r="R543" s="420" t="s">
        <v>2176</v>
      </c>
      <c r="S543" s="420" t="s">
        <v>2201</v>
      </c>
      <c r="T543" s="420" t="s">
        <v>596</v>
      </c>
      <c r="U543" s="420" t="s">
        <v>597</v>
      </c>
      <c r="V543" s="440"/>
      <c r="W543" s="458">
        <v>0.06025595860743578</v>
      </c>
      <c r="X543" s="438"/>
      <c r="Y543" s="442">
        <f t="shared" si="469"/>
        <v>1.213134576</v>
      </c>
      <c r="Z543" s="442"/>
      <c r="AA543" s="443"/>
      <c r="AB543" s="443"/>
      <c r="AC543" s="469">
        <f>IF(ISNUMBER(VLOOKUP(B543,'New Masses'!A:C,3,FALSE)),VLOOKUP(B543,'New Masses'!A:C,3,FALSE),"")</f>
        <v>0.604621</v>
      </c>
      <c r="AD543" s="451">
        <f>(10^-10.5)</f>
        <v>0</v>
      </c>
      <c r="AE543" s="436">
        <f>LOG10(AD543)</f>
        <v>-10.5</v>
      </c>
      <c r="AF543" s="438"/>
      <c r="AG543" s="459">
        <f>0.0009543*40</f>
        <v>0.038172</v>
      </c>
      <c r="AH543" s="420"/>
      <c r="AI543" s="446">
        <f>IF(ISNUMBER(VLOOKUP(B543,'New Masses'!A:C,2, FALSE)),VLOOKUP(B543,'New Masses'!A:C,2, FALSE),"")</f>
        <v>0.047607</v>
      </c>
      <c r="AJ543" s="420"/>
      <c r="AK543" s="438"/>
      <c r="AL543" s="438"/>
      <c r="AM543" s="420" t="s">
        <v>2407</v>
      </c>
      <c r="AN543" s="505">
        <v>1.0</v>
      </c>
      <c r="AO543" s="506"/>
      <c r="AP543" s="505">
        <v>2.0</v>
      </c>
      <c r="AQ543" s="506"/>
      <c r="AR543" s="507" t="s">
        <v>2504</v>
      </c>
      <c r="AS543" s="507"/>
      <c r="AT543" s="506"/>
      <c r="AU543" s="506"/>
      <c r="AV543" s="506"/>
      <c r="AW543" s="450">
        <v>151.258470474346</v>
      </c>
    </row>
    <row r="544">
      <c r="A544" s="436" t="s">
        <v>636</v>
      </c>
      <c r="B544" s="436" t="s">
        <v>636</v>
      </c>
      <c r="C544" s="420"/>
      <c r="D544" s="420" t="s">
        <v>158</v>
      </c>
      <c r="E544" s="420"/>
      <c r="F544" s="420" t="s">
        <v>2503</v>
      </c>
      <c r="G544" s="420" t="s">
        <v>169</v>
      </c>
      <c r="H544" s="420" t="s">
        <v>160</v>
      </c>
      <c r="I544" s="420" t="s">
        <v>1963</v>
      </c>
      <c r="J544" s="436">
        <v>2691.5348</v>
      </c>
      <c r="K544" s="436"/>
      <c r="L544" s="420" t="s">
        <v>217</v>
      </c>
      <c r="M544" s="429"/>
      <c r="N544" s="422">
        <v>12.34</v>
      </c>
      <c r="O544" s="422">
        <v>10.857</v>
      </c>
      <c r="P544" s="422">
        <v>17.95</v>
      </c>
      <c r="Q544" s="420" t="s">
        <v>2183</v>
      </c>
      <c r="R544" s="438"/>
      <c r="S544" s="438" t="s">
        <v>1964</v>
      </c>
      <c r="T544" s="421" t="s">
        <v>162</v>
      </c>
      <c r="U544" s="420" t="s">
        <v>2185</v>
      </c>
      <c r="V544" s="451"/>
      <c r="W544" s="458">
        <v>0.03715352290971726</v>
      </c>
      <c r="X544" s="438"/>
      <c r="Y544" s="442">
        <f t="shared" si="469"/>
        <v>0.8889056735</v>
      </c>
      <c r="Z544" s="442"/>
      <c r="AA544" s="443"/>
      <c r="AB544" s="443"/>
      <c r="AC544" s="469">
        <f>IF(ISNUMBER(VLOOKUP(B544,'New Masses'!A:C,3,FALSE)),VLOOKUP(B544,'New Masses'!A:C,3,FALSE),"")</f>
        <v>0.604621</v>
      </c>
      <c r="AD544" s="440">
        <f t="shared" ref="AD544:AD545" si="470">10^AE544</f>
        <v>0</v>
      </c>
      <c r="AE544" s="436">
        <v>-10.54</v>
      </c>
      <c r="AF544" s="438"/>
      <c r="AG544" s="459">
        <f>10^AJ544</f>
        <v>0.05754399373</v>
      </c>
      <c r="AH544" s="438"/>
      <c r="AI544" s="446">
        <f>IF(ISNUMBER(VLOOKUP(B544,'New Masses'!A:C,2, FALSE)),VLOOKUP(B544,'New Masses'!A:C,2, FALSE),"")</f>
        <v>0.047607</v>
      </c>
      <c r="AJ544" s="436">
        <v>-1.24</v>
      </c>
      <c r="AK544" s="436"/>
      <c r="AL544" s="511">
        <v>-4.17</v>
      </c>
      <c r="AM544" s="436"/>
      <c r="AN544" s="436">
        <v>1.0</v>
      </c>
      <c r="AO544" s="438"/>
      <c r="AP544" s="436">
        <v>2.0</v>
      </c>
      <c r="AQ544" s="438"/>
      <c r="AR544" s="420" t="s">
        <v>2504</v>
      </c>
      <c r="AS544" s="420" t="str">
        <f>VLOOKUP(B544,natta06!A:F,6,FALSE)</f>
        <v>#REF!</v>
      </c>
      <c r="AT544" s="438"/>
      <c r="AU544" s="420" t="s">
        <v>1304</v>
      </c>
      <c r="AV544" s="438"/>
      <c r="AW544" s="450">
        <v>151.258470474346</v>
      </c>
    </row>
    <row r="545">
      <c r="A545" s="436" t="s">
        <v>636</v>
      </c>
      <c r="B545" s="436" t="s">
        <v>636</v>
      </c>
      <c r="C545" s="420"/>
      <c r="D545" s="436" t="s">
        <v>158</v>
      </c>
      <c r="E545" s="436"/>
      <c r="F545" s="436" t="s">
        <v>2503</v>
      </c>
      <c r="G545" s="436" t="s">
        <v>169</v>
      </c>
      <c r="H545" s="436" t="s">
        <v>754</v>
      </c>
      <c r="I545" s="436">
        <v>2010.0</v>
      </c>
      <c r="J545" s="436">
        <v>2935.0</v>
      </c>
      <c r="K545" s="436">
        <v>50.0</v>
      </c>
      <c r="L545" s="436" t="s">
        <v>217</v>
      </c>
      <c r="M545" s="439"/>
      <c r="N545" s="422">
        <v>12.34</v>
      </c>
      <c r="O545" s="422">
        <v>10.857</v>
      </c>
      <c r="P545" s="422">
        <v>17.95</v>
      </c>
      <c r="Q545" s="436" t="s">
        <v>2417</v>
      </c>
      <c r="R545" s="436" t="s">
        <v>2505</v>
      </c>
      <c r="S545" s="436" t="s">
        <v>2419</v>
      </c>
      <c r="T545" s="419" t="s">
        <v>162</v>
      </c>
      <c r="U545" s="436" t="s">
        <v>1754</v>
      </c>
      <c r="V545" s="440"/>
      <c r="W545" s="474">
        <v>0.033</v>
      </c>
      <c r="X545" s="436"/>
      <c r="Y545" s="442">
        <f t="shared" si="469"/>
        <v>0.7045250438</v>
      </c>
      <c r="Z545" s="469"/>
      <c r="AA545" s="470">
        <v>0.7</v>
      </c>
      <c r="AB545" s="470">
        <v>0.03</v>
      </c>
      <c r="AC545" s="469">
        <f>IF(ISNUMBER(VLOOKUP(B545,'New Masses'!A:C,3,FALSE)),VLOOKUP(B545,'New Masses'!A:C,3,FALSE),"")</f>
        <v>0.604621</v>
      </c>
      <c r="AD545" s="440">
        <f t="shared" si="470"/>
        <v>0</v>
      </c>
      <c r="AE545" s="436">
        <v>-10.49</v>
      </c>
      <c r="AF545" s="438"/>
      <c r="AG545" s="459">
        <v>0.07</v>
      </c>
      <c r="AH545" s="436">
        <v>0.1</v>
      </c>
      <c r="AI545" s="446">
        <f>IF(ISNUMBER(VLOOKUP(B545,'New Masses'!A:C,2, FALSE)),VLOOKUP(B545,'New Masses'!A:C,2, FALSE),"")</f>
        <v>0.047607</v>
      </c>
      <c r="AJ545" s="436">
        <f>LOG10(AG545)</f>
        <v>-1.15490196</v>
      </c>
      <c r="AK545" s="436"/>
      <c r="AL545" s="436">
        <v>-4.09</v>
      </c>
      <c r="AM545" s="438"/>
      <c r="AN545" s="436">
        <v>1.0</v>
      </c>
      <c r="AO545" s="438"/>
      <c r="AP545" s="438"/>
      <c r="AQ545" s="438"/>
      <c r="AR545" s="438"/>
      <c r="AS545" s="438"/>
      <c r="AT545" s="438"/>
      <c r="AU545" s="438"/>
      <c r="AV545" s="438"/>
      <c r="AW545" s="450">
        <v>151.258470474346</v>
      </c>
    </row>
    <row r="546">
      <c r="A546" s="435" t="str">
        <f t="shared" ref="A546:C546" si="471">A11</f>
        <v>#REF!</v>
      </c>
      <c r="B546" s="485" t="str">
        <f t="shared" si="471"/>
        <v>#REF!</v>
      </c>
      <c r="C546" s="486" t="str">
        <f t="shared" si="471"/>
        <v>#REF!</v>
      </c>
      <c r="D546" s="486"/>
      <c r="E546" s="486"/>
      <c r="F546" s="528"/>
      <c r="G546" s="486"/>
      <c r="H546" s="486" t="s">
        <v>5917</v>
      </c>
      <c r="I546" s="491"/>
      <c r="J546" s="491"/>
      <c r="K546" s="491"/>
      <c r="L546" s="491"/>
      <c r="M546" s="486"/>
      <c r="N546" s="422"/>
      <c r="O546" s="422"/>
      <c r="P546" s="422"/>
      <c r="Q546" s="486"/>
      <c r="R546" s="491"/>
      <c r="S546" s="491"/>
      <c r="T546" s="491"/>
      <c r="U546" s="491"/>
      <c r="V546" s="491"/>
      <c r="W546" s="493"/>
      <c r="X546" s="486"/>
      <c r="Y546" s="442"/>
      <c r="Z546" s="491"/>
      <c r="AA546" s="524" t="str">
        <f t="shared" ref="AA546:AA549" si="473">AC11</f>
        <v/>
      </c>
      <c r="AB546" s="494"/>
      <c r="AC546" s="436"/>
      <c r="AD546" s="495"/>
      <c r="AE546" s="491"/>
      <c r="AF546" s="491"/>
      <c r="AG546" s="525" t="str">
        <f t="shared" ref="AG546:AG549" si="474">AI11</f>
        <v/>
      </c>
      <c r="AH546" s="491"/>
      <c r="AI546" s="446"/>
      <c r="AJ546" s="491"/>
      <c r="AK546" s="500"/>
      <c r="AL546" s="436"/>
      <c r="AM546" s="438"/>
      <c r="AN546" s="531"/>
      <c r="AO546" s="491"/>
      <c r="AP546" s="438"/>
      <c r="AQ546" s="438"/>
      <c r="AR546" s="438"/>
      <c r="AS546" s="438"/>
      <c r="AT546" s="438"/>
      <c r="AU546" s="438"/>
      <c r="AV546" s="438"/>
      <c r="AW546" s="450" t="str">
        <f t="shared" ref="AW546:AW549" si="475">AW11</f>
        <v>#REF!</v>
      </c>
    </row>
    <row r="547">
      <c r="A547" s="435" t="str">
        <f t="shared" ref="A547:C547" si="472">A12</f>
        <v>[BZR99] S Ori 10</v>
      </c>
      <c r="B547" s="485" t="str">
        <f t="shared" si="472"/>
        <v>SO1193</v>
      </c>
      <c r="C547" s="486" t="str">
        <f t="shared" si="472"/>
        <v/>
      </c>
      <c r="D547" s="486"/>
      <c r="E547" s="486"/>
      <c r="F547" s="528"/>
      <c r="G547" s="486"/>
      <c r="H547" s="486" t="s">
        <v>5917</v>
      </c>
      <c r="I547" s="491"/>
      <c r="J547" s="491"/>
      <c r="K547" s="491"/>
      <c r="L547" s="491"/>
      <c r="M547" s="486"/>
      <c r="N547" s="422"/>
      <c r="O547" s="422"/>
      <c r="P547" s="422"/>
      <c r="Q547" s="486"/>
      <c r="R547" s="491"/>
      <c r="S547" s="491"/>
      <c r="T547" s="491"/>
      <c r="U547" s="491"/>
      <c r="V547" s="491"/>
      <c r="W547" s="493"/>
      <c r="X547" s="486"/>
      <c r="Y547" s="442"/>
      <c r="Z547" s="491"/>
      <c r="AA547" s="524" t="str">
        <f t="shared" si="473"/>
        <v/>
      </c>
      <c r="AB547" s="494"/>
      <c r="AC547" s="436"/>
      <c r="AD547" s="495"/>
      <c r="AE547" s="491"/>
      <c r="AF547" s="491"/>
      <c r="AG547" s="525" t="str">
        <f t="shared" si="474"/>
        <v/>
      </c>
      <c r="AH547" s="491"/>
      <c r="AI547" s="446"/>
      <c r="AJ547" s="491"/>
      <c r="AK547" s="500"/>
      <c r="AL547" s="436"/>
      <c r="AM547" s="438"/>
      <c r="AN547" s="531"/>
      <c r="AO547" s="491"/>
      <c r="AP547" s="438"/>
      <c r="AQ547" s="438"/>
      <c r="AR547" s="438"/>
      <c r="AS547" s="438"/>
      <c r="AT547" s="438"/>
      <c r="AU547" s="438"/>
      <c r="AV547" s="438"/>
      <c r="AW547" s="450">
        <f t="shared" si="475"/>
        <v>413.3085348</v>
      </c>
    </row>
    <row r="548">
      <c r="A548" s="435" t="str">
        <f t="shared" ref="A548:C548" si="476">A13</f>
        <v>#REF!</v>
      </c>
      <c r="B548" s="485" t="str">
        <f t="shared" si="476"/>
        <v>#REF!</v>
      </c>
      <c r="C548" s="486" t="str">
        <f t="shared" si="476"/>
        <v>#REF!</v>
      </c>
      <c r="D548" s="486"/>
      <c r="E548" s="486"/>
      <c r="F548" s="528"/>
      <c r="G548" s="486"/>
      <c r="H548" s="486" t="s">
        <v>5917</v>
      </c>
      <c r="I548" s="491"/>
      <c r="J548" s="491"/>
      <c r="K548" s="491"/>
      <c r="L548" s="491"/>
      <c r="M548" s="486"/>
      <c r="N548" s="422"/>
      <c r="O548" s="422"/>
      <c r="P548" s="422"/>
      <c r="Q548" s="486"/>
      <c r="R548" s="491"/>
      <c r="S548" s="491"/>
      <c r="T548" s="491"/>
      <c r="U548" s="491"/>
      <c r="V548" s="491"/>
      <c r="W548" s="493"/>
      <c r="X548" s="486"/>
      <c r="Y548" s="442"/>
      <c r="Z548" s="491"/>
      <c r="AA548" s="524" t="str">
        <f t="shared" si="473"/>
        <v/>
      </c>
      <c r="AB548" s="494"/>
      <c r="AC548" s="436"/>
      <c r="AD548" s="495"/>
      <c r="AE548" s="491"/>
      <c r="AF548" s="491"/>
      <c r="AG548" s="525" t="str">
        <f t="shared" si="474"/>
        <v/>
      </c>
      <c r="AH548" s="491"/>
      <c r="AI548" s="446"/>
      <c r="AJ548" s="491"/>
      <c r="AK548" s="500"/>
      <c r="AL548" s="436"/>
      <c r="AM548" s="438"/>
      <c r="AN548" s="531"/>
      <c r="AO548" s="491"/>
      <c r="AP548" s="438"/>
      <c r="AQ548" s="438"/>
      <c r="AR548" s="438"/>
      <c r="AS548" s="438"/>
      <c r="AT548" s="438"/>
      <c r="AU548" s="438"/>
      <c r="AV548" s="438"/>
      <c r="AW548" s="450" t="str">
        <f t="shared" si="475"/>
        <v>#REF!</v>
      </c>
    </row>
    <row r="549">
      <c r="A549" s="435" t="str">
        <f t="shared" ref="A549:C549" si="477">A14</f>
        <v>[BZR99] S Ori 15</v>
      </c>
      <c r="B549" s="485" t="str">
        <f t="shared" si="477"/>
        <v>SO738</v>
      </c>
      <c r="C549" s="486" t="str">
        <f t="shared" si="477"/>
        <v/>
      </c>
      <c r="D549" s="486"/>
      <c r="E549" s="486"/>
      <c r="F549" s="528"/>
      <c r="G549" s="486"/>
      <c r="H549" s="486" t="s">
        <v>5917</v>
      </c>
      <c r="I549" s="491"/>
      <c r="J549" s="491"/>
      <c r="K549" s="491"/>
      <c r="L549" s="491"/>
      <c r="M549" s="486"/>
      <c r="N549" s="422"/>
      <c r="O549" s="422"/>
      <c r="P549" s="422"/>
      <c r="Q549" s="486"/>
      <c r="R549" s="491"/>
      <c r="S549" s="491"/>
      <c r="T549" s="491"/>
      <c r="U549" s="491"/>
      <c r="V549" s="491"/>
      <c r="W549" s="493"/>
      <c r="X549" s="486"/>
      <c r="Y549" s="442"/>
      <c r="Z549" s="491"/>
      <c r="AA549" s="524" t="str">
        <f t="shared" si="473"/>
        <v/>
      </c>
      <c r="AB549" s="494"/>
      <c r="AC549" s="436"/>
      <c r="AD549" s="495"/>
      <c r="AE549" s="491"/>
      <c r="AF549" s="491"/>
      <c r="AG549" s="525" t="str">
        <f t="shared" si="474"/>
        <v/>
      </c>
      <c r="AH549" s="491"/>
      <c r="AI549" s="446"/>
      <c r="AJ549" s="491"/>
      <c r="AK549" s="500"/>
      <c r="AL549" s="436"/>
      <c r="AM549" s="438"/>
      <c r="AN549" s="531"/>
      <c r="AO549" s="491"/>
      <c r="AP549" s="438"/>
      <c r="AQ549" s="438"/>
      <c r="AR549" s="438"/>
      <c r="AS549" s="438"/>
      <c r="AT549" s="438"/>
      <c r="AU549" s="438"/>
      <c r="AV549" s="438"/>
      <c r="AW549" s="450">
        <f t="shared" si="475"/>
        <v>363.9407504</v>
      </c>
    </row>
    <row r="550">
      <c r="A550" s="436" t="s">
        <v>214</v>
      </c>
      <c r="B550" s="532" t="s">
        <v>214</v>
      </c>
      <c r="C550" s="421" t="s">
        <v>2506</v>
      </c>
      <c r="D550" s="420" t="s">
        <v>158</v>
      </c>
      <c r="E550" s="420"/>
      <c r="F550" s="420" t="s">
        <v>2507</v>
      </c>
      <c r="G550" s="420" t="s">
        <v>169</v>
      </c>
      <c r="H550" s="420" t="s">
        <v>215</v>
      </c>
      <c r="I550" s="420" t="s">
        <v>2509</v>
      </c>
      <c r="J550" s="436">
        <v>2700.0</v>
      </c>
      <c r="K550" s="421">
        <v>100.0</v>
      </c>
      <c r="L550" s="420" t="s">
        <v>217</v>
      </c>
      <c r="M550" s="429"/>
      <c r="N550" s="422">
        <v>16.451</v>
      </c>
      <c r="O550" s="422">
        <v>13.935</v>
      </c>
      <c r="P550" s="422"/>
      <c r="Q550" s="420" t="s">
        <v>2510</v>
      </c>
      <c r="R550" s="420" t="s">
        <v>2511</v>
      </c>
      <c r="S550" s="420" t="s">
        <v>216</v>
      </c>
      <c r="T550" s="421" t="s">
        <v>162</v>
      </c>
      <c r="U550" s="420" t="s">
        <v>2210</v>
      </c>
      <c r="V550" s="462">
        <v>1020000.0</v>
      </c>
      <c r="W550" s="533">
        <v>0.005011872336272725</v>
      </c>
      <c r="X550" s="420"/>
      <c r="Y550" s="442">
        <f t="shared" ref="Y550:Y553" si="478">IF((W550/((J550/5780)^4))^0.5&gt;0,(W550/((J550/5780)^4))^0.5,"")</f>
        <v>0.3244353353</v>
      </c>
      <c r="Z550" s="534"/>
      <c r="AA550" s="426"/>
      <c r="AB550" s="426"/>
      <c r="AC550" s="469">
        <f>IF(ISNUMBER(VLOOKUP(B550,'New Masses'!A:C,3,FALSE)),VLOOKUP(B550,'New Masses'!A:C,3,FALSE),"")</f>
        <v>0.604621</v>
      </c>
      <c r="AD550" s="451">
        <f>9.5*10^-10</f>
        <v>0.00000000095</v>
      </c>
      <c r="AE550" s="436">
        <f>LOG10(AD550)</f>
        <v>-9.022276395</v>
      </c>
      <c r="AF550" s="420" t="s">
        <v>2512</v>
      </c>
      <c r="AG550" s="459">
        <f>0.0009543 *30</f>
        <v>0.028629</v>
      </c>
      <c r="AH550" s="438"/>
      <c r="AI550" s="446">
        <f>IF(ISNUMBER(VLOOKUP(B550,'New Masses'!A:C,2, FALSE)),VLOOKUP(B550,'New Masses'!A:C,2, FALSE),"")</f>
        <v>0.047607</v>
      </c>
      <c r="AJ550" s="438"/>
      <c r="AK550" s="438"/>
      <c r="AL550" s="438"/>
      <c r="AM550" s="438"/>
      <c r="AN550" s="436">
        <v>1.0</v>
      </c>
      <c r="AO550" s="438"/>
      <c r="AP550" s="419">
        <v>8.0</v>
      </c>
      <c r="AQ550" s="438"/>
      <c r="AR550" s="420"/>
      <c r="AS550" s="420"/>
      <c r="AT550" s="438"/>
      <c r="AU550" s="438"/>
      <c r="AV550" s="438"/>
      <c r="AW550" s="450"/>
    </row>
    <row r="551">
      <c r="A551" s="436" t="s">
        <v>214</v>
      </c>
      <c r="B551" s="508" t="s">
        <v>214</v>
      </c>
      <c r="C551" s="421" t="s">
        <v>2506</v>
      </c>
      <c r="D551" s="420" t="s">
        <v>158</v>
      </c>
      <c r="E551" s="420"/>
      <c r="F551" s="420" t="s">
        <v>2507</v>
      </c>
      <c r="G551" s="420" t="s">
        <v>169</v>
      </c>
      <c r="H551" s="420" t="s">
        <v>1309</v>
      </c>
      <c r="I551" s="420" t="s">
        <v>2409</v>
      </c>
      <c r="J551" s="436">
        <v>2400.0</v>
      </c>
      <c r="K551" s="419">
        <v>150.0</v>
      </c>
      <c r="L551" s="420" t="s">
        <v>213</v>
      </c>
      <c r="M551" s="422">
        <v>0.5</v>
      </c>
      <c r="N551" s="422">
        <v>16.451</v>
      </c>
      <c r="O551" s="422">
        <v>13.935</v>
      </c>
      <c r="P551" s="422"/>
      <c r="Q551" s="420" t="s">
        <v>2410</v>
      </c>
      <c r="R551" s="420" t="s">
        <v>2508</v>
      </c>
      <c r="S551" s="420" t="s">
        <v>2412</v>
      </c>
      <c r="T551" s="420" t="s">
        <v>596</v>
      </c>
      <c r="U551" s="420" t="s">
        <v>2413</v>
      </c>
      <c r="V551" s="440"/>
      <c r="W551" s="441">
        <v>0.01</v>
      </c>
      <c r="X551" s="454"/>
      <c r="Y551" s="442">
        <f t="shared" si="478"/>
        <v>0.5800069444</v>
      </c>
      <c r="Z551" s="442"/>
      <c r="AA551" s="443"/>
      <c r="AB551" s="443"/>
      <c r="AC551" s="469">
        <f>IF(ISNUMBER(VLOOKUP(B551,'New Masses'!A:C,3,FALSE)),VLOOKUP(B551,'New Masses'!A:C,3,FALSE),"")</f>
        <v>0.604621</v>
      </c>
      <c r="AD551" s="451">
        <f t="shared" ref="AD551:AD553" si="479">10^AE551</f>
        <v>0</v>
      </c>
      <c r="AE551" s="436">
        <v>-10.83</v>
      </c>
      <c r="AF551" s="438"/>
      <c r="AG551" s="459">
        <v>0.015</v>
      </c>
      <c r="AH551" s="436"/>
      <c r="AI551" s="446">
        <f>IF(ISNUMBER(VLOOKUP(B551,'New Masses'!A:C,2, FALSE)),VLOOKUP(B551,'New Masses'!A:C,2, FALSE),"")</f>
        <v>0.047607</v>
      </c>
      <c r="AJ551" s="436"/>
      <c r="AK551" s="438"/>
      <c r="AL551" s="438"/>
      <c r="AM551" s="420" t="s">
        <v>2407</v>
      </c>
      <c r="AN551" s="505">
        <v>1.0</v>
      </c>
      <c r="AO551" s="506"/>
      <c r="AP551" s="505">
        <v>7.8</v>
      </c>
      <c r="AQ551" s="507"/>
      <c r="AR551" s="507" t="s">
        <v>2408</v>
      </c>
      <c r="AS551" s="507"/>
      <c r="AT551" s="507" t="s">
        <v>5916</v>
      </c>
      <c r="AU551" s="506"/>
      <c r="AV551" s="506"/>
      <c r="AW551" s="450"/>
    </row>
    <row r="552">
      <c r="A552" s="436" t="s">
        <v>214</v>
      </c>
      <c r="B552" s="436" t="s">
        <v>214</v>
      </c>
      <c r="C552" s="421" t="s">
        <v>2506</v>
      </c>
      <c r="D552" s="420" t="s">
        <v>158</v>
      </c>
      <c r="E552" s="420"/>
      <c r="F552" s="420" t="s">
        <v>2507</v>
      </c>
      <c r="G552" s="420" t="s">
        <v>169</v>
      </c>
      <c r="H552" s="420" t="s">
        <v>754</v>
      </c>
      <c r="I552" s="436">
        <v>2010.0</v>
      </c>
      <c r="J552" s="436">
        <v>2700.0</v>
      </c>
      <c r="K552" s="419">
        <v>75.0</v>
      </c>
      <c r="L552" s="420" t="s">
        <v>318</v>
      </c>
      <c r="M552" s="429"/>
      <c r="N552" s="422">
        <v>16.451</v>
      </c>
      <c r="O552" s="422">
        <v>13.935</v>
      </c>
      <c r="P552" s="422"/>
      <c r="Q552" s="420" t="s">
        <v>2417</v>
      </c>
      <c r="R552" s="420" t="s">
        <v>2513</v>
      </c>
      <c r="S552" s="420" t="s">
        <v>2419</v>
      </c>
      <c r="T552" s="421" t="s">
        <v>162</v>
      </c>
      <c r="U552" s="420" t="s">
        <v>1754</v>
      </c>
      <c r="V552" s="440"/>
      <c r="W552" s="474">
        <v>0.005</v>
      </c>
      <c r="X552" s="436"/>
      <c r="Y552" s="442">
        <f t="shared" si="478"/>
        <v>0.3240508393</v>
      </c>
      <c r="Z552" s="469"/>
      <c r="AA552" s="470">
        <v>0.32</v>
      </c>
      <c r="AB552" s="470">
        <v>0.06</v>
      </c>
      <c r="AC552" s="469">
        <f>IF(ISNUMBER(VLOOKUP(B552,'New Masses'!A:C,3,FALSE)),VLOOKUP(B552,'New Masses'!A:C,3,FALSE),"")</f>
        <v>0.604621</v>
      </c>
      <c r="AD552" s="451">
        <f t="shared" si="479"/>
        <v>0</v>
      </c>
      <c r="AE552" s="436">
        <v>-10.7</v>
      </c>
      <c r="AF552" s="438"/>
      <c r="AG552" s="459">
        <v>0.03</v>
      </c>
      <c r="AH552" s="436">
        <v>0.02</v>
      </c>
      <c r="AI552" s="446">
        <f>IF(ISNUMBER(VLOOKUP(B552,'New Masses'!A:C,2, FALSE)),VLOOKUP(B552,'New Masses'!A:C,2, FALSE),"")</f>
        <v>0.047607</v>
      </c>
      <c r="AJ552" s="436"/>
      <c r="AK552" s="436"/>
      <c r="AL552" s="436">
        <v>-4.33</v>
      </c>
      <c r="AM552" s="438"/>
      <c r="AN552" s="436">
        <v>1.0</v>
      </c>
      <c r="AO552" s="438"/>
      <c r="AP552" s="436">
        <v>7.8</v>
      </c>
      <c r="AQ552" s="438"/>
      <c r="AR552" s="420" t="s">
        <v>2408</v>
      </c>
      <c r="AS552" s="420"/>
      <c r="AT552" s="438"/>
      <c r="AU552" s="438"/>
      <c r="AV552" s="438"/>
      <c r="AW552" s="450"/>
    </row>
    <row r="553">
      <c r="A553" s="436" t="s">
        <v>214</v>
      </c>
      <c r="B553" s="436" t="s">
        <v>214</v>
      </c>
      <c r="C553" s="421" t="s">
        <v>2506</v>
      </c>
      <c r="D553" s="420" t="s">
        <v>158</v>
      </c>
      <c r="E553" s="420"/>
      <c r="F553" s="420" t="s">
        <v>2507</v>
      </c>
      <c r="G553" s="420" t="s">
        <v>169</v>
      </c>
      <c r="H553" s="420" t="s">
        <v>160</v>
      </c>
      <c r="I553" s="420" t="s">
        <v>1963</v>
      </c>
      <c r="J553" s="436">
        <v>2344.22882</v>
      </c>
      <c r="K553" s="436"/>
      <c r="L553" s="420" t="s">
        <v>318</v>
      </c>
      <c r="M553" s="429"/>
      <c r="N553" s="422">
        <v>16.451</v>
      </c>
      <c r="O553" s="422">
        <v>13.935</v>
      </c>
      <c r="P553" s="422"/>
      <c r="Q553" s="420" t="s">
        <v>2183</v>
      </c>
      <c r="R553" s="438"/>
      <c r="S553" s="438" t="s">
        <v>1964</v>
      </c>
      <c r="T553" s="421" t="s">
        <v>162</v>
      </c>
      <c r="U553" s="420" t="s">
        <v>2185</v>
      </c>
      <c r="V553" s="451"/>
      <c r="W553" s="458">
        <v>0.001122018454301963</v>
      </c>
      <c r="X553" s="438"/>
      <c r="Y553" s="442">
        <f t="shared" si="478"/>
        <v>0.203636524</v>
      </c>
      <c r="Z553" s="442"/>
      <c r="AA553" s="443"/>
      <c r="AB553" s="443"/>
      <c r="AC553" s="469">
        <f>IF(ISNUMBER(VLOOKUP(B553,'New Masses'!A:C,3,FALSE)),VLOOKUP(B553,'New Masses'!A:C,3,FALSE),"")</f>
        <v>0.604621</v>
      </c>
      <c r="AD553" s="440">
        <f t="shared" si="479"/>
        <v>0</v>
      </c>
      <c r="AE553" s="436">
        <v>-11.81</v>
      </c>
      <c r="AF553" s="438"/>
      <c r="AG553" s="459">
        <f>10^AJ553</f>
        <v>0.006918309709</v>
      </c>
      <c r="AH553" s="438"/>
      <c r="AI553" s="446">
        <f>IF(ISNUMBER(VLOOKUP(B553,'New Masses'!A:C,2, FALSE)),VLOOKUP(B553,'New Masses'!A:C,2, FALSE),"")</f>
        <v>0.047607</v>
      </c>
      <c r="AJ553" s="436">
        <v>-2.16</v>
      </c>
      <c r="AK553" s="436"/>
      <c r="AL553" s="489">
        <v>-5.73</v>
      </c>
      <c r="AM553" s="436"/>
      <c r="AN553" s="436">
        <v>1.0</v>
      </c>
      <c r="AO553" s="438"/>
      <c r="AP553" s="436">
        <v>7.8</v>
      </c>
      <c r="AQ553" s="438"/>
      <c r="AR553" s="420" t="s">
        <v>2408</v>
      </c>
      <c r="AS553" s="420" t="str">
        <f>VLOOKUP(B553,natta06!A:F,6,FALSE)</f>
        <v>#REF!</v>
      </c>
      <c r="AT553" s="438" t="s">
        <v>5916</v>
      </c>
      <c r="AU553" s="420" t="s">
        <v>1304</v>
      </c>
      <c r="AV553" s="438"/>
      <c r="AW553" s="450"/>
    </row>
    <row r="554">
      <c r="A554" s="435" t="str">
        <f t="shared" ref="A554:C554" si="480">A19</f>
        <v>#REF!</v>
      </c>
      <c r="B554" s="485" t="str">
        <f t="shared" si="480"/>
        <v>#REF!</v>
      </c>
      <c r="C554" s="486" t="str">
        <f t="shared" si="480"/>
        <v>#REF!</v>
      </c>
      <c r="D554" s="486"/>
      <c r="E554" s="486"/>
      <c r="F554" s="528"/>
      <c r="G554" s="486"/>
      <c r="H554" s="486" t="s">
        <v>5917</v>
      </c>
      <c r="I554" s="491"/>
      <c r="J554" s="491"/>
      <c r="K554" s="491"/>
      <c r="L554" s="491"/>
      <c r="M554" s="486"/>
      <c r="N554" s="422"/>
      <c r="O554" s="422"/>
      <c r="P554" s="422"/>
      <c r="Q554" s="486"/>
      <c r="R554" s="491"/>
      <c r="S554" s="491"/>
      <c r="T554" s="491"/>
      <c r="U554" s="491"/>
      <c r="V554" s="491"/>
      <c r="W554" s="493"/>
      <c r="X554" s="486"/>
      <c r="Y554" s="442"/>
      <c r="Z554" s="491"/>
      <c r="AA554" s="524" t="str">
        <f t="shared" ref="AA554:AA557" si="482">AC19</f>
        <v/>
      </c>
      <c r="AB554" s="494"/>
      <c r="AC554" s="436"/>
      <c r="AD554" s="495"/>
      <c r="AE554" s="491"/>
      <c r="AF554" s="491"/>
      <c r="AG554" s="525" t="str">
        <f t="shared" ref="AG554:AG557" si="483">AI19</f>
        <v/>
      </c>
      <c r="AH554" s="491"/>
      <c r="AI554" s="446"/>
      <c r="AJ554" s="491"/>
      <c r="AK554" s="500"/>
      <c r="AL554" s="436"/>
      <c r="AM554" s="438"/>
      <c r="AN554" s="531"/>
      <c r="AO554" s="491"/>
      <c r="AP554" s="438"/>
      <c r="AQ554" s="438"/>
      <c r="AR554" s="438"/>
      <c r="AS554" s="438"/>
      <c r="AT554" s="438"/>
      <c r="AU554" s="438"/>
      <c r="AV554" s="438"/>
      <c r="AW554" s="450" t="str">
        <f t="shared" ref="AW554:AW557" si="484">AW19</f>
        <v>#REF!</v>
      </c>
    </row>
    <row r="555">
      <c r="A555" s="435" t="str">
        <f t="shared" ref="A555:C555" si="481">A20</f>
        <v>[CRA2011] D25 J06444602+0019182</v>
      </c>
      <c r="B555" s="485" t="str">
        <f t="shared" si="481"/>
        <v>2MASS J06444602+0019182</v>
      </c>
      <c r="C555" s="486" t="str">
        <f t="shared" si="481"/>
        <v/>
      </c>
      <c r="D555" s="486"/>
      <c r="E555" s="486"/>
      <c r="F555" s="528"/>
      <c r="G555" s="486"/>
      <c r="H555" s="486" t="s">
        <v>5917</v>
      </c>
      <c r="I555" s="491"/>
      <c r="J555" s="491"/>
      <c r="K555" s="491"/>
      <c r="L555" s="491"/>
      <c r="M555" s="486"/>
      <c r="N555" s="422"/>
      <c r="O555" s="422"/>
      <c r="P555" s="422"/>
      <c r="Q555" s="486"/>
      <c r="R555" s="491"/>
      <c r="S555" s="491"/>
      <c r="T555" s="491"/>
      <c r="U555" s="491"/>
      <c r="V555" s="491"/>
      <c r="W555" s="493"/>
      <c r="X555" s="486"/>
      <c r="Y555" s="442"/>
      <c r="Z555" s="491"/>
      <c r="AA555" s="524" t="str">
        <f t="shared" si="482"/>
        <v/>
      </c>
      <c r="AB555" s="494"/>
      <c r="AC555" s="436"/>
      <c r="AD555" s="495"/>
      <c r="AE555" s="491"/>
      <c r="AF555" s="491"/>
      <c r="AG555" s="525" t="str">
        <f t="shared" si="483"/>
        <v/>
      </c>
      <c r="AH555" s="491"/>
      <c r="AI555" s="446"/>
      <c r="AJ555" s="491"/>
      <c r="AK555" s="500"/>
      <c r="AL555" s="436"/>
      <c r="AM555" s="438"/>
      <c r="AN555" s="531"/>
      <c r="AO555" s="491"/>
      <c r="AP555" s="438"/>
      <c r="AQ555" s="438"/>
      <c r="AR555" s="438"/>
      <c r="AS555" s="438"/>
      <c r="AT555" s="438"/>
      <c r="AU555" s="438"/>
      <c r="AV555" s="438"/>
      <c r="AW555" s="450" t="str">
        <f t="shared" si="484"/>
        <v/>
      </c>
    </row>
    <row r="556">
      <c r="A556" s="435" t="str">
        <f t="shared" ref="A556:C556" si="485">A21</f>
        <v>#REF!</v>
      </c>
      <c r="B556" s="485" t="str">
        <f t="shared" si="485"/>
        <v>#REF!</v>
      </c>
      <c r="C556" s="486" t="str">
        <f t="shared" si="485"/>
        <v>#REF!</v>
      </c>
      <c r="D556" s="486"/>
      <c r="E556" s="486"/>
      <c r="F556" s="528"/>
      <c r="G556" s="486"/>
      <c r="H556" s="486" t="s">
        <v>5917</v>
      </c>
      <c r="I556" s="491"/>
      <c r="J556" s="491"/>
      <c r="K556" s="491"/>
      <c r="L556" s="491"/>
      <c r="M556" s="486"/>
      <c r="N556" s="422"/>
      <c r="O556" s="422"/>
      <c r="P556" s="422"/>
      <c r="Q556" s="486"/>
      <c r="R556" s="491"/>
      <c r="S556" s="491"/>
      <c r="T556" s="491"/>
      <c r="U556" s="491"/>
      <c r="V556" s="491"/>
      <c r="W556" s="493"/>
      <c r="X556" s="486"/>
      <c r="Y556" s="442"/>
      <c r="Z556" s="491"/>
      <c r="AA556" s="524" t="str">
        <f t="shared" si="482"/>
        <v/>
      </c>
      <c r="AB556" s="494"/>
      <c r="AC556" s="436"/>
      <c r="AD556" s="495"/>
      <c r="AE556" s="491"/>
      <c r="AF556" s="491"/>
      <c r="AG556" s="525" t="str">
        <f t="shared" si="483"/>
        <v/>
      </c>
      <c r="AH556" s="491"/>
      <c r="AI556" s="446"/>
      <c r="AJ556" s="491"/>
      <c r="AK556" s="500"/>
      <c r="AL556" s="436"/>
      <c r="AM556" s="438"/>
      <c r="AN556" s="531"/>
      <c r="AO556" s="491"/>
      <c r="AP556" s="438"/>
      <c r="AQ556" s="438"/>
      <c r="AR556" s="438"/>
      <c r="AS556" s="438"/>
      <c r="AT556" s="438"/>
      <c r="AU556" s="438"/>
      <c r="AV556" s="438"/>
      <c r="AW556" s="450" t="str">
        <f t="shared" si="484"/>
        <v>#REF!</v>
      </c>
    </row>
    <row r="557">
      <c r="A557" s="435" t="str">
        <f t="shared" ref="A557:C557" si="486">A22</f>
        <v>[CRA2011] D25 J06444714+0013320</v>
      </c>
      <c r="B557" s="485" t="str">
        <f t="shared" si="486"/>
        <v>2MASS J06444714+0013320</v>
      </c>
      <c r="C557" s="486" t="str">
        <f t="shared" si="486"/>
        <v/>
      </c>
      <c r="D557" s="486"/>
      <c r="E557" s="486"/>
      <c r="F557" s="528"/>
      <c r="G557" s="486"/>
      <c r="H557" s="486" t="s">
        <v>5917</v>
      </c>
      <c r="I557" s="491"/>
      <c r="J557" s="491"/>
      <c r="K557" s="491"/>
      <c r="L557" s="491"/>
      <c r="M557" s="486"/>
      <c r="N557" s="422"/>
      <c r="O557" s="422"/>
      <c r="P557" s="422"/>
      <c r="Q557" s="486"/>
      <c r="R557" s="491"/>
      <c r="S557" s="491"/>
      <c r="T557" s="491"/>
      <c r="U557" s="491"/>
      <c r="V557" s="491"/>
      <c r="W557" s="493"/>
      <c r="X557" s="486"/>
      <c r="Y557" s="442"/>
      <c r="Z557" s="491"/>
      <c r="AA557" s="524" t="str">
        <f t="shared" si="482"/>
        <v/>
      </c>
      <c r="AB557" s="494"/>
      <c r="AC557" s="436"/>
      <c r="AD557" s="495"/>
      <c r="AE557" s="491"/>
      <c r="AF557" s="491"/>
      <c r="AG557" s="525" t="str">
        <f t="shared" si="483"/>
        <v/>
      </c>
      <c r="AH557" s="491"/>
      <c r="AI557" s="446"/>
      <c r="AJ557" s="491"/>
      <c r="AK557" s="500"/>
      <c r="AL557" s="436"/>
      <c r="AM557" s="438"/>
      <c r="AN557" s="531"/>
      <c r="AO557" s="491"/>
      <c r="AP557" s="438"/>
      <c r="AQ557" s="438"/>
      <c r="AR557" s="438"/>
      <c r="AS557" s="438"/>
      <c r="AT557" s="438"/>
      <c r="AU557" s="438"/>
      <c r="AV557" s="438"/>
      <c r="AW557" s="450" t="str">
        <f t="shared" si="484"/>
        <v/>
      </c>
    </row>
    <row r="558">
      <c r="A558" s="436" t="s">
        <v>1967</v>
      </c>
      <c r="B558" s="436" t="s">
        <v>1967</v>
      </c>
      <c r="C558" s="436"/>
      <c r="D558" s="436" t="s">
        <v>158</v>
      </c>
      <c r="E558" s="436"/>
      <c r="F558" s="436" t="s">
        <v>2514</v>
      </c>
      <c r="G558" s="436" t="s">
        <v>169</v>
      </c>
      <c r="H558" s="436" t="s">
        <v>160</v>
      </c>
      <c r="I558" s="436" t="s">
        <v>1963</v>
      </c>
      <c r="J558" s="436">
        <v>2818.38293</v>
      </c>
      <c r="K558" s="436"/>
      <c r="L558" s="438"/>
      <c r="M558" s="453"/>
      <c r="N558" s="422">
        <v>14.932</v>
      </c>
      <c r="O558" s="422">
        <v>11.533</v>
      </c>
      <c r="P558" s="422"/>
      <c r="Q558" s="436" t="s">
        <v>2183</v>
      </c>
      <c r="R558" s="436" t="s">
        <v>2184</v>
      </c>
      <c r="S558" s="436" t="s">
        <v>1964</v>
      </c>
      <c r="T558" s="419" t="s">
        <v>162</v>
      </c>
      <c r="U558" s="436" t="s">
        <v>2185</v>
      </c>
      <c r="V558" s="451"/>
      <c r="W558" s="458">
        <v>0.07585775750291836</v>
      </c>
      <c r="X558" s="438"/>
      <c r="Y558" s="442">
        <f>IF((W558/((J558/5780)^4))^0.5&gt;0,(W558/((J558/5780)^4))^0.5,"")</f>
        <v>1.158392341</v>
      </c>
      <c r="Z558" s="442"/>
      <c r="AA558" s="443"/>
      <c r="AB558" s="443"/>
      <c r="AC558" s="436" t="str">
        <f>IF(ISNUMBER(VLOOKUP(B558,'New Masses'!A:C,3,FALSE)),VLOOKUP(B558,'New Masses'!A:C,3,FALSE),"")</f>
        <v/>
      </c>
      <c r="AD558" s="440"/>
      <c r="AE558" s="436"/>
      <c r="AF558" s="438"/>
      <c r="AG558" s="459">
        <f>10^AJ558</f>
        <v>0.087096359</v>
      </c>
      <c r="AH558" s="436"/>
      <c r="AI558" s="446" t="str">
        <f>IF(ISNUMBER(VLOOKUP(B558,'New Masses'!A:C,2, FALSE)),VLOOKUP(B558,'New Masses'!A:C,2, FALSE),"")</f>
        <v/>
      </c>
      <c r="AJ558" s="436">
        <v>-1.06</v>
      </c>
      <c r="AK558" s="436"/>
      <c r="AL558" s="436"/>
      <c r="AM558" s="438"/>
      <c r="AN558" s="436">
        <v>1.0</v>
      </c>
      <c r="AO558" s="438"/>
      <c r="AP558" s="438"/>
      <c r="AQ558" s="438"/>
      <c r="AR558" s="438"/>
      <c r="AS558" s="420" t="str">
        <f>VLOOKUP(B558,natta06!A:F,6,FALSE)</f>
        <v>#REF!</v>
      </c>
      <c r="AT558" s="438"/>
      <c r="AU558" s="438"/>
      <c r="AV558" s="438"/>
      <c r="AW558" s="450"/>
    </row>
    <row r="559">
      <c r="A559" s="435" t="str">
        <f t="shared" ref="A559:C559" si="487">A24</f>
        <v>[GY92] 322</v>
      </c>
      <c r="B559" s="485" t="str">
        <f t="shared" si="487"/>
        <v>ISO-Oph 169a</v>
      </c>
      <c r="C559" s="486" t="str">
        <f t="shared" si="487"/>
        <v/>
      </c>
      <c r="D559" s="486"/>
      <c r="E559" s="486"/>
      <c r="F559" s="528"/>
      <c r="G559" s="486"/>
      <c r="H559" s="486" t="s">
        <v>5917</v>
      </c>
      <c r="I559" s="491"/>
      <c r="J559" s="491"/>
      <c r="K559" s="491"/>
      <c r="L559" s="491"/>
      <c r="M559" s="486"/>
      <c r="N559" s="422"/>
      <c r="O559" s="422"/>
      <c r="P559" s="422"/>
      <c r="Q559" s="486"/>
      <c r="R559" s="491"/>
      <c r="S559" s="491"/>
      <c r="T559" s="491"/>
      <c r="U559" s="491"/>
      <c r="V559" s="491"/>
      <c r="W559" s="493"/>
      <c r="X559" s="486"/>
      <c r="Y559" s="442"/>
      <c r="Z559" s="491"/>
      <c r="AA559" s="524" t="str">
        <f>AC24</f>
        <v/>
      </c>
      <c r="AB559" s="494"/>
      <c r="AC559" s="436"/>
      <c r="AD559" s="495"/>
      <c r="AE559" s="491"/>
      <c r="AF559" s="491"/>
      <c r="AG559" s="525" t="str">
        <f>AI24</f>
        <v/>
      </c>
      <c r="AH559" s="491"/>
      <c r="AI559" s="446"/>
      <c r="AJ559" s="491"/>
      <c r="AK559" s="500"/>
      <c r="AL559" s="436"/>
      <c r="AM559" s="438"/>
      <c r="AN559" s="531"/>
      <c r="AO559" s="491"/>
      <c r="AP559" s="438"/>
      <c r="AQ559" s="438"/>
      <c r="AR559" s="438"/>
      <c r="AS559" s="438"/>
      <c r="AT559" s="438"/>
      <c r="AU559" s="438"/>
      <c r="AV559" s="438"/>
      <c r="AW559" s="450" t="str">
        <f>AW24</f>
        <v/>
      </c>
    </row>
    <row r="560">
      <c r="A560" s="436" t="s">
        <v>1475</v>
      </c>
      <c r="B560" s="436" t="s">
        <v>1475</v>
      </c>
      <c r="C560" s="436"/>
      <c r="D560" s="436" t="s">
        <v>158</v>
      </c>
      <c r="E560" s="436"/>
      <c r="F560" s="436" t="s">
        <v>2515</v>
      </c>
      <c r="G560" s="436" t="s">
        <v>169</v>
      </c>
      <c r="H560" s="436" t="s">
        <v>160</v>
      </c>
      <c r="I560" s="436" t="s">
        <v>1963</v>
      </c>
      <c r="J560" s="436">
        <v>4570.8819</v>
      </c>
      <c r="K560" s="436"/>
      <c r="L560" s="438"/>
      <c r="M560" s="453"/>
      <c r="N560" s="422">
        <v>8.97</v>
      </c>
      <c r="O560" s="422">
        <v>6.571</v>
      </c>
      <c r="P560" s="422">
        <v>14.33</v>
      </c>
      <c r="Q560" s="436" t="s">
        <v>2183</v>
      </c>
      <c r="R560" s="436" t="s">
        <v>2184</v>
      </c>
      <c r="S560" s="436" t="s">
        <v>1964</v>
      </c>
      <c r="T560" s="419" t="s">
        <v>162</v>
      </c>
      <c r="U560" s="436" t="s">
        <v>2185</v>
      </c>
      <c r="V560" s="451">
        <v>6.0844E29</v>
      </c>
      <c r="W560" s="458">
        <v>5.370317963702527</v>
      </c>
      <c r="X560" s="438"/>
      <c r="Y560" s="442">
        <f>IF((W560/((J560/5780)^4))^0.5&gt;0,(W560/((J560/5780)^4))^0.5,"")</f>
        <v>3.705575584</v>
      </c>
      <c r="Z560" s="442"/>
      <c r="AA560" s="443"/>
      <c r="AB560" s="443"/>
      <c r="AC560" s="436" t="str">
        <f>IF(ISNUMBER(VLOOKUP(B560,'New Masses'!A:C,3,FALSE)),VLOOKUP(B560,'New Masses'!A:C,3,FALSE),"")</f>
        <v/>
      </c>
      <c r="AD560" s="440">
        <f>10^AE560</f>
        <v>0.000000006165950019</v>
      </c>
      <c r="AE560" s="436">
        <v>-8.21</v>
      </c>
      <c r="AF560" s="438"/>
      <c r="AG560" s="459">
        <f>10^AJ560</f>
        <v>1.122018454</v>
      </c>
      <c r="AH560" s="436"/>
      <c r="AI560" s="446" t="str">
        <f>IF(ISNUMBER(VLOOKUP(B560,'New Masses'!A:C,2, FALSE)),VLOOKUP(B560,'New Masses'!A:C,2, FALSE),"")</f>
        <v/>
      </c>
      <c r="AJ560" s="436">
        <v>0.05</v>
      </c>
      <c r="AK560" s="436"/>
      <c r="AL560" s="436">
        <v>-1.17</v>
      </c>
      <c r="AM560" s="438"/>
      <c r="AN560" s="436">
        <v>1.0</v>
      </c>
      <c r="AO560" s="438"/>
      <c r="AP560" s="438"/>
      <c r="AQ560" s="438"/>
      <c r="AR560" s="438"/>
      <c r="AS560" s="420" t="str">
        <f>VLOOKUP(B560,natta06!A:F,6,FALSE)</f>
        <v>#REF!</v>
      </c>
      <c r="AT560" s="438"/>
      <c r="AU560" s="438"/>
      <c r="AV560" s="438"/>
      <c r="AW560" s="450">
        <v>137.858777468361</v>
      </c>
    </row>
    <row r="561">
      <c r="A561" s="435" t="str">
        <f t="shared" ref="A561:C561" si="488">A26</f>
        <v>#REF!</v>
      </c>
      <c r="B561" s="485" t="str">
        <f t="shared" si="488"/>
        <v>#REF!</v>
      </c>
      <c r="C561" s="486" t="str">
        <f t="shared" si="488"/>
        <v>#REF!</v>
      </c>
      <c r="D561" s="486"/>
      <c r="E561" s="486"/>
      <c r="F561" s="528"/>
      <c r="G561" s="486"/>
      <c r="H561" s="486" t="s">
        <v>5917</v>
      </c>
      <c r="I561" s="491"/>
      <c r="J561" s="491"/>
      <c r="K561" s="491"/>
      <c r="L561" s="491"/>
      <c r="M561" s="486"/>
      <c r="N561" s="422"/>
      <c r="O561" s="422"/>
      <c r="P561" s="422"/>
      <c r="Q561" s="486"/>
      <c r="R561" s="491"/>
      <c r="S561" s="491"/>
      <c r="T561" s="491"/>
      <c r="U561" s="491"/>
      <c r="V561" s="491"/>
      <c r="W561" s="493"/>
      <c r="X561" s="486"/>
      <c r="Y561" s="442"/>
      <c r="Z561" s="491"/>
      <c r="AA561" s="524" t="str">
        <f>AC26</f>
        <v/>
      </c>
      <c r="AB561" s="494"/>
      <c r="AC561" s="436"/>
      <c r="AD561" s="495"/>
      <c r="AE561" s="491"/>
      <c r="AF561" s="491"/>
      <c r="AG561" s="525" t="str">
        <f>AI26</f>
        <v/>
      </c>
      <c r="AH561" s="491"/>
      <c r="AI561" s="446"/>
      <c r="AJ561" s="491"/>
      <c r="AK561" s="500"/>
      <c r="AL561" s="436"/>
      <c r="AM561" s="438"/>
      <c r="AN561" s="531"/>
      <c r="AO561" s="491"/>
      <c r="AP561" s="438"/>
      <c r="AQ561" s="438"/>
      <c r="AR561" s="438"/>
      <c r="AS561" s="438"/>
      <c r="AT561" s="438"/>
      <c r="AU561" s="438"/>
      <c r="AV561" s="438"/>
      <c r="AW561" s="450" t="str">
        <f>AW26</f>
        <v>#REF!</v>
      </c>
    </row>
    <row r="562">
      <c r="A562" s="436" t="s">
        <v>1350</v>
      </c>
      <c r="B562" s="436" t="s">
        <v>1350</v>
      </c>
      <c r="C562" s="436"/>
      <c r="D562" s="436" t="s">
        <v>158</v>
      </c>
      <c r="E562" s="436"/>
      <c r="F562" s="436" t="s">
        <v>2516</v>
      </c>
      <c r="G562" s="436" t="s">
        <v>169</v>
      </c>
      <c r="H562" s="436" t="s">
        <v>1309</v>
      </c>
      <c r="I562" s="436" t="s">
        <v>2409</v>
      </c>
      <c r="J562" s="436">
        <v>4350.0</v>
      </c>
      <c r="K562" s="436"/>
      <c r="L562" s="436" t="s">
        <v>459</v>
      </c>
      <c r="M562" s="457">
        <v>4.0</v>
      </c>
      <c r="N562" s="422">
        <v>15.052</v>
      </c>
      <c r="O562" s="422">
        <v>10.224</v>
      </c>
      <c r="P562" s="422"/>
      <c r="Q562" s="436" t="s">
        <v>2410</v>
      </c>
      <c r="R562" s="436" t="s">
        <v>2517</v>
      </c>
      <c r="S562" s="436" t="s">
        <v>2412</v>
      </c>
      <c r="T562" s="436" t="s">
        <v>596</v>
      </c>
      <c r="U562" s="436" t="s">
        <v>2413</v>
      </c>
      <c r="V562" s="440"/>
      <c r="W562" s="474">
        <v>0.16</v>
      </c>
      <c r="X562" s="419"/>
      <c r="Y562" s="442">
        <f t="shared" ref="Y562:Y564" si="489">IF((W562/((J562/5780)^4))^0.5&gt;0,(W562/((J562/5780)^4))^0.5,"")</f>
        <v>0.7062153521</v>
      </c>
      <c r="Z562" s="469"/>
      <c r="AA562" s="470"/>
      <c r="AB562" s="470"/>
      <c r="AC562" s="436" t="str">
        <f>IF(ISNUMBER(VLOOKUP(B562,'New Masses'!A:C,3,FALSE)),VLOOKUP(B562,'New Masses'!A:C,3,FALSE),"")</f>
        <v/>
      </c>
      <c r="AD562" s="440">
        <f t="shared" ref="AD562:AD564" si="490">10^AE562</f>
        <v>0.0000000002454708916</v>
      </c>
      <c r="AE562" s="436">
        <v>-9.61</v>
      </c>
      <c r="AF562" s="438"/>
      <c r="AG562" s="459">
        <v>0.7</v>
      </c>
      <c r="AH562" s="436"/>
      <c r="AI562" s="446" t="str">
        <f>IF(ISNUMBER(VLOOKUP(B562,'New Masses'!A:C,2, FALSE)),VLOOKUP(B562,'New Masses'!A:C,2, FALSE),"")</f>
        <v/>
      </c>
      <c r="AJ562" s="436">
        <f t="shared" ref="AJ562:AJ563" si="491">LOG10(AG562)</f>
        <v>-0.15490196</v>
      </c>
      <c r="AK562" s="438"/>
      <c r="AL562" s="438"/>
      <c r="AM562" s="436" t="s">
        <v>2407</v>
      </c>
      <c r="AN562" s="436">
        <v>3.0</v>
      </c>
      <c r="AO562" s="438"/>
      <c r="AP562" s="438"/>
      <c r="AQ562" s="438"/>
      <c r="AR562" s="438"/>
      <c r="AS562" s="438"/>
      <c r="AT562" s="438"/>
      <c r="AU562" s="438"/>
      <c r="AV562" s="438"/>
      <c r="AW562" s="450"/>
    </row>
    <row r="563">
      <c r="A563" s="436" t="s">
        <v>1350</v>
      </c>
      <c r="B563" s="436" t="s">
        <v>1350</v>
      </c>
      <c r="C563" s="436"/>
      <c r="D563" s="436" t="s">
        <v>158</v>
      </c>
      <c r="E563" s="436"/>
      <c r="F563" s="436" t="s">
        <v>2516</v>
      </c>
      <c r="G563" s="436" t="s">
        <v>169</v>
      </c>
      <c r="H563" s="436" t="s">
        <v>754</v>
      </c>
      <c r="I563" s="436">
        <v>2010.0</v>
      </c>
      <c r="J563" s="436">
        <v>4060.0</v>
      </c>
      <c r="K563" s="436">
        <v>50.0</v>
      </c>
      <c r="L563" s="436" t="s">
        <v>434</v>
      </c>
      <c r="M563" s="439"/>
      <c r="N563" s="422">
        <v>15.052</v>
      </c>
      <c r="O563" s="422">
        <v>10.224</v>
      </c>
      <c r="P563" s="422"/>
      <c r="Q563" s="436" t="s">
        <v>2417</v>
      </c>
      <c r="R563" s="436" t="s">
        <v>2518</v>
      </c>
      <c r="S563" s="436" t="s">
        <v>2419</v>
      </c>
      <c r="T563" s="419" t="s">
        <v>162</v>
      </c>
      <c r="U563" s="436" t="s">
        <v>1754</v>
      </c>
      <c r="V563" s="440"/>
      <c r="W563" s="474">
        <v>0.415</v>
      </c>
      <c r="X563" s="436"/>
      <c r="Y563" s="442">
        <f t="shared" si="489"/>
        <v>1.305652661</v>
      </c>
      <c r="Z563" s="469"/>
      <c r="AA563" s="470">
        <v>1.31</v>
      </c>
      <c r="AB563" s="470">
        <v>0.21</v>
      </c>
      <c r="AC563" s="436" t="str">
        <f>IF(ISNUMBER(VLOOKUP(B563,'New Masses'!A:C,3,FALSE)),VLOOKUP(B563,'New Masses'!A:C,3,FALSE),"")</f>
        <v/>
      </c>
      <c r="AD563" s="440">
        <f t="shared" si="490"/>
        <v>0.000000003235936569</v>
      </c>
      <c r="AE563" s="436">
        <v>-8.49</v>
      </c>
      <c r="AF563" s="438"/>
      <c r="AG563" s="459">
        <v>1.02</v>
      </c>
      <c r="AH563" s="436">
        <v>0.1</v>
      </c>
      <c r="AI563" s="446" t="str">
        <f>IF(ISNUMBER(VLOOKUP(B563,'New Masses'!A:C,2, FALSE)),VLOOKUP(B563,'New Masses'!A:C,2, FALSE),"")</f>
        <v/>
      </c>
      <c r="AJ563" s="436">
        <f t="shared" si="491"/>
        <v>0.008600171762</v>
      </c>
      <c r="AK563" s="436"/>
      <c r="AL563" s="436">
        <v>-1.2</v>
      </c>
      <c r="AM563" s="438"/>
      <c r="AN563" s="436">
        <v>1.0</v>
      </c>
      <c r="AO563" s="438"/>
      <c r="AP563" s="438"/>
      <c r="AQ563" s="438"/>
      <c r="AR563" s="438"/>
      <c r="AS563" s="438"/>
      <c r="AT563" s="438"/>
      <c r="AU563" s="438"/>
      <c r="AV563" s="438"/>
      <c r="AW563" s="450"/>
    </row>
    <row r="564">
      <c r="A564" s="436" t="s">
        <v>1350</v>
      </c>
      <c r="B564" s="436" t="s">
        <v>1350</v>
      </c>
      <c r="C564" s="436"/>
      <c r="D564" s="436" t="s">
        <v>158</v>
      </c>
      <c r="E564" s="436"/>
      <c r="F564" s="436" t="s">
        <v>2516</v>
      </c>
      <c r="G564" s="436" t="s">
        <v>169</v>
      </c>
      <c r="H564" s="436" t="s">
        <v>160</v>
      </c>
      <c r="I564" s="436" t="s">
        <v>1963</v>
      </c>
      <c r="J564" s="436">
        <v>2884.0315</v>
      </c>
      <c r="K564" s="436"/>
      <c r="L564" s="438"/>
      <c r="M564" s="453"/>
      <c r="N564" s="422">
        <v>15.052</v>
      </c>
      <c r="O564" s="422">
        <v>10.224</v>
      </c>
      <c r="P564" s="422"/>
      <c r="Q564" s="436" t="s">
        <v>2183</v>
      </c>
      <c r="R564" s="436" t="s">
        <v>2184</v>
      </c>
      <c r="S564" s="436" t="s">
        <v>1964</v>
      </c>
      <c r="T564" s="419" t="s">
        <v>162</v>
      </c>
      <c r="U564" s="436" t="s">
        <v>2185</v>
      </c>
      <c r="V564" s="451">
        <v>1.00976E29</v>
      </c>
      <c r="W564" s="458">
        <v>0.15135612484362082</v>
      </c>
      <c r="X564" s="438"/>
      <c r="Y564" s="442">
        <f t="shared" si="489"/>
        <v>1.562628273</v>
      </c>
      <c r="Z564" s="442"/>
      <c r="AA564" s="443"/>
      <c r="AB564" s="443"/>
      <c r="AC564" s="436" t="str">
        <f>IF(ISNUMBER(VLOOKUP(B564,'New Masses'!A:C,3,FALSE)),VLOOKUP(B564,'New Masses'!A:C,3,FALSE),"")</f>
        <v/>
      </c>
      <c r="AD564" s="440">
        <f t="shared" si="490"/>
        <v>0.0000000019498446</v>
      </c>
      <c r="AE564" s="436">
        <v>-8.71</v>
      </c>
      <c r="AF564" s="438"/>
      <c r="AG564" s="459">
        <f>10^AJ564</f>
        <v>0.1318256739</v>
      </c>
      <c r="AH564" s="436"/>
      <c r="AI564" s="446" t="str">
        <f>IF(ISNUMBER(VLOOKUP(B564,'New Masses'!A:C,2, FALSE)),VLOOKUP(B564,'New Masses'!A:C,2, FALSE),"")</f>
        <v/>
      </c>
      <c r="AJ564" s="436">
        <v>-0.88</v>
      </c>
      <c r="AK564" s="436"/>
      <c r="AL564" s="436">
        <v>-2.22</v>
      </c>
      <c r="AM564" s="438"/>
      <c r="AN564" s="436">
        <v>1.0</v>
      </c>
      <c r="AO564" s="438"/>
      <c r="AP564" s="438"/>
      <c r="AQ564" s="438"/>
      <c r="AR564" s="438"/>
      <c r="AS564" s="420" t="str">
        <f>VLOOKUP(B564,natta06!A:F,6,FALSE)</f>
        <v>#REF!</v>
      </c>
      <c r="AT564" s="438"/>
      <c r="AU564" s="438"/>
      <c r="AV564" s="438"/>
      <c r="AW564" s="450"/>
    </row>
    <row r="565">
      <c r="A565" s="435" t="str">
        <f t="shared" ref="A565:C565" si="492">A30</f>
        <v>[LEM2005] Lup 607</v>
      </c>
      <c r="B565" s="485" t="str">
        <f t="shared" si="492"/>
        <v>Lup607</v>
      </c>
      <c r="C565" s="486" t="str">
        <f t="shared" si="492"/>
        <v/>
      </c>
      <c r="D565" s="486"/>
      <c r="E565" s="486"/>
      <c r="F565" s="528"/>
      <c r="G565" s="486"/>
      <c r="H565" s="486" t="s">
        <v>5917</v>
      </c>
      <c r="I565" s="491"/>
      <c r="J565" s="491"/>
      <c r="K565" s="491"/>
      <c r="L565" s="491"/>
      <c r="M565" s="486"/>
      <c r="N565" s="422"/>
      <c r="O565" s="422"/>
      <c r="P565" s="422"/>
      <c r="Q565" s="486"/>
      <c r="R565" s="491"/>
      <c r="S565" s="491"/>
      <c r="T565" s="491"/>
      <c r="U565" s="491"/>
      <c r="V565" s="491"/>
      <c r="W565" s="493"/>
      <c r="X565" s="486"/>
      <c r="Y565" s="442"/>
      <c r="Z565" s="491"/>
      <c r="AA565" s="524" t="str">
        <f t="shared" ref="AA565:AA567" si="494">AC30</f>
        <v/>
      </c>
      <c r="AB565" s="494"/>
      <c r="AC565" s="436"/>
      <c r="AD565" s="495"/>
      <c r="AE565" s="491"/>
      <c r="AF565" s="491"/>
      <c r="AG565" s="525" t="str">
        <f t="shared" ref="AG565:AG567" si="495">AI30</f>
        <v/>
      </c>
      <c r="AH565" s="491"/>
      <c r="AI565" s="446"/>
      <c r="AJ565" s="491"/>
      <c r="AK565" s="500"/>
      <c r="AL565" s="436"/>
      <c r="AM565" s="438"/>
      <c r="AN565" s="531"/>
      <c r="AO565" s="491"/>
      <c r="AP565" s="438"/>
      <c r="AQ565" s="438"/>
      <c r="AR565" s="438"/>
      <c r="AS565" s="438"/>
      <c r="AT565" s="438"/>
      <c r="AU565" s="438"/>
      <c r="AV565" s="438"/>
      <c r="AW565" s="450">
        <f t="shared" ref="AW565:AW567" si="496">AW30</f>
        <v>175.2541185</v>
      </c>
    </row>
    <row r="566">
      <c r="A566" s="435" t="str">
        <f t="shared" ref="A566:C566" si="493">A31</f>
        <v>#REF!</v>
      </c>
      <c r="B566" s="485" t="str">
        <f t="shared" si="493"/>
        <v>#REF!</v>
      </c>
      <c r="C566" s="486" t="str">
        <f t="shared" si="493"/>
        <v>#REF!</v>
      </c>
      <c r="D566" s="486"/>
      <c r="E566" s="486"/>
      <c r="F566" s="528"/>
      <c r="G566" s="486"/>
      <c r="H566" s="486" t="s">
        <v>5917</v>
      </c>
      <c r="I566" s="491"/>
      <c r="J566" s="491"/>
      <c r="K566" s="491"/>
      <c r="L566" s="491"/>
      <c r="M566" s="486"/>
      <c r="N566" s="422"/>
      <c r="O566" s="422"/>
      <c r="P566" s="422"/>
      <c r="Q566" s="486"/>
      <c r="R566" s="491"/>
      <c r="S566" s="491"/>
      <c r="T566" s="491"/>
      <c r="U566" s="491"/>
      <c r="V566" s="491"/>
      <c r="W566" s="493"/>
      <c r="X566" s="486"/>
      <c r="Y566" s="442"/>
      <c r="Z566" s="491"/>
      <c r="AA566" s="524" t="str">
        <f t="shared" si="494"/>
        <v/>
      </c>
      <c r="AB566" s="494"/>
      <c r="AC566" s="436"/>
      <c r="AD566" s="495"/>
      <c r="AE566" s="491"/>
      <c r="AF566" s="491"/>
      <c r="AG566" s="525" t="str">
        <f t="shared" si="495"/>
        <v/>
      </c>
      <c r="AH566" s="491"/>
      <c r="AI566" s="446"/>
      <c r="AJ566" s="491"/>
      <c r="AK566" s="500"/>
      <c r="AL566" s="436"/>
      <c r="AM566" s="438"/>
      <c r="AN566" s="531"/>
      <c r="AO566" s="491"/>
      <c r="AP566" s="438"/>
      <c r="AQ566" s="438"/>
      <c r="AR566" s="438"/>
      <c r="AS566" s="438"/>
      <c r="AT566" s="438"/>
      <c r="AU566" s="438"/>
      <c r="AV566" s="438"/>
      <c r="AW566" s="450" t="str">
        <f t="shared" si="496"/>
        <v>#REF!</v>
      </c>
    </row>
    <row r="567">
      <c r="A567" s="435" t="str">
        <f t="shared" ref="A567:C567" si="497">A32</f>
        <v>[NC98] Cha HA 1</v>
      </c>
      <c r="B567" s="485" t="str">
        <f t="shared" si="497"/>
        <v/>
      </c>
      <c r="C567" s="486" t="str">
        <f t="shared" si="497"/>
        <v/>
      </c>
      <c r="D567" s="486"/>
      <c r="E567" s="486"/>
      <c r="F567" s="528"/>
      <c r="G567" s="486"/>
      <c r="H567" s="486" t="s">
        <v>5917</v>
      </c>
      <c r="I567" s="491"/>
      <c r="J567" s="491"/>
      <c r="K567" s="491"/>
      <c r="L567" s="491"/>
      <c r="M567" s="486"/>
      <c r="N567" s="422"/>
      <c r="O567" s="422"/>
      <c r="P567" s="422"/>
      <c r="Q567" s="486"/>
      <c r="R567" s="491"/>
      <c r="S567" s="491"/>
      <c r="T567" s="491"/>
      <c r="U567" s="491"/>
      <c r="V567" s="491"/>
      <c r="W567" s="493"/>
      <c r="X567" s="486"/>
      <c r="Y567" s="442"/>
      <c r="Z567" s="491"/>
      <c r="AA567" s="524" t="str">
        <f t="shared" si="494"/>
        <v/>
      </c>
      <c r="AB567" s="494"/>
      <c r="AC567" s="436"/>
      <c r="AD567" s="495"/>
      <c r="AE567" s="491"/>
      <c r="AF567" s="491"/>
      <c r="AG567" s="525" t="str">
        <f t="shared" si="495"/>
        <v/>
      </c>
      <c r="AH567" s="491"/>
      <c r="AI567" s="446"/>
      <c r="AJ567" s="491"/>
      <c r="AK567" s="500"/>
      <c r="AL567" s="436"/>
      <c r="AM567" s="438"/>
      <c r="AN567" s="531"/>
      <c r="AO567" s="491"/>
      <c r="AP567" s="438"/>
      <c r="AQ567" s="438"/>
      <c r="AR567" s="438"/>
      <c r="AS567" s="438"/>
      <c r="AT567" s="438"/>
      <c r="AU567" s="438"/>
      <c r="AV567" s="438"/>
      <c r="AW567" s="450">
        <f t="shared" si="496"/>
        <v>196.8039046</v>
      </c>
    </row>
    <row r="568">
      <c r="A568" s="436" t="s">
        <v>1425</v>
      </c>
      <c r="B568" s="436" t="s">
        <v>1425</v>
      </c>
      <c r="C568" s="436"/>
      <c r="D568" s="436" t="s">
        <v>158</v>
      </c>
      <c r="E568" s="436"/>
      <c r="F568" s="436" t="s">
        <v>2519</v>
      </c>
      <c r="G568" s="436" t="s">
        <v>169</v>
      </c>
      <c r="H568" s="436" t="s">
        <v>160</v>
      </c>
      <c r="I568" s="436" t="s">
        <v>1963</v>
      </c>
      <c r="J568" s="436">
        <v>3801.89396</v>
      </c>
      <c r="K568" s="436"/>
      <c r="L568" s="438"/>
      <c r="M568" s="453"/>
      <c r="N568" s="422">
        <v>9.391</v>
      </c>
      <c r="O568" s="422">
        <v>7.847</v>
      </c>
      <c r="P568" s="422">
        <v>12.65</v>
      </c>
      <c r="Q568" s="436" t="s">
        <v>2183</v>
      </c>
      <c r="R568" s="436" t="s">
        <v>2184</v>
      </c>
      <c r="S568" s="436" t="s">
        <v>1964</v>
      </c>
      <c r="T568" s="419" t="s">
        <v>162</v>
      </c>
      <c r="U568" s="436" t="s">
        <v>2185</v>
      </c>
      <c r="V568" s="451">
        <v>7.31506E28</v>
      </c>
      <c r="W568" s="458">
        <v>1.3489628825916535</v>
      </c>
      <c r="X568" s="438"/>
      <c r="Y568" s="442">
        <f>IF((W568/((J568/5780)^4))^0.5&gt;0,(W568/((J568/5780)^4))^0.5,"")</f>
        <v>2.684452215</v>
      </c>
      <c r="Z568" s="442"/>
      <c r="AA568" s="443"/>
      <c r="AB568" s="443"/>
      <c r="AC568" s="436" t="str">
        <f>IF(ISNUMBER(VLOOKUP(B568,'New Masses'!A:C,3,FALSE)),VLOOKUP(B568,'New Masses'!A:C,3,FALSE),"")</f>
        <v/>
      </c>
      <c r="AD568" s="440">
        <f>10^AE568</f>
        <v>0.0000000005754399373</v>
      </c>
      <c r="AE568" s="436">
        <v>-9.24</v>
      </c>
      <c r="AF568" s="438"/>
      <c r="AG568" s="459">
        <f>10^AJ568</f>
        <v>0.4897788194</v>
      </c>
      <c r="AH568" s="436"/>
      <c r="AI568" s="446" t="str">
        <f>IF(ISNUMBER(VLOOKUP(B568,'New Masses'!A:C,2, FALSE)),VLOOKUP(B568,'New Masses'!A:C,2, FALSE),"")</f>
        <v/>
      </c>
      <c r="AJ568" s="436">
        <v>-0.31</v>
      </c>
      <c r="AK568" s="436"/>
      <c r="AL568" s="436">
        <v>-2.42</v>
      </c>
      <c r="AM568" s="438"/>
      <c r="AN568" s="436">
        <v>1.0</v>
      </c>
      <c r="AO568" s="438"/>
      <c r="AP568" s="436"/>
      <c r="AQ568" s="438"/>
      <c r="AR568" s="438"/>
      <c r="AS568" s="420" t="str">
        <f>VLOOKUP(B568,natta06!A:F,6,FALSE)</f>
        <v>#REF!</v>
      </c>
      <c r="AT568" s="438" t="s">
        <v>5916</v>
      </c>
      <c r="AU568" s="438"/>
      <c r="AV568" s="438"/>
      <c r="AW568" s="450">
        <v>138.463881696459</v>
      </c>
    </row>
    <row r="569">
      <c r="A569" s="435" t="str">
        <f t="shared" ref="A569:C569" si="498">A34</f>
        <v>[NC98] Cha HA 1</v>
      </c>
      <c r="B569" s="485" t="str">
        <f t="shared" si="498"/>
        <v>[NC98] Cha HA 1</v>
      </c>
      <c r="C569" s="486" t="str">
        <f t="shared" si="498"/>
        <v>Cha Ha 1</v>
      </c>
      <c r="D569" s="486"/>
      <c r="E569" s="486"/>
      <c r="F569" s="528"/>
      <c r="G569" s="486"/>
      <c r="H569" s="486" t="s">
        <v>5917</v>
      </c>
      <c r="I569" s="491"/>
      <c r="J569" s="491"/>
      <c r="K569" s="491"/>
      <c r="L569" s="491"/>
      <c r="M569" s="486"/>
      <c r="N569" s="422"/>
      <c r="O569" s="422"/>
      <c r="P569" s="422"/>
      <c r="Q569" s="486"/>
      <c r="R569" s="491"/>
      <c r="S569" s="491"/>
      <c r="T569" s="491"/>
      <c r="U569" s="491"/>
      <c r="V569" s="491"/>
      <c r="W569" s="493"/>
      <c r="X569" s="486"/>
      <c r="Y569" s="442"/>
      <c r="Z569" s="491"/>
      <c r="AA569" s="524" t="str">
        <f>AC34</f>
        <v/>
      </c>
      <c r="AB569" s="494"/>
      <c r="AC569" s="436"/>
      <c r="AD569" s="495"/>
      <c r="AE569" s="491"/>
      <c r="AF569" s="491"/>
      <c r="AG569" s="525">
        <f>AI34</f>
        <v>0.028415</v>
      </c>
      <c r="AH569" s="491"/>
      <c r="AI569" s="446"/>
      <c r="AJ569" s="491"/>
      <c r="AK569" s="500"/>
      <c r="AL569" s="436"/>
      <c r="AM569" s="438"/>
      <c r="AN569" s="531"/>
      <c r="AO569" s="491"/>
      <c r="AP569" s="438"/>
      <c r="AQ569" s="438"/>
      <c r="AR569" s="438"/>
      <c r="AS569" s="438"/>
      <c r="AT569" s="438"/>
      <c r="AU569" s="438"/>
      <c r="AV569" s="438"/>
      <c r="AW569" s="450">
        <f>AW34</f>
        <v>196.8039046</v>
      </c>
    </row>
    <row r="570">
      <c r="A570" s="436" t="s">
        <v>1478</v>
      </c>
      <c r="B570" s="436" t="s">
        <v>1478</v>
      </c>
      <c r="C570" s="436"/>
      <c r="D570" s="436" t="s">
        <v>158</v>
      </c>
      <c r="E570" s="436"/>
      <c r="F570" s="436" t="s">
        <v>2520</v>
      </c>
      <c r="G570" s="436" t="s">
        <v>169</v>
      </c>
      <c r="H570" s="436" t="s">
        <v>160</v>
      </c>
      <c r="I570" s="436" t="s">
        <v>1963</v>
      </c>
      <c r="J570" s="436">
        <v>4786.30092</v>
      </c>
      <c r="K570" s="436"/>
      <c r="L570" s="438"/>
      <c r="M570" s="453"/>
      <c r="N570" s="422">
        <v>11.115</v>
      </c>
      <c r="O570" s="422">
        <v>7.324</v>
      </c>
      <c r="P570" s="422">
        <v>17.81</v>
      </c>
      <c r="Q570" s="436" t="s">
        <v>2183</v>
      </c>
      <c r="R570" s="436" t="s">
        <v>2184</v>
      </c>
      <c r="S570" s="436" t="s">
        <v>1964</v>
      </c>
      <c r="T570" s="419" t="s">
        <v>162</v>
      </c>
      <c r="U570" s="436" t="s">
        <v>2185</v>
      </c>
      <c r="V570" s="451">
        <v>5.6783E29</v>
      </c>
      <c r="W570" s="458">
        <v>7.244359600749901</v>
      </c>
      <c r="X570" s="438"/>
      <c r="Y570" s="442">
        <f>IF((W570/((J570/5780)^4))^0.5&gt;0,(W570/((J570/5780)^4))^0.5,"")</f>
        <v>3.925144753</v>
      </c>
      <c r="Z570" s="442"/>
      <c r="AA570" s="443"/>
      <c r="AB570" s="443"/>
      <c r="AC570" s="436" t="str">
        <f>IF(ISNUMBER(VLOOKUP(B570,'New Masses'!A:C,3,FALSE)),VLOOKUP(B570,'New Masses'!A:C,3,FALSE),"")</f>
        <v/>
      </c>
      <c r="AD570" s="440">
        <f>10^AE570</f>
        <v>0.00000000512861384</v>
      </c>
      <c r="AE570" s="436">
        <v>-8.29</v>
      </c>
      <c r="AF570" s="438"/>
      <c r="AG570" s="459">
        <f>10^AJ570</f>
        <v>1.348962883</v>
      </c>
      <c r="AH570" s="436"/>
      <c r="AI570" s="446" t="str">
        <f>IF(ISNUMBER(VLOOKUP(B570,'New Masses'!A:C,2, FALSE)),VLOOKUP(B570,'New Masses'!A:C,2, FALSE),"")</f>
        <v/>
      </c>
      <c r="AJ570" s="436">
        <v>0.13</v>
      </c>
      <c r="AK570" s="436"/>
      <c r="AL570" s="436">
        <v>-1.2</v>
      </c>
      <c r="AM570" s="438"/>
      <c r="AN570" s="436">
        <v>1.0</v>
      </c>
      <c r="AO570" s="438"/>
      <c r="AP570" s="436"/>
      <c r="AQ570" s="438"/>
      <c r="AR570" s="438"/>
      <c r="AS570" s="420" t="str">
        <f>VLOOKUP(B570,natta06!A:F,6,FALSE)</f>
        <v>#REF!</v>
      </c>
      <c r="AT570" s="438" t="s">
        <v>5916</v>
      </c>
      <c r="AU570" s="438"/>
      <c r="AV570" s="438"/>
      <c r="AW570" s="450">
        <v>137.868280644672</v>
      </c>
    </row>
    <row r="571">
      <c r="A571" s="435" t="str">
        <f t="shared" ref="A571:C571" si="499">A36</f>
        <v>#REF!</v>
      </c>
      <c r="B571" s="485" t="str">
        <f t="shared" si="499"/>
        <v>#REF!</v>
      </c>
      <c r="C571" s="486" t="str">
        <f t="shared" si="499"/>
        <v>#REF!</v>
      </c>
      <c r="D571" s="486"/>
      <c r="E571" s="486"/>
      <c r="F571" s="528"/>
      <c r="G571" s="486"/>
      <c r="H571" s="486" t="s">
        <v>5917</v>
      </c>
      <c r="I571" s="491"/>
      <c r="J571" s="491"/>
      <c r="K571" s="491"/>
      <c r="L571" s="491"/>
      <c r="M571" s="486"/>
      <c r="N571" s="422"/>
      <c r="O571" s="422"/>
      <c r="P571" s="422"/>
      <c r="Q571" s="486"/>
      <c r="R571" s="491"/>
      <c r="S571" s="491"/>
      <c r="T571" s="491"/>
      <c r="U571" s="491"/>
      <c r="V571" s="491"/>
      <c r="W571" s="493"/>
      <c r="X571" s="486"/>
      <c r="Y571" s="442"/>
      <c r="Z571" s="491"/>
      <c r="AA571" s="524" t="str">
        <f>AC36</f>
        <v/>
      </c>
      <c r="AB571" s="494"/>
      <c r="AC571" s="436"/>
      <c r="AD571" s="495"/>
      <c r="AE571" s="491"/>
      <c r="AF571" s="491"/>
      <c r="AG571" s="525" t="str">
        <f>AI36</f>
        <v/>
      </c>
      <c r="AH571" s="491"/>
      <c r="AI571" s="446"/>
      <c r="AJ571" s="491"/>
      <c r="AK571" s="500"/>
      <c r="AL571" s="436"/>
      <c r="AM571" s="438"/>
      <c r="AN571" s="531"/>
      <c r="AO571" s="491"/>
      <c r="AP571" s="438"/>
      <c r="AQ571" s="438"/>
      <c r="AR571" s="438"/>
      <c r="AS571" s="438"/>
      <c r="AT571" s="438"/>
      <c r="AU571" s="438"/>
      <c r="AV571" s="438"/>
      <c r="AW571" s="450" t="str">
        <f>AW36</f>
        <v>#REF!</v>
      </c>
    </row>
    <row r="572">
      <c r="A572" s="436" t="s">
        <v>1463</v>
      </c>
      <c r="B572" s="436" t="s">
        <v>1463</v>
      </c>
      <c r="C572" s="436"/>
      <c r="D572" s="436" t="s">
        <v>158</v>
      </c>
      <c r="E572" s="436"/>
      <c r="F572" s="436" t="s">
        <v>2521</v>
      </c>
      <c r="G572" s="436" t="s">
        <v>169</v>
      </c>
      <c r="H572" s="436" t="s">
        <v>160</v>
      </c>
      <c r="I572" s="436" t="s">
        <v>1963</v>
      </c>
      <c r="J572" s="436">
        <v>4265.79519</v>
      </c>
      <c r="K572" s="436"/>
      <c r="L572" s="454" t="s">
        <v>453</v>
      </c>
      <c r="M572" s="453"/>
      <c r="N572" s="422">
        <v>9.999</v>
      </c>
      <c r="O572" s="422">
        <v>6.685</v>
      </c>
      <c r="P572" s="422">
        <v>15.81</v>
      </c>
      <c r="Q572" s="436" t="s">
        <v>2183</v>
      </c>
      <c r="R572" s="436" t="s">
        <v>2184</v>
      </c>
      <c r="S572" s="436" t="s">
        <v>1964</v>
      </c>
      <c r="T572" s="419" t="s">
        <v>162</v>
      </c>
      <c r="U572" s="436" t="s">
        <v>2185</v>
      </c>
      <c r="V572" s="451">
        <v>7.31506E30</v>
      </c>
      <c r="W572" s="458">
        <v>3.3884415613920256</v>
      </c>
      <c r="X572" s="438"/>
      <c r="Y572" s="442">
        <f>IF((W572/((J572/5780)^4))^0.5&gt;0,(W572/((J572/5780)^4))^0.5,"")</f>
        <v>3.379525101</v>
      </c>
      <c r="Z572" s="442"/>
      <c r="AA572" s="443"/>
      <c r="AB572" s="443"/>
      <c r="AC572" s="436" t="str">
        <f>IF(ISNUMBER(VLOOKUP(B572,'New Masses'!A:C,3,FALSE)),VLOOKUP(B572,'New Masses'!A:C,3,FALSE),"")</f>
        <v/>
      </c>
      <c r="AD572" s="440">
        <f>10^AE572</f>
        <v>0.000000213796209</v>
      </c>
      <c r="AE572" s="436">
        <v>-6.67</v>
      </c>
      <c r="AF572" s="438"/>
      <c r="AG572" s="459">
        <f>10^AJ572</f>
        <v>0.8511380382</v>
      </c>
      <c r="AH572" s="436"/>
      <c r="AI572" s="446" t="str">
        <f>IF(ISNUMBER(VLOOKUP(B572,'New Masses'!A:C,2, FALSE)),VLOOKUP(B572,'New Masses'!A:C,2, FALSE),"")</f>
        <v/>
      </c>
      <c r="AJ572" s="436">
        <v>-0.07</v>
      </c>
      <c r="AK572" s="436"/>
      <c r="AL572" s="436">
        <v>0.3</v>
      </c>
      <c r="AM572" s="438"/>
      <c r="AN572" s="436">
        <v>1.0</v>
      </c>
      <c r="AO572" s="438"/>
      <c r="AP572" s="438"/>
      <c r="AQ572" s="438"/>
      <c r="AR572" s="438"/>
      <c r="AS572" s="420" t="str">
        <f>VLOOKUP(B572,natta06!A:F,6,FALSE)</f>
        <v>#REF!</v>
      </c>
      <c r="AT572" s="438"/>
      <c r="AU572" s="438"/>
      <c r="AV572" s="438"/>
      <c r="AW572" s="450">
        <v>136.223078914029</v>
      </c>
    </row>
    <row r="573">
      <c r="A573" s="435" t="str">
        <f t="shared" ref="A573:C573" si="500">A38</f>
        <v>[NC98] Cha HA 10</v>
      </c>
      <c r="B573" s="485" t="str">
        <f t="shared" si="500"/>
        <v>Cha Ha 10</v>
      </c>
      <c r="C573" s="486" t="str">
        <f t="shared" si="500"/>
        <v/>
      </c>
      <c r="D573" s="486"/>
      <c r="E573" s="486"/>
      <c r="F573" s="528"/>
      <c r="G573" s="486"/>
      <c r="H573" s="486" t="s">
        <v>5917</v>
      </c>
      <c r="I573" s="491"/>
      <c r="J573" s="491"/>
      <c r="K573" s="491"/>
      <c r="L573" s="491"/>
      <c r="M573" s="486"/>
      <c r="N573" s="422"/>
      <c r="O573" s="422"/>
      <c r="P573" s="422"/>
      <c r="Q573" s="486"/>
      <c r="R573" s="491"/>
      <c r="S573" s="491"/>
      <c r="T573" s="491"/>
      <c r="U573" s="491"/>
      <c r="V573" s="491"/>
      <c r="W573" s="493"/>
      <c r="X573" s="486"/>
      <c r="Y573" s="442"/>
      <c r="Z573" s="491"/>
      <c r="AA573" s="619">
        <f>AC38</f>
        <v>0.586907</v>
      </c>
      <c r="AB573" s="494"/>
      <c r="AC573" s="436"/>
      <c r="AD573" s="495"/>
      <c r="AE573" s="491"/>
      <c r="AF573" s="491"/>
      <c r="AG573" s="525">
        <f>AI38</f>
        <v>0.051704</v>
      </c>
      <c r="AH573" s="491"/>
      <c r="AI573" s="446"/>
      <c r="AJ573" s="491"/>
      <c r="AK573" s="500"/>
      <c r="AL573" s="436"/>
      <c r="AM573" s="438"/>
      <c r="AN573" s="531"/>
      <c r="AO573" s="491"/>
      <c r="AP573" s="438"/>
      <c r="AQ573" s="438"/>
      <c r="AR573" s="438"/>
      <c r="AS573" s="438"/>
      <c r="AT573" s="438"/>
      <c r="AU573" s="438"/>
      <c r="AV573" s="438"/>
      <c r="AW573" s="450">
        <f>AW38</f>
        <v>194.7685176</v>
      </c>
    </row>
    <row r="574">
      <c r="A574" s="436" t="s">
        <v>1357</v>
      </c>
      <c r="B574" s="436" t="s">
        <v>1357</v>
      </c>
      <c r="C574" s="436"/>
      <c r="D574" s="436" t="s">
        <v>158</v>
      </c>
      <c r="E574" s="436"/>
      <c r="F574" s="436" t="s">
        <v>2522</v>
      </c>
      <c r="G574" s="436" t="s">
        <v>169</v>
      </c>
      <c r="H574" s="436" t="s">
        <v>160</v>
      </c>
      <c r="I574" s="436" t="s">
        <v>1963</v>
      </c>
      <c r="J574" s="436">
        <v>2884.0315</v>
      </c>
      <c r="K574" s="436"/>
      <c r="L574" s="438"/>
      <c r="M574" s="453"/>
      <c r="N574" s="422">
        <v>16.28</v>
      </c>
      <c r="O574" s="422">
        <v>11.073</v>
      </c>
      <c r="P574" s="422"/>
      <c r="Q574" s="436" t="s">
        <v>2183</v>
      </c>
      <c r="R574" s="436" t="s">
        <v>2184</v>
      </c>
      <c r="S574" s="436" t="s">
        <v>1964</v>
      </c>
      <c r="T574" s="419" t="s">
        <v>162</v>
      </c>
      <c r="U574" s="436" t="s">
        <v>2185</v>
      </c>
      <c r="V574" s="451">
        <v>1.214E28</v>
      </c>
      <c r="W574" s="458">
        <v>0.18197008586099836</v>
      </c>
      <c r="X574" s="438"/>
      <c r="Y574" s="442">
        <f>IF((W574/((J574/5780)^4))^0.5&gt;0,(W574/((J574/5780)^4))^0.5,"")</f>
        <v>1.71338783</v>
      </c>
      <c r="Z574" s="442"/>
      <c r="AA574" s="443"/>
      <c r="AB574" s="443"/>
      <c r="AC574" s="436" t="str">
        <f>IF(ISNUMBER(VLOOKUP(B574,'New Masses'!A:C,3,FALSE)),VLOOKUP(B574,'New Masses'!A:C,3,FALSE),"")</f>
        <v/>
      </c>
      <c r="AD574" s="440">
        <f>10^AE574</f>
        <v>0.0000000001047128548</v>
      </c>
      <c r="AE574" s="436">
        <v>-9.98</v>
      </c>
      <c r="AF574" s="438"/>
      <c r="AG574" s="459">
        <f>10^AJ574</f>
        <v>0.1479108388</v>
      </c>
      <c r="AH574" s="436"/>
      <c r="AI574" s="446" t="str">
        <f>IF(ISNUMBER(VLOOKUP(B574,'New Masses'!A:C,2, FALSE)),VLOOKUP(B574,'New Masses'!A:C,2, FALSE),"")</f>
        <v/>
      </c>
      <c r="AJ574" s="436">
        <v>-0.83</v>
      </c>
      <c r="AK574" s="436"/>
      <c r="AL574" s="436">
        <v>-3.48</v>
      </c>
      <c r="AM574" s="438"/>
      <c r="AN574" s="436">
        <v>1.0</v>
      </c>
      <c r="AO574" s="438"/>
      <c r="AP574" s="436"/>
      <c r="AQ574" s="438"/>
      <c r="AR574" s="438"/>
      <c r="AS574" s="420" t="str">
        <f>VLOOKUP(B574,natta06!A:F,6,FALSE)</f>
        <v>#REF!</v>
      </c>
      <c r="AT574" s="438" t="s">
        <v>5916</v>
      </c>
      <c r="AU574" s="438"/>
      <c r="AV574" s="438"/>
      <c r="AW574" s="450"/>
    </row>
    <row r="575">
      <c r="A575" s="435" t="str">
        <f t="shared" ref="A575:C575" si="501">A40</f>
        <v>[NC98] Cha HA 11</v>
      </c>
      <c r="B575" s="485" t="str">
        <f t="shared" si="501"/>
        <v>Cha Ha 11</v>
      </c>
      <c r="C575" s="486" t="str">
        <f t="shared" si="501"/>
        <v/>
      </c>
      <c r="D575" s="486"/>
      <c r="E575" s="486"/>
      <c r="F575" s="528"/>
      <c r="G575" s="486"/>
      <c r="H575" s="486" t="s">
        <v>5917</v>
      </c>
      <c r="I575" s="491"/>
      <c r="J575" s="491"/>
      <c r="K575" s="491"/>
      <c r="L575" s="491"/>
      <c r="M575" s="486"/>
      <c r="N575" s="422"/>
      <c r="O575" s="422"/>
      <c r="P575" s="422"/>
      <c r="Q575" s="486"/>
      <c r="R575" s="491"/>
      <c r="S575" s="491"/>
      <c r="T575" s="491"/>
      <c r="U575" s="491"/>
      <c r="V575" s="491"/>
      <c r="W575" s="493"/>
      <c r="X575" s="486"/>
      <c r="Y575" s="442"/>
      <c r="Z575" s="491"/>
      <c r="AA575" s="619">
        <f>AC40</f>
        <v>0.432801</v>
      </c>
      <c r="AB575" s="494"/>
      <c r="AC575" s="436"/>
      <c r="AD575" s="495"/>
      <c r="AE575" s="491"/>
      <c r="AF575" s="491"/>
      <c r="AG575" s="525">
        <f>AI40</f>
        <v>0.034934</v>
      </c>
      <c r="AH575" s="491"/>
      <c r="AI575" s="446"/>
      <c r="AJ575" s="491"/>
      <c r="AK575" s="500"/>
      <c r="AL575" s="436"/>
      <c r="AM575" s="438"/>
      <c r="AN575" s="531"/>
      <c r="AO575" s="491"/>
      <c r="AP575" s="438"/>
      <c r="AQ575" s="438"/>
      <c r="AR575" s="438"/>
      <c r="AS575" s="438"/>
      <c r="AT575" s="438"/>
      <c r="AU575" s="438"/>
      <c r="AV575" s="438"/>
      <c r="AW575" s="450">
        <f>AW40</f>
        <v>189.6058095</v>
      </c>
    </row>
    <row r="576">
      <c r="A576" s="436" t="s">
        <v>1405</v>
      </c>
      <c r="B576" s="436" t="s">
        <v>1405</v>
      </c>
      <c r="C576" s="436"/>
      <c r="D576" s="436" t="s">
        <v>158</v>
      </c>
      <c r="E576" s="436"/>
      <c r="F576" s="436" t="s">
        <v>2523</v>
      </c>
      <c r="G576" s="436" t="s">
        <v>169</v>
      </c>
      <c r="H576" s="436" t="s">
        <v>160</v>
      </c>
      <c r="I576" s="436" t="s">
        <v>1963</v>
      </c>
      <c r="J576" s="436">
        <v>3548.13389</v>
      </c>
      <c r="K576" s="436"/>
      <c r="L576" s="438"/>
      <c r="M576" s="453"/>
      <c r="N576" s="422">
        <v>14.04</v>
      </c>
      <c r="O576" s="422">
        <v>9.983</v>
      </c>
      <c r="P576" s="422"/>
      <c r="Q576" s="436" t="s">
        <v>2183</v>
      </c>
      <c r="R576" s="436" t="s">
        <v>2184</v>
      </c>
      <c r="S576" s="436" t="s">
        <v>1964</v>
      </c>
      <c r="T576" s="419" t="s">
        <v>162</v>
      </c>
      <c r="U576" s="436" t="s">
        <v>2185</v>
      </c>
      <c r="V576" s="451">
        <v>1.56393E29</v>
      </c>
      <c r="W576" s="458">
        <v>0.8128305161640993</v>
      </c>
      <c r="X576" s="438"/>
      <c r="Y576" s="442">
        <f>IF((W576/((J576/5780)^4))^0.5&gt;0,(W576/((J576/5780)^4))^0.5,"")</f>
        <v>2.392520554</v>
      </c>
      <c r="Z576" s="442"/>
      <c r="AA576" s="443"/>
      <c r="AB576" s="443"/>
      <c r="AC576" s="436" t="str">
        <f>IF(ISNUMBER(VLOOKUP(B576,'New Masses'!A:C,3,FALSE)),VLOOKUP(B576,'New Masses'!A:C,3,FALSE),"")</f>
        <v/>
      </c>
      <c r="AD576" s="440">
        <f>10^AE576</f>
        <v>0.0000000019498446</v>
      </c>
      <c r="AE576" s="436">
        <v>-8.71</v>
      </c>
      <c r="AF576" s="438"/>
      <c r="AG576" s="459">
        <f>10^AJ576</f>
        <v>0.3630780548</v>
      </c>
      <c r="AH576" s="436"/>
      <c r="AI576" s="446" t="str">
        <f>IF(ISNUMBER(VLOOKUP(B576,'New Masses'!A:C,2, FALSE)),VLOOKUP(B576,'New Masses'!A:C,2, FALSE),"")</f>
        <v/>
      </c>
      <c r="AJ576" s="436">
        <v>-0.44</v>
      </c>
      <c r="AK576" s="436"/>
      <c r="AL576" s="436">
        <v>-1.97</v>
      </c>
      <c r="AM576" s="438"/>
      <c r="AN576" s="436">
        <v>1.0</v>
      </c>
      <c r="AO576" s="438"/>
      <c r="AP576" s="436"/>
      <c r="AQ576" s="438"/>
      <c r="AR576" s="438"/>
      <c r="AS576" s="420" t="str">
        <f>VLOOKUP(B576,natta06!A:F,6,FALSE)</f>
        <v>#REF!</v>
      </c>
      <c r="AT576" s="438" t="s">
        <v>5916</v>
      </c>
      <c r="AU576" s="438"/>
      <c r="AV576" s="438"/>
      <c r="AW576" s="450"/>
    </row>
    <row r="577">
      <c r="A577" s="435" t="str">
        <f t="shared" ref="A577:C577" si="502">A42</f>
        <v>[NC98] Cha HA 12</v>
      </c>
      <c r="B577" s="485" t="str">
        <f t="shared" si="502"/>
        <v>Cha Ha 12</v>
      </c>
      <c r="C577" s="486" t="str">
        <f t="shared" si="502"/>
        <v/>
      </c>
      <c r="D577" s="486"/>
      <c r="E577" s="486"/>
      <c r="F577" s="528"/>
      <c r="G577" s="486"/>
      <c r="H577" s="486" t="s">
        <v>5917</v>
      </c>
      <c r="I577" s="491"/>
      <c r="J577" s="491"/>
      <c r="K577" s="491"/>
      <c r="L577" s="491"/>
      <c r="M577" s="486"/>
      <c r="N577" s="422"/>
      <c r="O577" s="422"/>
      <c r="P577" s="422"/>
      <c r="Q577" s="486"/>
      <c r="R577" s="491"/>
      <c r="S577" s="491"/>
      <c r="T577" s="491"/>
      <c r="U577" s="491"/>
      <c r="V577" s="491"/>
      <c r="W577" s="493"/>
      <c r="X577" s="486"/>
      <c r="Y577" s="442"/>
      <c r="Z577" s="491"/>
      <c r="AA577" s="619">
        <f>AC42</f>
        <v>0.54289</v>
      </c>
      <c r="AB577" s="494"/>
      <c r="AC577" s="436"/>
      <c r="AD577" s="495"/>
      <c r="AE577" s="491"/>
      <c r="AF577" s="491"/>
      <c r="AG577" s="525">
        <f>AI42</f>
        <v>0.046938</v>
      </c>
      <c r="AH577" s="491"/>
      <c r="AI577" s="446"/>
      <c r="AJ577" s="491"/>
      <c r="AK577" s="500"/>
      <c r="AL577" s="436"/>
      <c r="AM577" s="438"/>
      <c r="AN577" s="531"/>
      <c r="AO577" s="491"/>
      <c r="AP577" s="438"/>
      <c r="AQ577" s="438"/>
      <c r="AR577" s="438"/>
      <c r="AS577" s="438"/>
      <c r="AT577" s="438"/>
      <c r="AU577" s="438"/>
      <c r="AV577" s="438"/>
      <c r="AW577" s="450">
        <f>AW42</f>
        <v>188.5440627</v>
      </c>
    </row>
    <row r="578">
      <c r="A578" s="436" t="s">
        <v>1385</v>
      </c>
      <c r="B578" s="436" t="s">
        <v>1385</v>
      </c>
      <c r="C578" s="436"/>
      <c r="D578" s="436" t="s">
        <v>158</v>
      </c>
      <c r="E578" s="436"/>
      <c r="F578" s="436" t="s">
        <v>2524</v>
      </c>
      <c r="G578" s="436" t="s">
        <v>159</v>
      </c>
      <c r="H578" s="436" t="s">
        <v>160</v>
      </c>
      <c r="I578" s="436" t="s">
        <v>1963</v>
      </c>
      <c r="J578" s="436">
        <v>3311.31121</v>
      </c>
      <c r="K578" s="436"/>
      <c r="L578" s="438"/>
      <c r="M578" s="453"/>
      <c r="N578" s="422">
        <v>15.309</v>
      </c>
      <c r="O578" s="422">
        <v>10.777</v>
      </c>
      <c r="P578" s="422"/>
      <c r="Q578" s="436" t="s">
        <v>2183</v>
      </c>
      <c r="R578" s="436" t="s">
        <v>2184</v>
      </c>
      <c r="S578" s="436" t="s">
        <v>1964</v>
      </c>
      <c r="T578" s="419" t="s">
        <v>162</v>
      </c>
      <c r="U578" s="436" t="s">
        <v>2185</v>
      </c>
      <c r="V578" s="451">
        <v>7.1486E28</v>
      </c>
      <c r="W578" s="458">
        <v>0.5128613839913648</v>
      </c>
      <c r="X578" s="438"/>
      <c r="Y578" s="442">
        <f>IF((W578/((J578/5780)^4))^0.5&gt;0,(W578/((J578/5780)^4))^0.5,"")</f>
        <v>2.182004682</v>
      </c>
      <c r="Z578" s="442"/>
      <c r="AA578" s="443"/>
      <c r="AB578" s="443"/>
      <c r="AC578" s="436" t="str">
        <f>IF(ISNUMBER(VLOOKUP(B578,'New Masses'!A:C,3,FALSE)),VLOOKUP(B578,'New Masses'!A:C,3,FALSE),"")</f>
        <v/>
      </c>
      <c r="AD578" s="440">
        <f>10^AE578</f>
        <v>0.0000000008128305162</v>
      </c>
      <c r="AE578" s="436">
        <v>-9.09</v>
      </c>
      <c r="AF578" s="438"/>
      <c r="AG578" s="459">
        <f>10^AJ578</f>
        <v>0.2754228703</v>
      </c>
      <c r="AH578" s="436"/>
      <c r="AI578" s="446" t="str">
        <f>IF(ISNUMBER(VLOOKUP(B578,'New Masses'!A:C,2, FALSE)),VLOOKUP(B578,'New Masses'!A:C,2, FALSE),"")</f>
        <v/>
      </c>
      <c r="AJ578" s="436">
        <v>-0.56</v>
      </c>
      <c r="AK578" s="436"/>
      <c r="AL578" s="436">
        <v>-2.43</v>
      </c>
      <c r="AM578" s="438"/>
      <c r="AN578" s="436">
        <v>1.0</v>
      </c>
      <c r="AO578" s="438"/>
      <c r="AP578" s="436"/>
      <c r="AQ578" s="438"/>
      <c r="AR578" s="438"/>
      <c r="AS578" s="420" t="str">
        <f>VLOOKUP(B578,natta06!A:F,6,FALSE)</f>
        <v>#REF!</v>
      </c>
      <c r="AT578" s="438" t="s">
        <v>5916</v>
      </c>
      <c r="AU578" s="438"/>
      <c r="AV578" s="438"/>
      <c r="AW578" s="450"/>
    </row>
    <row r="579">
      <c r="A579" s="435" t="str">
        <f t="shared" ref="A579:C579" si="503">A44</f>
        <v>[NC98] Cha HA 2</v>
      </c>
      <c r="B579" s="485" t="str">
        <f t="shared" si="503"/>
        <v>[NC98] Cha HA 2</v>
      </c>
      <c r="C579" s="486" t="str">
        <f t="shared" si="503"/>
        <v>Cha Ha 2</v>
      </c>
      <c r="D579" s="486"/>
      <c r="E579" s="486"/>
      <c r="F579" s="528"/>
      <c r="G579" s="486"/>
      <c r="H579" s="486" t="s">
        <v>5917</v>
      </c>
      <c r="I579" s="491"/>
      <c r="J579" s="491"/>
      <c r="K579" s="491"/>
      <c r="L579" s="491"/>
      <c r="M579" s="486"/>
      <c r="N579" s="422"/>
      <c r="O579" s="422"/>
      <c r="P579" s="422"/>
      <c r="Q579" s="486"/>
      <c r="R579" s="491"/>
      <c r="S579" s="491"/>
      <c r="T579" s="491"/>
      <c r="U579" s="491"/>
      <c r="V579" s="491"/>
      <c r="W579" s="493"/>
      <c r="X579" s="486"/>
      <c r="Y579" s="442"/>
      <c r="Z579" s="491"/>
      <c r="AA579" s="524" t="str">
        <f>AC44</f>
        <v/>
      </c>
      <c r="AB579" s="494"/>
      <c r="AC579" s="436"/>
      <c r="AD579" s="495"/>
      <c r="AE579" s="491"/>
      <c r="AF579" s="491"/>
      <c r="AG579" s="525">
        <f>AI44</f>
        <v>0.038679</v>
      </c>
      <c r="AH579" s="491"/>
      <c r="AI579" s="446"/>
      <c r="AJ579" s="491"/>
      <c r="AK579" s="500"/>
      <c r="AL579" s="436"/>
      <c r="AM579" s="438"/>
      <c r="AN579" s="531"/>
      <c r="AO579" s="491"/>
      <c r="AP579" s="438"/>
      <c r="AQ579" s="438"/>
      <c r="AR579" s="438"/>
      <c r="AS579" s="438"/>
      <c r="AT579" s="438"/>
      <c r="AU579" s="438"/>
      <c r="AV579" s="438"/>
      <c r="AW579" s="450" t="str">
        <f>AW44</f>
        <v/>
      </c>
    </row>
    <row r="580">
      <c r="A580" s="436" t="s">
        <v>1384</v>
      </c>
      <c r="B580" s="436" t="s">
        <v>1384</v>
      </c>
      <c r="C580" s="436"/>
      <c r="D580" s="436" t="s">
        <v>158</v>
      </c>
      <c r="E580" s="436"/>
      <c r="F580" s="436" t="s">
        <v>2525</v>
      </c>
      <c r="G580" s="436" t="s">
        <v>159</v>
      </c>
      <c r="H580" s="436" t="s">
        <v>160</v>
      </c>
      <c r="I580" s="436" t="s">
        <v>1963</v>
      </c>
      <c r="J580" s="436">
        <v>3311.31121</v>
      </c>
      <c r="K580" s="436"/>
      <c r="L580" s="438"/>
      <c r="M580" s="453"/>
      <c r="N580" s="422">
        <v>16.314</v>
      </c>
      <c r="O580" s="422">
        <v>9.977</v>
      </c>
      <c r="P580" s="422"/>
      <c r="Q580" s="436" t="s">
        <v>2183</v>
      </c>
      <c r="R580" s="436" t="s">
        <v>2184</v>
      </c>
      <c r="S580" s="436" t="s">
        <v>1964</v>
      </c>
      <c r="T580" s="419" t="s">
        <v>162</v>
      </c>
      <c r="U580" s="436" t="s">
        <v>2185</v>
      </c>
      <c r="V580" s="451">
        <v>1.63764E30</v>
      </c>
      <c r="W580" s="458">
        <v>0.5011872336272722</v>
      </c>
      <c r="X580" s="438"/>
      <c r="Y580" s="442">
        <f>IF((W580/((J580/5780)^4))^0.5&gt;0,(W580/((J580/5780)^4))^0.5,"")</f>
        <v>2.157027481</v>
      </c>
      <c r="Z580" s="442"/>
      <c r="AA580" s="443"/>
      <c r="AB580" s="443"/>
      <c r="AC580" s="436" t="str">
        <f>IF(ISNUMBER(VLOOKUP(B580,'New Masses'!A:C,3,FALSE)),VLOOKUP(B580,'New Masses'!A:C,3,FALSE),"")</f>
        <v/>
      </c>
      <c r="AD580" s="440">
        <f>10^AE580</f>
        <v>0.00000005754399373</v>
      </c>
      <c r="AE580" s="436">
        <v>-7.24</v>
      </c>
      <c r="AF580" s="438"/>
      <c r="AG580" s="459">
        <f>10^AJ580</f>
        <v>0.2691534804</v>
      </c>
      <c r="AH580" s="436"/>
      <c r="AI580" s="446" t="str">
        <f>IF(ISNUMBER(VLOOKUP(B580,'New Masses'!A:C,2, FALSE)),VLOOKUP(B580,'New Masses'!A:C,2, FALSE),"")</f>
        <v/>
      </c>
      <c r="AJ580" s="436">
        <v>-0.57</v>
      </c>
      <c r="AK580" s="436"/>
      <c r="AL580" s="436">
        <v>-0.58</v>
      </c>
      <c r="AM580" s="438"/>
      <c r="AN580" s="436">
        <v>1.0</v>
      </c>
      <c r="AO580" s="438"/>
      <c r="AP580" s="438"/>
      <c r="AQ580" s="438"/>
      <c r="AR580" s="438"/>
      <c r="AS580" s="420" t="str">
        <f>VLOOKUP(B580,natta06!A:F,6,FALSE)</f>
        <v>#REF!</v>
      </c>
      <c r="AT580" s="438"/>
      <c r="AU580" s="438"/>
      <c r="AV580" s="438"/>
      <c r="AW580" s="450"/>
    </row>
    <row r="581">
      <c r="A581" s="435" t="str">
        <f t="shared" ref="A581:C581" si="504">A46</f>
        <v>[NC98] Cha HA 2</v>
      </c>
      <c r="B581" s="485" t="str">
        <f t="shared" si="504"/>
        <v>Cha Ha 2</v>
      </c>
      <c r="C581" s="486" t="str">
        <f t="shared" si="504"/>
        <v/>
      </c>
      <c r="D581" s="486"/>
      <c r="E581" s="486"/>
      <c r="F581" s="528"/>
      <c r="G581" s="486"/>
      <c r="H581" s="486" t="s">
        <v>5917</v>
      </c>
      <c r="I581" s="491"/>
      <c r="J581" s="491"/>
      <c r="K581" s="491"/>
      <c r="L581" s="491"/>
      <c r="M581" s="486"/>
      <c r="N581" s="422"/>
      <c r="O581" s="422"/>
      <c r="P581" s="422"/>
      <c r="Q581" s="486"/>
      <c r="R581" s="491"/>
      <c r="S581" s="491"/>
      <c r="T581" s="491"/>
      <c r="U581" s="491"/>
      <c r="V581" s="491"/>
      <c r="W581" s="493"/>
      <c r="X581" s="486"/>
      <c r="Y581" s="442"/>
      <c r="Z581" s="491"/>
      <c r="AA581" s="619">
        <f>AC46</f>
        <v>0.466998</v>
      </c>
      <c r="AB581" s="494"/>
      <c r="AC581" s="436"/>
      <c r="AD581" s="495"/>
      <c r="AE581" s="491"/>
      <c r="AF581" s="491"/>
      <c r="AG581" s="525">
        <f>AI46</f>
        <v>0.038679</v>
      </c>
      <c r="AH581" s="491"/>
      <c r="AI581" s="446"/>
      <c r="AJ581" s="491"/>
      <c r="AK581" s="500"/>
      <c r="AL581" s="436"/>
      <c r="AM581" s="438"/>
      <c r="AN581" s="531"/>
      <c r="AO581" s="491"/>
      <c r="AP581" s="438"/>
      <c r="AQ581" s="438"/>
      <c r="AR581" s="438"/>
      <c r="AS581" s="438"/>
      <c r="AT581" s="438"/>
      <c r="AU581" s="438"/>
      <c r="AV581" s="438"/>
      <c r="AW581" s="450" t="str">
        <f>AW46</f>
        <v/>
      </c>
    </row>
    <row r="582">
      <c r="A582" s="436" t="s">
        <v>177</v>
      </c>
      <c r="B582" s="436" t="s">
        <v>177</v>
      </c>
      <c r="C582" s="436"/>
      <c r="D582" s="436" t="s">
        <v>158</v>
      </c>
      <c r="E582" s="436"/>
      <c r="F582" s="436" t="s">
        <v>2526</v>
      </c>
      <c r="G582" s="436" t="s">
        <v>169</v>
      </c>
      <c r="H582" s="436" t="s">
        <v>160</v>
      </c>
      <c r="I582" s="436" t="s">
        <v>1963</v>
      </c>
      <c r="J582" s="436">
        <v>3162.27766</v>
      </c>
      <c r="K582" s="436"/>
      <c r="L582" s="438"/>
      <c r="M582" s="453"/>
      <c r="N582" s="422">
        <v>14.958</v>
      </c>
      <c r="O582" s="422">
        <v>10.859</v>
      </c>
      <c r="P582" s="422"/>
      <c r="Q582" s="436" t="s">
        <v>2183</v>
      </c>
      <c r="R582" s="436" t="s">
        <v>2184</v>
      </c>
      <c r="S582" s="436" t="s">
        <v>1964</v>
      </c>
      <c r="T582" s="419" t="s">
        <v>162</v>
      </c>
      <c r="U582" s="436" t="s">
        <v>2185</v>
      </c>
      <c r="V582" s="451">
        <v>7.4855E28</v>
      </c>
      <c r="W582" s="458">
        <v>0.32359365692962827</v>
      </c>
      <c r="X582" s="438"/>
      <c r="Y582" s="442">
        <f>IF((W582/((J582/5780)^4))^0.5&gt;0,(W582/((J582/5780)^4))^0.5,"")</f>
        <v>1.900446626</v>
      </c>
      <c r="Z582" s="442"/>
      <c r="AA582" s="443"/>
      <c r="AB582" s="443"/>
      <c r="AC582" s="436" t="str">
        <f>IF(ISNUMBER(VLOOKUP(B582,'New Masses'!A:C,3,FALSE)),VLOOKUP(B582,'New Masses'!A:C,3,FALSE),"")</f>
        <v/>
      </c>
      <c r="AD582" s="440">
        <f>10^AE582</f>
        <v>0.00000001174897555</v>
      </c>
      <c r="AE582" s="436">
        <v>-7.93</v>
      </c>
      <c r="AF582" s="438"/>
      <c r="AG582" s="459">
        <f>10^AJ582</f>
        <v>0.2089296131</v>
      </c>
      <c r="AH582" s="436"/>
      <c r="AI582" s="446" t="str">
        <f>IF(ISNUMBER(VLOOKUP(B582,'New Masses'!A:C,2, FALSE)),VLOOKUP(B582,'New Masses'!A:C,2, FALSE),"")</f>
        <v/>
      </c>
      <c r="AJ582" s="436">
        <v>-0.68</v>
      </c>
      <c r="AK582" s="436"/>
      <c r="AL582" s="436">
        <v>-1.34</v>
      </c>
      <c r="AM582" s="438"/>
      <c r="AN582" s="436">
        <v>1.0</v>
      </c>
      <c r="AO582" s="438"/>
      <c r="AP582" s="436"/>
      <c r="AQ582" s="438"/>
      <c r="AR582" s="438"/>
      <c r="AS582" s="420" t="str">
        <f>VLOOKUP(B582,natta06!A:F,6,FALSE)</f>
        <v>#REF!</v>
      </c>
      <c r="AT582" s="438" t="s">
        <v>5916</v>
      </c>
      <c r="AU582" s="438"/>
      <c r="AV582" s="438"/>
      <c r="AW582" s="450"/>
    </row>
    <row r="583">
      <c r="A583" s="435" t="str">
        <f t="shared" ref="A583:C583" si="505">A48</f>
        <v>#REF!</v>
      </c>
      <c r="B583" s="485" t="str">
        <f t="shared" si="505"/>
        <v>#REF!</v>
      </c>
      <c r="C583" s="486" t="str">
        <f t="shared" si="505"/>
        <v>#REF!</v>
      </c>
      <c r="D583" s="486"/>
      <c r="E583" s="486"/>
      <c r="F583" s="528"/>
      <c r="G583" s="486"/>
      <c r="H583" s="486" t="s">
        <v>5917</v>
      </c>
      <c r="I583" s="491"/>
      <c r="J583" s="491"/>
      <c r="K583" s="491"/>
      <c r="L583" s="491"/>
      <c r="M583" s="486"/>
      <c r="N583" s="422"/>
      <c r="O583" s="422"/>
      <c r="P583" s="422"/>
      <c r="Q583" s="486"/>
      <c r="R583" s="491"/>
      <c r="S583" s="491"/>
      <c r="T583" s="491"/>
      <c r="U583" s="491"/>
      <c r="V583" s="491"/>
      <c r="W583" s="493"/>
      <c r="X583" s="486"/>
      <c r="Y583" s="442"/>
      <c r="Z583" s="491"/>
      <c r="AA583" s="524" t="str">
        <f>AC48</f>
        <v/>
      </c>
      <c r="AB583" s="494"/>
      <c r="AC583" s="436"/>
      <c r="AD583" s="495"/>
      <c r="AE583" s="491"/>
      <c r="AF583" s="491"/>
      <c r="AG583" s="525" t="str">
        <f>AI48</f>
        <v/>
      </c>
      <c r="AH583" s="491"/>
      <c r="AI583" s="446"/>
      <c r="AJ583" s="491"/>
      <c r="AK583" s="500"/>
      <c r="AL583" s="436"/>
      <c r="AM583" s="438"/>
      <c r="AN583" s="531"/>
      <c r="AO583" s="491"/>
      <c r="AP583" s="438"/>
      <c r="AQ583" s="438"/>
      <c r="AR583" s="438"/>
      <c r="AS583" s="438"/>
      <c r="AT583" s="438"/>
      <c r="AU583" s="438"/>
      <c r="AV583" s="438"/>
      <c r="AW583" s="450" t="str">
        <f>AW48</f>
        <v>#REF!</v>
      </c>
    </row>
    <row r="584">
      <c r="A584" s="436" t="s">
        <v>1364</v>
      </c>
      <c r="B584" s="436" t="s">
        <v>1364</v>
      </c>
      <c r="C584" s="436"/>
      <c r="D584" s="436" t="s">
        <v>158</v>
      </c>
      <c r="E584" s="436"/>
      <c r="F584" s="436" t="s">
        <v>2527</v>
      </c>
      <c r="G584" s="436" t="s">
        <v>169</v>
      </c>
      <c r="H584" s="436" t="s">
        <v>160</v>
      </c>
      <c r="I584" s="436" t="s">
        <v>1963</v>
      </c>
      <c r="J584" s="436">
        <v>3019.95172</v>
      </c>
      <c r="K584" s="436"/>
      <c r="L584" s="438"/>
      <c r="M584" s="453"/>
      <c r="N584" s="422">
        <v>12.66</v>
      </c>
      <c r="O584" s="422">
        <v>9.589</v>
      </c>
      <c r="P584" s="422">
        <v>17.37</v>
      </c>
      <c r="Q584" s="436" t="s">
        <v>2183</v>
      </c>
      <c r="R584" s="436" t="s">
        <v>2184</v>
      </c>
      <c r="S584" s="436" t="s">
        <v>1964</v>
      </c>
      <c r="T584" s="419" t="s">
        <v>162</v>
      </c>
      <c r="U584" s="436" t="s">
        <v>2185</v>
      </c>
      <c r="V584" s="451">
        <v>2.06167E28</v>
      </c>
      <c r="W584" s="458">
        <v>0.24547089156850305</v>
      </c>
      <c r="X584" s="438"/>
      <c r="Y584" s="442">
        <f>IF((W584/((J584/5780)^4))^0.5&gt;0,(W584/((J584/5780)^4))^0.5,"")</f>
        <v>1.814912438</v>
      </c>
      <c r="Z584" s="442"/>
      <c r="AA584" s="443"/>
      <c r="AB584" s="443"/>
      <c r="AC584" s="436" t="str">
        <f>IF(ISNUMBER(VLOOKUP(B584,'New Masses'!A:C,3,FALSE)),VLOOKUP(B584,'New Masses'!A:C,3,FALSE),"")</f>
        <v/>
      </c>
      <c r="AD584" s="440">
        <f>10^AE584</f>
        <v>0.00000000019498446</v>
      </c>
      <c r="AE584" s="436">
        <v>-9.71</v>
      </c>
      <c r="AF584" s="438"/>
      <c r="AG584" s="459">
        <f>10^AJ584</f>
        <v>0.177827941</v>
      </c>
      <c r="AH584" s="436"/>
      <c r="AI584" s="446" t="str">
        <f>IF(ISNUMBER(VLOOKUP(B584,'New Masses'!A:C,2, FALSE)),VLOOKUP(B584,'New Masses'!A:C,2, FALSE),"")</f>
        <v/>
      </c>
      <c r="AJ584" s="436">
        <v>-0.75</v>
      </c>
      <c r="AK584" s="436"/>
      <c r="AL584" s="436">
        <v>-3.16</v>
      </c>
      <c r="AM584" s="438"/>
      <c r="AN584" s="436">
        <v>1.0</v>
      </c>
      <c r="AO584" s="438"/>
      <c r="AP584" s="436"/>
      <c r="AQ584" s="438"/>
      <c r="AR584" s="438"/>
      <c r="AS584" s="420" t="str">
        <f>VLOOKUP(B584,natta06!A:F,6,FALSE)</f>
        <v>#REF!</v>
      </c>
      <c r="AT584" s="438" t="s">
        <v>5916</v>
      </c>
      <c r="AU584" s="438"/>
      <c r="AV584" s="438"/>
      <c r="AW584" s="450">
        <v>136.109976861303</v>
      </c>
    </row>
    <row r="585">
      <c r="A585" s="435" t="str">
        <f t="shared" ref="A585:C585" si="506">A50</f>
        <v>#REF!</v>
      </c>
      <c r="B585" s="485" t="str">
        <f t="shared" si="506"/>
        <v>#REF!</v>
      </c>
      <c r="C585" s="486" t="str">
        <f t="shared" si="506"/>
        <v>#REF!</v>
      </c>
      <c r="D585" s="486"/>
      <c r="E585" s="486"/>
      <c r="F585" s="528"/>
      <c r="G585" s="486"/>
      <c r="H585" s="486" t="s">
        <v>5917</v>
      </c>
      <c r="I585" s="491"/>
      <c r="J585" s="491"/>
      <c r="K585" s="491"/>
      <c r="L585" s="491"/>
      <c r="M585" s="486"/>
      <c r="N585" s="422"/>
      <c r="O585" s="422"/>
      <c r="P585" s="422"/>
      <c r="Q585" s="486"/>
      <c r="R585" s="491"/>
      <c r="S585" s="491"/>
      <c r="T585" s="491"/>
      <c r="U585" s="491"/>
      <c r="V585" s="491"/>
      <c r="W585" s="493"/>
      <c r="X585" s="486"/>
      <c r="Y585" s="442"/>
      <c r="Z585" s="491"/>
      <c r="AA585" s="524" t="str">
        <f>AC50</f>
        <v/>
      </c>
      <c r="AB585" s="494"/>
      <c r="AC585" s="436"/>
      <c r="AD585" s="495"/>
      <c r="AE585" s="491"/>
      <c r="AF585" s="491"/>
      <c r="AG585" s="525" t="str">
        <f>AI50</f>
        <v/>
      </c>
      <c r="AH585" s="491"/>
      <c r="AI585" s="446"/>
      <c r="AJ585" s="491"/>
      <c r="AK585" s="500"/>
      <c r="AL585" s="436"/>
      <c r="AM585" s="438"/>
      <c r="AN585" s="531"/>
      <c r="AO585" s="491"/>
      <c r="AP585" s="438"/>
      <c r="AQ585" s="438"/>
      <c r="AR585" s="438"/>
      <c r="AS585" s="438"/>
      <c r="AT585" s="438"/>
      <c r="AU585" s="438"/>
      <c r="AV585" s="438"/>
      <c r="AW585" s="450" t="str">
        <f>AW50</f>
        <v>#REF!</v>
      </c>
    </row>
    <row r="586">
      <c r="A586" s="436" t="s">
        <v>1346</v>
      </c>
      <c r="B586" s="436" t="s">
        <v>1346</v>
      </c>
      <c r="C586" s="436"/>
      <c r="D586" s="436" t="s">
        <v>158</v>
      </c>
      <c r="E586" s="436"/>
      <c r="F586" s="436" t="s">
        <v>2528</v>
      </c>
      <c r="G586" s="436" t="s">
        <v>169</v>
      </c>
      <c r="H586" s="436" t="s">
        <v>160</v>
      </c>
      <c r="I586" s="436" t="s">
        <v>1963</v>
      </c>
      <c r="J586" s="436">
        <v>2884.0315</v>
      </c>
      <c r="K586" s="436"/>
      <c r="L586" s="438"/>
      <c r="M586" s="453"/>
      <c r="N586" s="422">
        <v>15.741</v>
      </c>
      <c r="O586" s="422">
        <v>11.106</v>
      </c>
      <c r="P586" s="422"/>
      <c r="Q586" s="436" t="s">
        <v>2183</v>
      </c>
      <c r="R586" s="436" t="s">
        <v>2184</v>
      </c>
      <c r="S586" s="436" t="s">
        <v>1964</v>
      </c>
      <c r="T586" s="419" t="s">
        <v>162</v>
      </c>
      <c r="U586" s="436" t="s">
        <v>2185</v>
      </c>
      <c r="V586" s="451">
        <v>1.83746E29</v>
      </c>
      <c r="W586" s="458">
        <v>0.1380384264602885</v>
      </c>
      <c r="X586" s="438"/>
      <c r="Y586" s="442">
        <f>IF((W586/((J586/5780)^4))^0.5&gt;0,(W586/((J586/5780)^4))^0.5,"")</f>
        <v>1.492298415</v>
      </c>
      <c r="Z586" s="442"/>
      <c r="AA586" s="443"/>
      <c r="AB586" s="443"/>
      <c r="AC586" s="436" t="str">
        <f>IF(ISNUMBER(VLOOKUP(B586,'New Masses'!A:C,3,FALSE)),VLOOKUP(B586,'New Masses'!A:C,3,FALSE),"")</f>
        <v/>
      </c>
      <c r="AD586" s="440">
        <f>10^AE586</f>
        <v>0.000000004365158322</v>
      </c>
      <c r="AE586" s="436">
        <v>-8.36</v>
      </c>
      <c r="AF586" s="438"/>
      <c r="AG586" s="459">
        <f>10^AJ586</f>
        <v>0.1258925412</v>
      </c>
      <c r="AH586" s="436"/>
      <c r="AI586" s="446" t="str">
        <f>IF(ISNUMBER(VLOOKUP(B586,'New Masses'!A:C,2, FALSE)),VLOOKUP(B586,'New Masses'!A:C,2, FALSE),"")</f>
        <v/>
      </c>
      <c r="AJ586" s="436">
        <v>-0.9</v>
      </c>
      <c r="AK586" s="436"/>
      <c r="AL586" s="436">
        <v>-1.88</v>
      </c>
      <c r="AM586" s="438"/>
      <c r="AN586" s="436">
        <v>1.0</v>
      </c>
      <c r="AO586" s="438"/>
      <c r="AP586" s="438"/>
      <c r="AQ586" s="438"/>
      <c r="AR586" s="438"/>
      <c r="AS586" s="420" t="str">
        <f>VLOOKUP(B586,natta06!A:F,6,FALSE)</f>
        <v>#REF!</v>
      </c>
      <c r="AT586" s="438"/>
      <c r="AU586" s="438"/>
      <c r="AV586" s="438"/>
      <c r="AW586" s="450"/>
    </row>
    <row r="587">
      <c r="A587" s="435" t="str">
        <f t="shared" ref="A587:C587" si="507">A52</f>
        <v>[NC98] Cha HA 3</v>
      </c>
      <c r="B587" s="485" t="str">
        <f t="shared" si="507"/>
        <v>[NC98] Cha HA 3</v>
      </c>
      <c r="C587" s="486" t="str">
        <f t="shared" si="507"/>
        <v>Cha Ha 3</v>
      </c>
      <c r="D587" s="486"/>
      <c r="E587" s="486"/>
      <c r="F587" s="528"/>
      <c r="G587" s="486"/>
      <c r="H587" s="486" t="s">
        <v>5917</v>
      </c>
      <c r="I587" s="491"/>
      <c r="J587" s="491"/>
      <c r="K587" s="491"/>
      <c r="L587" s="491"/>
      <c r="M587" s="486"/>
      <c r="N587" s="422"/>
      <c r="O587" s="422"/>
      <c r="P587" s="422"/>
      <c r="Q587" s="486"/>
      <c r="R587" s="491"/>
      <c r="S587" s="491"/>
      <c r="T587" s="491"/>
      <c r="U587" s="491"/>
      <c r="V587" s="491"/>
      <c r="W587" s="493"/>
      <c r="X587" s="486"/>
      <c r="Y587" s="442"/>
      <c r="Z587" s="491"/>
      <c r="AA587" s="524" t="str">
        <f>AC52</f>
        <v/>
      </c>
      <c r="AB587" s="494"/>
      <c r="AC587" s="436"/>
      <c r="AD587" s="495"/>
      <c r="AE587" s="491"/>
      <c r="AF587" s="491"/>
      <c r="AG587" s="525">
        <f>AI52</f>
        <v>0.038679</v>
      </c>
      <c r="AH587" s="491"/>
      <c r="AI587" s="446"/>
      <c r="AJ587" s="491"/>
      <c r="AK587" s="500"/>
      <c r="AL587" s="436"/>
      <c r="AM587" s="438"/>
      <c r="AN587" s="531"/>
      <c r="AO587" s="491"/>
      <c r="AP587" s="438"/>
      <c r="AQ587" s="438"/>
      <c r="AR587" s="438"/>
      <c r="AS587" s="438"/>
      <c r="AT587" s="438"/>
      <c r="AU587" s="438"/>
      <c r="AV587" s="438"/>
      <c r="AW587" s="450">
        <f>AW52</f>
        <v>196.6336322</v>
      </c>
    </row>
    <row r="588">
      <c r="A588" s="436" t="s">
        <v>1349</v>
      </c>
      <c r="B588" s="436" t="s">
        <v>1349</v>
      </c>
      <c r="C588" s="436"/>
      <c r="D588" s="436" t="s">
        <v>158</v>
      </c>
      <c r="E588" s="436"/>
      <c r="F588" s="436" t="s">
        <v>2529</v>
      </c>
      <c r="G588" s="436" t="s">
        <v>169</v>
      </c>
      <c r="H588" s="436" t="s">
        <v>160</v>
      </c>
      <c r="I588" s="436" t="s">
        <v>1963</v>
      </c>
      <c r="J588" s="436">
        <v>2884.0315</v>
      </c>
      <c r="K588" s="436"/>
      <c r="L588" s="438"/>
      <c r="M588" s="453"/>
      <c r="N588" s="422">
        <v>15.033</v>
      </c>
      <c r="O588" s="422">
        <v>11.565</v>
      </c>
      <c r="P588" s="422"/>
      <c r="Q588" s="436" t="s">
        <v>2183</v>
      </c>
      <c r="R588" s="436" t="s">
        <v>2184</v>
      </c>
      <c r="S588" s="436" t="s">
        <v>1964</v>
      </c>
      <c r="T588" s="419" t="s">
        <v>162</v>
      </c>
      <c r="U588" s="436" t="s">
        <v>2185</v>
      </c>
      <c r="V588" s="451">
        <v>9.86775E27</v>
      </c>
      <c r="W588" s="458">
        <v>0.14454397707459277</v>
      </c>
      <c r="X588" s="438"/>
      <c r="Y588" s="442">
        <f>IF((W588/((J588/5780)^4))^0.5&gt;0,(W588/((J588/5780)^4))^0.5,"")</f>
        <v>1.527058511</v>
      </c>
      <c r="Z588" s="442"/>
      <c r="AA588" s="443"/>
      <c r="AB588" s="443"/>
      <c r="AC588" s="436" t="str">
        <f>IF(ISNUMBER(VLOOKUP(B588,'New Masses'!A:C,3,FALSE)),VLOOKUP(B588,'New Masses'!A:C,3,FALSE),"")</f>
        <v/>
      </c>
      <c r="AD588" s="440">
        <f>10^AE588</f>
        <v>0</v>
      </c>
      <c r="AE588" s="436">
        <v>-10.09</v>
      </c>
      <c r="AF588" s="438"/>
      <c r="AG588" s="459">
        <f>10^AJ588</f>
        <v>0.1288249552</v>
      </c>
      <c r="AH588" s="436"/>
      <c r="AI588" s="446" t="str">
        <f>IF(ISNUMBER(VLOOKUP(B588,'New Masses'!A:C,2, FALSE)),VLOOKUP(B588,'New Masses'!A:C,2, FALSE),"")</f>
        <v/>
      </c>
      <c r="AJ588" s="436">
        <v>-0.89</v>
      </c>
      <c r="AK588" s="436"/>
      <c r="AL588" s="436">
        <v>-3.61</v>
      </c>
      <c r="AM588" s="438"/>
      <c r="AN588" s="436">
        <v>1.0</v>
      </c>
      <c r="AO588" s="438"/>
      <c r="AP588" s="436"/>
      <c r="AQ588" s="438"/>
      <c r="AR588" s="438"/>
      <c r="AS588" s="420" t="str">
        <f>VLOOKUP(B588,natta06!A:F,6,FALSE)</f>
        <v>#REF!</v>
      </c>
      <c r="AT588" s="438" t="s">
        <v>5916</v>
      </c>
      <c r="AU588" s="438"/>
      <c r="AV588" s="438"/>
      <c r="AW588" s="450"/>
    </row>
    <row r="589">
      <c r="A589" s="435" t="str">
        <f t="shared" ref="A589:C589" si="508">A54</f>
        <v>#REF!</v>
      </c>
      <c r="B589" s="485" t="str">
        <f t="shared" si="508"/>
        <v>#REF!</v>
      </c>
      <c r="C589" s="486" t="str">
        <f t="shared" si="508"/>
        <v>#REF!</v>
      </c>
      <c r="D589" s="486"/>
      <c r="E589" s="486"/>
      <c r="F589" s="528"/>
      <c r="G589" s="486"/>
      <c r="H589" s="486" t="s">
        <v>5917</v>
      </c>
      <c r="I589" s="491"/>
      <c r="J589" s="491"/>
      <c r="K589" s="491"/>
      <c r="L589" s="491"/>
      <c r="M589" s="486"/>
      <c r="N589" s="422"/>
      <c r="O589" s="422"/>
      <c r="P589" s="422"/>
      <c r="Q589" s="486"/>
      <c r="R589" s="491"/>
      <c r="S589" s="491"/>
      <c r="T589" s="491"/>
      <c r="U589" s="491"/>
      <c r="V589" s="491"/>
      <c r="W589" s="493"/>
      <c r="X589" s="486"/>
      <c r="Y589" s="442"/>
      <c r="Z589" s="491"/>
      <c r="AA589" s="524" t="str">
        <f>AC54</f>
        <v/>
      </c>
      <c r="AB589" s="494"/>
      <c r="AC589" s="436"/>
      <c r="AD589" s="495"/>
      <c r="AE589" s="491"/>
      <c r="AF589" s="491"/>
      <c r="AG589" s="525" t="str">
        <f>AI54</f>
        <v/>
      </c>
      <c r="AH589" s="491"/>
      <c r="AI589" s="446"/>
      <c r="AJ589" s="491"/>
      <c r="AK589" s="500"/>
      <c r="AL589" s="436"/>
      <c r="AM589" s="438"/>
      <c r="AN589" s="531"/>
      <c r="AO589" s="491"/>
      <c r="AP589" s="438"/>
      <c r="AQ589" s="438"/>
      <c r="AR589" s="438"/>
      <c r="AS589" s="438"/>
      <c r="AT589" s="438"/>
      <c r="AU589" s="438"/>
      <c r="AV589" s="438"/>
      <c r="AW589" s="450" t="str">
        <f>AW54</f>
        <v>#REF!</v>
      </c>
    </row>
    <row r="590">
      <c r="A590" s="436" t="s">
        <v>1374</v>
      </c>
      <c r="B590" s="436" t="s">
        <v>1374</v>
      </c>
      <c r="C590" s="436"/>
      <c r="D590" s="436" t="s">
        <v>158</v>
      </c>
      <c r="E590" s="436"/>
      <c r="F590" s="436" t="s">
        <v>2530</v>
      </c>
      <c r="G590" s="436" t="s">
        <v>169</v>
      </c>
      <c r="H590" s="436" t="s">
        <v>160</v>
      </c>
      <c r="I590" s="436" t="s">
        <v>1963</v>
      </c>
      <c r="J590" s="436">
        <v>3235.93657</v>
      </c>
      <c r="K590" s="436"/>
      <c r="L590" s="438"/>
      <c r="M590" s="453"/>
      <c r="N590" s="422">
        <v>10.774</v>
      </c>
      <c r="O590" s="422">
        <v>9.273</v>
      </c>
      <c r="P590" s="422">
        <v>15.41</v>
      </c>
      <c r="Q590" s="436" t="s">
        <v>2183</v>
      </c>
      <c r="R590" s="436" t="s">
        <v>2184</v>
      </c>
      <c r="S590" s="436" t="s">
        <v>1964</v>
      </c>
      <c r="T590" s="419" t="s">
        <v>162</v>
      </c>
      <c r="U590" s="436" t="s">
        <v>2185</v>
      </c>
      <c r="V590" s="451">
        <v>4.01993E28</v>
      </c>
      <c r="W590" s="458">
        <v>0.3981071705534972</v>
      </c>
      <c r="X590" s="438"/>
      <c r="Y590" s="442">
        <f>IF((W590/((J590/5780)^4))^0.5&gt;0,(W590/((J590/5780)^4))^0.5,"")</f>
        <v>2.013055167</v>
      </c>
      <c r="Z590" s="442"/>
      <c r="AA590" s="443"/>
      <c r="AB590" s="443"/>
      <c r="AC590" s="436" t="str">
        <f>IF(ISNUMBER(VLOOKUP(B590,'New Masses'!A:C,3,FALSE)),VLOOKUP(B590,'New Masses'!A:C,3,FALSE),"")</f>
        <v/>
      </c>
      <c r="AD590" s="440">
        <f>10^AE590</f>
        <v>0.0000000004073802778</v>
      </c>
      <c r="AE590" s="436">
        <v>-9.39</v>
      </c>
      <c r="AF590" s="438"/>
      <c r="AG590" s="459">
        <f>10^AJ590</f>
        <v>0.2344228815</v>
      </c>
      <c r="AH590" s="436"/>
      <c r="AI590" s="446" t="str">
        <f>IF(ISNUMBER(VLOOKUP(B590,'New Masses'!A:C,2, FALSE)),VLOOKUP(B590,'New Masses'!A:C,2, FALSE),"")</f>
        <v/>
      </c>
      <c r="AJ590" s="436">
        <v>-0.63</v>
      </c>
      <c r="AK590" s="436"/>
      <c r="AL590" s="436">
        <v>-2.77</v>
      </c>
      <c r="AM590" s="438"/>
      <c r="AN590" s="436">
        <v>1.0</v>
      </c>
      <c r="AO590" s="438"/>
      <c r="AP590" s="436"/>
      <c r="AQ590" s="438"/>
      <c r="AR590" s="438"/>
      <c r="AS590" s="420" t="str">
        <f>VLOOKUP(B590,natta06!A:F,6,FALSE)</f>
        <v>#REF!</v>
      </c>
      <c r="AT590" s="438" t="s">
        <v>5916</v>
      </c>
      <c r="AU590" s="438"/>
      <c r="AV590" s="438"/>
      <c r="AW590" s="450">
        <v>167.72332360538</v>
      </c>
    </row>
    <row r="591">
      <c r="A591" s="435" t="str">
        <f t="shared" ref="A591:C591" si="509">A56</f>
        <v>[NC98] Cha HA 5</v>
      </c>
      <c r="B591" s="485" t="str">
        <f t="shared" si="509"/>
        <v>Cha Ha 5</v>
      </c>
      <c r="C591" s="486" t="str">
        <f t="shared" si="509"/>
        <v/>
      </c>
      <c r="D591" s="486"/>
      <c r="E591" s="486"/>
      <c r="F591" s="528"/>
      <c r="G591" s="486"/>
      <c r="H591" s="486" t="s">
        <v>5917</v>
      </c>
      <c r="I591" s="491"/>
      <c r="J591" s="491"/>
      <c r="K591" s="491"/>
      <c r="L591" s="491"/>
      <c r="M591" s="486"/>
      <c r="N591" s="422"/>
      <c r="O591" s="422"/>
      <c r="P591" s="422"/>
      <c r="Q591" s="486"/>
      <c r="R591" s="491"/>
      <c r="S591" s="491"/>
      <c r="T591" s="491"/>
      <c r="U591" s="491"/>
      <c r="V591" s="491"/>
      <c r="W591" s="493"/>
      <c r="X591" s="486"/>
      <c r="Y591" s="442"/>
      <c r="Z591" s="491"/>
      <c r="AA591" s="524" t="str">
        <f>AC56</f>
        <v/>
      </c>
      <c r="AB591" s="494"/>
      <c r="AC591" s="436"/>
      <c r="AD591" s="495"/>
      <c r="AE591" s="491"/>
      <c r="AF591" s="491"/>
      <c r="AG591" s="525" t="str">
        <f>AI56</f>
        <v/>
      </c>
      <c r="AH591" s="491"/>
      <c r="AI591" s="446"/>
      <c r="AJ591" s="491"/>
      <c r="AK591" s="500"/>
      <c r="AL591" s="436"/>
      <c r="AM591" s="438"/>
      <c r="AN591" s="531"/>
      <c r="AO591" s="491"/>
      <c r="AP591" s="438"/>
      <c r="AQ591" s="438"/>
      <c r="AR591" s="438"/>
      <c r="AS591" s="438"/>
      <c r="AT591" s="438"/>
      <c r="AU591" s="438"/>
      <c r="AV591" s="438"/>
      <c r="AW591" s="450">
        <f>AW56</f>
        <v>196.7922857</v>
      </c>
    </row>
    <row r="592">
      <c r="A592" s="436" t="s">
        <v>178</v>
      </c>
      <c r="B592" s="436" t="s">
        <v>178</v>
      </c>
      <c r="C592" s="436"/>
      <c r="D592" s="436" t="s">
        <v>158</v>
      </c>
      <c r="E592" s="436"/>
      <c r="F592" s="436" t="s">
        <v>2531</v>
      </c>
      <c r="G592" s="436" t="s">
        <v>169</v>
      </c>
      <c r="H592" s="436" t="s">
        <v>160</v>
      </c>
      <c r="I592" s="436" t="s">
        <v>1963</v>
      </c>
      <c r="J592" s="436">
        <v>3162.27766</v>
      </c>
      <c r="K592" s="436"/>
      <c r="L592" s="438"/>
      <c r="M592" s="453"/>
      <c r="N592" s="422">
        <v>17.029</v>
      </c>
      <c r="O592" s="422">
        <v>11.525</v>
      </c>
      <c r="P592" s="422"/>
      <c r="Q592" s="436" t="s">
        <v>2183</v>
      </c>
      <c r="R592" s="436" t="s">
        <v>2184</v>
      </c>
      <c r="S592" s="436" t="s">
        <v>1964</v>
      </c>
      <c r="T592" s="419" t="s">
        <v>162</v>
      </c>
      <c r="U592" s="436" t="s">
        <v>2185</v>
      </c>
      <c r="V592" s="451">
        <v>3.34363E29</v>
      </c>
      <c r="W592" s="458">
        <v>3.3884415613920256</v>
      </c>
      <c r="X592" s="438"/>
      <c r="Y592" s="442">
        <f>IF((W592/((J592/5780)^4))^0.5&gt;0,(W592/((J592/5780)^4))^0.5,"")</f>
        <v>6.149724734</v>
      </c>
      <c r="Z592" s="442"/>
      <c r="AA592" s="443"/>
      <c r="AB592" s="443"/>
      <c r="AC592" s="436" t="str">
        <f>IF(ISNUMBER(VLOOKUP(B592,'New Masses'!A:C,3,FALSE)),VLOOKUP(B592,'New Masses'!A:C,3,FALSE),"")</f>
        <v/>
      </c>
      <c r="AD592" s="440">
        <f>10^AE592</f>
        <v>0.000000007413102413</v>
      </c>
      <c r="AE592" s="436">
        <v>-8.13</v>
      </c>
      <c r="AF592" s="438"/>
      <c r="AG592" s="459">
        <f>10^AJ592</f>
        <v>0.2089296131</v>
      </c>
      <c r="AH592" s="436"/>
      <c r="AI592" s="446" t="str">
        <f>IF(ISNUMBER(VLOOKUP(B592,'New Masses'!A:C,2, FALSE)),VLOOKUP(B592,'New Masses'!A:C,2, FALSE),"")</f>
        <v/>
      </c>
      <c r="AJ592" s="436">
        <v>-0.68</v>
      </c>
      <c r="AK592" s="436"/>
      <c r="AL592" s="436">
        <v>-1.54</v>
      </c>
      <c r="AM592" s="438"/>
      <c r="AN592" s="436">
        <v>1.0</v>
      </c>
      <c r="AO592" s="438"/>
      <c r="AP592" s="436"/>
      <c r="AQ592" s="438"/>
      <c r="AR592" s="438"/>
      <c r="AS592" s="420" t="str">
        <f>VLOOKUP(B592,natta06!A:F,6,FALSE)</f>
        <v>#REF!</v>
      </c>
      <c r="AT592" s="438" t="s">
        <v>5916</v>
      </c>
      <c r="AU592" s="438"/>
      <c r="AV592" s="438"/>
      <c r="AW592" s="450"/>
    </row>
    <row r="593">
      <c r="A593" s="435" t="str">
        <f t="shared" ref="A593:C593" si="510">A58</f>
        <v>#REF!</v>
      </c>
      <c r="B593" s="485" t="str">
        <f t="shared" si="510"/>
        <v>#REF!</v>
      </c>
      <c r="C593" s="486" t="str">
        <f t="shared" si="510"/>
        <v>#REF!</v>
      </c>
      <c r="D593" s="486"/>
      <c r="E593" s="486"/>
      <c r="F593" s="528"/>
      <c r="G593" s="486"/>
      <c r="H593" s="486" t="s">
        <v>5917</v>
      </c>
      <c r="I593" s="491"/>
      <c r="J593" s="491"/>
      <c r="K593" s="491"/>
      <c r="L593" s="491"/>
      <c r="M593" s="486"/>
      <c r="N593" s="422"/>
      <c r="O593" s="422"/>
      <c r="P593" s="422"/>
      <c r="Q593" s="486"/>
      <c r="R593" s="491"/>
      <c r="S593" s="491"/>
      <c r="T593" s="491"/>
      <c r="U593" s="491"/>
      <c r="V593" s="491"/>
      <c r="W593" s="493"/>
      <c r="X593" s="486"/>
      <c r="Y593" s="442"/>
      <c r="Z593" s="491"/>
      <c r="AA593" s="524" t="str">
        <f>AC58</f>
        <v/>
      </c>
      <c r="AB593" s="494"/>
      <c r="AC593" s="436"/>
      <c r="AD593" s="495"/>
      <c r="AE593" s="491"/>
      <c r="AF593" s="491"/>
      <c r="AG593" s="525" t="str">
        <f>AI58</f>
        <v/>
      </c>
      <c r="AH593" s="491"/>
      <c r="AI593" s="446"/>
      <c r="AJ593" s="491"/>
      <c r="AK593" s="500"/>
      <c r="AL593" s="436"/>
      <c r="AM593" s="438"/>
      <c r="AN593" s="531"/>
      <c r="AO593" s="491"/>
      <c r="AP593" s="438"/>
      <c r="AQ593" s="438"/>
      <c r="AR593" s="438"/>
      <c r="AS593" s="438"/>
      <c r="AT593" s="438"/>
      <c r="AU593" s="438"/>
      <c r="AV593" s="438"/>
      <c r="AW593" s="450" t="str">
        <f>AW58</f>
        <v>#REF!</v>
      </c>
    </row>
    <row r="594">
      <c r="A594" s="436" t="s">
        <v>1464</v>
      </c>
      <c r="B594" s="436" t="s">
        <v>1464</v>
      </c>
      <c r="C594" s="436"/>
      <c r="D594" s="436" t="s">
        <v>158</v>
      </c>
      <c r="E594" s="436"/>
      <c r="F594" s="436" t="s">
        <v>2532</v>
      </c>
      <c r="G594" s="436" t="s">
        <v>169</v>
      </c>
      <c r="H594" s="436" t="s">
        <v>160</v>
      </c>
      <c r="I594" s="436" t="s">
        <v>1963</v>
      </c>
      <c r="J594" s="436">
        <v>4265.79519</v>
      </c>
      <c r="K594" s="436"/>
      <c r="L594" s="438"/>
      <c r="M594" s="453"/>
      <c r="N594" s="422">
        <v>10.499</v>
      </c>
      <c r="O594" s="422">
        <v>7.878</v>
      </c>
      <c r="P594" s="422">
        <v>16.29</v>
      </c>
      <c r="Q594" s="436" t="s">
        <v>2183</v>
      </c>
      <c r="R594" s="436" t="s">
        <v>2184</v>
      </c>
      <c r="S594" s="436" t="s">
        <v>1964</v>
      </c>
      <c r="T594" s="419" t="s">
        <v>162</v>
      </c>
      <c r="U594" s="436" t="s">
        <v>2185</v>
      </c>
      <c r="V594" s="451">
        <v>8.02081E29</v>
      </c>
      <c r="W594" s="458">
        <v>3.3884415613920256</v>
      </c>
      <c r="X594" s="438"/>
      <c r="Y594" s="442">
        <f>IF((W594/((J594/5780)^4))^0.5&gt;0,(W594/((J594/5780)^4))^0.5,"")</f>
        <v>3.379525101</v>
      </c>
      <c r="Z594" s="442"/>
      <c r="AA594" s="443"/>
      <c r="AB594" s="443"/>
      <c r="AC594" s="436" t="str">
        <f>IF(ISNUMBER(VLOOKUP(B594,'New Masses'!A:C,3,FALSE)),VLOOKUP(B594,'New Masses'!A:C,3,FALSE),"")</f>
        <v/>
      </c>
      <c r="AD594" s="440">
        <f>10^AE594</f>
        <v>0.00000001047128548</v>
      </c>
      <c r="AE594" s="436">
        <v>-7.98</v>
      </c>
      <c r="AF594" s="438"/>
      <c r="AG594" s="459">
        <f>10^AJ594</f>
        <v>0.8511380382</v>
      </c>
      <c r="AH594" s="436"/>
      <c r="AI594" s="446" t="str">
        <f>IF(ISNUMBER(VLOOKUP(B594,'New Masses'!A:C,2, FALSE)),VLOOKUP(B594,'New Masses'!A:C,2, FALSE),"")</f>
        <v/>
      </c>
      <c r="AJ594" s="436">
        <v>-0.07</v>
      </c>
      <c r="AK594" s="436"/>
      <c r="AL594" s="436">
        <v>-1.01</v>
      </c>
      <c r="AM594" s="438"/>
      <c r="AN594" s="436">
        <v>1.0</v>
      </c>
      <c r="AO594" s="438"/>
      <c r="AP594" s="438"/>
      <c r="AQ594" s="438"/>
      <c r="AR594" s="438"/>
      <c r="AS594" s="420" t="str">
        <f>VLOOKUP(B594,natta06!A:F,6,FALSE)</f>
        <v>#REF!</v>
      </c>
      <c r="AT594" s="438"/>
      <c r="AU594" s="438"/>
      <c r="AV594" s="438"/>
      <c r="AW594" s="450">
        <v>131.126904618289</v>
      </c>
    </row>
    <row r="595">
      <c r="A595" s="435" t="str">
        <f t="shared" ref="A595:C595" si="511">A60</f>
        <v>[NC98] Cha HA 6</v>
      </c>
      <c r="B595" s="485" t="str">
        <f t="shared" si="511"/>
        <v>[NC98] Cha HA 6</v>
      </c>
      <c r="C595" s="486" t="str">
        <f t="shared" si="511"/>
        <v>Cha Ha 6</v>
      </c>
      <c r="D595" s="486"/>
      <c r="E595" s="486"/>
      <c r="F595" s="528"/>
      <c r="G595" s="486"/>
      <c r="H595" s="486" t="s">
        <v>5917</v>
      </c>
      <c r="I595" s="491"/>
      <c r="J595" s="491"/>
      <c r="K595" s="491"/>
      <c r="L595" s="491"/>
      <c r="M595" s="486"/>
      <c r="N595" s="422"/>
      <c r="O595" s="422"/>
      <c r="P595" s="422"/>
      <c r="Q595" s="486"/>
      <c r="R595" s="491"/>
      <c r="S595" s="491"/>
      <c r="T595" s="491"/>
      <c r="U595" s="491"/>
      <c r="V595" s="491"/>
      <c r="W595" s="493"/>
      <c r="X595" s="486"/>
      <c r="Y595" s="442"/>
      <c r="Z595" s="491"/>
      <c r="AA595" s="524" t="str">
        <f>AC60</f>
        <v/>
      </c>
      <c r="AB595" s="494"/>
      <c r="AC595" s="436"/>
      <c r="AD595" s="495"/>
      <c r="AE595" s="491"/>
      <c r="AF595" s="491"/>
      <c r="AG595" s="525">
        <f>AI60</f>
        <v>0.038679</v>
      </c>
      <c r="AH595" s="491"/>
      <c r="AI595" s="446"/>
      <c r="AJ595" s="491"/>
      <c r="AK595" s="500"/>
      <c r="AL595" s="436"/>
      <c r="AM595" s="438"/>
      <c r="AN595" s="531"/>
      <c r="AO595" s="491"/>
      <c r="AP595" s="438"/>
      <c r="AQ595" s="438"/>
      <c r="AR595" s="438"/>
      <c r="AS595" s="438"/>
      <c r="AT595" s="438"/>
      <c r="AU595" s="438"/>
      <c r="AV595" s="438"/>
      <c r="AW595" s="450">
        <f>AW60</f>
        <v>179.3239487</v>
      </c>
    </row>
    <row r="596">
      <c r="A596" s="436" t="s">
        <v>1352</v>
      </c>
      <c r="B596" s="436" t="s">
        <v>1352</v>
      </c>
      <c r="C596" s="436"/>
      <c r="D596" s="436" t="s">
        <v>158</v>
      </c>
      <c r="E596" s="436"/>
      <c r="F596" s="436" t="s">
        <v>2533</v>
      </c>
      <c r="G596" s="436" t="s">
        <v>169</v>
      </c>
      <c r="H596" s="436" t="s">
        <v>160</v>
      </c>
      <c r="I596" s="436" t="s">
        <v>1963</v>
      </c>
      <c r="J596" s="436">
        <v>2884.0315</v>
      </c>
      <c r="K596" s="436"/>
      <c r="L596" s="438"/>
      <c r="M596" s="453"/>
      <c r="N596" s="422">
        <v>15.328</v>
      </c>
      <c r="O596" s="422">
        <v>11.437</v>
      </c>
      <c r="P596" s="422"/>
      <c r="Q596" s="436" t="s">
        <v>2183</v>
      </c>
      <c r="R596" s="436" t="s">
        <v>2184</v>
      </c>
      <c r="S596" s="436" t="s">
        <v>1964</v>
      </c>
      <c r="T596" s="419" t="s">
        <v>162</v>
      </c>
      <c r="U596" s="436" t="s">
        <v>2185</v>
      </c>
      <c r="V596" s="451">
        <v>1.214E28</v>
      </c>
      <c r="W596" s="458">
        <v>0.15848931924611134</v>
      </c>
      <c r="X596" s="438"/>
      <c r="Y596" s="442">
        <f>IF((W596/((J596/5780)^4))^0.5&gt;0,(W596/((J596/5780)^4))^0.5,"")</f>
        <v>1.599026561</v>
      </c>
      <c r="Z596" s="442"/>
      <c r="AA596" s="443"/>
      <c r="AB596" s="443"/>
      <c r="AC596" s="436" t="str">
        <f>IF(ISNUMBER(VLOOKUP(B596,'New Masses'!A:C,3,FALSE)),VLOOKUP(B596,'New Masses'!A:C,3,FALSE),"")</f>
        <v/>
      </c>
      <c r="AD596" s="440">
        <f>10^AE596</f>
        <v>0.0000000001096478196</v>
      </c>
      <c r="AE596" s="436">
        <v>-9.96</v>
      </c>
      <c r="AF596" s="438"/>
      <c r="AG596" s="459">
        <f>10^AJ596</f>
        <v>0.1348962883</v>
      </c>
      <c r="AH596" s="436"/>
      <c r="AI596" s="446" t="str">
        <f>IF(ISNUMBER(VLOOKUP(B596,'New Masses'!A:C,2, FALSE)),VLOOKUP(B596,'New Masses'!A:C,2, FALSE),"")</f>
        <v/>
      </c>
      <c r="AJ596" s="436">
        <v>-0.87</v>
      </c>
      <c r="AK596" s="436"/>
      <c r="AL596" s="436">
        <v>-3.47</v>
      </c>
      <c r="AM596" s="438"/>
      <c r="AN596" s="436">
        <v>1.0</v>
      </c>
      <c r="AO596" s="438"/>
      <c r="AP596" s="436"/>
      <c r="AQ596" s="438"/>
      <c r="AR596" s="438"/>
      <c r="AS596" s="420" t="str">
        <f>VLOOKUP(B596,natta06!A:F,6,FALSE)</f>
        <v>#REF!</v>
      </c>
      <c r="AT596" s="438" t="s">
        <v>5916</v>
      </c>
      <c r="AU596" s="438"/>
      <c r="AV596" s="438"/>
      <c r="AW596" s="450"/>
    </row>
    <row r="597">
      <c r="A597" s="435" t="str">
        <f t="shared" ref="A597:C597" si="512">A62</f>
        <v>[NC98] Cha HA 6</v>
      </c>
      <c r="B597" s="485" t="str">
        <f t="shared" si="512"/>
        <v>Cha Ha 6</v>
      </c>
      <c r="C597" s="486" t="str">
        <f t="shared" si="512"/>
        <v/>
      </c>
      <c r="D597" s="486"/>
      <c r="E597" s="486"/>
      <c r="F597" s="528"/>
      <c r="G597" s="486"/>
      <c r="H597" s="486" t="s">
        <v>5917</v>
      </c>
      <c r="I597" s="491"/>
      <c r="J597" s="491"/>
      <c r="K597" s="491"/>
      <c r="L597" s="491"/>
      <c r="M597" s="486"/>
      <c r="N597" s="422"/>
      <c r="O597" s="422"/>
      <c r="P597" s="422"/>
      <c r="Q597" s="486"/>
      <c r="R597" s="491"/>
      <c r="S597" s="491"/>
      <c r="T597" s="491"/>
      <c r="U597" s="491"/>
      <c r="V597" s="491"/>
      <c r="W597" s="493"/>
      <c r="X597" s="486"/>
      <c r="Y597" s="442"/>
      <c r="Z597" s="491"/>
      <c r="AA597" s="619">
        <f>AC62</f>
        <v>0.466998</v>
      </c>
      <c r="AB597" s="494"/>
      <c r="AC597" s="436"/>
      <c r="AD597" s="495"/>
      <c r="AE597" s="491"/>
      <c r="AF597" s="491"/>
      <c r="AG597" s="525">
        <f>AI62</f>
        <v>0.038679</v>
      </c>
      <c r="AH597" s="491"/>
      <c r="AI597" s="446"/>
      <c r="AJ597" s="491"/>
      <c r="AK597" s="500"/>
      <c r="AL597" s="436"/>
      <c r="AM597" s="438"/>
      <c r="AN597" s="531"/>
      <c r="AO597" s="491"/>
      <c r="AP597" s="438"/>
      <c r="AQ597" s="438"/>
      <c r="AR597" s="438"/>
      <c r="AS597" s="438"/>
      <c r="AT597" s="438"/>
      <c r="AU597" s="438"/>
      <c r="AV597" s="438"/>
      <c r="AW597" s="450">
        <f>AW62</f>
        <v>179.3239487</v>
      </c>
    </row>
    <row r="598">
      <c r="A598" s="436" t="s">
        <v>1418</v>
      </c>
      <c r="B598" s="436" t="s">
        <v>1418</v>
      </c>
      <c r="C598" s="436"/>
      <c r="D598" s="436" t="s">
        <v>158</v>
      </c>
      <c r="E598" s="436"/>
      <c r="F598" s="436" t="s">
        <v>2534</v>
      </c>
      <c r="G598" s="436" t="s">
        <v>159</v>
      </c>
      <c r="H598" s="436" t="s">
        <v>160</v>
      </c>
      <c r="I598" s="436" t="s">
        <v>1963</v>
      </c>
      <c r="J598" s="436">
        <v>3630.78055</v>
      </c>
      <c r="K598" s="436"/>
      <c r="L598" s="438"/>
      <c r="M598" s="453"/>
      <c r="N598" s="422">
        <v>12.985</v>
      </c>
      <c r="O598" s="422">
        <v>9.604</v>
      </c>
      <c r="P598" s="422"/>
      <c r="Q598" s="436" t="s">
        <v>2183</v>
      </c>
      <c r="R598" s="436" t="s">
        <v>2184</v>
      </c>
      <c r="S598" s="436" t="s">
        <v>1964</v>
      </c>
      <c r="T598" s="419" t="s">
        <v>162</v>
      </c>
      <c r="U598" s="436" t="s">
        <v>2185</v>
      </c>
      <c r="V598" s="451">
        <v>1.3311E29</v>
      </c>
      <c r="W598" s="458">
        <v>1.0</v>
      </c>
      <c r="X598" s="438"/>
      <c r="Y598" s="442">
        <f>IF((W598/((J598/5780)^4))^0.5&gt;0,(W598/((J598/5780)^4))^0.5,"")</f>
        <v>2.534286303</v>
      </c>
      <c r="Z598" s="442"/>
      <c r="AA598" s="443"/>
      <c r="AB598" s="443"/>
      <c r="AC598" s="436" t="str">
        <f>IF(ISNUMBER(VLOOKUP(B598,'New Masses'!A:C,3,FALSE)),VLOOKUP(B598,'New Masses'!A:C,3,FALSE),"")</f>
        <v/>
      </c>
      <c r="AD598" s="440">
        <f>10^AE598</f>
        <v>0.000000001445439771</v>
      </c>
      <c r="AE598" s="436">
        <v>-8.84</v>
      </c>
      <c r="AF598" s="438"/>
      <c r="AG598" s="459">
        <f>10^AJ598</f>
        <v>0.4168693835</v>
      </c>
      <c r="AH598" s="436"/>
      <c r="AI598" s="446" t="str">
        <f>IF(ISNUMBER(VLOOKUP(B598,'New Masses'!A:C,2, FALSE)),VLOOKUP(B598,'New Masses'!A:C,2, FALSE),"")</f>
        <v/>
      </c>
      <c r="AJ598" s="436">
        <v>-0.38</v>
      </c>
      <c r="AK598" s="436"/>
      <c r="AL598" s="436">
        <v>-2.07</v>
      </c>
      <c r="AM598" s="438"/>
      <c r="AN598" s="436">
        <v>1.0</v>
      </c>
      <c r="AO598" s="438"/>
      <c r="AP598" s="436"/>
      <c r="AQ598" s="438"/>
      <c r="AR598" s="438"/>
      <c r="AS598" s="420" t="str">
        <f>VLOOKUP(B598,natta06!A:F,6,FALSE)</f>
        <v>#REF!</v>
      </c>
      <c r="AT598" s="438" t="s">
        <v>5916</v>
      </c>
      <c r="AU598" s="438"/>
      <c r="AV598" s="438"/>
      <c r="AW598" s="450">
        <v>150.679564837416</v>
      </c>
    </row>
    <row r="599">
      <c r="A599" s="435" t="str">
        <f t="shared" ref="A599:C599" si="513">A64</f>
        <v>#REF!</v>
      </c>
      <c r="B599" s="485" t="str">
        <f t="shared" si="513"/>
        <v>#REF!</v>
      </c>
      <c r="C599" s="486" t="str">
        <f t="shared" si="513"/>
        <v>#REF!</v>
      </c>
      <c r="D599" s="486"/>
      <c r="E599" s="486"/>
      <c r="F599" s="528"/>
      <c r="G599" s="486"/>
      <c r="H599" s="486" t="s">
        <v>5917</v>
      </c>
      <c r="I599" s="491"/>
      <c r="J599" s="491"/>
      <c r="K599" s="491"/>
      <c r="L599" s="491"/>
      <c r="M599" s="486"/>
      <c r="N599" s="422"/>
      <c r="O599" s="422"/>
      <c r="P599" s="422"/>
      <c r="Q599" s="486"/>
      <c r="R599" s="491"/>
      <c r="S599" s="491"/>
      <c r="T599" s="491"/>
      <c r="U599" s="491"/>
      <c r="V599" s="491"/>
      <c r="W599" s="493"/>
      <c r="X599" s="486"/>
      <c r="Y599" s="442"/>
      <c r="Z599" s="491"/>
      <c r="AA599" s="524" t="str">
        <f>AC64</f>
        <v/>
      </c>
      <c r="AB599" s="494"/>
      <c r="AC599" s="436"/>
      <c r="AD599" s="495"/>
      <c r="AE599" s="491"/>
      <c r="AF599" s="491"/>
      <c r="AG599" s="525" t="str">
        <f>AI64</f>
        <v/>
      </c>
      <c r="AH599" s="491"/>
      <c r="AI599" s="446"/>
      <c r="AJ599" s="491"/>
      <c r="AK599" s="500"/>
      <c r="AL599" s="436"/>
      <c r="AM599" s="438"/>
      <c r="AN599" s="531"/>
      <c r="AO599" s="491"/>
      <c r="AP599" s="438"/>
      <c r="AQ599" s="438"/>
      <c r="AR599" s="438"/>
      <c r="AS599" s="438"/>
      <c r="AT599" s="438"/>
      <c r="AU599" s="438"/>
      <c r="AV599" s="438"/>
      <c r="AW599" s="450" t="str">
        <f>AW64</f>
        <v>#REF!</v>
      </c>
    </row>
    <row r="600">
      <c r="A600" s="436" t="s">
        <v>1371</v>
      </c>
      <c r="B600" s="436" t="s">
        <v>1371</v>
      </c>
      <c r="C600" s="436"/>
      <c r="D600" s="436" t="s">
        <v>158</v>
      </c>
      <c r="E600" s="436"/>
      <c r="F600" s="436" t="s">
        <v>2535</v>
      </c>
      <c r="G600" s="436" t="s">
        <v>159</v>
      </c>
      <c r="H600" s="436" t="s">
        <v>160</v>
      </c>
      <c r="I600" s="436" t="s">
        <v>1963</v>
      </c>
      <c r="J600" s="436">
        <v>3090.29543</v>
      </c>
      <c r="K600" s="436"/>
      <c r="L600" s="438"/>
      <c r="M600" s="453"/>
      <c r="N600" s="422">
        <v>10.989</v>
      </c>
      <c r="O600" s="422">
        <v>9.573</v>
      </c>
      <c r="P600" s="422">
        <v>15.15</v>
      </c>
      <c r="Q600" s="436" t="s">
        <v>2183</v>
      </c>
      <c r="R600" s="436" t="s">
        <v>2184</v>
      </c>
      <c r="S600" s="436" t="s">
        <v>1964</v>
      </c>
      <c r="T600" s="419" t="s">
        <v>162</v>
      </c>
      <c r="U600" s="436" t="s">
        <v>2185</v>
      </c>
      <c r="V600" s="451">
        <v>5.1787E28</v>
      </c>
      <c r="W600" s="458">
        <v>0.30902954325135906</v>
      </c>
      <c r="X600" s="438"/>
      <c r="Y600" s="442">
        <f>IF((W600/((J600/5780)^4))^0.5&gt;0,(W600/((J600/5780)^4))^0.5,"")</f>
        <v>1.944713717</v>
      </c>
      <c r="Z600" s="442"/>
      <c r="AA600" s="443"/>
      <c r="AB600" s="443"/>
      <c r="AC600" s="436" t="str">
        <f>IF(ISNUMBER(VLOOKUP(B600,'New Masses'!A:C,3,FALSE)),VLOOKUP(B600,'New Masses'!A:C,3,FALSE),"")</f>
        <v/>
      </c>
      <c r="AD600" s="440">
        <f>10^AE600</f>
        <v>0.0000000006309573445</v>
      </c>
      <c r="AE600" s="436">
        <v>-9.2</v>
      </c>
      <c r="AF600" s="438"/>
      <c r="AG600" s="459">
        <f>10^AJ600</f>
        <v>0.2041737945</v>
      </c>
      <c r="AH600" s="436"/>
      <c r="AI600" s="446" t="str">
        <f>IF(ISNUMBER(VLOOKUP(B600,'New Masses'!A:C,2, FALSE)),VLOOKUP(B600,'New Masses'!A:C,2, FALSE),"")</f>
        <v/>
      </c>
      <c r="AJ600" s="436">
        <v>-0.69</v>
      </c>
      <c r="AK600" s="436"/>
      <c r="AL600" s="436">
        <v>-2.62</v>
      </c>
      <c r="AM600" s="438"/>
      <c r="AN600" s="436">
        <v>1.0</v>
      </c>
      <c r="AO600" s="438"/>
      <c r="AP600" s="436"/>
      <c r="AQ600" s="438"/>
      <c r="AR600" s="438"/>
      <c r="AS600" s="420" t="str">
        <f>VLOOKUP(B600,natta06!A:F,6,FALSE)</f>
        <v>#REF!</v>
      </c>
      <c r="AT600" s="438" t="s">
        <v>5916</v>
      </c>
      <c r="AU600" s="438"/>
      <c r="AV600" s="438"/>
      <c r="AW600" s="450">
        <v>140.118820760004</v>
      </c>
    </row>
    <row r="601">
      <c r="A601" s="435" t="str">
        <f t="shared" ref="A601:C601" si="514">A66</f>
        <v>#REF!</v>
      </c>
      <c r="B601" s="485" t="str">
        <f t="shared" si="514"/>
        <v>#REF!</v>
      </c>
      <c r="C601" s="486" t="str">
        <f t="shared" si="514"/>
        <v>#REF!</v>
      </c>
      <c r="D601" s="486"/>
      <c r="E601" s="486"/>
      <c r="F601" s="528"/>
      <c r="G601" s="486"/>
      <c r="H601" s="486" t="s">
        <v>5917</v>
      </c>
      <c r="I601" s="491"/>
      <c r="J601" s="491"/>
      <c r="K601" s="491"/>
      <c r="L601" s="491"/>
      <c r="M601" s="486"/>
      <c r="N601" s="422"/>
      <c r="O601" s="422"/>
      <c r="P601" s="422"/>
      <c r="Q601" s="486"/>
      <c r="R601" s="491"/>
      <c r="S601" s="491"/>
      <c r="T601" s="491"/>
      <c r="U601" s="491"/>
      <c r="V601" s="491"/>
      <c r="W601" s="493"/>
      <c r="X601" s="486"/>
      <c r="Y601" s="442"/>
      <c r="Z601" s="491"/>
      <c r="AA601" s="524" t="str">
        <f>AC66</f>
        <v/>
      </c>
      <c r="AB601" s="494"/>
      <c r="AC601" s="436"/>
      <c r="AD601" s="495"/>
      <c r="AE601" s="491"/>
      <c r="AF601" s="491"/>
      <c r="AG601" s="525" t="str">
        <f>AI66</f>
        <v/>
      </c>
      <c r="AH601" s="491"/>
      <c r="AI601" s="446"/>
      <c r="AJ601" s="491"/>
      <c r="AK601" s="500"/>
      <c r="AL601" s="436"/>
      <c r="AM601" s="438"/>
      <c r="AN601" s="531"/>
      <c r="AO601" s="491"/>
      <c r="AP601" s="438"/>
      <c r="AQ601" s="438"/>
      <c r="AR601" s="438"/>
      <c r="AS601" s="438"/>
      <c r="AT601" s="438"/>
      <c r="AU601" s="438"/>
      <c r="AV601" s="438"/>
      <c r="AW601" s="450" t="str">
        <f>AW66</f>
        <v>#REF!</v>
      </c>
    </row>
    <row r="602">
      <c r="A602" s="436" t="s">
        <v>1424</v>
      </c>
      <c r="B602" s="436" t="s">
        <v>1424</v>
      </c>
      <c r="C602" s="436"/>
      <c r="D602" s="436" t="s">
        <v>158</v>
      </c>
      <c r="E602" s="436"/>
      <c r="F602" s="436" t="s">
        <v>2536</v>
      </c>
      <c r="G602" s="436" t="s">
        <v>169</v>
      </c>
      <c r="H602" s="436" t="s">
        <v>160</v>
      </c>
      <c r="I602" s="436" t="s">
        <v>1963</v>
      </c>
      <c r="J602" s="436">
        <v>3715.35229</v>
      </c>
      <c r="K602" s="436"/>
      <c r="L602" s="438"/>
      <c r="M602" s="453"/>
      <c r="N602" s="422">
        <v>13.248</v>
      </c>
      <c r="O602" s="422">
        <v>8.955</v>
      </c>
      <c r="P602" s="422"/>
      <c r="Q602" s="436" t="s">
        <v>2183</v>
      </c>
      <c r="R602" s="436" t="s">
        <v>2184</v>
      </c>
      <c r="S602" s="436" t="s">
        <v>1964</v>
      </c>
      <c r="T602" s="419" t="s">
        <v>162</v>
      </c>
      <c r="U602" s="436" t="s">
        <v>2185</v>
      </c>
      <c r="V602" s="451">
        <v>2.26057E30</v>
      </c>
      <c r="W602" s="458">
        <v>1.2302687708123816</v>
      </c>
      <c r="X602" s="438"/>
      <c r="Y602" s="442">
        <f>IF((W602/((J602/5780)^4))^0.5&gt;0,(W602/((J602/5780)^4))^0.5,"")</f>
        <v>2.684452211</v>
      </c>
      <c r="Z602" s="442"/>
      <c r="AA602" s="443"/>
      <c r="AB602" s="443"/>
      <c r="AC602" s="436" t="str">
        <f>IF(ISNUMBER(VLOOKUP(B602,'New Masses'!A:C,3,FALSE)),VLOOKUP(B602,'New Masses'!A:C,3,FALSE),"")</f>
        <v/>
      </c>
      <c r="AD602" s="440">
        <f>10^AE602</f>
        <v>0.00000006309573445</v>
      </c>
      <c r="AE602" s="436">
        <v>-7.2</v>
      </c>
      <c r="AF602" s="438"/>
      <c r="AG602" s="459">
        <f>10^AJ602</f>
        <v>0.4677351413</v>
      </c>
      <c r="AH602" s="436"/>
      <c r="AI602" s="446" t="str">
        <f>IF(ISNUMBER(VLOOKUP(B602,'New Masses'!A:C,2, FALSE)),VLOOKUP(B602,'New Masses'!A:C,2, FALSE),"")</f>
        <v/>
      </c>
      <c r="AJ602" s="436">
        <v>-0.33</v>
      </c>
      <c r="AK602" s="436"/>
      <c r="AL602" s="436">
        <v>-0.4</v>
      </c>
      <c r="AM602" s="438"/>
      <c r="AN602" s="436">
        <v>1.0</v>
      </c>
      <c r="AO602" s="438"/>
      <c r="AP602" s="438"/>
      <c r="AQ602" s="438"/>
      <c r="AR602" s="438"/>
      <c r="AS602" s="420" t="str">
        <f>VLOOKUP(B602,natta06!A:F,6,FALSE)</f>
        <v>#REF!</v>
      </c>
      <c r="AT602" s="438"/>
      <c r="AU602" s="438"/>
      <c r="AV602" s="438"/>
      <c r="AW602" s="450">
        <v>115.877540615077</v>
      </c>
    </row>
    <row r="603">
      <c r="A603" s="435" t="str">
        <f t="shared" ref="A603:C603" si="515">A68</f>
        <v>[NC98] Cha HA 7</v>
      </c>
      <c r="B603" s="485" t="str">
        <f t="shared" si="515"/>
        <v>Cha Ha 7</v>
      </c>
      <c r="C603" s="486" t="str">
        <f t="shared" si="515"/>
        <v/>
      </c>
      <c r="D603" s="486"/>
      <c r="E603" s="486"/>
      <c r="F603" s="528"/>
      <c r="G603" s="486"/>
      <c r="H603" s="486" t="s">
        <v>5917</v>
      </c>
      <c r="I603" s="491"/>
      <c r="J603" s="491"/>
      <c r="K603" s="491"/>
      <c r="L603" s="491"/>
      <c r="M603" s="486"/>
      <c r="N603" s="422"/>
      <c r="O603" s="422"/>
      <c r="P603" s="422"/>
      <c r="Q603" s="486"/>
      <c r="R603" s="491"/>
      <c r="S603" s="491"/>
      <c r="T603" s="491"/>
      <c r="U603" s="491"/>
      <c r="V603" s="491"/>
      <c r="W603" s="493"/>
      <c r="X603" s="486"/>
      <c r="Y603" s="442"/>
      <c r="Z603" s="491"/>
      <c r="AA603" s="619">
        <f>AC68</f>
        <v>0.373813</v>
      </c>
      <c r="AB603" s="494"/>
      <c r="AC603" s="436"/>
      <c r="AD603" s="495"/>
      <c r="AE603" s="491"/>
      <c r="AF603" s="491"/>
      <c r="AG603" s="525">
        <f>AI68</f>
        <v>0.028415</v>
      </c>
      <c r="AH603" s="491"/>
      <c r="AI603" s="446"/>
      <c r="AJ603" s="491"/>
      <c r="AK603" s="500"/>
      <c r="AL603" s="436"/>
      <c r="AM603" s="438"/>
      <c r="AN603" s="531"/>
      <c r="AO603" s="491"/>
      <c r="AP603" s="438"/>
      <c r="AQ603" s="438"/>
      <c r="AR603" s="438"/>
      <c r="AS603" s="438"/>
      <c r="AT603" s="438"/>
      <c r="AU603" s="438"/>
      <c r="AV603" s="438"/>
      <c r="AW603" s="450">
        <f>AW68</f>
        <v>184.2401017</v>
      </c>
    </row>
    <row r="604">
      <c r="A604" s="436" t="s">
        <v>1347</v>
      </c>
      <c r="B604" s="436" t="s">
        <v>1347</v>
      </c>
      <c r="C604" s="436"/>
      <c r="D604" s="436" t="s">
        <v>158</v>
      </c>
      <c r="E604" s="436"/>
      <c r="F604" s="436" t="s">
        <v>2537</v>
      </c>
      <c r="G604" s="436" t="s">
        <v>159</v>
      </c>
      <c r="H604" s="436" t="s">
        <v>160</v>
      </c>
      <c r="I604" s="436" t="s">
        <v>1963</v>
      </c>
      <c r="J604" s="436">
        <v>2884.0315</v>
      </c>
      <c r="K604" s="436"/>
      <c r="L604" s="438"/>
      <c r="M604" s="453"/>
      <c r="N604" s="422">
        <v>12.331</v>
      </c>
      <c r="O604" s="422">
        <v>10.556</v>
      </c>
      <c r="P604" s="422">
        <v>17.41</v>
      </c>
      <c r="Q604" s="436" t="s">
        <v>2183</v>
      </c>
      <c r="R604" s="436" t="s">
        <v>2184</v>
      </c>
      <c r="S604" s="436" t="s">
        <v>1964</v>
      </c>
      <c r="T604" s="419" t="s">
        <v>162</v>
      </c>
      <c r="U604" s="436" t="s">
        <v>2185</v>
      </c>
      <c r="V604" s="451">
        <v>1.3008E28</v>
      </c>
      <c r="W604" s="458">
        <v>0.14791083881682077</v>
      </c>
      <c r="X604" s="438"/>
      <c r="Y604" s="442">
        <f>IF((W604/((J604/5780)^4))^0.5&gt;0,(W604/((J604/5780)^4))^0.5,"")</f>
        <v>1.544741015</v>
      </c>
      <c r="Z604" s="442"/>
      <c r="AA604" s="443"/>
      <c r="AB604" s="443"/>
      <c r="AC604" s="436" t="str">
        <f>IF(ISNUMBER(VLOOKUP(B604,'New Masses'!A:C,3,FALSE)),VLOOKUP(B604,'New Masses'!A:C,3,FALSE),"")</f>
        <v/>
      </c>
      <c r="AD604" s="440">
        <f>10^AE604</f>
        <v>0.0000000001202264435</v>
      </c>
      <c r="AE604" s="436">
        <v>-9.92</v>
      </c>
      <c r="AF604" s="438"/>
      <c r="AG604" s="459">
        <f>10^AJ604</f>
        <v>0.1288249552</v>
      </c>
      <c r="AH604" s="436"/>
      <c r="AI604" s="446" t="str">
        <f>IF(ISNUMBER(VLOOKUP(B604,'New Masses'!A:C,2, FALSE)),VLOOKUP(B604,'New Masses'!A:C,2, FALSE),"")</f>
        <v/>
      </c>
      <c r="AJ604" s="436">
        <v>-0.89</v>
      </c>
      <c r="AK604" s="436"/>
      <c r="AL604" s="436">
        <v>-3.44</v>
      </c>
      <c r="AM604" s="438"/>
      <c r="AN604" s="436">
        <v>1.0</v>
      </c>
      <c r="AO604" s="438"/>
      <c r="AP604" s="436"/>
      <c r="AQ604" s="438"/>
      <c r="AR604" s="438"/>
      <c r="AS604" s="420" t="str">
        <f>VLOOKUP(B604,natta06!A:F,6,FALSE)</f>
        <v>#REF!</v>
      </c>
      <c r="AT604" s="438" t="s">
        <v>5916</v>
      </c>
      <c r="AU604" s="438"/>
      <c r="AV604" s="438"/>
      <c r="AW604" s="450">
        <v>145.623998835008</v>
      </c>
    </row>
    <row r="605">
      <c r="A605" s="435" t="str">
        <f t="shared" ref="A605:C605" si="516">A70</f>
        <v>[W96] 4771-1051</v>
      </c>
      <c r="B605" s="485" t="str">
        <f t="shared" si="516"/>
        <v>SO697</v>
      </c>
      <c r="C605" s="486" t="str">
        <f t="shared" si="516"/>
        <v/>
      </c>
      <c r="D605" s="486"/>
      <c r="E605" s="486"/>
      <c r="F605" s="528"/>
      <c r="G605" s="486"/>
      <c r="H605" s="486" t="s">
        <v>5917</v>
      </c>
      <c r="I605" s="491"/>
      <c r="J605" s="491"/>
      <c r="K605" s="491"/>
      <c r="L605" s="491"/>
      <c r="M605" s="486"/>
      <c r="N605" s="422"/>
      <c r="O605" s="422"/>
      <c r="P605" s="422"/>
      <c r="Q605" s="486"/>
      <c r="R605" s="491"/>
      <c r="S605" s="491"/>
      <c r="T605" s="491"/>
      <c r="U605" s="491"/>
      <c r="V605" s="491"/>
      <c r="W605" s="493"/>
      <c r="X605" s="486"/>
      <c r="Y605" s="442"/>
      <c r="Z605" s="491"/>
      <c r="AA605" s="524" t="str">
        <f>AC70</f>
        <v/>
      </c>
      <c r="AB605" s="494"/>
      <c r="AC605" s="436"/>
      <c r="AD605" s="495"/>
      <c r="AE605" s="491"/>
      <c r="AF605" s="491"/>
      <c r="AG605" s="525" t="str">
        <f>AI70</f>
        <v/>
      </c>
      <c r="AH605" s="491"/>
      <c r="AI605" s="446"/>
      <c r="AJ605" s="491"/>
      <c r="AK605" s="500"/>
      <c r="AL605" s="436"/>
      <c r="AM605" s="438"/>
      <c r="AN605" s="531"/>
      <c r="AO605" s="491"/>
      <c r="AP605" s="438"/>
      <c r="AQ605" s="438"/>
      <c r="AR605" s="438"/>
      <c r="AS605" s="438"/>
      <c r="AT605" s="438"/>
      <c r="AU605" s="438"/>
      <c r="AV605" s="438"/>
      <c r="AW605" s="450">
        <f>AW70</f>
        <v>400.7694774</v>
      </c>
    </row>
    <row r="606">
      <c r="A606" s="436" t="s">
        <v>1351</v>
      </c>
      <c r="B606" s="436" t="s">
        <v>1351</v>
      </c>
      <c r="C606" s="436"/>
      <c r="D606" s="436" t="s">
        <v>158</v>
      </c>
      <c r="E606" s="436"/>
      <c r="F606" s="436" t="s">
        <v>2539</v>
      </c>
      <c r="G606" s="436" t="s">
        <v>169</v>
      </c>
      <c r="H606" s="436" t="s">
        <v>754</v>
      </c>
      <c r="I606" s="436">
        <v>2010.0</v>
      </c>
      <c r="J606" s="436">
        <v>3340.0</v>
      </c>
      <c r="K606" s="436">
        <v>50.0</v>
      </c>
      <c r="L606" s="436" t="s">
        <v>422</v>
      </c>
      <c r="M606" s="439"/>
      <c r="N606" s="422">
        <v>13.5</v>
      </c>
      <c r="O606" s="422">
        <v>9.977</v>
      </c>
      <c r="P606" s="422">
        <v>19.33</v>
      </c>
      <c r="Q606" s="436" t="s">
        <v>2417</v>
      </c>
      <c r="R606" s="436" t="s">
        <v>2540</v>
      </c>
      <c r="S606" s="436" t="s">
        <v>2419</v>
      </c>
      <c r="T606" s="419" t="s">
        <v>162</v>
      </c>
      <c r="U606" s="436" t="s">
        <v>1754</v>
      </c>
      <c r="V606" s="440"/>
      <c r="W606" s="474">
        <v>0.106</v>
      </c>
      <c r="X606" s="436"/>
      <c r="Y606" s="442">
        <f t="shared" ref="Y606:Y607" si="517">IF((W606/((J606/5780)^4))^0.5&gt;0,(W606/((J606/5780)^4))^0.5,"")</f>
        <v>0.9750248306</v>
      </c>
      <c r="Z606" s="469"/>
      <c r="AA606" s="470">
        <v>0.97</v>
      </c>
      <c r="AB606" s="470">
        <v>0.04</v>
      </c>
      <c r="AC606" s="436" t="str">
        <f>IF(ISNUMBER(VLOOKUP(B606,'New Masses'!A:C,3,FALSE)),VLOOKUP(B606,'New Masses'!A:C,3,FALSE),"")</f>
        <v/>
      </c>
      <c r="AD606" s="440">
        <f t="shared" ref="AD606:AD607" si="518">10^AE606</f>
        <v>0.000000004365158322</v>
      </c>
      <c r="AE606" s="436">
        <v>-8.36</v>
      </c>
      <c r="AF606" s="438"/>
      <c r="AG606" s="459">
        <v>0.3</v>
      </c>
      <c r="AH606" s="436">
        <v>0.1</v>
      </c>
      <c r="AI606" s="446" t="str">
        <f>IF(ISNUMBER(VLOOKUP(B606,'New Masses'!A:C,2, FALSE)),VLOOKUP(B606,'New Masses'!A:C,2, FALSE),"")</f>
        <v/>
      </c>
      <c r="AJ606" s="436">
        <f>LOG10(AG606)</f>
        <v>-0.5228787453</v>
      </c>
      <c r="AK606" s="436"/>
      <c r="AL606" s="436">
        <v>-1.47</v>
      </c>
      <c r="AM606" s="438"/>
      <c r="AN606" s="436">
        <v>1.0</v>
      </c>
      <c r="AO606" s="438"/>
      <c r="AP606" s="438"/>
      <c r="AQ606" s="438"/>
      <c r="AR606" s="438"/>
      <c r="AS606" s="438"/>
      <c r="AT606" s="438"/>
      <c r="AU606" s="438"/>
      <c r="AV606" s="438"/>
      <c r="AW606" s="450">
        <v>132.569731678863</v>
      </c>
    </row>
    <row r="607">
      <c r="A607" s="419" t="s">
        <v>1351</v>
      </c>
      <c r="B607" s="419" t="s">
        <v>1351</v>
      </c>
      <c r="C607" s="436"/>
      <c r="D607" s="436" t="s">
        <v>158</v>
      </c>
      <c r="E607" s="436"/>
      <c r="F607" s="436" t="s">
        <v>2538</v>
      </c>
      <c r="G607" s="436" t="s">
        <v>169</v>
      </c>
      <c r="H607" s="436" t="s">
        <v>160</v>
      </c>
      <c r="I607" s="436" t="s">
        <v>1963</v>
      </c>
      <c r="J607" s="436">
        <v>2884.0315</v>
      </c>
      <c r="K607" s="436"/>
      <c r="L607" s="438"/>
      <c r="M607" s="453"/>
      <c r="N607" s="422">
        <v>13.5</v>
      </c>
      <c r="O607" s="422">
        <v>9.977</v>
      </c>
      <c r="P607" s="422">
        <v>19.33</v>
      </c>
      <c r="Q607" s="436" t="s">
        <v>2183</v>
      </c>
      <c r="R607" s="436" t="s">
        <v>2184</v>
      </c>
      <c r="S607" s="436" t="s">
        <v>1964</v>
      </c>
      <c r="T607" s="419" t="s">
        <v>162</v>
      </c>
      <c r="U607" s="436" t="s">
        <v>2185</v>
      </c>
      <c r="V607" s="451">
        <v>1.24228E30</v>
      </c>
      <c r="W607" s="458">
        <v>0.1548816618912481</v>
      </c>
      <c r="X607" s="438"/>
      <c r="Y607" s="442">
        <f t="shared" si="517"/>
        <v>1.580722655</v>
      </c>
      <c r="Z607" s="442"/>
      <c r="AA607" s="443"/>
      <c r="AB607" s="443"/>
      <c r="AC607" s="436" t="str">
        <f>IF(ISNUMBER(VLOOKUP(B607,'New Masses'!A:C,3,FALSE)),VLOOKUP(B607,'New Masses'!A:C,3,FALSE),"")</f>
        <v/>
      </c>
      <c r="AD607" s="440">
        <f t="shared" si="518"/>
        <v>0.00000005888436554</v>
      </c>
      <c r="AE607" s="436">
        <v>-7.23</v>
      </c>
      <c r="AF607" s="438"/>
      <c r="AG607" s="459">
        <f>10^AJ607</f>
        <v>0.1348962883</v>
      </c>
      <c r="AH607" s="436"/>
      <c r="AI607" s="446" t="str">
        <f>IF(ISNUMBER(VLOOKUP(B607,'New Masses'!A:C,2, FALSE)),VLOOKUP(B607,'New Masses'!A:C,2, FALSE),"")</f>
        <v/>
      </c>
      <c r="AJ607" s="436">
        <v>-0.87</v>
      </c>
      <c r="AK607" s="436"/>
      <c r="AL607" s="436">
        <v>-0.74</v>
      </c>
      <c r="AM607" s="438"/>
      <c r="AN607" s="436">
        <v>1.0</v>
      </c>
      <c r="AO607" s="438"/>
      <c r="AP607" s="438"/>
      <c r="AQ607" s="438"/>
      <c r="AR607" s="438"/>
      <c r="AS607" s="420" t="str">
        <f>VLOOKUP(B607,natta06!A:F,6,FALSE)</f>
        <v>#REF!</v>
      </c>
      <c r="AT607" s="438"/>
      <c r="AU607" s="438"/>
      <c r="AV607" s="438"/>
      <c r="AW607" s="450">
        <v>132.569731678863</v>
      </c>
    </row>
    <row r="608">
      <c r="A608" s="435" t="str">
        <f t="shared" ref="A608:C608" si="519">A73</f>
        <v>#REF!</v>
      </c>
      <c r="B608" s="485" t="str">
        <f t="shared" si="519"/>
        <v>#REF!</v>
      </c>
      <c r="C608" s="486" t="str">
        <f t="shared" si="519"/>
        <v>#REF!</v>
      </c>
      <c r="D608" s="486"/>
      <c r="E608" s="486"/>
      <c r="F608" s="528"/>
      <c r="G608" s="486"/>
      <c r="H608" s="486" t="s">
        <v>5917</v>
      </c>
      <c r="I608" s="491"/>
      <c r="J608" s="491"/>
      <c r="K608" s="491"/>
      <c r="L608" s="491"/>
      <c r="M608" s="486"/>
      <c r="N608" s="422"/>
      <c r="O608" s="422"/>
      <c r="P608" s="422"/>
      <c r="Q608" s="486"/>
      <c r="R608" s="491"/>
      <c r="S608" s="491"/>
      <c r="T608" s="491"/>
      <c r="U608" s="491"/>
      <c r="V608" s="491"/>
      <c r="W608" s="493"/>
      <c r="X608" s="486"/>
      <c r="Y608" s="442"/>
      <c r="Z608" s="491"/>
      <c r="AA608" s="524" t="str">
        <f t="shared" ref="AA608:AA609" si="521">AC73</f>
        <v/>
      </c>
      <c r="AB608" s="494"/>
      <c r="AC608" s="436"/>
      <c r="AD608" s="495"/>
      <c r="AE608" s="491"/>
      <c r="AF608" s="491"/>
      <c r="AG608" s="525" t="str">
        <f t="shared" ref="AG608:AG609" si="522">AI73</f>
        <v/>
      </c>
      <c r="AH608" s="491"/>
      <c r="AI608" s="446"/>
      <c r="AJ608" s="491"/>
      <c r="AK608" s="500"/>
      <c r="AL608" s="436"/>
      <c r="AM608" s="438"/>
      <c r="AN608" s="531"/>
      <c r="AO608" s="491"/>
      <c r="AP608" s="438"/>
      <c r="AQ608" s="438"/>
      <c r="AR608" s="438"/>
      <c r="AS608" s="438"/>
      <c r="AT608" s="438"/>
      <c r="AU608" s="438"/>
      <c r="AV608" s="438"/>
      <c r="AW608" s="450" t="str">
        <f t="shared" ref="AW608:AW609" si="523">AW73</f>
        <v>#REF!</v>
      </c>
    </row>
    <row r="609">
      <c r="A609" s="435" t="str">
        <f t="shared" ref="A609:C609" si="520">A74</f>
        <v>[W96] 4771-899</v>
      </c>
      <c r="B609" s="485" t="str">
        <f t="shared" si="520"/>
        <v>SO736</v>
      </c>
      <c r="C609" s="486" t="str">
        <f t="shared" si="520"/>
        <v/>
      </c>
      <c r="D609" s="486"/>
      <c r="E609" s="486"/>
      <c r="F609" s="528"/>
      <c r="G609" s="486"/>
      <c r="H609" s="486" t="s">
        <v>5917</v>
      </c>
      <c r="I609" s="491"/>
      <c r="J609" s="491"/>
      <c r="K609" s="491"/>
      <c r="L609" s="491"/>
      <c r="M609" s="486"/>
      <c r="N609" s="422"/>
      <c r="O609" s="422"/>
      <c r="P609" s="422"/>
      <c r="Q609" s="486"/>
      <c r="R609" s="491"/>
      <c r="S609" s="491"/>
      <c r="T609" s="491"/>
      <c r="U609" s="491"/>
      <c r="V609" s="491"/>
      <c r="W609" s="493"/>
      <c r="X609" s="486"/>
      <c r="Y609" s="442"/>
      <c r="Z609" s="491"/>
      <c r="AA609" s="524" t="str">
        <f t="shared" si="521"/>
        <v/>
      </c>
      <c r="AB609" s="494"/>
      <c r="AC609" s="436"/>
      <c r="AD609" s="495"/>
      <c r="AE609" s="491"/>
      <c r="AF609" s="491"/>
      <c r="AG609" s="525" t="str">
        <f t="shared" si="522"/>
        <v/>
      </c>
      <c r="AH609" s="491"/>
      <c r="AI609" s="446"/>
      <c r="AJ609" s="491"/>
      <c r="AK609" s="500"/>
      <c r="AL609" s="436"/>
      <c r="AM609" s="438"/>
      <c r="AN609" s="531"/>
      <c r="AO609" s="491"/>
      <c r="AP609" s="438"/>
      <c r="AQ609" s="438"/>
      <c r="AR609" s="438"/>
      <c r="AS609" s="438"/>
      <c r="AT609" s="438"/>
      <c r="AU609" s="438"/>
      <c r="AV609" s="438"/>
      <c r="AW609" s="450" t="str">
        <f t="shared" si="523"/>
        <v/>
      </c>
    </row>
    <row r="610">
      <c r="A610" s="436" t="s">
        <v>1465</v>
      </c>
      <c r="B610" s="436" t="s">
        <v>1465</v>
      </c>
      <c r="C610" s="436"/>
      <c r="D610" s="436" t="s">
        <v>158</v>
      </c>
      <c r="E610" s="436"/>
      <c r="F610" s="436" t="s">
        <v>2541</v>
      </c>
      <c r="G610" s="436" t="s">
        <v>159</v>
      </c>
      <c r="H610" s="436" t="s">
        <v>160</v>
      </c>
      <c r="I610" s="436" t="s">
        <v>1963</v>
      </c>
      <c r="J610" s="436">
        <v>4265.79519</v>
      </c>
      <c r="K610" s="436"/>
      <c r="L610" s="438"/>
      <c r="M610" s="453"/>
      <c r="N610" s="422">
        <v>12.2</v>
      </c>
      <c r="O610" s="422">
        <v>8.687</v>
      </c>
      <c r="P610" s="422"/>
      <c r="Q610" s="436" t="s">
        <v>2183</v>
      </c>
      <c r="R610" s="436" t="s">
        <v>2184</v>
      </c>
      <c r="S610" s="436" t="s">
        <v>1964</v>
      </c>
      <c r="T610" s="419" t="s">
        <v>162</v>
      </c>
      <c r="U610" s="436" t="s">
        <v>2185</v>
      </c>
      <c r="V610" s="451">
        <v>2.2606E29</v>
      </c>
      <c r="W610" s="458">
        <v>3.3884415613920256</v>
      </c>
      <c r="X610" s="438"/>
      <c r="Y610" s="442">
        <f>IF((W610/((J610/5780)^4))^0.5&gt;0,(W610/((J610/5780)^4))^0.5,"")</f>
        <v>3.379525101</v>
      </c>
      <c r="Z610" s="442"/>
      <c r="AA610" s="443"/>
      <c r="AB610" s="443"/>
      <c r="AC610" s="436" t="str">
        <f>IF(ISNUMBER(VLOOKUP(B610,'New Masses'!A:C,3,FALSE)),VLOOKUP(B610,'New Masses'!A:C,3,FALSE),"")</f>
        <v/>
      </c>
      <c r="AD610" s="440">
        <f>10^AE610</f>
        <v>0.000000001905460718</v>
      </c>
      <c r="AE610" s="436">
        <v>-8.72</v>
      </c>
      <c r="AF610" s="438"/>
      <c r="AG610" s="459">
        <f>10^AJ610</f>
        <v>0.8511380382</v>
      </c>
      <c r="AH610" s="436"/>
      <c r="AI610" s="446" t="str">
        <f>IF(ISNUMBER(VLOOKUP(B610,'New Masses'!A:C,2, FALSE)),VLOOKUP(B610,'New Masses'!A:C,2, FALSE),"")</f>
        <v/>
      </c>
      <c r="AJ610" s="436">
        <v>-0.07</v>
      </c>
      <c r="AK610" s="436"/>
      <c r="AL610" s="436">
        <v>-1.75</v>
      </c>
      <c r="AM610" s="438"/>
      <c r="AN610" s="436">
        <v>1.0</v>
      </c>
      <c r="AO610" s="438"/>
      <c r="AP610" s="436"/>
      <c r="AQ610" s="438"/>
      <c r="AR610" s="438"/>
      <c r="AS610" s="420" t="str">
        <f>VLOOKUP(B610,natta06!A:F,6,FALSE)</f>
        <v>#REF!</v>
      </c>
      <c r="AT610" s="438" t="s">
        <v>5916</v>
      </c>
      <c r="AU610" s="438"/>
      <c r="AV610" s="438"/>
      <c r="AW610" s="450"/>
    </row>
    <row r="611">
      <c r="A611" s="435" t="str">
        <f t="shared" ref="A611:C611" si="524">A76</f>
        <v>[W96] rJ053820-0234</v>
      </c>
      <c r="B611" s="485" t="str">
        <f t="shared" si="524"/>
        <v>SO462</v>
      </c>
      <c r="C611" s="486" t="str">
        <f t="shared" si="524"/>
        <v/>
      </c>
      <c r="D611" s="486"/>
      <c r="E611" s="486"/>
      <c r="F611" s="528"/>
      <c r="G611" s="486"/>
      <c r="H611" s="486" t="s">
        <v>5917</v>
      </c>
      <c r="I611" s="491"/>
      <c r="J611" s="491"/>
      <c r="K611" s="491"/>
      <c r="L611" s="491"/>
      <c r="M611" s="486"/>
      <c r="N611" s="422"/>
      <c r="O611" s="422"/>
      <c r="P611" s="422"/>
      <c r="Q611" s="486"/>
      <c r="R611" s="491"/>
      <c r="S611" s="491"/>
      <c r="T611" s="491"/>
      <c r="U611" s="491"/>
      <c r="V611" s="491"/>
      <c r="W611" s="493"/>
      <c r="X611" s="486"/>
      <c r="Y611" s="442"/>
      <c r="Z611" s="491"/>
      <c r="AA611" s="524" t="str">
        <f>AC76</f>
        <v/>
      </c>
      <c r="AB611" s="494"/>
      <c r="AC611" s="436"/>
      <c r="AD611" s="495"/>
      <c r="AE611" s="491"/>
      <c r="AF611" s="491"/>
      <c r="AG611" s="525" t="str">
        <f>AI76</f>
        <v/>
      </c>
      <c r="AH611" s="491"/>
      <c r="AI611" s="446"/>
      <c r="AJ611" s="491"/>
      <c r="AK611" s="500"/>
      <c r="AL611" s="436"/>
      <c r="AM611" s="438"/>
      <c r="AN611" s="531"/>
      <c r="AO611" s="491"/>
      <c r="AP611" s="438"/>
      <c r="AQ611" s="438"/>
      <c r="AR611" s="438"/>
      <c r="AS611" s="438"/>
      <c r="AT611" s="438"/>
      <c r="AU611" s="438"/>
      <c r="AV611" s="438"/>
      <c r="AW611" s="450">
        <f>AW76</f>
        <v>342.6887358</v>
      </c>
    </row>
    <row r="612">
      <c r="A612" s="436" t="s">
        <v>1968</v>
      </c>
      <c r="B612" s="436" t="s">
        <v>1968</v>
      </c>
      <c r="C612" s="436"/>
      <c r="D612" s="436" t="s">
        <v>158</v>
      </c>
      <c r="E612" s="436"/>
      <c r="F612" s="436" t="s">
        <v>2542</v>
      </c>
      <c r="G612" s="436" t="s">
        <v>159</v>
      </c>
      <c r="H612" s="436" t="s">
        <v>160</v>
      </c>
      <c r="I612" s="436" t="s">
        <v>1963</v>
      </c>
      <c r="J612" s="436"/>
      <c r="K612" s="436"/>
      <c r="L612" s="438"/>
      <c r="M612" s="453"/>
      <c r="N612" s="422">
        <v>13.81</v>
      </c>
      <c r="O612" s="422">
        <v>10.212</v>
      </c>
      <c r="P612" s="422"/>
      <c r="Q612" s="436" t="s">
        <v>2183</v>
      </c>
      <c r="R612" s="436" t="s">
        <v>2184</v>
      </c>
      <c r="S612" s="436" t="s">
        <v>1964</v>
      </c>
      <c r="T612" s="419" t="s">
        <v>162</v>
      </c>
      <c r="U612" s="436" t="s">
        <v>2185</v>
      </c>
      <c r="V612" s="451"/>
      <c r="W612" s="458"/>
      <c r="X612" s="438"/>
      <c r="Y612" s="442"/>
      <c r="Z612" s="442"/>
      <c r="AA612" s="443"/>
      <c r="AB612" s="443"/>
      <c r="AC612" s="436" t="str">
        <f>IF(ISNUMBER(VLOOKUP(B612,'New Masses'!A:C,3,FALSE)),VLOOKUP(B612,'New Masses'!A:C,3,FALSE),"")</f>
        <v/>
      </c>
      <c r="AD612" s="440"/>
      <c r="AE612" s="436"/>
      <c r="AF612" s="438"/>
      <c r="AG612" s="459"/>
      <c r="AH612" s="436"/>
      <c r="AI612" s="446" t="str">
        <f>IF(ISNUMBER(VLOOKUP(B612,'New Masses'!A:C,2, FALSE)),VLOOKUP(B612,'New Masses'!A:C,2, FALSE),"")</f>
        <v/>
      </c>
      <c r="AJ612" s="436"/>
      <c r="AK612" s="436"/>
      <c r="AL612" s="436"/>
      <c r="AM612" s="438"/>
      <c r="AN612" s="436">
        <v>1.0</v>
      </c>
      <c r="AO612" s="438"/>
      <c r="AP612" s="436"/>
      <c r="AQ612" s="438"/>
      <c r="AR612" s="438"/>
      <c r="AS612" s="420" t="str">
        <f>VLOOKUP(B612,natta06!A:F,6,FALSE)</f>
        <v>#REF!</v>
      </c>
      <c r="AT612" s="620"/>
      <c r="AU612" s="438"/>
      <c r="AV612" s="438"/>
      <c r="AW612" s="450"/>
    </row>
    <row r="613">
      <c r="A613" s="435" t="str">
        <f t="shared" ref="A613:C613" si="525">A78</f>
        <v>[W96] rJ053831-0235</v>
      </c>
      <c r="B613" s="485" t="str">
        <f t="shared" si="525"/>
        <v>SO563</v>
      </c>
      <c r="C613" s="486" t="str">
        <f t="shared" si="525"/>
        <v/>
      </c>
      <c r="D613" s="486"/>
      <c r="E613" s="486"/>
      <c r="F613" s="528"/>
      <c r="G613" s="486"/>
      <c r="H613" s="486" t="s">
        <v>5917</v>
      </c>
      <c r="I613" s="491"/>
      <c r="J613" s="491"/>
      <c r="K613" s="491"/>
      <c r="L613" s="491"/>
      <c r="M613" s="486"/>
      <c r="N613" s="422"/>
      <c r="O613" s="422"/>
      <c r="P613" s="422"/>
      <c r="Q613" s="486"/>
      <c r="R613" s="491"/>
      <c r="S613" s="491"/>
      <c r="T613" s="491"/>
      <c r="U613" s="491"/>
      <c r="V613" s="491"/>
      <c r="W613" s="493"/>
      <c r="X613" s="486"/>
      <c r="Y613" s="442"/>
      <c r="Z613" s="491"/>
      <c r="AA613" s="524" t="str">
        <f>AC78</f>
        <v/>
      </c>
      <c r="AB613" s="494"/>
      <c r="AC613" s="436"/>
      <c r="AD613" s="495"/>
      <c r="AE613" s="491"/>
      <c r="AF613" s="491"/>
      <c r="AG613" s="525" t="str">
        <f>AI78</f>
        <v/>
      </c>
      <c r="AH613" s="491"/>
      <c r="AI613" s="446"/>
      <c r="AJ613" s="491"/>
      <c r="AK613" s="500"/>
      <c r="AL613" s="436"/>
      <c r="AM613" s="438"/>
      <c r="AN613" s="531"/>
      <c r="AO613" s="491"/>
      <c r="AP613" s="438"/>
      <c r="AQ613" s="438"/>
      <c r="AR613" s="438"/>
      <c r="AS613" s="438"/>
      <c r="AT613" s="438"/>
      <c r="AU613" s="438"/>
      <c r="AV613" s="438"/>
      <c r="AW613" s="450" t="str">
        <f>AW78</f>
        <v/>
      </c>
    </row>
    <row r="614">
      <c r="A614" s="436" t="s">
        <v>175</v>
      </c>
      <c r="B614" s="436" t="s">
        <v>175</v>
      </c>
      <c r="C614" s="436"/>
      <c r="D614" s="436" t="s">
        <v>158</v>
      </c>
      <c r="E614" s="436"/>
      <c r="F614" s="436" t="s">
        <v>2543</v>
      </c>
      <c r="G614" s="436" t="s">
        <v>169</v>
      </c>
      <c r="H614" s="436" t="s">
        <v>160</v>
      </c>
      <c r="I614" s="436" t="s">
        <v>1963</v>
      </c>
      <c r="J614" s="436">
        <v>2951.20923</v>
      </c>
      <c r="K614" s="436"/>
      <c r="L614" s="438"/>
      <c r="M614" s="453"/>
      <c r="N614" s="422">
        <v>21.3</v>
      </c>
      <c r="O614" s="422">
        <v>13.458</v>
      </c>
      <c r="P614" s="422"/>
      <c r="Q614" s="436" t="s">
        <v>2183</v>
      </c>
      <c r="R614" s="436" t="s">
        <v>2184</v>
      </c>
      <c r="S614" s="436" t="s">
        <v>1964</v>
      </c>
      <c r="T614" s="419" t="s">
        <v>162</v>
      </c>
      <c r="U614" s="436" t="s">
        <v>2185</v>
      </c>
      <c r="V614" s="451">
        <v>3.34363E29</v>
      </c>
      <c r="W614" s="458">
        <v>0.20417379446695297</v>
      </c>
      <c r="X614" s="438"/>
      <c r="Y614" s="442">
        <f>IF((W614/((J614/5780)^4))^0.5&gt;0,(W614/((J614/5780)^4))^0.5,"")</f>
        <v>1.733227918</v>
      </c>
      <c r="Z614" s="442"/>
      <c r="AA614" s="443"/>
      <c r="AB614" s="443"/>
      <c r="AC614" s="436" t="str">
        <f>IF(ISNUMBER(VLOOKUP(B614,'New Masses'!A:C,3,FALSE)),VLOOKUP(B614,'New Masses'!A:C,3,FALSE),"")</f>
        <v/>
      </c>
      <c r="AD614" s="440">
        <f>10^AE614</f>
        <v>0.0000001202264435</v>
      </c>
      <c r="AE614" s="436">
        <v>-6.92</v>
      </c>
      <c r="AF614" s="438"/>
      <c r="AG614" s="459">
        <f>10^AJ614</f>
        <v>0.1584893192</v>
      </c>
      <c r="AH614" s="436"/>
      <c r="AI614" s="446" t="str">
        <f>IF(ISNUMBER(VLOOKUP(B614,'New Masses'!A:C,2, FALSE)),VLOOKUP(B614,'New Masses'!A:C,2, FALSE),"")</f>
        <v/>
      </c>
      <c r="AJ614" s="436">
        <v>-0.8</v>
      </c>
      <c r="AK614" s="436"/>
      <c r="AL614" s="436">
        <v>-0.4</v>
      </c>
      <c r="AM614" s="438"/>
      <c r="AN614" s="436">
        <v>1.0</v>
      </c>
      <c r="AO614" s="438"/>
      <c r="AP614" s="436"/>
      <c r="AQ614" s="438"/>
      <c r="AR614" s="438"/>
      <c r="AS614" s="420" t="str">
        <f>VLOOKUP(B614,natta06!A:F,6,FALSE)</f>
        <v>#REF!</v>
      </c>
      <c r="AT614" s="438" t="s">
        <v>5916</v>
      </c>
      <c r="AU614" s="438"/>
      <c r="AV614" s="438"/>
      <c r="AW614" s="450"/>
    </row>
    <row r="615">
      <c r="A615" s="435" t="str">
        <f t="shared" ref="A615:C615" si="526">A80</f>
        <v>[W96] rJ053833-0236</v>
      </c>
      <c r="B615" s="485" t="str">
        <f t="shared" si="526"/>
        <v>SO587</v>
      </c>
      <c r="C615" s="486" t="str">
        <f t="shared" si="526"/>
        <v/>
      </c>
      <c r="D615" s="486"/>
      <c r="E615" s="486"/>
      <c r="F615" s="528"/>
      <c r="G615" s="486"/>
      <c r="H615" s="486" t="s">
        <v>5917</v>
      </c>
      <c r="I615" s="491"/>
      <c r="J615" s="491"/>
      <c r="K615" s="491"/>
      <c r="L615" s="491"/>
      <c r="M615" s="486"/>
      <c r="N615" s="422"/>
      <c r="O615" s="422"/>
      <c r="P615" s="422"/>
      <c r="Q615" s="486"/>
      <c r="R615" s="491"/>
      <c r="S615" s="491"/>
      <c r="T615" s="491"/>
      <c r="U615" s="491"/>
      <c r="V615" s="491"/>
      <c r="W615" s="493"/>
      <c r="X615" s="486"/>
      <c r="Y615" s="442"/>
      <c r="Z615" s="491"/>
      <c r="AA615" s="524" t="str">
        <f>AC80</f>
        <v/>
      </c>
      <c r="AB615" s="494"/>
      <c r="AC615" s="436"/>
      <c r="AD615" s="495"/>
      <c r="AE615" s="491"/>
      <c r="AF615" s="491"/>
      <c r="AG615" s="525" t="str">
        <f>AI80</f>
        <v/>
      </c>
      <c r="AH615" s="491"/>
      <c r="AI615" s="446"/>
      <c r="AJ615" s="491"/>
      <c r="AK615" s="500"/>
      <c r="AL615" s="436"/>
      <c r="AM615" s="438"/>
      <c r="AN615" s="531"/>
      <c r="AO615" s="491"/>
      <c r="AP615" s="438"/>
      <c r="AQ615" s="438"/>
      <c r="AR615" s="438"/>
      <c r="AS615" s="438"/>
      <c r="AT615" s="438"/>
      <c r="AU615" s="438"/>
      <c r="AV615" s="438"/>
      <c r="AW615" s="450">
        <f>AW80</f>
        <v>384.6597684</v>
      </c>
    </row>
    <row r="616">
      <c r="A616" s="436" t="s">
        <v>180</v>
      </c>
      <c r="B616" s="436" t="s">
        <v>180</v>
      </c>
      <c r="C616" s="436"/>
      <c r="D616" s="436" t="s">
        <v>158</v>
      </c>
      <c r="E616" s="436"/>
      <c r="F616" s="436" t="s">
        <v>2544</v>
      </c>
      <c r="G616" s="436" t="s">
        <v>169</v>
      </c>
      <c r="H616" s="436" t="s">
        <v>160</v>
      </c>
      <c r="I616" s="436" t="s">
        <v>1963</v>
      </c>
      <c r="J616" s="436">
        <v>3162.27766</v>
      </c>
      <c r="K616" s="436"/>
      <c r="L616" s="438"/>
      <c r="M616" s="453"/>
      <c r="N616" s="422">
        <v>21.83</v>
      </c>
      <c r="O616" s="422">
        <v>13.119</v>
      </c>
      <c r="P616" s="422"/>
      <c r="Q616" s="436" t="s">
        <v>2183</v>
      </c>
      <c r="R616" s="436" t="s">
        <v>2184</v>
      </c>
      <c r="S616" s="436" t="s">
        <v>1964</v>
      </c>
      <c r="T616" s="419" t="s">
        <v>162</v>
      </c>
      <c r="U616" s="436" t="s">
        <v>2185</v>
      </c>
      <c r="V616" s="451">
        <v>3.34363E29</v>
      </c>
      <c r="W616" s="458">
        <v>0.3311311214825911</v>
      </c>
      <c r="X616" s="438"/>
      <c r="Y616" s="442">
        <f>IF((W616/((J616/5780)^4))^0.5&gt;0,(W616/((J616/5780)^4))^0.5,"")</f>
        <v>1.92245276</v>
      </c>
      <c r="Z616" s="442"/>
      <c r="AA616" s="443"/>
      <c r="AB616" s="443"/>
      <c r="AC616" s="436" t="str">
        <f>IF(ISNUMBER(VLOOKUP(B616,'New Masses'!A:C,3,FALSE)),VLOOKUP(B616,'New Masses'!A:C,3,FALSE),"")</f>
        <v/>
      </c>
      <c r="AD616" s="440">
        <f>10^AE616</f>
        <v>0.0000001202264435</v>
      </c>
      <c r="AE616" s="436">
        <v>-6.92</v>
      </c>
      <c r="AF616" s="438"/>
      <c r="AG616" s="459">
        <f>10^AJ616</f>
        <v>0.213796209</v>
      </c>
      <c r="AH616" s="436"/>
      <c r="AI616" s="446" t="str">
        <f>IF(ISNUMBER(VLOOKUP(B616,'New Masses'!A:C,2, FALSE)),VLOOKUP(B616,'New Masses'!A:C,2, FALSE),"")</f>
        <v/>
      </c>
      <c r="AJ616" s="436">
        <v>-0.67</v>
      </c>
      <c r="AK616" s="436"/>
      <c r="AL616" s="436">
        <v>-0.32</v>
      </c>
      <c r="AM616" s="438"/>
      <c r="AN616" s="436">
        <v>1.0</v>
      </c>
      <c r="AO616" s="438"/>
      <c r="AP616" s="436"/>
      <c r="AQ616" s="438"/>
      <c r="AR616" s="438"/>
      <c r="AS616" s="420" t="str">
        <f>VLOOKUP(B616,natta06!A:F,6,FALSE)</f>
        <v>#REF!</v>
      </c>
      <c r="AT616" s="438" t="s">
        <v>5916</v>
      </c>
      <c r="AU616" s="438"/>
      <c r="AV616" s="438"/>
      <c r="AW616" s="450"/>
    </row>
    <row r="617">
      <c r="A617" s="435" t="str">
        <f t="shared" ref="A617:C617" si="527">A82</f>
        <v>#REF!</v>
      </c>
      <c r="B617" s="485" t="str">
        <f t="shared" si="527"/>
        <v>#REF!</v>
      </c>
      <c r="C617" s="486" t="str">
        <f t="shared" si="527"/>
        <v>#REF!</v>
      </c>
      <c r="D617" s="486"/>
      <c r="E617" s="486"/>
      <c r="F617" s="528"/>
      <c r="G617" s="486"/>
      <c r="H617" s="486" t="s">
        <v>5917</v>
      </c>
      <c r="I617" s="491"/>
      <c r="J617" s="491"/>
      <c r="K617" s="491"/>
      <c r="L617" s="491"/>
      <c r="M617" s="486"/>
      <c r="N617" s="422"/>
      <c r="O617" s="422"/>
      <c r="P617" s="422"/>
      <c r="Q617" s="486"/>
      <c r="R617" s="491"/>
      <c r="S617" s="491"/>
      <c r="T617" s="491"/>
      <c r="U617" s="491"/>
      <c r="V617" s="491"/>
      <c r="W617" s="493"/>
      <c r="X617" s="486"/>
      <c r="Y617" s="442"/>
      <c r="Z617" s="491"/>
      <c r="AA617" s="524" t="str">
        <f>AC82</f>
        <v/>
      </c>
      <c r="AB617" s="494"/>
      <c r="AC617" s="436"/>
      <c r="AD617" s="495"/>
      <c r="AE617" s="491"/>
      <c r="AF617" s="491"/>
      <c r="AG617" s="525" t="str">
        <f>AI82</f>
        <v/>
      </c>
      <c r="AH617" s="491"/>
      <c r="AI617" s="446"/>
      <c r="AJ617" s="491"/>
      <c r="AK617" s="500"/>
      <c r="AL617" s="436"/>
      <c r="AM617" s="438"/>
      <c r="AN617" s="531"/>
      <c r="AO617" s="491"/>
      <c r="AP617" s="438"/>
      <c r="AQ617" s="438"/>
      <c r="AR617" s="438"/>
      <c r="AS617" s="438"/>
      <c r="AT617" s="438"/>
      <c r="AU617" s="438"/>
      <c r="AV617" s="438"/>
      <c r="AW617" s="450" t="str">
        <f>AW82</f>
        <v>#REF!</v>
      </c>
    </row>
    <row r="618">
      <c r="A618" s="436" t="s">
        <v>1419</v>
      </c>
      <c r="B618" s="436" t="s">
        <v>1419</v>
      </c>
      <c r="C618" s="436"/>
      <c r="D618" s="436" t="s">
        <v>158</v>
      </c>
      <c r="E618" s="436"/>
      <c r="F618" s="436" t="s">
        <v>2545</v>
      </c>
      <c r="G618" s="436" t="s">
        <v>169</v>
      </c>
      <c r="H618" s="436" t="s">
        <v>160</v>
      </c>
      <c r="I618" s="436" t="s">
        <v>1963</v>
      </c>
      <c r="J618" s="436">
        <v>3715.35229</v>
      </c>
      <c r="K618" s="436"/>
      <c r="L618" s="438"/>
      <c r="M618" s="453"/>
      <c r="N618" s="422">
        <v>14.698</v>
      </c>
      <c r="O618" s="422">
        <v>10.014</v>
      </c>
      <c r="P618" s="422"/>
      <c r="Q618" s="436" t="s">
        <v>2183</v>
      </c>
      <c r="R618" s="436" t="s">
        <v>2184</v>
      </c>
      <c r="S618" s="436" t="s">
        <v>1964</v>
      </c>
      <c r="T618" s="419" t="s">
        <v>162</v>
      </c>
      <c r="U618" s="436" t="s">
        <v>2185</v>
      </c>
      <c r="V618" s="451">
        <v>7.83823E28</v>
      </c>
      <c r="W618" s="458">
        <v>1.0471285480508996</v>
      </c>
      <c r="X618" s="438"/>
      <c r="Y618" s="442">
        <f>IF((W618/((J618/5780)^4))^0.5&gt;0,(W618/((J618/5780)^4))^0.5,"")</f>
        <v>2.476598908</v>
      </c>
      <c r="Z618" s="442"/>
      <c r="AA618" s="443"/>
      <c r="AB618" s="443"/>
      <c r="AC618" s="436" t="str">
        <f>IF(ISNUMBER(VLOOKUP(B618,'New Masses'!A:C,3,FALSE)),VLOOKUP(B618,'New Masses'!A:C,3,FALSE),"")</f>
        <v/>
      </c>
      <c r="AD618" s="440">
        <f>10^AE618</f>
        <v>0.0000000006918309709</v>
      </c>
      <c r="AE618" s="436">
        <v>-9.16</v>
      </c>
      <c r="AF618" s="438"/>
      <c r="AG618" s="459">
        <f>10^AJ618</f>
        <v>0.4265795188</v>
      </c>
      <c r="AH618" s="436"/>
      <c r="AI618" s="446" t="str">
        <f>IF(ISNUMBER(VLOOKUP(B618,'New Masses'!A:C,2, FALSE)),VLOOKUP(B618,'New Masses'!A:C,2, FALSE),"")</f>
        <v/>
      </c>
      <c r="AJ618" s="436">
        <v>-0.37</v>
      </c>
      <c r="AK618" s="436"/>
      <c r="AL618" s="436">
        <v>-2.37</v>
      </c>
      <c r="AM618" s="438"/>
      <c r="AN618" s="436">
        <v>1.0</v>
      </c>
      <c r="AO618" s="438"/>
      <c r="AP618" s="436"/>
      <c r="AQ618" s="438"/>
      <c r="AR618" s="438"/>
      <c r="AS618" s="420" t="str">
        <f>VLOOKUP(B618,natta06!A:F,6,FALSE)</f>
        <v>#REF!</v>
      </c>
      <c r="AT618" s="438" t="s">
        <v>5916</v>
      </c>
      <c r="AU618" s="438"/>
      <c r="AV618" s="438"/>
      <c r="AW618" s="450"/>
    </row>
    <row r="619">
      <c r="A619" s="435" t="str">
        <f t="shared" ref="A619:C619" si="528">A84</f>
        <v>2MASS J03435526+3207533</v>
      </c>
      <c r="B619" s="485" t="str">
        <f t="shared" si="528"/>
        <v>IC348 256</v>
      </c>
      <c r="C619" s="486" t="str">
        <f t="shared" si="528"/>
        <v/>
      </c>
      <c r="D619" s="486"/>
      <c r="E619" s="486"/>
      <c r="F619" s="528"/>
      <c r="G619" s="486"/>
      <c r="H619" s="486" t="s">
        <v>5917</v>
      </c>
      <c r="I619" s="491"/>
      <c r="J619" s="491"/>
      <c r="K619" s="491"/>
      <c r="L619" s="491"/>
      <c r="M619" s="486"/>
      <c r="N619" s="422"/>
      <c r="O619" s="422"/>
      <c r="P619" s="422"/>
      <c r="Q619" s="486"/>
      <c r="R619" s="491"/>
      <c r="S619" s="491"/>
      <c r="T619" s="491"/>
      <c r="U619" s="491"/>
      <c r="V619" s="491"/>
      <c r="W619" s="493"/>
      <c r="X619" s="486"/>
      <c r="Y619" s="442"/>
      <c r="Z619" s="491"/>
      <c r="AA619" s="524" t="str">
        <f>AC84</f>
        <v/>
      </c>
      <c r="AB619" s="494"/>
      <c r="AC619" s="436"/>
      <c r="AD619" s="495"/>
      <c r="AE619" s="491"/>
      <c r="AF619" s="491"/>
      <c r="AG619" s="525" t="str">
        <f>AI84</f>
        <v/>
      </c>
      <c r="AH619" s="491"/>
      <c r="AI619" s="446"/>
      <c r="AJ619" s="491"/>
      <c r="AK619" s="500"/>
      <c r="AL619" s="436"/>
      <c r="AM619" s="438"/>
      <c r="AN619" s="531"/>
      <c r="AO619" s="491"/>
      <c r="AP619" s="438"/>
      <c r="AQ619" s="438"/>
      <c r="AR619" s="438"/>
      <c r="AS619" s="438"/>
      <c r="AT619" s="438"/>
      <c r="AU619" s="438"/>
      <c r="AV619" s="438"/>
      <c r="AW619" s="450">
        <f>AW84</f>
        <v>390.3048281</v>
      </c>
    </row>
    <row r="620">
      <c r="A620" s="535" t="s">
        <v>1312</v>
      </c>
      <c r="B620" s="535" t="s">
        <v>1312</v>
      </c>
      <c r="C620" s="420"/>
      <c r="D620" s="420" t="s">
        <v>158</v>
      </c>
      <c r="E620" s="420"/>
      <c r="F620" s="420" t="s">
        <v>2546</v>
      </c>
      <c r="G620" s="420" t="s">
        <v>159</v>
      </c>
      <c r="H620" s="420" t="s">
        <v>160</v>
      </c>
      <c r="I620" s="420" t="s">
        <v>1963</v>
      </c>
      <c r="J620" s="436">
        <v>2570.39578</v>
      </c>
      <c r="K620" s="436"/>
      <c r="L620" s="420" t="s">
        <v>1285</v>
      </c>
      <c r="M620" s="429"/>
      <c r="N620" s="422">
        <v>18.2</v>
      </c>
      <c r="O620" s="422">
        <v>12.806</v>
      </c>
      <c r="P620" s="422"/>
      <c r="Q620" s="420" t="s">
        <v>2183</v>
      </c>
      <c r="R620" s="438"/>
      <c r="S620" s="438" t="s">
        <v>1964</v>
      </c>
      <c r="T620" s="421" t="s">
        <v>162</v>
      </c>
      <c r="U620" s="420" t="s">
        <v>2185</v>
      </c>
      <c r="V620" s="451"/>
      <c r="W620" s="458"/>
      <c r="X620" s="438"/>
      <c r="Y620" s="442" t="str">
        <f>IF((W620/((J620/5780)^4))^0.5&gt;0,(W620/((J620/5780)^4))^0.5,"")</f>
        <v/>
      </c>
      <c r="Z620" s="442"/>
      <c r="AA620" s="443"/>
      <c r="AB620" s="443"/>
      <c r="AC620" s="436" t="str">
        <f>IF(ISNUMBER(VLOOKUP(B620,'New Masses'!A:C,3,FALSE)),VLOOKUP(B620,'New Masses'!A:C,3,FALSE),"")</f>
        <v/>
      </c>
      <c r="AD620" s="440">
        <f>10^AE620</f>
        <v>0</v>
      </c>
      <c r="AE620" s="436">
        <v>-10.12</v>
      </c>
      <c r="AF620" s="438"/>
      <c r="AG620" s="459">
        <f>10^AJ620</f>
        <v>0.02818382931</v>
      </c>
      <c r="AH620" s="438"/>
      <c r="AI620" s="446" t="str">
        <f>IF(ISNUMBER(VLOOKUP(B620,'New Masses'!A:C,2, FALSE)),VLOOKUP(B620,'New Masses'!A:C,2, FALSE),"")</f>
        <v/>
      </c>
      <c r="AJ620" s="436">
        <v>-1.55</v>
      </c>
      <c r="AK620" s="436"/>
      <c r="AL620" s="511">
        <v>-3.85</v>
      </c>
      <c r="AM620" s="436"/>
      <c r="AN620" s="436">
        <v>1.0</v>
      </c>
      <c r="AO620" s="438"/>
      <c r="AP620" s="436">
        <v>13.47</v>
      </c>
      <c r="AQ620" s="438"/>
      <c r="AR620" s="420" t="s">
        <v>664</v>
      </c>
      <c r="AS620" s="420" t="str">
        <f>VLOOKUP(B620,natta06!A:F,6,FALSE)</f>
        <v>#REF!</v>
      </c>
      <c r="AT620" s="438" t="s">
        <v>5916</v>
      </c>
      <c r="AU620" s="420" t="s">
        <v>1304</v>
      </c>
      <c r="AV620" s="438"/>
      <c r="AW620" s="450"/>
    </row>
    <row r="621">
      <c r="A621" s="435" t="str">
        <f t="shared" ref="A621:C621" si="529">A86</f>
        <v>#REF!</v>
      </c>
      <c r="B621" s="485" t="str">
        <f t="shared" si="529"/>
        <v>#REF!</v>
      </c>
      <c r="C621" s="486" t="str">
        <f t="shared" si="529"/>
        <v>#REF!</v>
      </c>
      <c r="D621" s="486"/>
      <c r="E621" s="486"/>
      <c r="F621" s="528"/>
      <c r="G621" s="486"/>
      <c r="H621" s="486" t="s">
        <v>5917</v>
      </c>
      <c r="I621" s="491"/>
      <c r="J621" s="491"/>
      <c r="K621" s="491"/>
      <c r="L621" s="491"/>
      <c r="M621" s="486"/>
      <c r="N621" s="422"/>
      <c r="O621" s="422"/>
      <c r="P621" s="422"/>
      <c r="Q621" s="486"/>
      <c r="R621" s="491"/>
      <c r="S621" s="491"/>
      <c r="T621" s="491"/>
      <c r="U621" s="491"/>
      <c r="V621" s="491"/>
      <c r="W621" s="493"/>
      <c r="X621" s="486"/>
      <c r="Y621" s="442"/>
      <c r="Z621" s="491"/>
      <c r="AA621" s="524" t="str">
        <f>AC86</f>
        <v/>
      </c>
      <c r="AB621" s="494"/>
      <c r="AC621" s="436"/>
      <c r="AD621" s="495"/>
      <c r="AE621" s="491"/>
      <c r="AF621" s="491"/>
      <c r="AG621" s="525" t="str">
        <f>AI86</f>
        <v/>
      </c>
      <c r="AH621" s="491"/>
      <c r="AI621" s="446"/>
      <c r="AJ621" s="491"/>
      <c r="AK621" s="500"/>
      <c r="AL621" s="436"/>
      <c r="AM621" s="438"/>
      <c r="AN621" s="531"/>
      <c r="AO621" s="491"/>
      <c r="AP621" s="438"/>
      <c r="AQ621" s="438"/>
      <c r="AR621" s="438"/>
      <c r="AS621" s="438"/>
      <c r="AT621" s="438"/>
      <c r="AU621" s="438"/>
      <c r="AV621" s="438"/>
      <c r="AW621" s="450" t="str">
        <f>AW86</f>
        <v>#REF!</v>
      </c>
    </row>
    <row r="622">
      <c r="A622" s="436" t="s">
        <v>1407</v>
      </c>
      <c r="B622" s="436" t="s">
        <v>1407</v>
      </c>
      <c r="C622" s="436"/>
      <c r="D622" s="436" t="s">
        <v>158</v>
      </c>
      <c r="E622" s="436"/>
      <c r="F622" s="436" t="s">
        <v>2547</v>
      </c>
      <c r="G622" s="436" t="s">
        <v>169</v>
      </c>
      <c r="H622" s="436" t="s">
        <v>1309</v>
      </c>
      <c r="I622" s="436" t="s">
        <v>2409</v>
      </c>
      <c r="J622" s="436">
        <v>3900.0</v>
      </c>
      <c r="K622" s="436"/>
      <c r="L622" s="436" t="s">
        <v>1401</v>
      </c>
      <c r="M622" s="457">
        <v>0.5</v>
      </c>
      <c r="N622" s="422">
        <v>12.257</v>
      </c>
      <c r="O622" s="422">
        <v>9.251</v>
      </c>
      <c r="P622" s="422">
        <v>18.46</v>
      </c>
      <c r="Q622" s="436" t="s">
        <v>2410</v>
      </c>
      <c r="R622" s="436" t="s">
        <v>2548</v>
      </c>
      <c r="S622" s="436" t="s">
        <v>2412</v>
      </c>
      <c r="T622" s="436" t="s">
        <v>596</v>
      </c>
      <c r="U622" s="436" t="s">
        <v>2413</v>
      </c>
      <c r="V622" s="440"/>
      <c r="W622" s="458">
        <v>0.8709635899560806</v>
      </c>
      <c r="X622" s="438"/>
      <c r="Y622" s="442">
        <f t="shared" ref="Y622:Y623" si="530">IF((W622/((J622/5780)^4))^0.5&gt;0,(W622/((J622/5780)^4))^0.5,"")</f>
        <v>2.049870676</v>
      </c>
      <c r="Z622" s="442"/>
      <c r="AA622" s="443"/>
      <c r="AB622" s="443"/>
      <c r="AC622" s="436" t="str">
        <f>IF(ISNUMBER(VLOOKUP(B622,'New Masses'!A:C,3,FALSE)),VLOOKUP(B622,'New Masses'!A:C,3,FALSE),"")</f>
        <v/>
      </c>
      <c r="AD622" s="440">
        <f t="shared" ref="AD622:AD623" si="531">10^AE622</f>
        <v>0.000000004570881896</v>
      </c>
      <c r="AE622" s="436">
        <v>-8.34</v>
      </c>
      <c r="AF622" s="438"/>
      <c r="AG622" s="459">
        <v>0.4</v>
      </c>
      <c r="AH622" s="436"/>
      <c r="AI622" s="446" t="str">
        <f>IF(ISNUMBER(VLOOKUP(B622,'New Masses'!A:C,2, FALSE)),VLOOKUP(B622,'New Masses'!A:C,2, FALSE),"")</f>
        <v/>
      </c>
      <c r="AJ622" s="436">
        <f>LOG10(AG622)</f>
        <v>-0.3979400087</v>
      </c>
      <c r="AK622" s="438"/>
      <c r="AL622" s="438"/>
      <c r="AM622" s="436" t="s">
        <v>2407</v>
      </c>
      <c r="AN622" s="436">
        <v>3.0</v>
      </c>
      <c r="AO622" s="438"/>
      <c r="AP622" s="438"/>
      <c r="AQ622" s="438"/>
      <c r="AR622" s="438"/>
      <c r="AS622" s="438"/>
      <c r="AT622" s="438"/>
      <c r="AU622" s="438"/>
      <c r="AV622" s="438"/>
      <c r="AW622" s="450">
        <v>133.895695253397</v>
      </c>
    </row>
    <row r="623">
      <c r="A623" s="436" t="s">
        <v>1407</v>
      </c>
      <c r="B623" s="436" t="s">
        <v>1407</v>
      </c>
      <c r="C623" s="436"/>
      <c r="D623" s="436" t="s">
        <v>158</v>
      </c>
      <c r="E623" s="436"/>
      <c r="F623" s="436" t="s">
        <v>2547</v>
      </c>
      <c r="G623" s="436" t="s">
        <v>169</v>
      </c>
      <c r="H623" s="436" t="s">
        <v>160</v>
      </c>
      <c r="I623" s="436" t="s">
        <v>1963</v>
      </c>
      <c r="J623" s="436">
        <v>3630.78055</v>
      </c>
      <c r="K623" s="436"/>
      <c r="L623" s="436" t="s">
        <v>434</v>
      </c>
      <c r="M623" s="439"/>
      <c r="N623" s="422">
        <v>12.257</v>
      </c>
      <c r="O623" s="422">
        <v>9.251</v>
      </c>
      <c r="P623" s="422">
        <v>18.46</v>
      </c>
      <c r="Q623" s="436" t="s">
        <v>2183</v>
      </c>
      <c r="R623" s="436" t="s">
        <v>2184</v>
      </c>
      <c r="S623" s="436" t="s">
        <v>1964</v>
      </c>
      <c r="T623" s="419" t="s">
        <v>162</v>
      </c>
      <c r="U623" s="436" t="s">
        <v>2185</v>
      </c>
      <c r="V623" s="451">
        <v>7.48545E29</v>
      </c>
      <c r="W623" s="458">
        <v>0.8709635899560807</v>
      </c>
      <c r="X623" s="438"/>
      <c r="Y623" s="442">
        <f t="shared" si="530"/>
        <v>2.365133591</v>
      </c>
      <c r="Z623" s="442"/>
      <c r="AA623" s="443"/>
      <c r="AB623" s="443"/>
      <c r="AC623" s="436" t="str">
        <f>IF(ISNUMBER(VLOOKUP(B623,'New Masses'!A:C,3,FALSE)),VLOOKUP(B623,'New Masses'!A:C,3,FALSE),"")</f>
        <v/>
      </c>
      <c r="AD623" s="440">
        <f t="shared" si="531"/>
        <v>0.00000001621810097</v>
      </c>
      <c r="AE623" s="436">
        <v>-7.79</v>
      </c>
      <c r="AF623" s="438"/>
      <c r="AG623" s="459">
        <f>10^AJ623</f>
        <v>0.3801893963</v>
      </c>
      <c r="AH623" s="436"/>
      <c r="AI623" s="446" t="str">
        <f>IF(ISNUMBER(VLOOKUP(B623,'New Masses'!A:C,2, FALSE)),VLOOKUP(B623,'New Masses'!A:C,2, FALSE),"")</f>
        <v/>
      </c>
      <c r="AJ623" s="436">
        <v>-0.42</v>
      </c>
      <c r="AK623" s="436"/>
      <c r="AL623" s="436">
        <v>-1.04</v>
      </c>
      <c r="AM623" s="438"/>
      <c r="AN623" s="436">
        <v>1.0</v>
      </c>
      <c r="AO623" s="438"/>
      <c r="AP623" s="436"/>
      <c r="AQ623" s="473"/>
      <c r="AR623" s="438"/>
      <c r="AS623" s="420" t="str">
        <f>VLOOKUP(B623,natta06!A:F,6,FALSE)</f>
        <v>#REF!</v>
      </c>
      <c r="AT623" s="438"/>
      <c r="AU623" s="473" t="s">
        <v>1408</v>
      </c>
      <c r="AV623" s="438"/>
      <c r="AW623" s="450">
        <v>133.895695253397</v>
      </c>
    </row>
    <row r="624">
      <c r="A624" s="435" t="str">
        <f t="shared" ref="A624:C624" si="532">A89</f>
        <v>#REF!</v>
      </c>
      <c r="B624" s="485" t="str">
        <f t="shared" si="532"/>
        <v>#REF!</v>
      </c>
      <c r="C624" s="486" t="str">
        <f t="shared" si="532"/>
        <v>#REF!</v>
      </c>
      <c r="D624" s="486"/>
      <c r="E624" s="486"/>
      <c r="F624" s="528"/>
      <c r="G624" s="486"/>
      <c r="H624" s="486" t="s">
        <v>5917</v>
      </c>
      <c r="I624" s="491"/>
      <c r="J624" s="491"/>
      <c r="K624" s="491"/>
      <c r="L624" s="491"/>
      <c r="M624" s="486"/>
      <c r="N624" s="422"/>
      <c r="O624" s="422"/>
      <c r="P624" s="422"/>
      <c r="Q624" s="486"/>
      <c r="R624" s="491"/>
      <c r="S624" s="491"/>
      <c r="T624" s="491"/>
      <c r="U624" s="491"/>
      <c r="V624" s="491"/>
      <c r="W624" s="493"/>
      <c r="X624" s="486"/>
      <c r="Y624" s="442"/>
      <c r="Z624" s="491"/>
      <c r="AA624" s="524" t="str">
        <f t="shared" ref="AA624:AA625" si="534">AC89</f>
        <v/>
      </c>
      <c r="AB624" s="494"/>
      <c r="AC624" s="436"/>
      <c r="AD624" s="495"/>
      <c r="AE624" s="491"/>
      <c r="AF624" s="491"/>
      <c r="AG624" s="525" t="str">
        <f t="shared" ref="AG624:AG625" si="535">AI89</f>
        <v/>
      </c>
      <c r="AH624" s="491"/>
      <c r="AI624" s="446"/>
      <c r="AJ624" s="491"/>
      <c r="AK624" s="500"/>
      <c r="AL624" s="436"/>
      <c r="AM624" s="438"/>
      <c r="AN624" s="531"/>
      <c r="AO624" s="491"/>
      <c r="AP624" s="438"/>
      <c r="AQ624" s="438"/>
      <c r="AR624" s="438"/>
      <c r="AS624" s="438"/>
      <c r="AT624" s="438"/>
      <c r="AU624" s="438"/>
      <c r="AV624" s="438"/>
      <c r="AW624" s="450" t="str">
        <f t="shared" ref="AW624:AW625" si="536">AW89</f>
        <v>#REF!</v>
      </c>
    </row>
    <row r="625">
      <c r="A625" s="435" t="str">
        <f t="shared" ref="A625:C625" si="533">A90</f>
        <v>2MASS J03442980+3200545</v>
      </c>
      <c r="B625" s="485" t="str">
        <f t="shared" si="533"/>
        <v>IC348 205</v>
      </c>
      <c r="C625" s="486" t="str">
        <f t="shared" si="533"/>
        <v/>
      </c>
      <c r="D625" s="486"/>
      <c r="E625" s="486"/>
      <c r="F625" s="528"/>
      <c r="G625" s="486"/>
      <c r="H625" s="486" t="s">
        <v>5917</v>
      </c>
      <c r="I625" s="491"/>
      <c r="J625" s="491"/>
      <c r="K625" s="491"/>
      <c r="L625" s="491"/>
      <c r="M625" s="486"/>
      <c r="N625" s="422"/>
      <c r="O625" s="422"/>
      <c r="P625" s="422"/>
      <c r="Q625" s="486"/>
      <c r="R625" s="491"/>
      <c r="S625" s="491"/>
      <c r="T625" s="491"/>
      <c r="U625" s="491"/>
      <c r="V625" s="491"/>
      <c r="W625" s="493"/>
      <c r="X625" s="486"/>
      <c r="Y625" s="442"/>
      <c r="Z625" s="491"/>
      <c r="AA625" s="524" t="str">
        <f t="shared" si="534"/>
        <v/>
      </c>
      <c r="AB625" s="494"/>
      <c r="AC625" s="436"/>
      <c r="AD625" s="495"/>
      <c r="AE625" s="491"/>
      <c r="AF625" s="491"/>
      <c r="AG625" s="525" t="str">
        <f t="shared" si="535"/>
        <v/>
      </c>
      <c r="AH625" s="491"/>
      <c r="AI625" s="446"/>
      <c r="AJ625" s="491"/>
      <c r="AK625" s="500"/>
      <c r="AL625" s="436"/>
      <c r="AM625" s="438"/>
      <c r="AN625" s="531"/>
      <c r="AO625" s="491"/>
      <c r="AP625" s="438"/>
      <c r="AQ625" s="438"/>
      <c r="AR625" s="438"/>
      <c r="AS625" s="438"/>
      <c r="AT625" s="438"/>
      <c r="AU625" s="438"/>
      <c r="AV625" s="438"/>
      <c r="AW625" s="450">
        <f t="shared" si="536"/>
        <v>490.4364885</v>
      </c>
    </row>
    <row r="626">
      <c r="A626" s="436" t="s">
        <v>1971</v>
      </c>
      <c r="B626" s="436" t="s">
        <v>1971</v>
      </c>
      <c r="C626" s="436"/>
      <c r="D626" s="436" t="s">
        <v>158</v>
      </c>
      <c r="E626" s="436"/>
      <c r="F626" s="436" t="s">
        <v>2549</v>
      </c>
      <c r="G626" s="436" t="s">
        <v>169</v>
      </c>
      <c r="H626" s="436" t="s">
        <v>160</v>
      </c>
      <c r="I626" s="436" t="s">
        <v>1963</v>
      </c>
      <c r="J626" s="436">
        <v>2818.38293</v>
      </c>
      <c r="K626" s="436"/>
      <c r="L626" s="438"/>
      <c r="M626" s="453"/>
      <c r="N626" s="422">
        <v>19.198</v>
      </c>
      <c r="O626" s="422">
        <v>12.806</v>
      </c>
      <c r="P626" s="422"/>
      <c r="Q626" s="436" t="s">
        <v>2183</v>
      </c>
      <c r="R626" s="436" t="s">
        <v>2184</v>
      </c>
      <c r="S626" s="436" t="s">
        <v>1964</v>
      </c>
      <c r="T626" s="419" t="s">
        <v>162</v>
      </c>
      <c r="U626" s="436" t="s">
        <v>2185</v>
      </c>
      <c r="V626" s="451"/>
      <c r="W626" s="458">
        <v>0.10232929922807542</v>
      </c>
      <c r="X626" s="438"/>
      <c r="Y626" s="442">
        <f>IF((W626/((J626/5780)^4))^0.5&gt;0,(W626/((J626/5780)^4))^0.5,"")</f>
        <v>1.345413178</v>
      </c>
      <c r="Z626" s="442"/>
      <c r="AA626" s="443"/>
      <c r="AB626" s="443"/>
      <c r="AC626" s="436" t="str">
        <f>IF(ISNUMBER(VLOOKUP(B626,'New Masses'!A:C,3,FALSE)),VLOOKUP(B626,'New Masses'!A:C,3,FALSE),"")</f>
        <v/>
      </c>
      <c r="AD626" s="451"/>
      <c r="AE626" s="436"/>
      <c r="AF626" s="438"/>
      <c r="AG626" s="459">
        <f>10^AJ626</f>
        <v>0.1047128548</v>
      </c>
      <c r="AH626" s="436"/>
      <c r="AI626" s="446" t="str">
        <f>IF(ISNUMBER(VLOOKUP(B626,'New Masses'!A:C,2, FALSE)),VLOOKUP(B626,'New Masses'!A:C,2, FALSE),"")</f>
        <v/>
      </c>
      <c r="AJ626" s="436">
        <v>-0.98</v>
      </c>
      <c r="AK626" s="436"/>
      <c r="AL626" s="436"/>
      <c r="AM626" s="438"/>
      <c r="AN626" s="436">
        <v>1.0</v>
      </c>
      <c r="AO626" s="438"/>
      <c r="AP626" s="438"/>
      <c r="AQ626" s="438"/>
      <c r="AR626" s="438"/>
      <c r="AS626" s="420" t="str">
        <f>VLOOKUP(B626,natta06!A:F,6,FALSE)</f>
        <v>#REF!</v>
      </c>
      <c r="AT626" s="438"/>
      <c r="AU626" s="438"/>
      <c r="AV626" s="438"/>
      <c r="AW626" s="450"/>
    </row>
    <row r="627">
      <c r="A627" s="435" t="str">
        <f t="shared" ref="A627:C627" si="537">A92</f>
        <v>2MASS J03442980+3200545</v>
      </c>
      <c r="B627" s="485" t="str">
        <f t="shared" si="537"/>
        <v>IC348 205</v>
      </c>
      <c r="C627" s="486" t="str">
        <f t="shared" si="537"/>
        <v/>
      </c>
      <c r="D627" s="486"/>
      <c r="E627" s="486"/>
      <c r="F627" s="528"/>
      <c r="G627" s="486"/>
      <c r="H627" s="486" t="s">
        <v>5917</v>
      </c>
      <c r="I627" s="491"/>
      <c r="J627" s="491"/>
      <c r="K627" s="491"/>
      <c r="L627" s="491"/>
      <c r="M627" s="486"/>
      <c r="N627" s="422"/>
      <c r="O627" s="422"/>
      <c r="P627" s="422"/>
      <c r="Q627" s="486"/>
      <c r="R627" s="491"/>
      <c r="S627" s="491"/>
      <c r="T627" s="491"/>
      <c r="U627" s="491"/>
      <c r="V627" s="491"/>
      <c r="W627" s="493"/>
      <c r="X627" s="486"/>
      <c r="Y627" s="442"/>
      <c r="Z627" s="491"/>
      <c r="AA627" s="524" t="str">
        <f>AC92</f>
        <v/>
      </c>
      <c r="AB627" s="494"/>
      <c r="AC627" s="436"/>
      <c r="AD627" s="495"/>
      <c r="AE627" s="491"/>
      <c r="AF627" s="491"/>
      <c r="AG627" s="525" t="str">
        <f>AI92</f>
        <v/>
      </c>
      <c r="AH627" s="491"/>
      <c r="AI627" s="446"/>
      <c r="AJ627" s="491"/>
      <c r="AK627" s="500"/>
      <c r="AL627" s="436"/>
      <c r="AM627" s="438"/>
      <c r="AN627" s="531"/>
      <c r="AO627" s="491"/>
      <c r="AP627" s="438"/>
      <c r="AQ627" s="438"/>
      <c r="AR627" s="438"/>
      <c r="AS627" s="438"/>
      <c r="AT627" s="438"/>
      <c r="AU627" s="438"/>
      <c r="AV627" s="438"/>
      <c r="AW627" s="450">
        <f>AW92</f>
        <v>490.4364885</v>
      </c>
    </row>
    <row r="628">
      <c r="A628" s="436" t="s">
        <v>1973</v>
      </c>
      <c r="B628" s="436" t="s">
        <v>1973</v>
      </c>
      <c r="C628" s="436"/>
      <c r="D628" s="436" t="s">
        <v>158</v>
      </c>
      <c r="E628" s="436"/>
      <c r="F628" s="436" t="s">
        <v>2550</v>
      </c>
      <c r="G628" s="436" t="s">
        <v>169</v>
      </c>
      <c r="H628" s="436" t="s">
        <v>160</v>
      </c>
      <c r="I628" s="436" t="s">
        <v>1963</v>
      </c>
      <c r="J628" s="436">
        <v>3162.27766</v>
      </c>
      <c r="K628" s="436"/>
      <c r="L628" s="438"/>
      <c r="M628" s="453"/>
      <c r="N628" s="422"/>
      <c r="O628" s="422">
        <v>14.407</v>
      </c>
      <c r="P628" s="422"/>
      <c r="Q628" s="436" t="s">
        <v>2183</v>
      </c>
      <c r="R628" s="436" t="s">
        <v>2184</v>
      </c>
      <c r="S628" s="436" t="s">
        <v>1964</v>
      </c>
      <c r="T628" s="419" t="s">
        <v>162</v>
      </c>
      <c r="U628" s="436" t="s">
        <v>2185</v>
      </c>
      <c r="V628" s="451"/>
      <c r="W628" s="458">
        <v>0.3311311214825911</v>
      </c>
      <c r="X628" s="438"/>
      <c r="Y628" s="442">
        <f>IF((W628/((J628/5780)^4))^0.5&gt;0,(W628/((J628/5780)^4))^0.5,"")</f>
        <v>1.92245276</v>
      </c>
      <c r="Z628" s="442"/>
      <c r="AA628" s="443"/>
      <c r="AB628" s="443"/>
      <c r="AC628" s="436" t="str">
        <f>IF(ISNUMBER(VLOOKUP(B628,'New Masses'!A:C,3,FALSE)),VLOOKUP(B628,'New Masses'!A:C,3,FALSE),"")</f>
        <v/>
      </c>
      <c r="AD628" s="451"/>
      <c r="AE628" s="436"/>
      <c r="AF628" s="438"/>
      <c r="AG628" s="459"/>
      <c r="AH628" s="436"/>
      <c r="AI628" s="446" t="str">
        <f>IF(ISNUMBER(VLOOKUP(B628,'New Masses'!A:C,2, FALSE)),VLOOKUP(B628,'New Masses'!A:C,2, FALSE),"")</f>
        <v/>
      </c>
      <c r="AJ628" s="436"/>
      <c r="AK628" s="436"/>
      <c r="AL628" s="436"/>
      <c r="AM628" s="438"/>
      <c r="AN628" s="436">
        <v>1.0</v>
      </c>
      <c r="AO628" s="438"/>
      <c r="AP628" s="438"/>
      <c r="AQ628" s="438"/>
      <c r="AR628" s="438"/>
      <c r="AS628" s="420" t="str">
        <f>VLOOKUP(B628,natta06!A:F,6,FALSE)</f>
        <v>#REF!</v>
      </c>
      <c r="AT628" s="438"/>
      <c r="AU628" s="438"/>
      <c r="AV628" s="438"/>
      <c r="AW628" s="450"/>
    </row>
    <row r="629">
      <c r="A629" s="435" t="str">
        <f t="shared" ref="A629:C629" si="538">A94</f>
        <v>#REF!</v>
      </c>
      <c r="B629" s="485" t="str">
        <f t="shared" si="538"/>
        <v>#REF!</v>
      </c>
      <c r="C629" s="486" t="str">
        <f t="shared" si="538"/>
        <v>#REF!</v>
      </c>
      <c r="D629" s="486"/>
      <c r="E629" s="486"/>
      <c r="F629" s="528"/>
      <c r="G629" s="486"/>
      <c r="H629" s="486" t="s">
        <v>5917</v>
      </c>
      <c r="I629" s="491"/>
      <c r="J629" s="491"/>
      <c r="K629" s="491"/>
      <c r="L629" s="491"/>
      <c r="M629" s="486"/>
      <c r="N629" s="422"/>
      <c r="O629" s="422"/>
      <c r="P629" s="422"/>
      <c r="Q629" s="486"/>
      <c r="R629" s="491"/>
      <c r="S629" s="491"/>
      <c r="T629" s="491"/>
      <c r="U629" s="491"/>
      <c r="V629" s="491"/>
      <c r="W629" s="493"/>
      <c r="X629" s="486"/>
      <c r="Y629" s="442"/>
      <c r="Z629" s="491"/>
      <c r="AA629" s="524" t="str">
        <f>AC94</f>
        <v/>
      </c>
      <c r="AB629" s="494"/>
      <c r="AC629" s="436"/>
      <c r="AD629" s="495"/>
      <c r="AE629" s="491"/>
      <c r="AF629" s="491"/>
      <c r="AG629" s="525" t="str">
        <f>AI94</f>
        <v/>
      </c>
      <c r="AH629" s="491"/>
      <c r="AI629" s="446"/>
      <c r="AJ629" s="491"/>
      <c r="AK629" s="500"/>
      <c r="AL629" s="436"/>
      <c r="AM629" s="438"/>
      <c r="AN629" s="531"/>
      <c r="AO629" s="491"/>
      <c r="AP629" s="438"/>
      <c r="AQ629" s="438"/>
      <c r="AR629" s="438"/>
      <c r="AS629" s="438"/>
      <c r="AT629" s="438"/>
      <c r="AU629" s="438"/>
      <c r="AV629" s="438"/>
      <c r="AW629" s="450" t="str">
        <f>AW94</f>
        <v>#REF!</v>
      </c>
    </row>
    <row r="630">
      <c r="A630" s="436" t="s">
        <v>1358</v>
      </c>
      <c r="B630" s="436" t="s">
        <v>1358</v>
      </c>
      <c r="C630" s="436"/>
      <c r="D630" s="436" t="s">
        <v>158</v>
      </c>
      <c r="E630" s="436"/>
      <c r="F630" s="436" t="s">
        <v>2551</v>
      </c>
      <c r="G630" s="436" t="s">
        <v>169</v>
      </c>
      <c r="H630" s="436" t="s">
        <v>160</v>
      </c>
      <c r="I630" s="436" t="s">
        <v>1963</v>
      </c>
      <c r="J630" s="436">
        <v>2951.20923</v>
      </c>
      <c r="K630" s="436"/>
      <c r="L630" s="438"/>
      <c r="M630" s="453"/>
      <c r="N630" s="422">
        <v>16.006</v>
      </c>
      <c r="O630" s="422">
        <v>11.464</v>
      </c>
      <c r="P630" s="422"/>
      <c r="Q630" s="436" t="s">
        <v>2183</v>
      </c>
      <c r="R630" s="436" t="s">
        <v>2184</v>
      </c>
      <c r="S630" s="436" t="s">
        <v>1964</v>
      </c>
      <c r="T630" s="419" t="s">
        <v>162</v>
      </c>
      <c r="U630" s="436" t="s">
        <v>2185</v>
      </c>
      <c r="V630" s="451">
        <v>3.34363E28</v>
      </c>
      <c r="W630" s="458">
        <v>0.19054607179632474</v>
      </c>
      <c r="X630" s="438"/>
      <c r="Y630" s="442">
        <f>IF((W630/((J630/5780)^4))^0.5&gt;0,(W630/((J630/5780)^4))^0.5,"")</f>
        <v>1.674386354</v>
      </c>
      <c r="Z630" s="442"/>
      <c r="AA630" s="443"/>
      <c r="AB630" s="443"/>
      <c r="AC630" s="436" t="str">
        <f>IF(ISNUMBER(VLOOKUP(B630,'New Masses'!A:C,3,FALSE)),VLOOKUP(B630,'New Masses'!A:C,3,FALSE),"")</f>
        <v/>
      </c>
      <c r="AD630" s="440">
        <f>10^AE630</f>
        <v>0.0000000004073802778</v>
      </c>
      <c r="AE630" s="436">
        <v>-9.39</v>
      </c>
      <c r="AF630" s="438"/>
      <c r="AG630" s="459">
        <f>10^AJ630</f>
        <v>0.1513561248</v>
      </c>
      <c r="AH630" s="436"/>
      <c r="AI630" s="446" t="str">
        <f>IF(ISNUMBER(VLOOKUP(B630,'New Masses'!A:C,2, FALSE)),VLOOKUP(B630,'New Masses'!A:C,2, FALSE),"")</f>
        <v/>
      </c>
      <c r="AJ630" s="436">
        <v>-0.82</v>
      </c>
      <c r="AK630" s="436"/>
      <c r="AL630" s="436">
        <v>-2.88</v>
      </c>
      <c r="AM630" s="438"/>
      <c r="AN630" s="436">
        <v>1.0</v>
      </c>
      <c r="AO630" s="438"/>
      <c r="AP630" s="436"/>
      <c r="AQ630" s="438"/>
      <c r="AR630" s="438"/>
      <c r="AS630" s="420" t="str">
        <f>VLOOKUP(B630,natta06!A:F,6,FALSE)</f>
        <v>#REF!</v>
      </c>
      <c r="AT630" s="438" t="s">
        <v>5916</v>
      </c>
      <c r="AU630" s="438"/>
      <c r="AV630" s="438"/>
      <c r="AW630" s="450"/>
    </row>
    <row r="631">
      <c r="A631" s="435" t="str">
        <f t="shared" ref="A631:C631" si="539">A96</f>
        <v>2MASS J04141188+2811535</v>
      </c>
      <c r="B631" s="485" t="str">
        <f t="shared" si="539"/>
        <v>2MASS J04141188+2811535</v>
      </c>
      <c r="C631" s="486" t="str">
        <f t="shared" si="539"/>
        <v/>
      </c>
      <c r="D631" s="486"/>
      <c r="E631" s="486"/>
      <c r="F631" s="528"/>
      <c r="G631" s="486"/>
      <c r="H631" s="486" t="s">
        <v>5917</v>
      </c>
      <c r="I631" s="491"/>
      <c r="J631" s="491"/>
      <c r="K631" s="491"/>
      <c r="L631" s="491"/>
      <c r="M631" s="486"/>
      <c r="N631" s="422"/>
      <c r="O631" s="422"/>
      <c r="P631" s="422"/>
      <c r="Q631" s="486"/>
      <c r="R631" s="491"/>
      <c r="S631" s="491"/>
      <c r="T631" s="491"/>
      <c r="U631" s="491"/>
      <c r="V631" s="491"/>
      <c r="W631" s="493"/>
      <c r="X631" s="486"/>
      <c r="Y631" s="442"/>
      <c r="Z631" s="491"/>
      <c r="AA631" s="619">
        <f>AC96</f>
        <v>0.644461</v>
      </c>
      <c r="AB631" s="494"/>
      <c r="AC631" s="436"/>
      <c r="AD631" s="495"/>
      <c r="AE631" s="491"/>
      <c r="AF631" s="491"/>
      <c r="AG631" s="525">
        <f>AI96</f>
        <v>0.052624</v>
      </c>
      <c r="AH631" s="491"/>
      <c r="AI631" s="446"/>
      <c r="AJ631" s="491"/>
      <c r="AK631" s="500"/>
      <c r="AL631" s="436"/>
      <c r="AM631" s="438"/>
      <c r="AN631" s="531"/>
      <c r="AO631" s="491"/>
      <c r="AP631" s="438"/>
      <c r="AQ631" s="438"/>
      <c r="AR631" s="438"/>
      <c r="AS631" s="438"/>
      <c r="AT631" s="438"/>
      <c r="AU631" s="438"/>
      <c r="AV631" s="438"/>
      <c r="AW631" s="450">
        <f>AW96</f>
        <v>131</v>
      </c>
    </row>
    <row r="632">
      <c r="A632" s="436" t="s">
        <v>753</v>
      </c>
      <c r="B632" s="436" t="s">
        <v>753</v>
      </c>
      <c r="C632" s="436"/>
      <c r="D632" s="436" t="s">
        <v>158</v>
      </c>
      <c r="E632" s="436"/>
      <c r="F632" s="436" t="s">
        <v>2552</v>
      </c>
      <c r="G632" s="436" t="s">
        <v>169</v>
      </c>
      <c r="H632" s="436" t="s">
        <v>754</v>
      </c>
      <c r="I632" s="436">
        <v>2010.0</v>
      </c>
      <c r="J632" s="436">
        <v>3200.0</v>
      </c>
      <c r="K632" s="436">
        <v>50.0</v>
      </c>
      <c r="L632" s="436" t="s">
        <v>402</v>
      </c>
      <c r="M632" s="439"/>
      <c r="N632" s="422">
        <v>15.45</v>
      </c>
      <c r="O632" s="422">
        <v>11.483</v>
      </c>
      <c r="P632" s="422"/>
      <c r="Q632" s="436" t="s">
        <v>2417</v>
      </c>
      <c r="R632" s="436" t="s">
        <v>2553</v>
      </c>
      <c r="S632" s="436" t="s">
        <v>2419</v>
      </c>
      <c r="T632" s="419" t="s">
        <v>162</v>
      </c>
      <c r="U632" s="436" t="s">
        <v>1754</v>
      </c>
      <c r="V632" s="440"/>
      <c r="W632" s="474">
        <v>0.109</v>
      </c>
      <c r="X632" s="436"/>
      <c r="Y632" s="442">
        <f t="shared" ref="Y632:Y633" si="540">IF((W632/((J632/5780)^4))^0.5&gt;0,(W632/((J632/5780)^4))^0.5,"")</f>
        <v>1.077132101</v>
      </c>
      <c r="Z632" s="469"/>
      <c r="AA632" s="470">
        <v>1.08</v>
      </c>
      <c r="AB632" s="470">
        <v>0.05</v>
      </c>
      <c r="AC632" s="436" t="str">
        <f>IF(ISNUMBER(VLOOKUP(B632,'New Masses'!A:C,3,FALSE)),VLOOKUP(B632,'New Masses'!A:C,3,FALSE),"")</f>
        <v/>
      </c>
      <c r="AD632" s="440">
        <f t="shared" ref="AD632:AD633" si="541">10^AE632</f>
        <v>0.000000001202264435</v>
      </c>
      <c r="AE632" s="436">
        <v>-8.92</v>
      </c>
      <c r="AF632" s="438"/>
      <c r="AG632" s="459">
        <v>0.22</v>
      </c>
      <c r="AH632" s="436">
        <v>0.1</v>
      </c>
      <c r="AI632" s="446" t="str">
        <f>IF(ISNUMBER(VLOOKUP(B632,'New Masses'!A:C,2, FALSE)),VLOOKUP(B632,'New Masses'!A:C,2, FALSE),"")</f>
        <v/>
      </c>
      <c r="AJ632" s="436">
        <f>LOG10(AG632)</f>
        <v>-0.6575773192</v>
      </c>
      <c r="AK632" s="436"/>
      <c r="AL632" s="436">
        <v>-2.21</v>
      </c>
      <c r="AM632" s="438"/>
      <c r="AN632" s="436">
        <v>1.0</v>
      </c>
      <c r="AO632" s="438"/>
      <c r="AP632" s="436"/>
      <c r="AQ632" s="438"/>
      <c r="AR632" s="438"/>
      <c r="AS632" s="438"/>
      <c r="AT632" s="438" t="s">
        <v>5916</v>
      </c>
      <c r="AU632" s="438"/>
      <c r="AV632" s="438"/>
      <c r="AW632" s="450"/>
    </row>
    <row r="633">
      <c r="A633" s="436" t="s">
        <v>753</v>
      </c>
      <c r="B633" s="436" t="s">
        <v>753</v>
      </c>
      <c r="C633" s="436"/>
      <c r="D633" s="436" t="s">
        <v>158</v>
      </c>
      <c r="E633" s="436"/>
      <c r="F633" s="436" t="s">
        <v>2552</v>
      </c>
      <c r="G633" s="436" t="s">
        <v>169</v>
      </c>
      <c r="H633" s="436" t="s">
        <v>160</v>
      </c>
      <c r="I633" s="436" t="s">
        <v>1963</v>
      </c>
      <c r="J633" s="436">
        <v>2818.38293</v>
      </c>
      <c r="K633" s="436"/>
      <c r="L633" s="438"/>
      <c r="M633" s="453"/>
      <c r="N633" s="422">
        <v>15.45</v>
      </c>
      <c r="O633" s="422">
        <v>11.483</v>
      </c>
      <c r="P633" s="422"/>
      <c r="Q633" s="436" t="s">
        <v>2183</v>
      </c>
      <c r="R633" s="436" t="s">
        <v>2184</v>
      </c>
      <c r="S633" s="436" t="s">
        <v>1964</v>
      </c>
      <c r="T633" s="419" t="s">
        <v>162</v>
      </c>
      <c r="U633" s="436" t="s">
        <v>2185</v>
      </c>
      <c r="V633" s="451">
        <v>4.61549E28</v>
      </c>
      <c r="W633" s="458">
        <v>0.0812830516164099</v>
      </c>
      <c r="X633" s="438"/>
      <c r="Y633" s="442">
        <f t="shared" si="540"/>
        <v>1.199100757</v>
      </c>
      <c r="Z633" s="442"/>
      <c r="AA633" s="443"/>
      <c r="AB633" s="443"/>
      <c r="AC633" s="436" t="str">
        <f>IF(ISNUMBER(VLOOKUP(B633,'New Masses'!A:C,3,FALSE)),VLOOKUP(B633,'New Masses'!A:C,3,FALSE),"")</f>
        <v/>
      </c>
      <c r="AD633" s="440">
        <f t="shared" si="541"/>
        <v>0.0000000007413102413</v>
      </c>
      <c r="AE633" s="436">
        <v>-9.13</v>
      </c>
      <c r="AF633" s="438"/>
      <c r="AG633" s="459">
        <f>10^AJ633</f>
        <v>0.09120108394</v>
      </c>
      <c r="AH633" s="436"/>
      <c r="AI633" s="446" t="str">
        <f>IF(ISNUMBER(VLOOKUP(B633,'New Masses'!A:C,2, FALSE)),VLOOKUP(B633,'New Masses'!A:C,2, FALSE),"")</f>
        <v/>
      </c>
      <c r="AJ633" s="436">
        <v>-1.04</v>
      </c>
      <c r="AK633" s="436"/>
      <c r="AL633" s="436">
        <v>-2.69</v>
      </c>
      <c r="AM633" s="438"/>
      <c r="AN633" s="436">
        <v>1.0</v>
      </c>
      <c r="AO633" s="438"/>
      <c r="AP633" s="438"/>
      <c r="AQ633" s="438"/>
      <c r="AR633" s="438"/>
      <c r="AS633" s="420" t="str">
        <f>VLOOKUP(B633,natta06!A:F,6,FALSE)</f>
        <v>#REF!</v>
      </c>
      <c r="AT633" s="438"/>
      <c r="AU633" s="438"/>
      <c r="AV633" s="438"/>
      <c r="AW633" s="450"/>
    </row>
    <row r="634">
      <c r="A634" s="435" t="str">
        <f t="shared" ref="A634:C634" si="542">A99</f>
        <v>#REF!</v>
      </c>
      <c r="B634" s="485" t="str">
        <f t="shared" si="542"/>
        <v>#REF!</v>
      </c>
      <c r="C634" s="486" t="str">
        <f t="shared" si="542"/>
        <v>#REF!</v>
      </c>
      <c r="D634" s="486"/>
      <c r="E634" s="486"/>
      <c r="F634" s="528"/>
      <c r="G634" s="486"/>
      <c r="H634" s="486" t="s">
        <v>5917</v>
      </c>
      <c r="I634" s="491"/>
      <c r="J634" s="491"/>
      <c r="K634" s="491"/>
      <c r="L634" s="491"/>
      <c r="M634" s="486"/>
      <c r="N634" s="422"/>
      <c r="O634" s="422"/>
      <c r="P634" s="422"/>
      <c r="Q634" s="486"/>
      <c r="R634" s="491"/>
      <c r="S634" s="491"/>
      <c r="T634" s="491"/>
      <c r="U634" s="491"/>
      <c r="V634" s="491"/>
      <c r="W634" s="493"/>
      <c r="X634" s="486"/>
      <c r="Y634" s="442"/>
      <c r="Z634" s="491"/>
      <c r="AA634" s="524" t="str">
        <f t="shared" ref="AA634:AA635" si="544">AC99</f>
        <v/>
      </c>
      <c r="AB634" s="494"/>
      <c r="AC634" s="436"/>
      <c r="AD634" s="495"/>
      <c r="AE634" s="491"/>
      <c r="AF634" s="491"/>
      <c r="AG634" s="525" t="str">
        <f t="shared" ref="AG634:AG635" si="545">AI99</f>
        <v/>
      </c>
      <c r="AH634" s="491"/>
      <c r="AI634" s="446"/>
      <c r="AJ634" s="491"/>
      <c r="AK634" s="500"/>
      <c r="AL634" s="436"/>
      <c r="AM634" s="438"/>
      <c r="AN634" s="531"/>
      <c r="AO634" s="491"/>
      <c r="AP634" s="438"/>
      <c r="AQ634" s="438"/>
      <c r="AR634" s="438"/>
      <c r="AS634" s="438"/>
      <c r="AT634" s="438"/>
      <c r="AU634" s="438"/>
      <c r="AV634" s="438"/>
      <c r="AW634" s="450" t="str">
        <f t="shared" ref="AW634:AW635" si="546">AW99</f>
        <v>#REF!</v>
      </c>
    </row>
    <row r="635">
      <c r="A635" s="435" t="str">
        <f t="shared" ref="A635:C635" si="543">A100</f>
        <v>2MASS J04174955+2813318</v>
      </c>
      <c r="B635" s="485" t="str">
        <f t="shared" si="543"/>
        <v>KPNO Tau 10</v>
      </c>
      <c r="C635" s="486" t="str">
        <f t="shared" si="543"/>
        <v/>
      </c>
      <c r="D635" s="486"/>
      <c r="E635" s="486"/>
      <c r="F635" s="528"/>
      <c r="G635" s="486"/>
      <c r="H635" s="486" t="s">
        <v>5917</v>
      </c>
      <c r="I635" s="491"/>
      <c r="J635" s="491"/>
      <c r="K635" s="491"/>
      <c r="L635" s="491"/>
      <c r="M635" s="486"/>
      <c r="N635" s="422"/>
      <c r="O635" s="422"/>
      <c r="P635" s="422"/>
      <c r="Q635" s="486"/>
      <c r="R635" s="491"/>
      <c r="S635" s="491"/>
      <c r="T635" s="491"/>
      <c r="U635" s="491"/>
      <c r="V635" s="491"/>
      <c r="W635" s="493"/>
      <c r="X635" s="486"/>
      <c r="Y635" s="442"/>
      <c r="Z635" s="491"/>
      <c r="AA635" s="524" t="str">
        <f t="shared" si="544"/>
        <v/>
      </c>
      <c r="AB635" s="494"/>
      <c r="AC635" s="436"/>
      <c r="AD635" s="495"/>
      <c r="AE635" s="491"/>
      <c r="AF635" s="491"/>
      <c r="AG635" s="525" t="str">
        <f t="shared" si="545"/>
        <v/>
      </c>
      <c r="AH635" s="491"/>
      <c r="AI635" s="446"/>
      <c r="AJ635" s="491"/>
      <c r="AK635" s="500"/>
      <c r="AL635" s="436"/>
      <c r="AM635" s="438"/>
      <c r="AN635" s="531"/>
      <c r="AO635" s="491"/>
      <c r="AP635" s="438"/>
      <c r="AQ635" s="438"/>
      <c r="AR635" s="438"/>
      <c r="AS635" s="438"/>
      <c r="AT635" s="438"/>
      <c r="AU635" s="438"/>
      <c r="AV635" s="438"/>
      <c r="AW635" s="450">
        <f t="shared" si="546"/>
        <v>137.3701852</v>
      </c>
    </row>
    <row r="636">
      <c r="A636" s="436" t="s">
        <v>1345</v>
      </c>
      <c r="B636" s="436" t="s">
        <v>1345</v>
      </c>
      <c r="C636" s="436"/>
      <c r="D636" s="436" t="s">
        <v>158</v>
      </c>
      <c r="E636" s="436"/>
      <c r="F636" s="436" t="s">
        <v>2554</v>
      </c>
      <c r="G636" s="436" t="s">
        <v>169</v>
      </c>
      <c r="H636" s="436" t="s">
        <v>160</v>
      </c>
      <c r="I636" s="436" t="s">
        <v>1963</v>
      </c>
      <c r="J636" s="436">
        <v>2884.0315</v>
      </c>
      <c r="K636" s="436"/>
      <c r="L636" s="438"/>
      <c r="M636" s="453"/>
      <c r="N636" s="422">
        <v>16.052</v>
      </c>
      <c r="O636" s="422">
        <v>11.82</v>
      </c>
      <c r="P636" s="422"/>
      <c r="Q636" s="436" t="s">
        <v>2183</v>
      </c>
      <c r="R636" s="436" t="s">
        <v>2184</v>
      </c>
      <c r="S636" s="436" t="s">
        <v>1964</v>
      </c>
      <c r="T636" s="419" t="s">
        <v>162</v>
      </c>
      <c r="U636" s="436" t="s">
        <v>2185</v>
      </c>
      <c r="V636" s="451">
        <v>1.36213E28</v>
      </c>
      <c r="W636" s="458">
        <v>0.11748975549395294</v>
      </c>
      <c r="X636" s="438"/>
      <c r="Y636" s="442">
        <f>IF((W636/((J636/5780)^4))^0.5&gt;0,(W636/((J636/5780)^4))^0.5,"")</f>
        <v>1.376751879</v>
      </c>
      <c r="Z636" s="442"/>
      <c r="AA636" s="443"/>
      <c r="AB636" s="443"/>
      <c r="AC636" s="436" t="str">
        <f>IF(ISNUMBER(VLOOKUP(B636,'New Masses'!A:C,3,FALSE)),VLOOKUP(B636,'New Masses'!A:C,3,FALSE),"")</f>
        <v/>
      </c>
      <c r="AD636" s="440">
        <f>10^AE636</f>
        <v>0.0000000001318256739</v>
      </c>
      <c r="AE636" s="436">
        <v>-9.88</v>
      </c>
      <c r="AF636" s="438"/>
      <c r="AG636" s="459">
        <f>10^AJ636</f>
        <v>0.1148153621</v>
      </c>
      <c r="AH636" s="436"/>
      <c r="AI636" s="446" t="str">
        <f>IF(ISNUMBER(VLOOKUP(B636,'New Masses'!A:C,2, FALSE)),VLOOKUP(B636,'New Masses'!A:C,2, FALSE),"")</f>
        <v/>
      </c>
      <c r="AJ636" s="436">
        <v>-0.94</v>
      </c>
      <c r="AK636" s="436"/>
      <c r="AL636" s="436">
        <v>-3.42</v>
      </c>
      <c r="AM636" s="438"/>
      <c r="AN636" s="436">
        <v>1.0</v>
      </c>
      <c r="AO636" s="438"/>
      <c r="AP636" s="436"/>
      <c r="AQ636" s="438"/>
      <c r="AR636" s="438"/>
      <c r="AS636" s="420" t="str">
        <f>VLOOKUP(B636,natta06!A:F,6,FALSE)</f>
        <v>#REF!</v>
      </c>
      <c r="AT636" s="438" t="s">
        <v>5916</v>
      </c>
      <c r="AU636" s="438"/>
      <c r="AV636" s="438"/>
      <c r="AW636" s="450"/>
    </row>
    <row r="637">
      <c r="A637" s="435" t="str">
        <f t="shared" ref="A637:C637" si="547">A102</f>
        <v>#REF!</v>
      </c>
      <c r="B637" s="485" t="str">
        <f t="shared" si="547"/>
        <v>#REF!</v>
      </c>
      <c r="C637" s="486" t="str">
        <f t="shared" si="547"/>
        <v>#REF!</v>
      </c>
      <c r="D637" s="486"/>
      <c r="E637" s="486"/>
      <c r="F637" s="528"/>
      <c r="G637" s="486"/>
      <c r="H637" s="486" t="s">
        <v>5917</v>
      </c>
      <c r="I637" s="491"/>
      <c r="J637" s="491"/>
      <c r="K637" s="491"/>
      <c r="L637" s="491"/>
      <c r="M637" s="486"/>
      <c r="N637" s="422"/>
      <c r="O637" s="422"/>
      <c r="P637" s="422"/>
      <c r="Q637" s="486"/>
      <c r="R637" s="491"/>
      <c r="S637" s="491"/>
      <c r="T637" s="491"/>
      <c r="U637" s="491"/>
      <c r="V637" s="491"/>
      <c r="W637" s="493"/>
      <c r="X637" s="486"/>
      <c r="Y637" s="442"/>
      <c r="Z637" s="491"/>
      <c r="AA637" s="524" t="str">
        <f>AC102</f>
        <v/>
      </c>
      <c r="AB637" s="494"/>
      <c r="AC637" s="436"/>
      <c r="AD637" s="495"/>
      <c r="AE637" s="491"/>
      <c r="AF637" s="491"/>
      <c r="AG637" s="525" t="str">
        <f>AI102</f>
        <v/>
      </c>
      <c r="AH637" s="491"/>
      <c r="AI637" s="446"/>
      <c r="AJ637" s="491"/>
      <c r="AK637" s="500"/>
      <c r="AL637" s="436"/>
      <c r="AM637" s="438"/>
      <c r="AN637" s="531"/>
      <c r="AO637" s="491"/>
      <c r="AP637" s="438"/>
      <c r="AQ637" s="438"/>
      <c r="AR637" s="438"/>
      <c r="AS637" s="438"/>
      <c r="AT637" s="438"/>
      <c r="AU637" s="438"/>
      <c r="AV637" s="438"/>
      <c r="AW637" s="450" t="str">
        <f>AW102</f>
        <v>#REF!</v>
      </c>
    </row>
    <row r="638">
      <c r="A638" s="436" t="s">
        <v>1976</v>
      </c>
      <c r="B638" s="436" t="s">
        <v>1976</v>
      </c>
      <c r="C638" s="436"/>
      <c r="D638" s="436" t="s">
        <v>158</v>
      </c>
      <c r="E638" s="436"/>
      <c r="F638" s="436" t="s">
        <v>2555</v>
      </c>
      <c r="G638" s="436" t="s">
        <v>159</v>
      </c>
      <c r="H638" s="436" t="s">
        <v>160</v>
      </c>
      <c r="I638" s="436" t="s">
        <v>1963</v>
      </c>
      <c r="J638" s="436">
        <v>4265.79519</v>
      </c>
      <c r="K638" s="436"/>
      <c r="L638" s="438"/>
      <c r="M638" s="453"/>
      <c r="N638" s="422">
        <v>14.251</v>
      </c>
      <c r="O638" s="422">
        <v>9.389</v>
      </c>
      <c r="P638" s="422"/>
      <c r="Q638" s="436" t="s">
        <v>2183</v>
      </c>
      <c r="R638" s="436" t="s">
        <v>2184</v>
      </c>
      <c r="S638" s="436" t="s">
        <v>1964</v>
      </c>
      <c r="T638" s="419" t="s">
        <v>162</v>
      </c>
      <c r="U638" s="436" t="s">
        <v>2185</v>
      </c>
      <c r="V638" s="451"/>
      <c r="W638" s="458">
        <v>3.0902954325135905</v>
      </c>
      <c r="X638" s="438"/>
      <c r="Y638" s="442">
        <f>IF((W638/((J638/5780)^4))^0.5&gt;0,(W638/((J638/5780)^4))^0.5,"")</f>
        <v>3.227421416</v>
      </c>
      <c r="Z638" s="442"/>
      <c r="AA638" s="443"/>
      <c r="AB638" s="443"/>
      <c r="AC638" s="436" t="str">
        <f>IF(ISNUMBER(VLOOKUP(B638,'New Masses'!A:C,3,FALSE)),VLOOKUP(B638,'New Masses'!A:C,3,FALSE),"")</f>
        <v/>
      </c>
      <c r="AD638" s="440"/>
      <c r="AE638" s="436"/>
      <c r="AF638" s="438"/>
      <c r="AG638" s="459">
        <f>10^AJ638</f>
        <v>0.8128305162</v>
      </c>
      <c r="AH638" s="436"/>
      <c r="AI638" s="446" t="str">
        <f>IF(ISNUMBER(VLOOKUP(B638,'New Masses'!A:C,2, FALSE)),VLOOKUP(B638,'New Masses'!A:C,2, FALSE),"")</f>
        <v/>
      </c>
      <c r="AJ638" s="436">
        <v>-0.09</v>
      </c>
      <c r="AK638" s="436"/>
      <c r="AL638" s="436"/>
      <c r="AM638" s="438"/>
      <c r="AN638" s="436">
        <v>1.0</v>
      </c>
      <c r="AO638" s="438"/>
      <c r="AP638" s="436"/>
      <c r="AQ638" s="438"/>
      <c r="AR638" s="438"/>
      <c r="AS638" s="420" t="str">
        <f>VLOOKUP(B638,natta06!A:F,6,FALSE)</f>
        <v>#REF!</v>
      </c>
      <c r="AT638" s="438"/>
      <c r="AU638" s="438"/>
      <c r="AV638" s="438"/>
      <c r="AW638" s="450"/>
    </row>
    <row r="639">
      <c r="A639" s="435" t="str">
        <f t="shared" ref="A639:C639" si="548">A104</f>
        <v>2MASS J04183030+2743208</v>
      </c>
      <c r="B639" s="485" t="str">
        <f t="shared" si="548"/>
        <v>KPNO Tau 11</v>
      </c>
      <c r="C639" s="486" t="str">
        <f t="shared" si="548"/>
        <v/>
      </c>
      <c r="D639" s="486"/>
      <c r="E639" s="486"/>
      <c r="F639" s="528"/>
      <c r="G639" s="486"/>
      <c r="H639" s="486" t="s">
        <v>5917</v>
      </c>
      <c r="I639" s="491"/>
      <c r="J639" s="491"/>
      <c r="K639" s="491"/>
      <c r="L639" s="491"/>
      <c r="M639" s="486"/>
      <c r="N639" s="422"/>
      <c r="O639" s="422"/>
      <c r="P639" s="422"/>
      <c r="Q639" s="486"/>
      <c r="R639" s="491"/>
      <c r="S639" s="491"/>
      <c r="T639" s="491"/>
      <c r="U639" s="491"/>
      <c r="V639" s="491"/>
      <c r="W639" s="493"/>
      <c r="X639" s="486"/>
      <c r="Y639" s="442"/>
      <c r="Z639" s="491"/>
      <c r="AA639" s="524" t="str">
        <f>AC104</f>
        <v/>
      </c>
      <c r="AB639" s="494"/>
      <c r="AC639" s="436"/>
      <c r="AD639" s="495"/>
      <c r="AE639" s="491"/>
      <c r="AF639" s="491"/>
      <c r="AG639" s="525" t="str">
        <f>AI104</f>
        <v/>
      </c>
      <c r="AH639" s="491"/>
      <c r="AI639" s="446"/>
      <c r="AJ639" s="491"/>
      <c r="AK639" s="500"/>
      <c r="AL639" s="436"/>
      <c r="AM639" s="438"/>
      <c r="AN639" s="531"/>
      <c r="AO639" s="491"/>
      <c r="AP639" s="438"/>
      <c r="AQ639" s="438"/>
      <c r="AR639" s="438"/>
      <c r="AS639" s="438"/>
      <c r="AT639" s="438"/>
      <c r="AU639" s="438"/>
      <c r="AV639" s="438"/>
      <c r="AW639" s="450">
        <f>AW104</f>
        <v>129.8937469</v>
      </c>
    </row>
    <row r="640">
      <c r="A640" s="436" t="s">
        <v>1472</v>
      </c>
      <c r="B640" s="436" t="s">
        <v>1472</v>
      </c>
      <c r="C640" s="436"/>
      <c r="D640" s="436" t="s">
        <v>158</v>
      </c>
      <c r="E640" s="436"/>
      <c r="F640" s="436" t="s">
        <v>2556</v>
      </c>
      <c r="G640" s="436" t="s">
        <v>169</v>
      </c>
      <c r="H640" s="436" t="s">
        <v>160</v>
      </c>
      <c r="I640" s="436" t="s">
        <v>1963</v>
      </c>
      <c r="J640" s="436">
        <v>4466.83592</v>
      </c>
      <c r="K640" s="436"/>
      <c r="L640" s="436" t="s">
        <v>2557</v>
      </c>
      <c r="M640" s="439"/>
      <c r="N640" s="422">
        <v>14.164</v>
      </c>
      <c r="O640" s="422">
        <v>8.064</v>
      </c>
      <c r="P640" s="422"/>
      <c r="Q640" s="436" t="s">
        <v>2183</v>
      </c>
      <c r="R640" s="436" t="s">
        <v>2184</v>
      </c>
      <c r="S640" s="436" t="s">
        <v>1964</v>
      </c>
      <c r="T640" s="419" t="s">
        <v>162</v>
      </c>
      <c r="U640" s="436" t="s">
        <v>2185</v>
      </c>
      <c r="V640" s="451">
        <v>6.22613E30</v>
      </c>
      <c r="W640" s="458">
        <v>4.570881896148751</v>
      </c>
      <c r="X640" s="438"/>
      <c r="Y640" s="442">
        <f>IF((W640/((J640/5780)^4))^0.5&gt;0,(W640/((J640/5780)^4))^0.5,"")</f>
        <v>3.579774558</v>
      </c>
      <c r="Z640" s="442"/>
      <c r="AA640" s="443"/>
      <c r="AB640" s="443"/>
      <c r="AC640" s="436" t="str">
        <f>IF(ISNUMBER(VLOOKUP(B640,'New Masses'!A:C,3,FALSE)),VLOOKUP(B640,'New Masses'!A:C,3,FALSE),"")</f>
        <v/>
      </c>
      <c r="AD640" s="440">
        <f>10^AE640</f>
        <v>0.0000001584893192</v>
      </c>
      <c r="AE640" s="436">
        <v>-6.8</v>
      </c>
      <c r="AF640" s="438"/>
      <c r="AG640" s="459">
        <f>10^AJ640</f>
        <v>1.023292992</v>
      </c>
      <c r="AH640" s="436"/>
      <c r="AI640" s="446" t="str">
        <f>IF(ISNUMBER(VLOOKUP(B640,'New Masses'!A:C,2, FALSE)),VLOOKUP(B640,'New Masses'!A:C,2, FALSE),"")</f>
        <v/>
      </c>
      <c r="AJ640" s="436">
        <v>0.01</v>
      </c>
      <c r="AK640" s="436"/>
      <c r="AL640" s="436">
        <v>0.21</v>
      </c>
      <c r="AM640" s="438"/>
      <c r="AN640" s="436">
        <v>1.0</v>
      </c>
      <c r="AO640" s="438"/>
      <c r="AP640" s="438"/>
      <c r="AQ640" s="436"/>
      <c r="AR640" s="438"/>
      <c r="AS640" s="420" t="str">
        <f>VLOOKUP(B640,natta06!A:F,6,FALSE)</f>
        <v>#REF!</v>
      </c>
      <c r="AT640" s="438"/>
      <c r="AU640" s="438" t="s">
        <v>1474</v>
      </c>
      <c r="AV640" s="438"/>
      <c r="AW640" s="450"/>
    </row>
    <row r="641">
      <c r="A641" s="435" t="str">
        <f t="shared" ref="A641:C641" si="549">A106</f>
        <v>#REF!</v>
      </c>
      <c r="B641" s="485" t="str">
        <f t="shared" si="549"/>
        <v>#REF!</v>
      </c>
      <c r="C641" s="486" t="str">
        <f t="shared" si="549"/>
        <v>#REF!</v>
      </c>
      <c r="D641" s="486"/>
      <c r="E641" s="486"/>
      <c r="F641" s="528"/>
      <c r="G641" s="486"/>
      <c r="H641" s="486" t="s">
        <v>5917</v>
      </c>
      <c r="I641" s="491"/>
      <c r="J641" s="491"/>
      <c r="K641" s="491"/>
      <c r="L641" s="491"/>
      <c r="M641" s="486"/>
      <c r="N641" s="422"/>
      <c r="O641" s="422"/>
      <c r="P641" s="422"/>
      <c r="Q641" s="486"/>
      <c r="R641" s="491"/>
      <c r="S641" s="491"/>
      <c r="T641" s="491"/>
      <c r="U641" s="491"/>
      <c r="V641" s="491"/>
      <c r="W641" s="493"/>
      <c r="X641" s="486"/>
      <c r="Y641" s="442"/>
      <c r="Z641" s="491"/>
      <c r="AA641" s="524" t="str">
        <f>AC106</f>
        <v/>
      </c>
      <c r="AB641" s="494"/>
      <c r="AC641" s="436"/>
      <c r="AD641" s="495"/>
      <c r="AE641" s="491"/>
      <c r="AF641" s="491"/>
      <c r="AG641" s="525" t="str">
        <f>AI106</f>
        <v/>
      </c>
      <c r="AH641" s="491"/>
      <c r="AI641" s="446"/>
      <c r="AJ641" s="491"/>
      <c r="AK641" s="500"/>
      <c r="AL641" s="436"/>
      <c r="AM641" s="438"/>
      <c r="AN641" s="531"/>
      <c r="AO641" s="491"/>
      <c r="AP641" s="438"/>
      <c r="AQ641" s="438"/>
      <c r="AR641" s="438"/>
      <c r="AS641" s="438"/>
      <c r="AT641" s="438"/>
      <c r="AU641" s="438"/>
      <c r="AV641" s="438"/>
      <c r="AW641" s="450" t="str">
        <f>AW106</f>
        <v>#REF!</v>
      </c>
    </row>
    <row r="642">
      <c r="A642" s="436" t="s">
        <v>1392</v>
      </c>
      <c r="B642" s="436" t="s">
        <v>1392</v>
      </c>
      <c r="C642" s="419"/>
      <c r="D642" s="436" t="s">
        <v>158</v>
      </c>
      <c r="E642" s="436"/>
      <c r="F642" s="436" t="s">
        <v>2558</v>
      </c>
      <c r="G642" s="436" t="s">
        <v>169</v>
      </c>
      <c r="H642" s="436" t="s">
        <v>160</v>
      </c>
      <c r="I642" s="436" t="s">
        <v>1963</v>
      </c>
      <c r="J642" s="436">
        <v>3388.44156</v>
      </c>
      <c r="K642" s="436"/>
      <c r="L642" s="438"/>
      <c r="M642" s="453"/>
      <c r="N642" s="422"/>
      <c r="O642" s="422">
        <v>12.565</v>
      </c>
      <c r="P642" s="422"/>
      <c r="Q642" s="436" t="s">
        <v>2183</v>
      </c>
      <c r="R642" s="436" t="s">
        <v>2184</v>
      </c>
      <c r="S642" s="436" t="s">
        <v>1964</v>
      </c>
      <c r="T642" s="419" t="s">
        <v>162</v>
      </c>
      <c r="U642" s="436" t="s">
        <v>2185</v>
      </c>
      <c r="V642" s="451">
        <v>3.34363E29</v>
      </c>
      <c r="W642" s="458">
        <v>0.5754399373371569</v>
      </c>
      <c r="X642" s="438"/>
      <c r="Y642" s="442">
        <f>IF((W642/((J642/5780)^4))^0.5&gt;0,(W642/((J642/5780)^4))^0.5,"")</f>
        <v>2.207271101</v>
      </c>
      <c r="Z642" s="442"/>
      <c r="AA642" s="443"/>
      <c r="AB642" s="443"/>
      <c r="AC642" s="436" t="str">
        <f>IF(ISNUMBER(VLOOKUP(B642,'New Masses'!A:C,3,FALSE)),VLOOKUP(B642,'New Masses'!A:C,3,FALSE),"")</f>
        <v/>
      </c>
      <c r="AD642" s="440">
        <f>10^AE642</f>
        <v>0.0000000389045145</v>
      </c>
      <c r="AE642" s="436">
        <v>-7.41</v>
      </c>
      <c r="AF642" s="438"/>
      <c r="AG642" s="459">
        <f>10^AJ642</f>
        <v>0.2951209227</v>
      </c>
      <c r="AH642" s="436"/>
      <c r="AI642" s="446" t="str">
        <f>IF(ISNUMBER(VLOOKUP(B642,'New Masses'!A:C,2, FALSE)),VLOOKUP(B642,'New Masses'!A:C,2, FALSE),"")</f>
        <v/>
      </c>
      <c r="AJ642" s="436">
        <v>-0.53</v>
      </c>
      <c r="AK642" s="436"/>
      <c r="AL642" s="436">
        <v>-0.73</v>
      </c>
      <c r="AM642" s="438"/>
      <c r="AN642" s="436">
        <v>1.0</v>
      </c>
      <c r="AO642" s="438"/>
      <c r="AP642" s="436"/>
      <c r="AQ642" s="438"/>
      <c r="AR642" s="438"/>
      <c r="AS642" s="420" t="str">
        <f>VLOOKUP(B642,natta06!A:F,6,FALSE)</f>
        <v>#REF!</v>
      </c>
      <c r="AT642" s="438" t="s">
        <v>5916</v>
      </c>
      <c r="AU642" s="438"/>
      <c r="AV642" s="438"/>
      <c r="AW642" s="450"/>
    </row>
    <row r="643">
      <c r="A643" s="435" t="str">
        <f t="shared" ref="A643:C643" si="550">A108</f>
        <v>2MASS J04185115+2814332</v>
      </c>
      <c r="B643" s="485" t="str">
        <f t="shared" si="550"/>
        <v>KPNO Tau 2</v>
      </c>
      <c r="C643" s="486" t="str">
        <f t="shared" si="550"/>
        <v/>
      </c>
      <c r="D643" s="486"/>
      <c r="E643" s="486"/>
      <c r="F643" s="528"/>
      <c r="G643" s="486"/>
      <c r="H643" s="486" t="s">
        <v>5917</v>
      </c>
      <c r="I643" s="491"/>
      <c r="J643" s="491"/>
      <c r="K643" s="491"/>
      <c r="L643" s="491"/>
      <c r="M643" s="486"/>
      <c r="N643" s="422"/>
      <c r="O643" s="422"/>
      <c r="P643" s="422"/>
      <c r="Q643" s="486"/>
      <c r="R643" s="491"/>
      <c r="S643" s="491"/>
      <c r="T643" s="491"/>
      <c r="U643" s="491"/>
      <c r="V643" s="491"/>
      <c r="W643" s="493"/>
      <c r="X643" s="486"/>
      <c r="Y643" s="442"/>
      <c r="Z643" s="491"/>
      <c r="AA643" s="619">
        <f>AC108</f>
        <v>0.473141</v>
      </c>
      <c r="AB643" s="494"/>
      <c r="AC643" s="436"/>
      <c r="AD643" s="495"/>
      <c r="AE643" s="491"/>
      <c r="AF643" s="491"/>
      <c r="AG643" s="525">
        <f>AI108</f>
        <v>0.03139</v>
      </c>
      <c r="AH643" s="491"/>
      <c r="AI643" s="446"/>
      <c r="AJ643" s="491"/>
      <c r="AK643" s="500"/>
      <c r="AL643" s="436"/>
      <c r="AM643" s="438"/>
      <c r="AN643" s="531"/>
      <c r="AO643" s="491"/>
      <c r="AP643" s="438"/>
      <c r="AQ643" s="438"/>
      <c r="AR643" s="438"/>
      <c r="AS643" s="438"/>
      <c r="AT643" s="438"/>
      <c r="AU643" s="438"/>
      <c r="AV643" s="438"/>
      <c r="AW643" s="450">
        <f>AW108</f>
        <v>125.6565555</v>
      </c>
    </row>
    <row r="644">
      <c r="A644" s="436" t="s">
        <v>1316</v>
      </c>
      <c r="B644" s="436" t="s">
        <v>1316</v>
      </c>
      <c r="C644" s="420"/>
      <c r="D644" s="420" t="s">
        <v>158</v>
      </c>
      <c r="E644" s="420"/>
      <c r="F644" s="420" t="s">
        <v>2559</v>
      </c>
      <c r="G644" s="420" t="s">
        <v>169</v>
      </c>
      <c r="H644" s="420" t="s">
        <v>160</v>
      </c>
      <c r="I644" s="420" t="s">
        <v>1963</v>
      </c>
      <c r="J644" s="436">
        <v>2570.39578</v>
      </c>
      <c r="K644" s="436"/>
      <c r="L644" s="420" t="s">
        <v>558</v>
      </c>
      <c r="M644" s="429"/>
      <c r="N644" s="422">
        <v>17.244</v>
      </c>
      <c r="O644" s="422">
        <v>13.559</v>
      </c>
      <c r="P644" s="422"/>
      <c r="Q644" s="420" t="s">
        <v>2183</v>
      </c>
      <c r="R644" s="438"/>
      <c r="S644" s="438" t="s">
        <v>1964</v>
      </c>
      <c r="T644" s="421" t="s">
        <v>162</v>
      </c>
      <c r="U644" s="420" t="s">
        <v>2185</v>
      </c>
      <c r="V644" s="451"/>
      <c r="W644" s="458">
        <v>0.012589254117941675</v>
      </c>
      <c r="X644" s="438"/>
      <c r="Y644" s="442">
        <f t="shared" ref="Y644:Y645" si="551">IF((W644/((J644/5780)^4))^0.5&gt;0,(W644/((J644/5780)^4))^0.5,"")</f>
        <v>0.5673560336</v>
      </c>
      <c r="Z644" s="442"/>
      <c r="AA644" s="443"/>
      <c r="AB644" s="443"/>
      <c r="AC644" s="436" t="str">
        <f>IF(ISNUMBER(VLOOKUP(B644,'New Masses'!A:C,3,FALSE)),VLOOKUP(B644,'New Masses'!A:C,3,FALSE),"")</f>
        <v/>
      </c>
      <c r="AD644" s="440">
        <f t="shared" ref="AD644:AD645" si="552">10^AE644</f>
        <v>0.0000000002818382931</v>
      </c>
      <c r="AE644" s="436">
        <v>-9.55</v>
      </c>
      <c r="AF644" s="438"/>
      <c r="AG644" s="459">
        <f>10^AJ644</f>
        <v>0.02951209227</v>
      </c>
      <c r="AH644" s="438"/>
      <c r="AI644" s="446" t="str">
        <f>IF(ISNUMBER(VLOOKUP(B644,'New Masses'!A:C,2, FALSE)),VLOOKUP(B644,'New Masses'!A:C,2, FALSE),"")</f>
        <v/>
      </c>
      <c r="AJ644" s="436">
        <v>-1.53</v>
      </c>
      <c r="AK644" s="436"/>
      <c r="AL644" s="489">
        <v>-3.27</v>
      </c>
      <c r="AM644" s="436"/>
      <c r="AN644" s="436">
        <v>1.0</v>
      </c>
      <c r="AO644" s="438"/>
      <c r="AP644" s="436">
        <v>13.12</v>
      </c>
      <c r="AQ644" s="438"/>
      <c r="AR644" s="420" t="s">
        <v>664</v>
      </c>
      <c r="AS644" s="420" t="str">
        <f>VLOOKUP(B644,natta06!A:F,6,FALSE)</f>
        <v>#REF!</v>
      </c>
      <c r="AT644" s="438"/>
      <c r="AU644" s="420" t="s">
        <v>1304</v>
      </c>
      <c r="AV644" s="438"/>
      <c r="AW644" s="450"/>
    </row>
    <row r="645">
      <c r="A645" s="436" t="s">
        <v>1316</v>
      </c>
      <c r="B645" s="436" t="s">
        <v>1316</v>
      </c>
      <c r="C645" s="419"/>
      <c r="D645" s="436" t="s">
        <v>158</v>
      </c>
      <c r="E645" s="436"/>
      <c r="F645" s="436" t="s">
        <v>2559</v>
      </c>
      <c r="G645" s="436" t="s">
        <v>169</v>
      </c>
      <c r="H645" s="436" t="s">
        <v>754</v>
      </c>
      <c r="I645" s="436">
        <v>2010.0</v>
      </c>
      <c r="J645" s="436">
        <v>3600.0</v>
      </c>
      <c r="K645" s="436">
        <v>235.0</v>
      </c>
      <c r="L645" s="436" t="s">
        <v>558</v>
      </c>
      <c r="M645" s="439"/>
      <c r="N645" s="422">
        <v>17.244</v>
      </c>
      <c r="O645" s="422">
        <v>13.559</v>
      </c>
      <c r="P645" s="422"/>
      <c r="Q645" s="436" t="s">
        <v>2417</v>
      </c>
      <c r="R645" s="436" t="s">
        <v>2560</v>
      </c>
      <c r="S645" s="436" t="s">
        <v>2419</v>
      </c>
      <c r="T645" s="419" t="s">
        <v>162</v>
      </c>
      <c r="U645" s="436" t="s">
        <v>1754</v>
      </c>
      <c r="V645" s="440"/>
      <c r="W645" s="474">
        <v>0.009</v>
      </c>
      <c r="X645" s="436"/>
      <c r="Y645" s="442">
        <f t="shared" si="551"/>
        <v>0.2445524004</v>
      </c>
      <c r="Z645" s="469"/>
      <c r="AA645" s="470">
        <v>0.25</v>
      </c>
      <c r="AB645" s="470">
        <v>0.06</v>
      </c>
      <c r="AC645" s="436" t="str">
        <f>IF(ISNUMBER(VLOOKUP(B645,'New Masses'!A:C,3,FALSE)),VLOOKUP(B645,'New Masses'!A:C,3,FALSE),"")</f>
        <v/>
      </c>
      <c r="AD645" s="440">
        <f t="shared" si="552"/>
        <v>0</v>
      </c>
      <c r="AE645" s="436">
        <v>-11.32</v>
      </c>
      <c r="AF645" s="438"/>
      <c r="AG645" s="459">
        <v>0.4</v>
      </c>
      <c r="AH645" s="436">
        <v>0.1</v>
      </c>
      <c r="AI645" s="446" t="str">
        <f>IF(ISNUMBER(VLOOKUP(B645,'New Masses'!A:C,2, FALSE)),VLOOKUP(B645,'New Masses'!A:C,2, FALSE),"")</f>
        <v/>
      </c>
      <c r="AJ645" s="436">
        <f>LOG10(AG645)</f>
        <v>-0.3979400087</v>
      </c>
      <c r="AK645" s="436"/>
      <c r="AL645" s="436">
        <v>-3.71</v>
      </c>
      <c r="AM645" s="438"/>
      <c r="AN645" s="436">
        <v>1.0</v>
      </c>
      <c r="AO645" s="438"/>
      <c r="AP645" s="438"/>
      <c r="AQ645" s="438"/>
      <c r="AR645" s="438"/>
      <c r="AS645" s="438"/>
      <c r="AT645" s="438"/>
      <c r="AU645" s="438"/>
      <c r="AV645" s="438"/>
      <c r="AW645" s="450"/>
    </row>
    <row r="646">
      <c r="A646" s="435" t="str">
        <f t="shared" ref="A646:C646" si="553">A111</f>
        <v>2MASS J04190126+2802487</v>
      </c>
      <c r="B646" s="485" t="str">
        <f t="shared" si="553"/>
        <v>KPNO Tau 12</v>
      </c>
      <c r="C646" s="486" t="str">
        <f t="shared" si="553"/>
        <v/>
      </c>
      <c r="D646" s="486"/>
      <c r="E646" s="486"/>
      <c r="F646" s="528"/>
      <c r="G646" s="486"/>
      <c r="H646" s="486" t="s">
        <v>5917</v>
      </c>
      <c r="I646" s="491"/>
      <c r="J646" s="491"/>
      <c r="K646" s="491"/>
      <c r="L646" s="491"/>
      <c r="M646" s="486"/>
      <c r="N646" s="422"/>
      <c r="O646" s="422"/>
      <c r="P646" s="422"/>
      <c r="Q646" s="486"/>
      <c r="R646" s="491"/>
      <c r="S646" s="491"/>
      <c r="T646" s="491"/>
      <c r="U646" s="491"/>
      <c r="V646" s="491"/>
      <c r="W646" s="493"/>
      <c r="X646" s="486"/>
      <c r="Y646" s="442"/>
      <c r="Z646" s="491"/>
      <c r="AA646" s="619">
        <f t="shared" ref="AA646:AA647" si="555">AC111</f>
        <v>0.356058</v>
      </c>
      <c r="AB646" s="494"/>
      <c r="AC646" s="436"/>
      <c r="AD646" s="495"/>
      <c r="AE646" s="491"/>
      <c r="AF646" s="491"/>
      <c r="AG646" s="525">
        <f t="shared" ref="AG646:AG647" si="556">AI111</f>
        <v>0.018053</v>
      </c>
      <c r="AH646" s="491"/>
      <c r="AI646" s="446"/>
      <c r="AJ646" s="491"/>
      <c r="AK646" s="500"/>
      <c r="AL646" s="436"/>
      <c r="AM646" s="438"/>
      <c r="AN646" s="531"/>
      <c r="AO646" s="491"/>
      <c r="AP646" s="438"/>
      <c r="AQ646" s="438"/>
      <c r="AR646" s="438"/>
      <c r="AS646" s="438"/>
      <c r="AT646" s="438"/>
      <c r="AU646" s="438"/>
      <c r="AV646" s="438"/>
      <c r="AW646" s="450" t="str">
        <f t="shared" ref="AW646:AW647" si="557">AW111</f>
        <v/>
      </c>
    </row>
    <row r="647">
      <c r="A647" s="435" t="str">
        <f t="shared" ref="A647:C647" si="554">A112</f>
        <v>2MASS J04190126+2802487</v>
      </c>
      <c r="B647" s="485" t="str">
        <f t="shared" si="554"/>
        <v>KPNO Tau 12</v>
      </c>
      <c r="C647" s="486" t="str">
        <f t="shared" si="554"/>
        <v/>
      </c>
      <c r="D647" s="486"/>
      <c r="E647" s="486"/>
      <c r="F647" s="528"/>
      <c r="G647" s="486"/>
      <c r="H647" s="486" t="s">
        <v>5917</v>
      </c>
      <c r="I647" s="491"/>
      <c r="J647" s="491"/>
      <c r="K647" s="491"/>
      <c r="L647" s="491"/>
      <c r="M647" s="486"/>
      <c r="N647" s="422"/>
      <c r="O647" s="422"/>
      <c r="P647" s="422"/>
      <c r="Q647" s="486"/>
      <c r="R647" s="491"/>
      <c r="S647" s="491"/>
      <c r="T647" s="491"/>
      <c r="U647" s="491"/>
      <c r="V647" s="491"/>
      <c r="W647" s="493"/>
      <c r="X647" s="486"/>
      <c r="Y647" s="442"/>
      <c r="Z647" s="491"/>
      <c r="AA647" s="619">
        <f t="shared" si="555"/>
        <v>0.356058</v>
      </c>
      <c r="AB647" s="494"/>
      <c r="AC647" s="436"/>
      <c r="AD647" s="495"/>
      <c r="AE647" s="491"/>
      <c r="AF647" s="491"/>
      <c r="AG647" s="525">
        <f t="shared" si="556"/>
        <v>0.018053</v>
      </c>
      <c r="AH647" s="491"/>
      <c r="AI647" s="446"/>
      <c r="AJ647" s="491"/>
      <c r="AK647" s="500"/>
      <c r="AL647" s="436"/>
      <c r="AM647" s="438"/>
      <c r="AN647" s="531"/>
      <c r="AO647" s="491"/>
      <c r="AP647" s="438"/>
      <c r="AQ647" s="438"/>
      <c r="AR647" s="438"/>
      <c r="AS647" s="438"/>
      <c r="AT647" s="438"/>
      <c r="AU647" s="438"/>
      <c r="AV647" s="438"/>
      <c r="AW647" s="450" t="str">
        <f t="shared" si="557"/>
        <v/>
      </c>
    </row>
    <row r="648">
      <c r="A648" s="436" t="s">
        <v>1399</v>
      </c>
      <c r="B648" s="436" t="s">
        <v>1399</v>
      </c>
      <c r="C648" s="436"/>
      <c r="D648" s="436" t="s">
        <v>158</v>
      </c>
      <c r="E648" s="436"/>
      <c r="F648" s="436" t="s">
        <v>2561</v>
      </c>
      <c r="G648" s="436" t="s">
        <v>169</v>
      </c>
      <c r="H648" s="436" t="s">
        <v>160</v>
      </c>
      <c r="I648" s="436" t="s">
        <v>1963</v>
      </c>
      <c r="J648" s="436">
        <v>3467.3685</v>
      </c>
      <c r="K648" s="436"/>
      <c r="L648" s="438"/>
      <c r="M648" s="453"/>
      <c r="N648" s="422">
        <v>16.904</v>
      </c>
      <c r="O648" s="422">
        <v>10.856</v>
      </c>
      <c r="P648" s="422"/>
      <c r="Q648" s="436" t="s">
        <v>2183</v>
      </c>
      <c r="R648" s="436" t="s">
        <v>2184</v>
      </c>
      <c r="S648" s="436" t="s">
        <v>1964</v>
      </c>
      <c r="T648" s="419" t="s">
        <v>162</v>
      </c>
      <c r="U648" s="436" t="s">
        <v>2185</v>
      </c>
      <c r="V648" s="451">
        <v>8.20764E28</v>
      </c>
      <c r="W648" s="458">
        <v>0.7079457843841379</v>
      </c>
      <c r="X648" s="438"/>
      <c r="Y648" s="442">
        <f>IF((W648/((J648/5780)^4))^0.5&gt;0,(W648/((J648/5780)^4))^0.5,"")</f>
        <v>2.33806014</v>
      </c>
      <c r="Z648" s="442"/>
      <c r="AA648" s="443"/>
      <c r="AB648" s="443"/>
      <c r="AC648" s="436" t="str">
        <f>IF(ISNUMBER(VLOOKUP(B648,'New Masses'!A:C,3,FALSE)),VLOOKUP(B648,'New Masses'!A:C,3,FALSE),"")</f>
        <v/>
      </c>
      <c r="AD648" s="440">
        <f>10^AE648</f>
        <v>0.00000000087096359</v>
      </c>
      <c r="AE648" s="436">
        <v>-9.06</v>
      </c>
      <c r="AF648" s="438"/>
      <c r="AG648" s="459">
        <f>10^AJ648</f>
        <v>0.3311311215</v>
      </c>
      <c r="AH648" s="436"/>
      <c r="AI648" s="446" t="str">
        <f>IF(ISNUMBER(VLOOKUP(B648,'New Masses'!A:C,2, FALSE)),VLOOKUP(B648,'New Masses'!A:C,2, FALSE),"")</f>
        <v/>
      </c>
      <c r="AJ648" s="436">
        <v>-0.48</v>
      </c>
      <c r="AK648" s="436"/>
      <c r="AL648" s="436">
        <v>-2.35</v>
      </c>
      <c r="AM648" s="438"/>
      <c r="AN648" s="436">
        <v>1.0</v>
      </c>
      <c r="AO648" s="438"/>
      <c r="AP648" s="436"/>
      <c r="AQ648" s="438"/>
      <c r="AR648" s="438"/>
      <c r="AS648" s="420" t="str">
        <f>VLOOKUP(B648,natta06!A:F,6,FALSE)</f>
        <v>#REF!</v>
      </c>
      <c r="AT648" s="438" t="s">
        <v>5916</v>
      </c>
      <c r="AU648" s="438"/>
      <c r="AV648" s="438"/>
      <c r="AW648" s="450"/>
    </row>
    <row r="649">
      <c r="A649" s="435" t="str">
        <f t="shared" ref="A649:C649" si="558">A114</f>
        <v>#REF!</v>
      </c>
      <c r="B649" s="485" t="str">
        <f t="shared" si="558"/>
        <v>#REF!</v>
      </c>
      <c r="C649" s="486" t="str">
        <f t="shared" si="558"/>
        <v>#REF!</v>
      </c>
      <c r="D649" s="486"/>
      <c r="E649" s="486"/>
      <c r="F649" s="528"/>
      <c r="G649" s="486"/>
      <c r="H649" s="486" t="s">
        <v>5917</v>
      </c>
      <c r="I649" s="491"/>
      <c r="J649" s="491"/>
      <c r="K649" s="491"/>
      <c r="L649" s="491"/>
      <c r="M649" s="486"/>
      <c r="N649" s="422"/>
      <c r="O649" s="422"/>
      <c r="P649" s="422"/>
      <c r="Q649" s="486"/>
      <c r="R649" s="491"/>
      <c r="S649" s="491"/>
      <c r="T649" s="491"/>
      <c r="U649" s="491"/>
      <c r="V649" s="491"/>
      <c r="W649" s="493"/>
      <c r="X649" s="486"/>
      <c r="Y649" s="442"/>
      <c r="Z649" s="491"/>
      <c r="AA649" s="524" t="str">
        <f>AC114</f>
        <v/>
      </c>
      <c r="AB649" s="494"/>
      <c r="AC649" s="436"/>
      <c r="AD649" s="495"/>
      <c r="AE649" s="491"/>
      <c r="AF649" s="491"/>
      <c r="AG649" s="525" t="str">
        <f>AI114</f>
        <v/>
      </c>
      <c r="AH649" s="491"/>
      <c r="AI649" s="446"/>
      <c r="AJ649" s="491"/>
      <c r="AK649" s="500"/>
      <c r="AL649" s="436"/>
      <c r="AM649" s="438"/>
      <c r="AN649" s="531"/>
      <c r="AO649" s="491"/>
      <c r="AP649" s="438"/>
      <c r="AQ649" s="438"/>
      <c r="AR649" s="438"/>
      <c r="AS649" s="438"/>
      <c r="AT649" s="438"/>
      <c r="AU649" s="438"/>
      <c r="AV649" s="438"/>
      <c r="AW649" s="450" t="str">
        <f>AW114</f>
        <v>#REF!</v>
      </c>
    </row>
    <row r="650">
      <c r="A650" s="436" t="s">
        <v>1398</v>
      </c>
      <c r="B650" s="436" t="s">
        <v>1398</v>
      </c>
      <c r="C650" s="421"/>
      <c r="D650" s="436" t="s">
        <v>158</v>
      </c>
      <c r="E650" s="436"/>
      <c r="F650" s="436" t="s">
        <v>2562</v>
      </c>
      <c r="G650" s="436" t="s">
        <v>169</v>
      </c>
      <c r="H650" s="436" t="s">
        <v>160</v>
      </c>
      <c r="I650" s="436" t="s">
        <v>1963</v>
      </c>
      <c r="J650" s="436">
        <v>3467.3685</v>
      </c>
      <c r="K650" s="436"/>
      <c r="L650" s="438"/>
      <c r="M650" s="453"/>
      <c r="N650" s="422">
        <v>16.476</v>
      </c>
      <c r="O650" s="422">
        <v>11.219</v>
      </c>
      <c r="P650" s="422"/>
      <c r="Q650" s="436" t="s">
        <v>2183</v>
      </c>
      <c r="R650" s="436" t="s">
        <v>2184</v>
      </c>
      <c r="S650" s="436" t="s">
        <v>1964</v>
      </c>
      <c r="T650" s="419" t="s">
        <v>162</v>
      </c>
      <c r="U650" s="436" t="s">
        <v>2185</v>
      </c>
      <c r="V650" s="451">
        <v>9.20912E28</v>
      </c>
      <c r="W650" s="458">
        <v>0.6760829753919817</v>
      </c>
      <c r="X650" s="438"/>
      <c r="Y650" s="442">
        <f>IF((W650/((J650/5780)^4))^0.5&gt;0,(W650/((J650/5780)^4))^0.5,"")</f>
        <v>2.284839394</v>
      </c>
      <c r="Z650" s="442"/>
      <c r="AA650" s="443"/>
      <c r="AB650" s="443"/>
      <c r="AC650" s="436" t="str">
        <f>IF(ISNUMBER(VLOOKUP(B650,'New Masses'!A:C,3,FALSE)),VLOOKUP(B650,'New Masses'!A:C,3,FALSE),"")</f>
        <v/>
      </c>
      <c r="AD650" s="440">
        <f>10^AE650</f>
        <v>0.000000001</v>
      </c>
      <c r="AE650" s="436">
        <v>-9.0</v>
      </c>
      <c r="AF650" s="438"/>
      <c r="AG650" s="459">
        <f>10^AJ650</f>
        <v>0.3235936569</v>
      </c>
      <c r="AH650" s="436"/>
      <c r="AI650" s="446" t="str">
        <f>IF(ISNUMBER(VLOOKUP(B650,'New Masses'!A:C,2, FALSE)),VLOOKUP(B650,'New Masses'!A:C,2, FALSE),"")</f>
        <v/>
      </c>
      <c r="AJ650" s="436">
        <v>-0.49</v>
      </c>
      <c r="AK650" s="436"/>
      <c r="AL650" s="436">
        <v>-2.29</v>
      </c>
      <c r="AM650" s="438"/>
      <c r="AN650" s="436">
        <v>1.0</v>
      </c>
      <c r="AO650" s="438"/>
      <c r="AP650" s="436"/>
      <c r="AQ650" s="438"/>
      <c r="AR650" s="438"/>
      <c r="AS650" s="420" t="str">
        <f>VLOOKUP(B650,natta06!A:F,6,FALSE)</f>
        <v>#REF!</v>
      </c>
      <c r="AT650" s="438" t="s">
        <v>5916</v>
      </c>
      <c r="AU650" s="438"/>
      <c r="AV650" s="438"/>
      <c r="AW650" s="450"/>
    </row>
    <row r="651">
      <c r="A651" s="435" t="str">
        <f t="shared" ref="A651:C651" si="559">A116</f>
        <v>2MASS J04262939+2624137</v>
      </c>
      <c r="B651" s="485" t="str">
        <f t="shared" si="559"/>
        <v>KPNO Tau 3</v>
      </c>
      <c r="C651" s="486" t="str">
        <f t="shared" si="559"/>
        <v>KPNO 3</v>
      </c>
      <c r="D651" s="486"/>
      <c r="E651" s="486"/>
      <c r="F651" s="528"/>
      <c r="G651" s="486"/>
      <c r="H651" s="486" t="s">
        <v>5917</v>
      </c>
      <c r="I651" s="491"/>
      <c r="J651" s="491"/>
      <c r="K651" s="491"/>
      <c r="L651" s="491"/>
      <c r="M651" s="486"/>
      <c r="N651" s="422"/>
      <c r="O651" s="422"/>
      <c r="P651" s="422"/>
      <c r="Q651" s="486"/>
      <c r="R651" s="491"/>
      <c r="S651" s="491"/>
      <c r="T651" s="491"/>
      <c r="U651" s="491"/>
      <c r="V651" s="491"/>
      <c r="W651" s="493"/>
      <c r="X651" s="486"/>
      <c r="Y651" s="442"/>
      <c r="Z651" s="491"/>
      <c r="AA651" s="524" t="str">
        <f>AC116</f>
        <v/>
      </c>
      <c r="AB651" s="494"/>
      <c r="AC651" s="436"/>
      <c r="AD651" s="495"/>
      <c r="AE651" s="491"/>
      <c r="AF651" s="491"/>
      <c r="AG651" s="525" t="str">
        <f>AI116</f>
        <v/>
      </c>
      <c r="AH651" s="491"/>
      <c r="AI651" s="446"/>
      <c r="AJ651" s="491"/>
      <c r="AK651" s="500"/>
      <c r="AL651" s="436"/>
      <c r="AM651" s="438"/>
      <c r="AN651" s="531"/>
      <c r="AO651" s="491"/>
      <c r="AP651" s="438"/>
      <c r="AQ651" s="438"/>
      <c r="AR651" s="438"/>
      <c r="AS651" s="438"/>
      <c r="AT651" s="438"/>
      <c r="AU651" s="438"/>
      <c r="AV651" s="438"/>
      <c r="AW651" s="450">
        <f>AW116</f>
        <v>155.8797855</v>
      </c>
    </row>
    <row r="652">
      <c r="A652" s="436" t="s">
        <v>659</v>
      </c>
      <c r="B652" s="436" t="s">
        <v>659</v>
      </c>
      <c r="C652" s="420"/>
      <c r="D652" s="420" t="s">
        <v>158</v>
      </c>
      <c r="E652" s="420"/>
      <c r="F652" s="420" t="s">
        <v>2563</v>
      </c>
      <c r="G652" s="420" t="s">
        <v>169</v>
      </c>
      <c r="H652" s="420" t="s">
        <v>1309</v>
      </c>
      <c r="I652" s="420" t="s">
        <v>2409</v>
      </c>
      <c r="J652" s="436">
        <v>2700.0</v>
      </c>
      <c r="K652" s="419">
        <v>150.0</v>
      </c>
      <c r="L652" s="420" t="s">
        <v>353</v>
      </c>
      <c r="M652" s="422">
        <v>1.5</v>
      </c>
      <c r="N652" s="422">
        <v>12.433</v>
      </c>
      <c r="O652" s="422">
        <v>10.766</v>
      </c>
      <c r="P652" s="422">
        <v>17.57</v>
      </c>
      <c r="Q652" s="420" t="s">
        <v>2410</v>
      </c>
      <c r="R652" s="420" t="s">
        <v>2565</v>
      </c>
      <c r="S652" s="420" t="s">
        <v>2412</v>
      </c>
      <c r="T652" s="420" t="s">
        <v>596</v>
      </c>
      <c r="U652" s="420" t="s">
        <v>2413</v>
      </c>
      <c r="V652" s="440"/>
      <c r="W652" s="441">
        <v>0.08</v>
      </c>
      <c r="X652" s="454"/>
      <c r="Y652" s="442">
        <f t="shared" ref="Y652:Y656" si="560">IF((W652/((J652/5780)^4))^0.5&gt;0,(W652/((J652/5780)^4))^0.5,"")</f>
        <v>1.296203357</v>
      </c>
      <c r="Z652" s="442"/>
      <c r="AA652" s="443"/>
      <c r="AB652" s="443"/>
      <c r="AC652" s="469">
        <f>IF(ISNUMBER(VLOOKUP(B652,'New Masses'!A:C,3,FALSE)),VLOOKUP(B652,'New Masses'!A:C,3,FALSE),"")</f>
        <v>0.690178</v>
      </c>
      <c r="AD652" s="451">
        <f>10^AE652</f>
        <v>0.0000000006760829754</v>
      </c>
      <c r="AE652" s="436">
        <v>-9.17</v>
      </c>
      <c r="AF652" s="438"/>
      <c r="AG652" s="459">
        <v>0.06</v>
      </c>
      <c r="AH652" s="436"/>
      <c r="AI652" s="446">
        <f>IF(ISNUMBER(VLOOKUP(B652,'New Masses'!A:C,2, FALSE)),VLOOKUP(B652,'New Masses'!A:C,2, FALSE),"")</f>
        <v>0.058417</v>
      </c>
      <c r="AJ652" s="436"/>
      <c r="AK652" s="438"/>
      <c r="AL652" s="438"/>
      <c r="AM652" s="420" t="s">
        <v>2407</v>
      </c>
      <c r="AN652" s="505">
        <v>1.0</v>
      </c>
      <c r="AO652" s="506"/>
      <c r="AP652" s="505">
        <v>3.19</v>
      </c>
      <c r="AQ652" s="506"/>
      <c r="AR652" s="507" t="s">
        <v>2408</v>
      </c>
      <c r="AS652" s="507"/>
      <c r="AT652" s="506"/>
      <c r="AU652" s="506"/>
      <c r="AV652" s="506"/>
      <c r="AW652" s="450">
        <v>142.122168215798</v>
      </c>
    </row>
    <row r="653">
      <c r="A653" s="436" t="s">
        <v>659</v>
      </c>
      <c r="B653" s="436" t="s">
        <v>659</v>
      </c>
      <c r="C653" s="420"/>
      <c r="D653" s="420" t="s">
        <v>158</v>
      </c>
      <c r="E653" s="420"/>
      <c r="F653" s="420" t="s">
        <v>2563</v>
      </c>
      <c r="G653" s="420" t="s">
        <v>169</v>
      </c>
      <c r="H653" s="420" t="s">
        <v>269</v>
      </c>
      <c r="I653" s="420" t="s">
        <v>2199</v>
      </c>
      <c r="J653" s="436">
        <v>2700.0</v>
      </c>
      <c r="K653" s="421">
        <v>100.0</v>
      </c>
      <c r="L653" s="420" t="s">
        <v>353</v>
      </c>
      <c r="M653" s="429"/>
      <c r="N653" s="422">
        <v>12.433</v>
      </c>
      <c r="O653" s="422">
        <v>10.766</v>
      </c>
      <c r="P653" s="422">
        <v>17.57</v>
      </c>
      <c r="Q653" s="420" t="s">
        <v>2200</v>
      </c>
      <c r="R653" s="420" t="s">
        <v>2176</v>
      </c>
      <c r="S653" s="420" t="s">
        <v>2201</v>
      </c>
      <c r="T653" s="420" t="s">
        <v>596</v>
      </c>
      <c r="U653" s="420" t="s">
        <v>597</v>
      </c>
      <c r="V653" s="440"/>
      <c r="W653" s="458">
        <v>0.07943282347242814</v>
      </c>
      <c r="X653" s="438"/>
      <c r="Y653" s="442">
        <f t="shared" si="560"/>
        <v>1.291600334</v>
      </c>
      <c r="Z653" s="442"/>
      <c r="AA653" s="443"/>
      <c r="AB653" s="443"/>
      <c r="AC653" s="469">
        <f>IF(ISNUMBER(VLOOKUP(B653,'New Masses'!A:C,3,FALSE)),VLOOKUP(B653,'New Masses'!A:C,3,FALSE),"")</f>
        <v>0.690178</v>
      </c>
      <c r="AD653" s="451">
        <f>(10^-9)</f>
        <v>0.000000001</v>
      </c>
      <c r="AE653" s="436">
        <f t="shared" ref="AE653:AE654" si="561">LOG10(AD653)</f>
        <v>-9</v>
      </c>
      <c r="AF653" s="438"/>
      <c r="AG653" s="459">
        <f t="shared" ref="AG653:AG654" si="562">0.0009543*60</f>
        <v>0.057258</v>
      </c>
      <c r="AH653" s="420"/>
      <c r="AI653" s="446">
        <f>IF(ISNUMBER(VLOOKUP(B653,'New Masses'!A:C,2, FALSE)),VLOOKUP(B653,'New Masses'!A:C,2, FALSE),"")</f>
        <v>0.058417</v>
      </c>
      <c r="AJ653" s="420"/>
      <c r="AK653" s="438"/>
      <c r="AL653" s="438"/>
      <c r="AM653" s="420" t="s">
        <v>2407</v>
      </c>
      <c r="AN653" s="505">
        <v>1.0</v>
      </c>
      <c r="AO653" s="506"/>
      <c r="AP653" s="505">
        <v>3.19</v>
      </c>
      <c r="AQ653" s="507"/>
      <c r="AR653" s="507" t="s">
        <v>2408</v>
      </c>
      <c r="AS653" s="507"/>
      <c r="AT653" s="507" t="s">
        <v>5916</v>
      </c>
      <c r="AU653" s="506"/>
      <c r="AV653" s="506"/>
      <c r="AW653" s="450">
        <v>142.122168215798</v>
      </c>
    </row>
    <row r="654">
      <c r="A654" s="436" t="s">
        <v>659</v>
      </c>
      <c r="B654" s="436" t="s">
        <v>659</v>
      </c>
      <c r="C654" s="420"/>
      <c r="D654" s="420" t="s">
        <v>158</v>
      </c>
      <c r="E654" s="420"/>
      <c r="F654" s="420" t="s">
        <v>2563</v>
      </c>
      <c r="G654" s="420" t="s">
        <v>169</v>
      </c>
      <c r="H654" s="420" t="s">
        <v>269</v>
      </c>
      <c r="I654" s="420" t="s">
        <v>2199</v>
      </c>
      <c r="J654" s="436">
        <v>2700.0</v>
      </c>
      <c r="K654" s="421">
        <v>100.0</v>
      </c>
      <c r="L654" s="420" t="s">
        <v>353</v>
      </c>
      <c r="M654" s="429"/>
      <c r="N654" s="422">
        <v>12.433</v>
      </c>
      <c r="O654" s="422">
        <v>10.766</v>
      </c>
      <c r="P654" s="422">
        <v>17.57</v>
      </c>
      <c r="Q654" s="420" t="s">
        <v>2564</v>
      </c>
      <c r="R654" s="420" t="s">
        <v>2176</v>
      </c>
      <c r="S654" s="420" t="s">
        <v>2201</v>
      </c>
      <c r="T654" s="421" t="s">
        <v>162</v>
      </c>
      <c r="U654" s="420" t="s">
        <v>1965</v>
      </c>
      <c r="V654" s="440"/>
      <c r="W654" s="458">
        <v>0.07943282347242814</v>
      </c>
      <c r="X654" s="438"/>
      <c r="Y654" s="442">
        <f t="shared" si="560"/>
        <v>1.291600334</v>
      </c>
      <c r="Z654" s="442"/>
      <c r="AA654" s="443"/>
      <c r="AB654" s="443"/>
      <c r="AC654" s="469">
        <f>IF(ISNUMBER(VLOOKUP(B654,'New Masses'!A:C,3,FALSE)),VLOOKUP(B654,'New Masses'!A:C,3,FALSE),"")</f>
        <v>0.690178</v>
      </c>
      <c r="AD654" s="451">
        <f>(10^-10.3)</f>
        <v>0</v>
      </c>
      <c r="AE654" s="436">
        <f t="shared" si="561"/>
        <v>-10.3</v>
      </c>
      <c r="AF654" s="438"/>
      <c r="AG654" s="459">
        <f t="shared" si="562"/>
        <v>0.057258</v>
      </c>
      <c r="AH654" s="420"/>
      <c r="AI654" s="446">
        <f>IF(ISNUMBER(VLOOKUP(B654,'New Masses'!A:C,2, FALSE)),VLOOKUP(B654,'New Masses'!A:C,2, FALSE),"")</f>
        <v>0.058417</v>
      </c>
      <c r="AJ654" s="420"/>
      <c r="AK654" s="438"/>
      <c r="AL654" s="438"/>
      <c r="AM654" s="420" t="s">
        <v>2407</v>
      </c>
      <c r="AN654" s="505">
        <v>1.0</v>
      </c>
      <c r="AO654" s="506"/>
      <c r="AP654" s="505">
        <v>3.19</v>
      </c>
      <c r="AQ654" s="506"/>
      <c r="AR654" s="507" t="s">
        <v>2408</v>
      </c>
      <c r="AS654" s="507"/>
      <c r="AT654" s="506"/>
      <c r="AU654" s="506"/>
      <c r="AV654" s="506"/>
      <c r="AW654" s="450">
        <v>142.122168215798</v>
      </c>
    </row>
    <row r="655">
      <c r="A655" s="436" t="s">
        <v>659</v>
      </c>
      <c r="B655" s="436" t="s">
        <v>659</v>
      </c>
      <c r="C655" s="421"/>
      <c r="D655" s="436" t="s">
        <v>158</v>
      </c>
      <c r="E655" s="436"/>
      <c r="F655" s="436" t="s">
        <v>2563</v>
      </c>
      <c r="G655" s="436" t="s">
        <v>169</v>
      </c>
      <c r="H655" s="436" t="s">
        <v>754</v>
      </c>
      <c r="I655" s="436">
        <v>2010.0</v>
      </c>
      <c r="J655" s="436">
        <v>3125.0</v>
      </c>
      <c r="K655" s="436">
        <v>50.0</v>
      </c>
      <c r="L655" s="436" t="s">
        <v>371</v>
      </c>
      <c r="M655" s="439"/>
      <c r="N655" s="422">
        <v>12.433</v>
      </c>
      <c r="O655" s="422">
        <v>10.766</v>
      </c>
      <c r="P655" s="422">
        <v>17.57</v>
      </c>
      <c r="Q655" s="436" t="s">
        <v>2417</v>
      </c>
      <c r="R655" s="436" t="s">
        <v>2566</v>
      </c>
      <c r="S655" s="436" t="s">
        <v>2419</v>
      </c>
      <c r="T655" s="419" t="s">
        <v>162</v>
      </c>
      <c r="U655" s="436" t="s">
        <v>1754</v>
      </c>
      <c r="V655" s="440"/>
      <c r="W655" s="474">
        <v>0.046</v>
      </c>
      <c r="X655" s="436"/>
      <c r="Y655" s="442">
        <f t="shared" si="560"/>
        <v>0.7337270821</v>
      </c>
      <c r="Z655" s="469"/>
      <c r="AA655" s="470">
        <v>0.74</v>
      </c>
      <c r="AB655" s="470">
        <v>0.02</v>
      </c>
      <c r="AC655" s="469">
        <f>IF(ISNUMBER(VLOOKUP(B655,'New Masses'!A:C,3,FALSE)),VLOOKUP(B655,'New Masses'!A:C,3,FALSE),"")</f>
        <v>0.690178</v>
      </c>
      <c r="AD655" s="440">
        <f t="shared" ref="AD655:AD656" si="563">10^AE655</f>
        <v>0.0000000001047128548</v>
      </c>
      <c r="AE655" s="436">
        <v>-9.98</v>
      </c>
      <c r="AF655" s="438"/>
      <c r="AG655" s="459">
        <v>0.15</v>
      </c>
      <c r="AH655" s="436">
        <v>0.1</v>
      </c>
      <c r="AI655" s="446">
        <f>IF(ISNUMBER(VLOOKUP(B655,'New Masses'!A:C,2, FALSE)),VLOOKUP(B655,'New Masses'!A:C,2, FALSE),"")</f>
        <v>0.058417</v>
      </c>
      <c r="AJ655" s="436">
        <f>LOG10(AG655)</f>
        <v>-0.8239087409</v>
      </c>
      <c r="AK655" s="436"/>
      <c r="AL655" s="436">
        <v>-3.27</v>
      </c>
      <c r="AM655" s="438"/>
      <c r="AN655" s="436">
        <v>1.0</v>
      </c>
      <c r="AO655" s="438"/>
      <c r="AP655" s="438"/>
      <c r="AQ655" s="438"/>
      <c r="AR655" s="438"/>
      <c r="AS655" s="438"/>
      <c r="AT655" s="438"/>
      <c r="AU655" s="438"/>
      <c r="AV655" s="438"/>
      <c r="AW655" s="450">
        <v>142.122168215798</v>
      </c>
    </row>
    <row r="656">
      <c r="A656" s="436" t="s">
        <v>659</v>
      </c>
      <c r="B656" s="436" t="s">
        <v>659</v>
      </c>
      <c r="C656" s="421"/>
      <c r="D656" s="436" t="s">
        <v>158</v>
      </c>
      <c r="E656" s="436"/>
      <c r="F656" s="436" t="s">
        <v>2563</v>
      </c>
      <c r="G656" s="436" t="s">
        <v>169</v>
      </c>
      <c r="H656" s="436" t="s">
        <v>160</v>
      </c>
      <c r="I656" s="436" t="s">
        <v>1963</v>
      </c>
      <c r="J656" s="436">
        <v>2754.2287</v>
      </c>
      <c r="K656" s="436"/>
      <c r="L656" s="438"/>
      <c r="M656" s="453"/>
      <c r="N656" s="422">
        <v>12.433</v>
      </c>
      <c r="O656" s="422">
        <v>10.766</v>
      </c>
      <c r="P656" s="422">
        <v>17.57</v>
      </c>
      <c r="Q656" s="436" t="s">
        <v>2183</v>
      </c>
      <c r="R656" s="436" t="s">
        <v>2184</v>
      </c>
      <c r="S656" s="436" t="s">
        <v>1964</v>
      </c>
      <c r="T656" s="419" t="s">
        <v>162</v>
      </c>
      <c r="U656" s="436" t="s">
        <v>2185</v>
      </c>
      <c r="V656" s="451">
        <v>2.91218E28</v>
      </c>
      <c r="W656" s="458">
        <v>0.06025595860743578</v>
      </c>
      <c r="X656" s="438"/>
      <c r="Y656" s="442">
        <f t="shared" si="560"/>
        <v>1.081074635</v>
      </c>
      <c r="Z656" s="442"/>
      <c r="AA656" s="443"/>
      <c r="AB656" s="443"/>
      <c r="AC656" s="469">
        <f>IF(ISNUMBER(VLOOKUP(B656,'New Masses'!A:C,3,FALSE)),VLOOKUP(B656,'New Masses'!A:C,3,FALSE),"")</f>
        <v>0.690178</v>
      </c>
      <c r="AD656" s="440">
        <f t="shared" si="563"/>
        <v>0.0000000004265795188</v>
      </c>
      <c r="AE656" s="436">
        <v>-9.37</v>
      </c>
      <c r="AF656" s="438"/>
      <c r="AG656" s="459">
        <f>10^AJ656</f>
        <v>0.0758577575</v>
      </c>
      <c r="AH656" s="436"/>
      <c r="AI656" s="446">
        <f>IF(ISNUMBER(VLOOKUP(B656,'New Masses'!A:C,2, FALSE)),VLOOKUP(B656,'New Masses'!A:C,2, FALSE),"")</f>
        <v>0.058417</v>
      </c>
      <c r="AJ656" s="436">
        <v>-1.12</v>
      </c>
      <c r="AK656" s="436"/>
      <c r="AL656" s="436">
        <v>-2.96</v>
      </c>
      <c r="AM656" s="438"/>
      <c r="AN656" s="436">
        <v>1.0</v>
      </c>
      <c r="AO656" s="438"/>
      <c r="AP656" s="438"/>
      <c r="AQ656" s="438"/>
      <c r="AR656" s="438"/>
      <c r="AS656" s="420" t="str">
        <f>VLOOKUP(B656,natta06!A:F,6,FALSE)</f>
        <v>#REF!</v>
      </c>
      <c r="AT656" s="438"/>
      <c r="AU656" s="438"/>
      <c r="AV656" s="438"/>
      <c r="AW656" s="450">
        <v>142.122168215798</v>
      </c>
    </row>
    <row r="657">
      <c r="A657" s="435" t="str">
        <f t="shared" ref="A657:C657" si="564">A122</f>
        <v>2MASS J04272799+2612052</v>
      </c>
      <c r="B657" s="485" t="str">
        <f t="shared" si="564"/>
        <v>KPNO Tau 4</v>
      </c>
      <c r="C657" s="486" t="str">
        <f t="shared" si="564"/>
        <v>KPNO 4</v>
      </c>
      <c r="D657" s="486"/>
      <c r="E657" s="486"/>
      <c r="F657" s="528"/>
      <c r="G657" s="486"/>
      <c r="H657" s="486" t="s">
        <v>5917</v>
      </c>
      <c r="I657" s="491"/>
      <c r="J657" s="491"/>
      <c r="K657" s="491"/>
      <c r="L657" s="491"/>
      <c r="M657" s="486"/>
      <c r="N657" s="422"/>
      <c r="O657" s="422"/>
      <c r="P657" s="422"/>
      <c r="Q657" s="486"/>
      <c r="R657" s="491"/>
      <c r="S657" s="491"/>
      <c r="T657" s="491"/>
      <c r="U657" s="491"/>
      <c r="V657" s="491"/>
      <c r="W657" s="493"/>
      <c r="X657" s="486"/>
      <c r="Y657" s="442"/>
      <c r="Z657" s="491"/>
      <c r="AA657" s="619">
        <f t="shared" ref="AA657:AA661" si="566">AC122</f>
        <v>0.337079</v>
      </c>
      <c r="AB657" s="494"/>
      <c r="AC657" s="436"/>
      <c r="AD657" s="495"/>
      <c r="AE657" s="491"/>
      <c r="AF657" s="491"/>
      <c r="AG657" s="525">
        <f t="shared" ref="AG657:AG661" si="567">AI122</f>
        <v>0.016167</v>
      </c>
      <c r="AH657" s="491"/>
      <c r="AI657" s="446"/>
      <c r="AJ657" s="491"/>
      <c r="AK657" s="500"/>
      <c r="AL657" s="436"/>
      <c r="AM657" s="438"/>
      <c r="AN657" s="531"/>
      <c r="AO657" s="491"/>
      <c r="AP657" s="438"/>
      <c r="AQ657" s="438"/>
      <c r="AR657" s="438"/>
      <c r="AS657" s="438"/>
      <c r="AT657" s="438"/>
      <c r="AU657" s="438"/>
      <c r="AV657" s="438"/>
      <c r="AW657" s="450">
        <f t="shared" ref="AW657:AW661" si="568">AW122</f>
        <v>134.692833</v>
      </c>
    </row>
    <row r="658">
      <c r="A658" s="435" t="str">
        <f t="shared" ref="A658:C658" si="565">A123</f>
        <v>2MASS J04272799+2612052</v>
      </c>
      <c r="B658" s="485" t="str">
        <f t="shared" si="565"/>
        <v>KPNO Tau 4</v>
      </c>
      <c r="C658" s="486" t="str">
        <f t="shared" si="565"/>
        <v>KPNO 4</v>
      </c>
      <c r="D658" s="486"/>
      <c r="E658" s="486"/>
      <c r="F658" s="528"/>
      <c r="G658" s="486"/>
      <c r="H658" s="486" t="s">
        <v>5917</v>
      </c>
      <c r="I658" s="491"/>
      <c r="J658" s="491"/>
      <c r="K658" s="491"/>
      <c r="L658" s="491"/>
      <c r="M658" s="486"/>
      <c r="N658" s="422"/>
      <c r="O658" s="422"/>
      <c r="P658" s="422"/>
      <c r="Q658" s="486"/>
      <c r="R658" s="491"/>
      <c r="S658" s="491"/>
      <c r="T658" s="491"/>
      <c r="U658" s="491"/>
      <c r="V658" s="491"/>
      <c r="W658" s="493"/>
      <c r="X658" s="486"/>
      <c r="Y658" s="442"/>
      <c r="Z658" s="491"/>
      <c r="AA658" s="619">
        <f t="shared" si="566"/>
        <v>0.337079</v>
      </c>
      <c r="AB658" s="494"/>
      <c r="AC658" s="436"/>
      <c r="AD658" s="495"/>
      <c r="AE658" s="491"/>
      <c r="AF658" s="491"/>
      <c r="AG658" s="525">
        <f t="shared" si="567"/>
        <v>0.016167</v>
      </c>
      <c r="AH658" s="491"/>
      <c r="AI658" s="446"/>
      <c r="AJ658" s="491"/>
      <c r="AK658" s="500"/>
      <c r="AL658" s="436"/>
      <c r="AM658" s="438"/>
      <c r="AN658" s="531"/>
      <c r="AO658" s="491"/>
      <c r="AP658" s="438"/>
      <c r="AQ658" s="438"/>
      <c r="AR658" s="438"/>
      <c r="AS658" s="438"/>
      <c r="AT658" s="438"/>
      <c r="AU658" s="438"/>
      <c r="AV658" s="438"/>
      <c r="AW658" s="450">
        <f t="shared" si="568"/>
        <v>134.692833</v>
      </c>
    </row>
    <row r="659">
      <c r="A659" s="435" t="str">
        <f t="shared" ref="A659:C659" si="569">A124</f>
        <v>2MASS J04272799+2612052</v>
      </c>
      <c r="B659" s="485" t="str">
        <f t="shared" si="569"/>
        <v>KPNO Tau 4</v>
      </c>
      <c r="C659" s="486" t="str">
        <f t="shared" si="569"/>
        <v/>
      </c>
      <c r="D659" s="486"/>
      <c r="E659" s="486"/>
      <c r="F659" s="528"/>
      <c r="G659" s="486"/>
      <c r="H659" s="486" t="s">
        <v>5917</v>
      </c>
      <c r="I659" s="491"/>
      <c r="J659" s="491"/>
      <c r="K659" s="491"/>
      <c r="L659" s="491"/>
      <c r="M659" s="486"/>
      <c r="N659" s="422"/>
      <c r="O659" s="422"/>
      <c r="P659" s="422"/>
      <c r="Q659" s="486"/>
      <c r="R659" s="491"/>
      <c r="S659" s="491"/>
      <c r="T659" s="491"/>
      <c r="U659" s="491"/>
      <c r="V659" s="491"/>
      <c r="W659" s="493"/>
      <c r="X659" s="486"/>
      <c r="Y659" s="442"/>
      <c r="Z659" s="491"/>
      <c r="AA659" s="619">
        <f t="shared" si="566"/>
        <v>0.337079</v>
      </c>
      <c r="AB659" s="494"/>
      <c r="AC659" s="436"/>
      <c r="AD659" s="495"/>
      <c r="AE659" s="491"/>
      <c r="AF659" s="491"/>
      <c r="AG659" s="525">
        <f t="shared" si="567"/>
        <v>0.016167</v>
      </c>
      <c r="AH659" s="491"/>
      <c r="AI659" s="446"/>
      <c r="AJ659" s="491"/>
      <c r="AK659" s="500"/>
      <c r="AL659" s="436"/>
      <c r="AM659" s="438"/>
      <c r="AN659" s="531"/>
      <c r="AO659" s="491"/>
      <c r="AP659" s="438"/>
      <c r="AQ659" s="438"/>
      <c r="AR659" s="438"/>
      <c r="AS659" s="438"/>
      <c r="AT659" s="438"/>
      <c r="AU659" s="438"/>
      <c r="AV659" s="438"/>
      <c r="AW659" s="450">
        <f t="shared" si="568"/>
        <v>134.692833</v>
      </c>
    </row>
    <row r="660">
      <c r="A660" s="435" t="str">
        <f t="shared" ref="A660:C660" si="570">A125</f>
        <v>#REF!</v>
      </c>
      <c r="B660" s="485" t="str">
        <f t="shared" si="570"/>
        <v>#REF!</v>
      </c>
      <c r="C660" s="486" t="str">
        <f t="shared" si="570"/>
        <v>#REF!</v>
      </c>
      <c r="D660" s="486"/>
      <c r="E660" s="486"/>
      <c r="F660" s="528"/>
      <c r="G660" s="486"/>
      <c r="H660" s="486" t="s">
        <v>5917</v>
      </c>
      <c r="I660" s="491"/>
      <c r="J660" s="491"/>
      <c r="K660" s="491"/>
      <c r="L660" s="491"/>
      <c r="M660" s="486"/>
      <c r="N660" s="422"/>
      <c r="O660" s="422"/>
      <c r="P660" s="422"/>
      <c r="Q660" s="486"/>
      <c r="R660" s="491"/>
      <c r="S660" s="491"/>
      <c r="T660" s="491"/>
      <c r="U660" s="491"/>
      <c r="V660" s="491"/>
      <c r="W660" s="493"/>
      <c r="X660" s="486"/>
      <c r="Y660" s="442"/>
      <c r="Z660" s="491"/>
      <c r="AA660" s="524" t="str">
        <f t="shared" si="566"/>
        <v/>
      </c>
      <c r="AB660" s="494"/>
      <c r="AC660" s="436"/>
      <c r="AD660" s="495"/>
      <c r="AE660" s="491"/>
      <c r="AF660" s="491"/>
      <c r="AG660" s="525" t="str">
        <f t="shared" si="567"/>
        <v/>
      </c>
      <c r="AH660" s="491"/>
      <c r="AI660" s="446"/>
      <c r="AJ660" s="491"/>
      <c r="AK660" s="500"/>
      <c r="AL660" s="436"/>
      <c r="AM660" s="438"/>
      <c r="AN660" s="531"/>
      <c r="AO660" s="491"/>
      <c r="AP660" s="438"/>
      <c r="AQ660" s="438"/>
      <c r="AR660" s="438"/>
      <c r="AS660" s="438"/>
      <c r="AT660" s="438"/>
      <c r="AU660" s="438"/>
      <c r="AV660" s="438"/>
      <c r="AW660" s="450" t="str">
        <f t="shared" si="568"/>
        <v>#REF!</v>
      </c>
    </row>
    <row r="661">
      <c r="A661" s="435" t="str">
        <f t="shared" ref="A661:C661" si="571">A126</f>
        <v>#REF!</v>
      </c>
      <c r="B661" s="485" t="str">
        <f t="shared" si="571"/>
        <v>#REF!</v>
      </c>
      <c r="C661" s="486" t="str">
        <f t="shared" si="571"/>
        <v>#REF!</v>
      </c>
      <c r="D661" s="486"/>
      <c r="E661" s="486"/>
      <c r="F661" s="528"/>
      <c r="G661" s="486"/>
      <c r="H661" s="486" t="s">
        <v>5917</v>
      </c>
      <c r="I661" s="491"/>
      <c r="J661" s="491"/>
      <c r="K661" s="491"/>
      <c r="L661" s="491"/>
      <c r="M661" s="486"/>
      <c r="N661" s="422"/>
      <c r="O661" s="422"/>
      <c r="P661" s="422"/>
      <c r="Q661" s="486"/>
      <c r="R661" s="491"/>
      <c r="S661" s="491"/>
      <c r="T661" s="491"/>
      <c r="U661" s="491"/>
      <c r="V661" s="491"/>
      <c r="W661" s="493"/>
      <c r="X661" s="486"/>
      <c r="Y661" s="442"/>
      <c r="Z661" s="491"/>
      <c r="AA661" s="524" t="str">
        <f t="shared" si="566"/>
        <v/>
      </c>
      <c r="AB661" s="494"/>
      <c r="AC661" s="436"/>
      <c r="AD661" s="495"/>
      <c r="AE661" s="491"/>
      <c r="AF661" s="491"/>
      <c r="AG661" s="525" t="str">
        <f t="shared" si="567"/>
        <v/>
      </c>
      <c r="AH661" s="491"/>
      <c r="AI661" s="446"/>
      <c r="AJ661" s="491"/>
      <c r="AK661" s="500"/>
      <c r="AL661" s="436"/>
      <c r="AM661" s="438"/>
      <c r="AN661" s="531"/>
      <c r="AO661" s="491"/>
      <c r="AP661" s="438"/>
      <c r="AQ661" s="438"/>
      <c r="AR661" s="438"/>
      <c r="AS661" s="438"/>
      <c r="AT661" s="438"/>
      <c r="AU661" s="438"/>
      <c r="AV661" s="438"/>
      <c r="AW661" s="450" t="str">
        <f t="shared" si="568"/>
        <v>#REF!</v>
      </c>
    </row>
    <row r="662">
      <c r="A662" s="436" t="s">
        <v>1977</v>
      </c>
      <c r="B662" s="436" t="s">
        <v>1977</v>
      </c>
      <c r="C662" s="436"/>
      <c r="D662" s="436" t="s">
        <v>158</v>
      </c>
      <c r="E662" s="436"/>
      <c r="F662" s="436" t="s">
        <v>2567</v>
      </c>
      <c r="G662" s="436" t="s">
        <v>169</v>
      </c>
      <c r="H662" s="436" t="s">
        <v>160</v>
      </c>
      <c r="I662" s="436" t="s">
        <v>1963</v>
      </c>
      <c r="J662" s="436">
        <v>4570.8819</v>
      </c>
      <c r="K662" s="436"/>
      <c r="L662" s="438"/>
      <c r="M662" s="453"/>
      <c r="N662" s="422">
        <v>18.9</v>
      </c>
      <c r="O662" s="422">
        <v>10.971</v>
      </c>
      <c r="P662" s="422"/>
      <c r="Q662" s="436" t="s">
        <v>2183</v>
      </c>
      <c r="R662" s="436" t="s">
        <v>2184</v>
      </c>
      <c r="S662" s="436" t="s">
        <v>1964</v>
      </c>
      <c r="T662" s="419" t="s">
        <v>162</v>
      </c>
      <c r="U662" s="436" t="s">
        <v>2185</v>
      </c>
      <c r="V662" s="451"/>
      <c r="W662" s="458">
        <v>5.1286138399136485</v>
      </c>
      <c r="X662" s="438"/>
      <c r="Y662" s="442">
        <f>IF((W662/((J662/5780)^4))^0.5&gt;0,(W662/((J662/5780)^4))^0.5,"")</f>
        <v>3.621226385</v>
      </c>
      <c r="Z662" s="442"/>
      <c r="AA662" s="443"/>
      <c r="AB662" s="443"/>
      <c r="AC662" s="436" t="str">
        <f>IF(ISNUMBER(VLOOKUP(B662,'New Masses'!A:C,3,FALSE)),VLOOKUP(B662,'New Masses'!A:C,3,FALSE),"")</f>
        <v/>
      </c>
      <c r="AD662" s="451"/>
      <c r="AE662" s="436"/>
      <c r="AF662" s="438"/>
      <c r="AG662" s="459">
        <f>10^AJ662</f>
        <v>1.096478196</v>
      </c>
      <c r="AH662" s="436"/>
      <c r="AI662" s="446" t="str">
        <f>IF(ISNUMBER(VLOOKUP(B662,'New Masses'!A:C,2, FALSE)),VLOOKUP(B662,'New Masses'!A:C,2, FALSE),"")</f>
        <v/>
      </c>
      <c r="AJ662" s="436">
        <v>0.04</v>
      </c>
      <c r="AK662" s="436"/>
      <c r="AL662" s="436"/>
      <c r="AM662" s="438"/>
      <c r="AN662" s="436">
        <v>1.0</v>
      </c>
      <c r="AO662" s="438"/>
      <c r="AP662" s="438"/>
      <c r="AQ662" s="438"/>
      <c r="AR662" s="438"/>
      <c r="AS662" s="420" t="str">
        <f>VLOOKUP(B662,natta06!A:F,6,FALSE)</f>
        <v>#REF!</v>
      </c>
      <c r="AT662" s="438"/>
      <c r="AU662" s="438"/>
      <c r="AV662" s="438"/>
      <c r="AW662" s="450"/>
    </row>
    <row r="663">
      <c r="A663" s="435" t="str">
        <f t="shared" ref="A663:C663" si="572">A128</f>
        <v>2MASS J04294568+2630468</v>
      </c>
      <c r="B663" s="485" t="str">
        <f t="shared" si="572"/>
        <v>KPNO Tau 5</v>
      </c>
      <c r="C663" s="486" t="str">
        <f t="shared" si="572"/>
        <v/>
      </c>
      <c r="D663" s="486"/>
      <c r="E663" s="486"/>
      <c r="F663" s="528"/>
      <c r="G663" s="486"/>
      <c r="H663" s="486" t="s">
        <v>5917</v>
      </c>
      <c r="I663" s="491"/>
      <c r="J663" s="491"/>
      <c r="K663" s="491"/>
      <c r="L663" s="491"/>
      <c r="M663" s="486"/>
      <c r="N663" s="422"/>
      <c r="O663" s="422"/>
      <c r="P663" s="422"/>
      <c r="Q663" s="486"/>
      <c r="R663" s="491"/>
      <c r="S663" s="491"/>
      <c r="T663" s="491"/>
      <c r="U663" s="491"/>
      <c r="V663" s="491"/>
      <c r="W663" s="493"/>
      <c r="X663" s="486"/>
      <c r="Y663" s="442"/>
      <c r="Z663" s="491"/>
      <c r="AA663" s="619">
        <f>AC128</f>
        <v>0.473141</v>
      </c>
      <c r="AB663" s="494"/>
      <c r="AC663" s="436"/>
      <c r="AD663" s="495"/>
      <c r="AE663" s="491"/>
      <c r="AF663" s="491"/>
      <c r="AG663" s="525">
        <f>AI128</f>
        <v>0.03139</v>
      </c>
      <c r="AH663" s="491"/>
      <c r="AI663" s="446"/>
      <c r="AJ663" s="491"/>
      <c r="AK663" s="500"/>
      <c r="AL663" s="436"/>
      <c r="AM663" s="438"/>
      <c r="AN663" s="531"/>
      <c r="AO663" s="491"/>
      <c r="AP663" s="438"/>
      <c r="AQ663" s="438"/>
      <c r="AR663" s="438"/>
      <c r="AS663" s="438"/>
      <c r="AT663" s="438"/>
      <c r="AU663" s="438"/>
      <c r="AV663" s="438"/>
      <c r="AW663" s="450">
        <f>AW128</f>
        <v>128.2281435</v>
      </c>
    </row>
    <row r="664">
      <c r="A664" s="436" t="s">
        <v>1400</v>
      </c>
      <c r="B664" s="436" t="s">
        <v>1400</v>
      </c>
      <c r="C664" s="436"/>
      <c r="D664" s="436" t="s">
        <v>158</v>
      </c>
      <c r="E664" s="436"/>
      <c r="F664" s="436" t="s">
        <v>2568</v>
      </c>
      <c r="G664" s="436" t="s">
        <v>169</v>
      </c>
      <c r="H664" s="436" t="s">
        <v>1309</v>
      </c>
      <c r="I664" s="436" t="s">
        <v>2409</v>
      </c>
      <c r="J664" s="436">
        <v>3900.0</v>
      </c>
      <c r="K664" s="436"/>
      <c r="L664" s="436" t="s">
        <v>1401</v>
      </c>
      <c r="M664" s="457">
        <v>1.0</v>
      </c>
      <c r="N664" s="422">
        <v>12.547</v>
      </c>
      <c r="O664" s="422">
        <v>8.915</v>
      </c>
      <c r="P664" s="422"/>
      <c r="Q664" s="436" t="s">
        <v>2410</v>
      </c>
      <c r="R664" s="436" t="s">
        <v>2508</v>
      </c>
      <c r="S664" s="436" t="s">
        <v>2412</v>
      </c>
      <c r="T664" s="436" t="s">
        <v>596</v>
      </c>
      <c r="U664" s="436" t="s">
        <v>2413</v>
      </c>
      <c r="V664" s="440"/>
      <c r="W664" s="441">
        <v>1.5</v>
      </c>
      <c r="X664" s="454"/>
      <c r="Y664" s="442">
        <f t="shared" ref="Y664:Y665" si="573">IF((W664/((J664/5780)^4))^0.5&gt;0,(W664/((J664/5780)^4))^0.5,"")</f>
        <v>2.690122719</v>
      </c>
      <c r="Z664" s="442"/>
      <c r="AA664" s="443"/>
      <c r="AB664" s="443"/>
      <c r="AC664" s="436" t="str">
        <f>IF(ISNUMBER(VLOOKUP(B664,'New Masses'!A:C,3,FALSE)),VLOOKUP(B664,'New Masses'!A:C,3,FALSE),"")</f>
        <v/>
      </c>
      <c r="AD664" s="451">
        <f t="shared" ref="AD664:AD665" si="574">10^(AE664)</f>
        <v>0.000000009332543008</v>
      </c>
      <c r="AE664" s="436">
        <v>-8.03</v>
      </c>
      <c r="AF664" s="438"/>
      <c r="AG664" s="459">
        <v>0.35</v>
      </c>
      <c r="AH664" s="436"/>
      <c r="AI664" s="446" t="str">
        <f>IF(ISNUMBER(VLOOKUP(B664,'New Masses'!A:C,2, FALSE)),VLOOKUP(B664,'New Masses'!A:C,2, FALSE),"")</f>
        <v/>
      </c>
      <c r="AJ664" s="436">
        <f>LOG10(AG664)</f>
        <v>-0.4559319556</v>
      </c>
      <c r="AK664" s="438"/>
      <c r="AL664" s="438"/>
      <c r="AM664" s="436" t="s">
        <v>2407</v>
      </c>
      <c r="AN664" s="436">
        <v>3.0</v>
      </c>
      <c r="AO664" s="438"/>
      <c r="AP664" s="438"/>
      <c r="AQ664" s="438"/>
      <c r="AR664" s="438"/>
      <c r="AS664" s="438"/>
      <c r="AT664" s="438"/>
      <c r="AU664" s="438"/>
      <c r="AV664" s="438"/>
      <c r="AW664" s="450">
        <v>130.698452530322</v>
      </c>
    </row>
    <row r="665">
      <c r="A665" s="436" t="s">
        <v>1400</v>
      </c>
      <c r="B665" s="436" t="s">
        <v>1400</v>
      </c>
      <c r="C665" s="436"/>
      <c r="D665" s="436" t="s">
        <v>158</v>
      </c>
      <c r="E665" s="436"/>
      <c r="F665" s="436" t="s">
        <v>2568</v>
      </c>
      <c r="G665" s="436" t="s">
        <v>169</v>
      </c>
      <c r="H665" s="436" t="s">
        <v>160</v>
      </c>
      <c r="I665" s="436" t="s">
        <v>1963</v>
      </c>
      <c r="J665" s="436">
        <v>3981.07171</v>
      </c>
      <c r="K665" s="436"/>
      <c r="L665" s="438"/>
      <c r="M665" s="453"/>
      <c r="N665" s="422">
        <v>12.547</v>
      </c>
      <c r="O665" s="422">
        <v>8.915</v>
      </c>
      <c r="P665" s="422"/>
      <c r="Q665" s="436" t="s">
        <v>2183</v>
      </c>
      <c r="R665" s="436" t="s">
        <v>2184</v>
      </c>
      <c r="S665" s="436" t="s">
        <v>1964</v>
      </c>
      <c r="T665" s="419" t="s">
        <v>162</v>
      </c>
      <c r="U665" s="436" t="s">
        <v>2185</v>
      </c>
      <c r="V665" s="451">
        <v>5.81056E29</v>
      </c>
      <c r="W665" s="458">
        <v>1.9498445997580451</v>
      </c>
      <c r="X665" s="438"/>
      <c r="Y665" s="442">
        <f t="shared" si="573"/>
        <v>2.94344331</v>
      </c>
      <c r="Z665" s="442"/>
      <c r="AA665" s="443"/>
      <c r="AB665" s="443"/>
      <c r="AC665" s="436" t="str">
        <f>IF(ISNUMBER(VLOOKUP(B665,'New Masses'!A:C,3,FALSE)),VLOOKUP(B665,'New Masses'!A:C,3,FALSE),"")</f>
        <v/>
      </c>
      <c r="AD665" s="451">
        <f t="shared" si="574"/>
        <v>0.000000008511380382</v>
      </c>
      <c r="AE665" s="436">
        <v>-8.07</v>
      </c>
      <c r="AF665" s="438"/>
      <c r="AG665" s="459">
        <f>10^AJ665</f>
        <v>0.6165950019</v>
      </c>
      <c r="AH665" s="436"/>
      <c r="AI665" s="446" t="str">
        <f>IF(ISNUMBER(VLOOKUP(B665,'New Masses'!A:C,2, FALSE)),VLOOKUP(B665,'New Masses'!A:C,2, FALSE),"")</f>
        <v/>
      </c>
      <c r="AJ665" s="436">
        <v>-0.21</v>
      </c>
      <c r="AK665" s="436"/>
      <c r="AL665" s="436">
        <v>-1.19</v>
      </c>
      <c r="AM665" s="438"/>
      <c r="AN665" s="436">
        <v>1.0</v>
      </c>
      <c r="AO665" s="438"/>
      <c r="AP665" s="438"/>
      <c r="AQ665" s="438"/>
      <c r="AR665" s="438"/>
      <c r="AS665" s="420" t="str">
        <f>VLOOKUP(B665,natta06!A:F,6,FALSE)</f>
        <v>#REF!</v>
      </c>
      <c r="AT665" s="438"/>
      <c r="AU665" s="438"/>
      <c r="AV665" s="438"/>
      <c r="AW665" s="450">
        <v>130.698452530322</v>
      </c>
    </row>
    <row r="666">
      <c r="A666" s="435" t="str">
        <f t="shared" ref="A666:C666" si="575">A131</f>
        <v>2MASS J04300724+2608207</v>
      </c>
      <c r="B666" s="485" t="str">
        <f t="shared" si="575"/>
        <v>KPNO Tau 6</v>
      </c>
      <c r="C666" s="486" t="str">
        <f t="shared" si="575"/>
        <v>KPNO 6</v>
      </c>
      <c r="D666" s="486"/>
      <c r="E666" s="486"/>
      <c r="F666" s="528"/>
      <c r="G666" s="486"/>
      <c r="H666" s="486" t="s">
        <v>5917</v>
      </c>
      <c r="I666" s="491"/>
      <c r="J666" s="491"/>
      <c r="K666" s="491"/>
      <c r="L666" s="491"/>
      <c r="M666" s="486"/>
      <c r="N666" s="422"/>
      <c r="O666" s="422"/>
      <c r="P666" s="422"/>
      <c r="Q666" s="486"/>
      <c r="R666" s="491"/>
      <c r="S666" s="491"/>
      <c r="T666" s="491"/>
      <c r="U666" s="491"/>
      <c r="V666" s="491"/>
      <c r="W666" s="493"/>
      <c r="X666" s="486"/>
      <c r="Y666" s="442"/>
      <c r="Z666" s="491"/>
      <c r="AA666" s="619">
        <f t="shared" ref="AA666:AA667" si="577">AC131</f>
        <v>0.38356</v>
      </c>
      <c r="AB666" s="494"/>
      <c r="AC666" s="436"/>
      <c r="AD666" s="495"/>
      <c r="AE666" s="491"/>
      <c r="AF666" s="491"/>
      <c r="AG666" s="525">
        <f t="shared" ref="AG666:AG667" si="578">AI131</f>
        <v>0.020985</v>
      </c>
      <c r="AH666" s="491"/>
      <c r="AI666" s="446"/>
      <c r="AJ666" s="491"/>
      <c r="AK666" s="500"/>
      <c r="AL666" s="436"/>
      <c r="AM666" s="438"/>
      <c r="AN666" s="531"/>
      <c r="AO666" s="491"/>
      <c r="AP666" s="438"/>
      <c r="AQ666" s="438"/>
      <c r="AR666" s="438"/>
      <c r="AS666" s="438"/>
      <c r="AT666" s="438"/>
      <c r="AU666" s="438"/>
      <c r="AV666" s="438"/>
      <c r="AW666" s="450">
        <f t="shared" ref="AW666:AW667" si="579">AW131</f>
        <v>116.0590973</v>
      </c>
    </row>
    <row r="667">
      <c r="A667" s="435" t="str">
        <f t="shared" ref="A667:C667" si="576">A132</f>
        <v>2MASS J04300724+2608207</v>
      </c>
      <c r="B667" s="485" t="str">
        <f t="shared" si="576"/>
        <v>KPNO Tau 6</v>
      </c>
      <c r="C667" s="486" t="str">
        <f t="shared" si="576"/>
        <v/>
      </c>
      <c r="D667" s="486"/>
      <c r="E667" s="486"/>
      <c r="F667" s="528"/>
      <c r="G667" s="486"/>
      <c r="H667" s="486" t="s">
        <v>5917</v>
      </c>
      <c r="I667" s="491"/>
      <c r="J667" s="491"/>
      <c r="K667" s="491"/>
      <c r="L667" s="491"/>
      <c r="M667" s="486"/>
      <c r="N667" s="422"/>
      <c r="O667" s="422"/>
      <c r="P667" s="422"/>
      <c r="Q667" s="486"/>
      <c r="R667" s="491"/>
      <c r="S667" s="491"/>
      <c r="T667" s="491"/>
      <c r="U667" s="491"/>
      <c r="V667" s="491"/>
      <c r="W667" s="493"/>
      <c r="X667" s="486"/>
      <c r="Y667" s="442"/>
      <c r="Z667" s="491"/>
      <c r="AA667" s="619">
        <f t="shared" si="577"/>
        <v>0.38356</v>
      </c>
      <c r="AB667" s="494"/>
      <c r="AC667" s="436"/>
      <c r="AD667" s="495"/>
      <c r="AE667" s="491"/>
      <c r="AF667" s="491"/>
      <c r="AG667" s="525">
        <f t="shared" si="578"/>
        <v>0.020985</v>
      </c>
      <c r="AH667" s="491"/>
      <c r="AI667" s="446"/>
      <c r="AJ667" s="491"/>
      <c r="AK667" s="500"/>
      <c r="AL667" s="436"/>
      <c r="AM667" s="438"/>
      <c r="AN667" s="531"/>
      <c r="AO667" s="491"/>
      <c r="AP667" s="438"/>
      <c r="AQ667" s="438"/>
      <c r="AR667" s="438"/>
      <c r="AS667" s="438"/>
      <c r="AT667" s="438"/>
      <c r="AU667" s="438"/>
      <c r="AV667" s="438"/>
      <c r="AW667" s="450">
        <f t="shared" si="579"/>
        <v>116.0590973</v>
      </c>
    </row>
    <row r="668">
      <c r="A668" s="436" t="s">
        <v>1373</v>
      </c>
      <c r="B668" s="436" t="s">
        <v>1373</v>
      </c>
      <c r="C668" s="436"/>
      <c r="D668" s="436" t="s">
        <v>158</v>
      </c>
      <c r="E668" s="436"/>
      <c r="F668" s="436" t="s">
        <v>2569</v>
      </c>
      <c r="G668" s="436" t="s">
        <v>169</v>
      </c>
      <c r="H668" s="436" t="s">
        <v>160</v>
      </c>
      <c r="I668" s="436" t="s">
        <v>1963</v>
      </c>
      <c r="J668" s="436">
        <v>3162.27766</v>
      </c>
      <c r="K668" s="436"/>
      <c r="L668" s="436" t="s">
        <v>1285</v>
      </c>
      <c r="M668" s="439"/>
      <c r="N668" s="422">
        <v>12.41</v>
      </c>
      <c r="O668" s="422">
        <v>9.8</v>
      </c>
      <c r="P668" s="422">
        <v>18.47</v>
      </c>
      <c r="Q668" s="436" t="s">
        <v>2183</v>
      </c>
      <c r="R668" s="436" t="s">
        <v>2184</v>
      </c>
      <c r="S668" s="436" t="s">
        <v>1964</v>
      </c>
      <c r="T668" s="419" t="s">
        <v>162</v>
      </c>
      <c r="U668" s="436" t="s">
        <v>2185</v>
      </c>
      <c r="V668" s="451">
        <v>7.48545E28</v>
      </c>
      <c r="W668" s="458">
        <v>0.36307805477010135</v>
      </c>
      <c r="X668" s="438"/>
      <c r="Y668" s="442">
        <f>IF((W668/((J668/5780)^4))^0.5&gt;0,(W668/((J668/5780)^4))^0.5,"")</f>
        <v>2.013055168</v>
      </c>
      <c r="Z668" s="442"/>
      <c r="AA668" s="443"/>
      <c r="AB668" s="443"/>
      <c r="AC668" s="436" t="str">
        <f>IF(ISNUMBER(VLOOKUP(B668,'New Masses'!A:C,3,FALSE)),VLOOKUP(B668,'New Masses'!A:C,3,FALSE),"")</f>
        <v/>
      </c>
      <c r="AD668" s="451">
        <f>10^(AE668)</f>
        <v>0.000000000977237221</v>
      </c>
      <c r="AE668" s="436">
        <v>-9.01</v>
      </c>
      <c r="AF668" s="438"/>
      <c r="AG668" s="459">
        <f>10^AJ668</f>
        <v>0.2238721139</v>
      </c>
      <c r="AH668" s="436"/>
      <c r="AI668" s="446" t="str">
        <f>IF(ISNUMBER(VLOOKUP(B668,'New Masses'!A:C,2, FALSE)),VLOOKUP(B668,'New Masses'!A:C,2, FALSE),"")</f>
        <v/>
      </c>
      <c r="AJ668" s="436">
        <v>-0.65</v>
      </c>
      <c r="AK668" s="436"/>
      <c r="AL668" s="436">
        <v>-2.4</v>
      </c>
      <c r="AM668" s="438"/>
      <c r="AN668" s="436">
        <v>1.0</v>
      </c>
      <c r="AO668" s="438"/>
      <c r="AP668" s="436"/>
      <c r="AQ668" s="436"/>
      <c r="AR668" s="438"/>
      <c r="AS668" s="420" t="str">
        <f>VLOOKUP(B668,natta06!A:F,6,FALSE)</f>
        <v>#REF!</v>
      </c>
      <c r="AT668" s="438" t="s">
        <v>5916</v>
      </c>
      <c r="AU668" s="438" t="s">
        <v>1332</v>
      </c>
      <c r="AV668" s="438"/>
      <c r="AW668" s="450">
        <v>141.268877053696</v>
      </c>
    </row>
    <row r="669">
      <c r="A669" s="435" t="str">
        <f t="shared" ref="A669:C669" si="580">A134</f>
        <v>#REF!</v>
      </c>
      <c r="B669" s="485" t="str">
        <f t="shared" si="580"/>
        <v>#REF!</v>
      </c>
      <c r="C669" s="486" t="str">
        <f t="shared" si="580"/>
        <v>#REF!</v>
      </c>
      <c r="D669" s="486"/>
      <c r="E669" s="486"/>
      <c r="F669" s="528"/>
      <c r="G669" s="486"/>
      <c r="H669" s="486" t="s">
        <v>5917</v>
      </c>
      <c r="I669" s="491"/>
      <c r="J669" s="491"/>
      <c r="K669" s="491"/>
      <c r="L669" s="491"/>
      <c r="M669" s="486"/>
      <c r="N669" s="422"/>
      <c r="O669" s="422"/>
      <c r="P669" s="422"/>
      <c r="Q669" s="486"/>
      <c r="R669" s="491"/>
      <c r="S669" s="491"/>
      <c r="T669" s="491"/>
      <c r="U669" s="491"/>
      <c r="V669" s="491"/>
      <c r="W669" s="493"/>
      <c r="X669" s="486"/>
      <c r="Y669" s="442"/>
      <c r="Z669" s="491"/>
      <c r="AA669" s="524" t="str">
        <f>AC134</f>
        <v/>
      </c>
      <c r="AB669" s="494"/>
      <c r="AC669" s="436"/>
      <c r="AD669" s="495"/>
      <c r="AE669" s="491"/>
      <c r="AF669" s="491"/>
      <c r="AG669" s="525" t="str">
        <f>AI134</f>
        <v/>
      </c>
      <c r="AH669" s="491"/>
      <c r="AI669" s="446"/>
      <c r="AJ669" s="491"/>
      <c r="AK669" s="500"/>
      <c r="AL669" s="436"/>
      <c r="AM669" s="438"/>
      <c r="AN669" s="531"/>
      <c r="AO669" s="491"/>
      <c r="AP669" s="438"/>
      <c r="AQ669" s="438"/>
      <c r="AR669" s="438"/>
      <c r="AS669" s="438"/>
      <c r="AT669" s="438"/>
      <c r="AU669" s="438"/>
      <c r="AV669" s="438"/>
      <c r="AW669" s="450" t="str">
        <f>AW134</f>
        <v>#REF!</v>
      </c>
    </row>
    <row r="670">
      <c r="A670" s="436" t="s">
        <v>1978</v>
      </c>
      <c r="B670" s="436" t="s">
        <v>1978</v>
      </c>
      <c r="C670" s="436"/>
      <c r="D670" s="436" t="s">
        <v>158</v>
      </c>
      <c r="E670" s="436"/>
      <c r="F670" s="436" t="s">
        <v>2570</v>
      </c>
      <c r="G670" s="436" t="s">
        <v>169</v>
      </c>
      <c r="H670" s="436" t="s">
        <v>160</v>
      </c>
      <c r="I670" s="436" t="s">
        <v>1963</v>
      </c>
      <c r="J670" s="436">
        <v>3311.31121</v>
      </c>
      <c r="K670" s="436"/>
      <c r="L670" s="438"/>
      <c r="M670" s="453"/>
      <c r="N670" s="422">
        <v>17.41</v>
      </c>
      <c r="O670" s="422">
        <v>11.302</v>
      </c>
      <c r="P670" s="422"/>
      <c r="Q670" s="436" t="s">
        <v>2183</v>
      </c>
      <c r="R670" s="436" t="s">
        <v>2184</v>
      </c>
      <c r="S670" s="436" t="s">
        <v>1964</v>
      </c>
      <c r="T670" s="419" t="s">
        <v>162</v>
      </c>
      <c r="U670" s="436" t="s">
        <v>2185</v>
      </c>
      <c r="V670" s="451"/>
      <c r="W670" s="458">
        <v>0.5011872336272722</v>
      </c>
      <c r="X670" s="438"/>
      <c r="Y670" s="442">
        <f>IF((W670/((J670/5780)^4))^0.5&gt;0,(W670/((J670/5780)^4))^0.5,"")</f>
        <v>2.157027481</v>
      </c>
      <c r="Z670" s="442"/>
      <c r="AA670" s="443"/>
      <c r="AB670" s="443"/>
      <c r="AC670" s="436" t="str">
        <f>IF(ISNUMBER(VLOOKUP(B670,'New Masses'!A:C,3,FALSE)),VLOOKUP(B670,'New Masses'!A:C,3,FALSE),"")</f>
        <v/>
      </c>
      <c r="AD670" s="451"/>
      <c r="AE670" s="436"/>
      <c r="AF670" s="438"/>
      <c r="AG670" s="459">
        <f>10^AJ670</f>
        <v>0.2754228703</v>
      </c>
      <c r="AH670" s="436"/>
      <c r="AI670" s="446" t="str">
        <f>IF(ISNUMBER(VLOOKUP(B670,'New Masses'!A:C,2, FALSE)),VLOOKUP(B670,'New Masses'!A:C,2, FALSE),"")</f>
        <v/>
      </c>
      <c r="AJ670" s="436">
        <v>-0.56</v>
      </c>
      <c r="AK670" s="436"/>
      <c r="AL670" s="436"/>
      <c r="AM670" s="438"/>
      <c r="AN670" s="436">
        <v>1.0</v>
      </c>
      <c r="AO670" s="438"/>
      <c r="AP670" s="438"/>
      <c r="AQ670" s="438"/>
      <c r="AR670" s="438"/>
      <c r="AS670" s="420" t="str">
        <f>VLOOKUP(B670,natta06!A:F,6,FALSE)</f>
        <v>#REF!</v>
      </c>
      <c r="AT670" s="438"/>
      <c r="AU670" s="438"/>
      <c r="AV670" s="438"/>
      <c r="AW670" s="450"/>
    </row>
    <row r="671">
      <c r="A671" s="435" t="str">
        <f t="shared" ref="A671:C671" si="581">A136</f>
        <v>2MASS J04305718+2556394</v>
      </c>
      <c r="B671" s="485" t="str">
        <f t="shared" si="581"/>
        <v>KPNO Tau 7</v>
      </c>
      <c r="C671" s="486" t="str">
        <f t="shared" si="581"/>
        <v>KPNO 7</v>
      </c>
      <c r="D671" s="486"/>
      <c r="E671" s="486"/>
      <c r="F671" s="528"/>
      <c r="G671" s="486"/>
      <c r="H671" s="486" t="s">
        <v>5917</v>
      </c>
      <c r="I671" s="491"/>
      <c r="J671" s="491"/>
      <c r="K671" s="491"/>
      <c r="L671" s="491"/>
      <c r="M671" s="486"/>
      <c r="N671" s="422"/>
      <c r="O671" s="422"/>
      <c r="P671" s="422"/>
      <c r="Q671" s="486"/>
      <c r="R671" s="491"/>
      <c r="S671" s="491"/>
      <c r="T671" s="491"/>
      <c r="U671" s="491"/>
      <c r="V671" s="491"/>
      <c r="W671" s="493"/>
      <c r="X671" s="486"/>
      <c r="Y671" s="442"/>
      <c r="Z671" s="491"/>
      <c r="AA671" s="619">
        <f>AC136</f>
        <v>0.401333</v>
      </c>
      <c r="AB671" s="494"/>
      <c r="AC671" s="436"/>
      <c r="AD671" s="495"/>
      <c r="AE671" s="491"/>
      <c r="AF671" s="491"/>
      <c r="AG671" s="525">
        <f>AI136</f>
        <v>0.022968</v>
      </c>
      <c r="AH671" s="491"/>
      <c r="AI671" s="446"/>
      <c r="AJ671" s="491"/>
      <c r="AK671" s="500"/>
      <c r="AL671" s="436"/>
      <c r="AM671" s="438"/>
      <c r="AN671" s="531"/>
      <c r="AO671" s="491"/>
      <c r="AP671" s="438"/>
      <c r="AQ671" s="438"/>
      <c r="AR671" s="438"/>
      <c r="AS671" s="438"/>
      <c r="AT671" s="438"/>
      <c r="AU671" s="438"/>
      <c r="AV671" s="438"/>
      <c r="AW671" s="450">
        <f>AW136</f>
        <v>122.8214545</v>
      </c>
    </row>
    <row r="672">
      <c r="A672" s="436" t="s">
        <v>184</v>
      </c>
      <c r="B672" s="436" t="s">
        <v>184</v>
      </c>
      <c r="C672" s="436"/>
      <c r="D672" s="436" t="s">
        <v>158</v>
      </c>
      <c r="E672" s="436"/>
      <c r="F672" s="436" t="s">
        <v>2571</v>
      </c>
      <c r="G672" s="436" t="s">
        <v>169</v>
      </c>
      <c r="H672" s="436" t="s">
        <v>160</v>
      </c>
      <c r="I672" s="436" t="s">
        <v>1963</v>
      </c>
      <c r="J672" s="436">
        <v>5754.39937</v>
      </c>
      <c r="K672" s="436"/>
      <c r="L672" s="438"/>
      <c r="M672" s="453"/>
      <c r="N672" s="422">
        <v>16.788</v>
      </c>
      <c r="O672" s="422">
        <v>7.14</v>
      </c>
      <c r="P672" s="422"/>
      <c r="Q672" s="436" t="s">
        <v>2183</v>
      </c>
      <c r="R672" s="436" t="s">
        <v>2184</v>
      </c>
      <c r="S672" s="436" t="s">
        <v>1964</v>
      </c>
      <c r="T672" s="419" t="s">
        <v>162</v>
      </c>
      <c r="U672" s="436" t="s">
        <v>2185</v>
      </c>
      <c r="V672" s="451">
        <v>3.34363E29</v>
      </c>
      <c r="W672" s="458"/>
      <c r="X672" s="438"/>
      <c r="Y672" s="442" t="str">
        <f>IF((W672/((J672/5780)^4))^0.5&gt;0,(W672/((J672/5780)^4))^0.5,"")</f>
        <v/>
      </c>
      <c r="Z672" s="442"/>
      <c r="AA672" s="443"/>
      <c r="AB672" s="443"/>
      <c r="AC672" s="436" t="str">
        <f>IF(ISNUMBER(VLOOKUP(B672,'New Masses'!A:C,3,FALSE)),VLOOKUP(B672,'New Masses'!A:C,3,FALSE),"")</f>
        <v/>
      </c>
      <c r="AD672" s="451">
        <f>10^(AE672)</f>
        <v>0.000001445439771</v>
      </c>
      <c r="AE672" s="436">
        <v>-5.84</v>
      </c>
      <c r="AF672" s="438"/>
      <c r="AG672" s="459">
        <f>10^AJ672</f>
        <v>3.01995172</v>
      </c>
      <c r="AH672" s="436"/>
      <c r="AI672" s="446" t="str">
        <f>IF(ISNUMBER(VLOOKUP(B672,'New Masses'!A:C,2, FALSE)),VLOOKUP(B672,'New Masses'!A:C,2, FALSE),"")</f>
        <v/>
      </c>
      <c r="AJ672" s="436">
        <v>0.48</v>
      </c>
      <c r="AK672" s="436"/>
      <c r="AL672" s="436">
        <v>1.46</v>
      </c>
      <c r="AM672" s="438"/>
      <c r="AN672" s="436">
        <v>1.0</v>
      </c>
      <c r="AO672" s="438"/>
      <c r="AP672" s="436"/>
      <c r="AQ672" s="438"/>
      <c r="AR672" s="438"/>
      <c r="AS672" s="420" t="str">
        <f>VLOOKUP(B672,natta06!A:F,6,FALSE)</f>
        <v>#REF!</v>
      </c>
      <c r="AT672" s="438"/>
      <c r="AU672" s="438"/>
      <c r="AV672" s="438"/>
      <c r="AW672" s="450"/>
    </row>
    <row r="673">
      <c r="A673" s="435" t="str">
        <f t="shared" ref="A673:C673" si="582">A138</f>
        <v>2MASS J04305718+2556394</v>
      </c>
      <c r="B673" s="485" t="str">
        <f t="shared" si="582"/>
        <v>KPNO Tau 7</v>
      </c>
      <c r="C673" s="486" t="str">
        <f t="shared" si="582"/>
        <v/>
      </c>
      <c r="D673" s="486"/>
      <c r="E673" s="486"/>
      <c r="F673" s="528"/>
      <c r="G673" s="486"/>
      <c r="H673" s="486" t="s">
        <v>5917</v>
      </c>
      <c r="I673" s="491"/>
      <c r="J673" s="491"/>
      <c r="K673" s="491"/>
      <c r="L673" s="491"/>
      <c r="M673" s="486"/>
      <c r="N673" s="422"/>
      <c r="O673" s="422"/>
      <c r="P673" s="422"/>
      <c r="Q673" s="486"/>
      <c r="R673" s="491"/>
      <c r="S673" s="491"/>
      <c r="T673" s="491"/>
      <c r="U673" s="491"/>
      <c r="V673" s="491"/>
      <c r="W673" s="493"/>
      <c r="X673" s="486"/>
      <c r="Y673" s="442"/>
      <c r="Z673" s="491"/>
      <c r="AA673" s="619">
        <f>AC138</f>
        <v>0.401333</v>
      </c>
      <c r="AB673" s="494"/>
      <c r="AC673" s="436"/>
      <c r="AD673" s="495"/>
      <c r="AE673" s="491"/>
      <c r="AF673" s="491"/>
      <c r="AG673" s="525">
        <f>AI138</f>
        <v>0.022968</v>
      </c>
      <c r="AH673" s="491"/>
      <c r="AI673" s="446"/>
      <c r="AJ673" s="491"/>
      <c r="AK673" s="500"/>
      <c r="AL673" s="436"/>
      <c r="AM673" s="438"/>
      <c r="AN673" s="531"/>
      <c r="AO673" s="491"/>
      <c r="AP673" s="438"/>
      <c r="AQ673" s="438"/>
      <c r="AR673" s="438"/>
      <c r="AS673" s="438"/>
      <c r="AT673" s="438"/>
      <c r="AU673" s="438"/>
      <c r="AV673" s="438"/>
      <c r="AW673" s="450">
        <f>AW138</f>
        <v>122.8214545</v>
      </c>
    </row>
    <row r="674">
      <c r="A674" s="436" t="s">
        <v>1468</v>
      </c>
      <c r="B674" s="436" t="s">
        <v>1468</v>
      </c>
      <c r="C674" s="436"/>
      <c r="D674" s="436" t="s">
        <v>158</v>
      </c>
      <c r="E674" s="436"/>
      <c r="F674" s="436" t="s">
        <v>2572</v>
      </c>
      <c r="G674" s="436" t="s">
        <v>169</v>
      </c>
      <c r="H674" s="436" t="s">
        <v>160</v>
      </c>
      <c r="I674" s="436" t="s">
        <v>1963</v>
      </c>
      <c r="J674" s="436">
        <v>4365.15832</v>
      </c>
      <c r="K674" s="436"/>
      <c r="L674" s="436" t="s">
        <v>1469</v>
      </c>
      <c r="M674" s="439"/>
      <c r="N674" s="422">
        <v>8.745</v>
      </c>
      <c r="O674" s="422">
        <v>6.719</v>
      </c>
      <c r="P674" s="422"/>
      <c r="Q674" s="436" t="s">
        <v>2183</v>
      </c>
      <c r="R674" s="436" t="s">
        <v>2184</v>
      </c>
      <c r="S674" s="436" t="s">
        <v>1964</v>
      </c>
      <c r="T674" s="419" t="s">
        <v>162</v>
      </c>
      <c r="U674" s="436" t="s">
        <v>2185</v>
      </c>
      <c r="V674" s="451">
        <v>1.92406E29</v>
      </c>
      <c r="W674" s="458">
        <v>3.8018939632056115</v>
      </c>
      <c r="X674" s="438"/>
      <c r="Y674" s="442">
        <f>IF((W674/((J674/5780)^4))^0.5&gt;0,(W674/((J674/5780)^4))^0.5,"")</f>
        <v>3.418658164</v>
      </c>
      <c r="Z674" s="442"/>
      <c r="AA674" s="443"/>
      <c r="AB674" s="443"/>
      <c r="AC674" s="436" t="str">
        <f>IF(ISNUMBER(VLOOKUP(B674,'New Masses'!A:C,3,FALSE)),VLOOKUP(B674,'New Masses'!A:C,3,FALSE),"")</f>
        <v/>
      </c>
      <c r="AD674" s="451">
        <f>10^(AE674)</f>
        <v>0.000000001445439771</v>
      </c>
      <c r="AE674" s="436">
        <v>-8.84</v>
      </c>
      <c r="AF674" s="438"/>
      <c r="AG674" s="459">
        <f>10^AJ674</f>
        <v>0.9120108394</v>
      </c>
      <c r="AH674" s="436"/>
      <c r="AI674" s="446" t="str">
        <f>IF(ISNUMBER(VLOOKUP(B674,'New Masses'!A:C,2, FALSE)),VLOOKUP(B674,'New Masses'!A:C,2, FALSE),"")</f>
        <v/>
      </c>
      <c r="AJ674" s="436">
        <v>-0.04</v>
      </c>
      <c r="AK674" s="436"/>
      <c r="AL674" s="436">
        <v>-1.85</v>
      </c>
      <c r="AM674" s="438"/>
      <c r="AN674" s="436">
        <v>1.0</v>
      </c>
      <c r="AO674" s="438"/>
      <c r="AP674" s="436"/>
      <c r="AQ674" s="436"/>
      <c r="AR674" s="438"/>
      <c r="AS674" s="420" t="str">
        <f>VLOOKUP(B674,natta06!A:F,6,FALSE)</f>
        <v>#REF!</v>
      </c>
      <c r="AT674" s="438" t="s">
        <v>5916</v>
      </c>
      <c r="AU674" s="438" t="s">
        <v>1470</v>
      </c>
      <c r="AV674" s="438"/>
      <c r="AW674" s="450">
        <v>138.400642178979</v>
      </c>
    </row>
    <row r="675">
      <c r="A675" s="435" t="str">
        <f t="shared" ref="A675:C675" si="583">A140</f>
        <v>#REF!</v>
      </c>
      <c r="B675" s="485" t="str">
        <f t="shared" si="583"/>
        <v>#REF!</v>
      </c>
      <c r="C675" s="486" t="str">
        <f t="shared" si="583"/>
        <v>#REF!</v>
      </c>
      <c r="D675" s="486"/>
      <c r="E675" s="486"/>
      <c r="F675" s="528"/>
      <c r="G675" s="486"/>
      <c r="H675" s="486" t="s">
        <v>5917</v>
      </c>
      <c r="I675" s="491"/>
      <c r="J675" s="491"/>
      <c r="K675" s="491"/>
      <c r="L675" s="491"/>
      <c r="M675" s="486"/>
      <c r="N675" s="422"/>
      <c r="O675" s="422"/>
      <c r="P675" s="422"/>
      <c r="Q675" s="486"/>
      <c r="R675" s="491"/>
      <c r="S675" s="491"/>
      <c r="T675" s="491"/>
      <c r="U675" s="491"/>
      <c r="V675" s="491"/>
      <c r="W675" s="493"/>
      <c r="X675" s="486"/>
      <c r="Y675" s="442"/>
      <c r="Z675" s="491"/>
      <c r="AA675" s="524" t="str">
        <f>AC140</f>
        <v/>
      </c>
      <c r="AB675" s="494"/>
      <c r="AC675" s="436"/>
      <c r="AD675" s="495"/>
      <c r="AE675" s="491"/>
      <c r="AF675" s="491"/>
      <c r="AG675" s="525" t="str">
        <f>AI140</f>
        <v/>
      </c>
      <c r="AH675" s="491"/>
      <c r="AI675" s="446"/>
      <c r="AJ675" s="491"/>
      <c r="AK675" s="500"/>
      <c r="AL675" s="436"/>
      <c r="AM675" s="438"/>
      <c r="AN675" s="531"/>
      <c r="AO675" s="491"/>
      <c r="AP675" s="438"/>
      <c r="AQ675" s="438"/>
      <c r="AR675" s="438"/>
      <c r="AS675" s="438"/>
      <c r="AT675" s="438"/>
      <c r="AU675" s="438"/>
      <c r="AV675" s="438"/>
      <c r="AW675" s="450" t="str">
        <f>AW140</f>
        <v>#REF!</v>
      </c>
    </row>
    <row r="676">
      <c r="A676" s="436" t="s">
        <v>1980</v>
      </c>
      <c r="B676" s="436" t="s">
        <v>1980</v>
      </c>
      <c r="C676" s="436"/>
      <c r="D676" s="436" t="s">
        <v>158</v>
      </c>
      <c r="E676" s="436"/>
      <c r="F676" s="436" t="s">
        <v>2573</v>
      </c>
      <c r="G676" s="436" t="s">
        <v>169</v>
      </c>
      <c r="H676" s="436" t="s">
        <v>160</v>
      </c>
      <c r="I676" s="436" t="s">
        <v>1963</v>
      </c>
      <c r="J676" s="436">
        <v>4365.15832</v>
      </c>
      <c r="K676" s="436"/>
      <c r="L676" s="438"/>
      <c r="M676" s="453"/>
      <c r="N676" s="422">
        <v>17.81</v>
      </c>
      <c r="O676" s="422">
        <v>10.196</v>
      </c>
      <c r="P676" s="422"/>
      <c r="Q676" s="436" t="s">
        <v>2183</v>
      </c>
      <c r="R676" s="436" t="s">
        <v>2184</v>
      </c>
      <c r="S676" s="436" t="s">
        <v>1964</v>
      </c>
      <c r="T676" s="419" t="s">
        <v>162</v>
      </c>
      <c r="U676" s="436" t="s">
        <v>2185</v>
      </c>
      <c r="V676" s="451"/>
      <c r="W676" s="458">
        <v>3.715352290971725</v>
      </c>
      <c r="X676" s="438"/>
      <c r="Y676" s="442">
        <f>IF((W676/((J676/5780)^4))^0.5&gt;0,(W676/((J676/5780)^4))^0.5,"")</f>
        <v>3.379525108</v>
      </c>
      <c r="Z676" s="442"/>
      <c r="AA676" s="443"/>
      <c r="AB676" s="443"/>
      <c r="AC676" s="436" t="str">
        <f>IF(ISNUMBER(VLOOKUP(B676,'New Masses'!A:C,3,FALSE)),VLOOKUP(B676,'New Masses'!A:C,3,FALSE),"")</f>
        <v/>
      </c>
      <c r="AD676" s="451"/>
      <c r="AE676" s="436"/>
      <c r="AF676" s="438"/>
      <c r="AG676" s="459">
        <f>10^AJ676</f>
        <v>0.9120108394</v>
      </c>
      <c r="AH676" s="436"/>
      <c r="AI676" s="446" t="str">
        <f>IF(ISNUMBER(VLOOKUP(B676,'New Masses'!A:C,2, FALSE)),VLOOKUP(B676,'New Masses'!A:C,2, FALSE),"")</f>
        <v/>
      </c>
      <c r="AJ676" s="436">
        <v>-0.04</v>
      </c>
      <c r="AK676" s="436"/>
      <c r="AL676" s="436"/>
      <c r="AM676" s="438"/>
      <c r="AN676" s="436">
        <v>1.0</v>
      </c>
      <c r="AO676" s="438"/>
      <c r="AP676" s="438"/>
      <c r="AQ676" s="438"/>
      <c r="AR676" s="438"/>
      <c r="AS676" s="420" t="str">
        <f>VLOOKUP(B676,natta06!A:F,6,FALSE)</f>
        <v>#REF!</v>
      </c>
      <c r="AT676" s="438"/>
      <c r="AU676" s="438"/>
      <c r="AV676" s="438"/>
      <c r="AW676" s="450"/>
    </row>
    <row r="677">
      <c r="A677" s="435" t="str">
        <f t="shared" ref="A677:C677" si="584">A142</f>
        <v>2MASS J04323034+1731406</v>
      </c>
      <c r="B677" s="485" t="str">
        <f t="shared" si="584"/>
        <v>GG Tau</v>
      </c>
      <c r="C677" s="486" t="str">
        <f t="shared" si="584"/>
        <v/>
      </c>
      <c r="D677" s="486"/>
      <c r="E677" s="486"/>
      <c r="F677" s="528"/>
      <c r="G677" s="486"/>
      <c r="H677" s="486" t="s">
        <v>5917</v>
      </c>
      <c r="I677" s="491"/>
      <c r="J677" s="491"/>
      <c r="K677" s="491"/>
      <c r="L677" s="491"/>
      <c r="M677" s="486"/>
      <c r="N677" s="422"/>
      <c r="O677" s="422"/>
      <c r="P677" s="422"/>
      <c r="Q677" s="486"/>
      <c r="R677" s="491"/>
      <c r="S677" s="491"/>
      <c r="T677" s="491"/>
      <c r="U677" s="491"/>
      <c r="V677" s="491"/>
      <c r="W677" s="493"/>
      <c r="X677" s="486"/>
      <c r="Y677" s="442"/>
      <c r="Z677" s="491"/>
      <c r="AA677" s="524" t="str">
        <f>AC142</f>
        <v/>
      </c>
      <c r="AB677" s="494"/>
      <c r="AC677" s="436"/>
      <c r="AD677" s="495"/>
      <c r="AE677" s="491"/>
      <c r="AF677" s="491"/>
      <c r="AG677" s="525" t="str">
        <f>AI142</f>
        <v/>
      </c>
      <c r="AH677" s="491"/>
      <c r="AI677" s="446"/>
      <c r="AJ677" s="491"/>
      <c r="AK677" s="500"/>
      <c r="AL677" s="436"/>
      <c r="AM677" s="438"/>
      <c r="AN677" s="531"/>
      <c r="AO677" s="491"/>
      <c r="AP677" s="438"/>
      <c r="AQ677" s="438"/>
      <c r="AR677" s="438"/>
      <c r="AS677" s="438"/>
      <c r="AT677" s="438"/>
      <c r="AU677" s="438"/>
      <c r="AV677" s="438"/>
      <c r="AW677" s="450" t="str">
        <f>AW142</f>
        <v/>
      </c>
    </row>
    <row r="678">
      <c r="A678" s="436" t="s">
        <v>1981</v>
      </c>
      <c r="B678" s="436" t="s">
        <v>1981</v>
      </c>
      <c r="C678" s="436"/>
      <c r="D678" s="436" t="s">
        <v>158</v>
      </c>
      <c r="E678" s="436"/>
      <c r="F678" s="436" t="s">
        <v>2574</v>
      </c>
      <c r="G678" s="436" t="s">
        <v>159</v>
      </c>
      <c r="H678" s="436" t="s">
        <v>160</v>
      </c>
      <c r="I678" s="436" t="s">
        <v>1963</v>
      </c>
      <c r="J678" s="436"/>
      <c r="K678" s="436"/>
      <c r="L678" s="438"/>
      <c r="M678" s="453"/>
      <c r="N678" s="422">
        <v>14.207</v>
      </c>
      <c r="O678" s="422">
        <v>10.107</v>
      </c>
      <c r="P678" s="422"/>
      <c r="Q678" s="436" t="s">
        <v>2183</v>
      </c>
      <c r="R678" s="436" t="s">
        <v>2184</v>
      </c>
      <c r="S678" s="436" t="s">
        <v>1964</v>
      </c>
      <c r="T678" s="419" t="s">
        <v>162</v>
      </c>
      <c r="U678" s="436" t="s">
        <v>2185</v>
      </c>
      <c r="V678" s="451"/>
      <c r="W678" s="458"/>
      <c r="X678" s="438"/>
      <c r="Y678" s="442"/>
      <c r="Z678" s="442"/>
      <c r="AA678" s="443"/>
      <c r="AB678" s="443"/>
      <c r="AC678" s="436" t="str">
        <f>IF(ISNUMBER(VLOOKUP(B678,'New Masses'!A:C,3,FALSE)),VLOOKUP(B678,'New Masses'!A:C,3,FALSE),"")</f>
        <v/>
      </c>
      <c r="AD678" s="440"/>
      <c r="AE678" s="436"/>
      <c r="AF678" s="438"/>
      <c r="AG678" s="459"/>
      <c r="AH678" s="436"/>
      <c r="AI678" s="446" t="str">
        <f>IF(ISNUMBER(VLOOKUP(B678,'New Masses'!A:C,2, FALSE)),VLOOKUP(B678,'New Masses'!A:C,2, FALSE),"")</f>
        <v/>
      </c>
      <c r="AJ678" s="436"/>
      <c r="AK678" s="436"/>
      <c r="AL678" s="436"/>
      <c r="AM678" s="438"/>
      <c r="AN678" s="436">
        <v>1.0</v>
      </c>
      <c r="AO678" s="438"/>
      <c r="AP678" s="436"/>
      <c r="AQ678" s="438"/>
      <c r="AR678" s="438"/>
      <c r="AS678" s="420" t="str">
        <f>VLOOKUP(B678,natta06!A:F,6,FALSE)</f>
        <v>#REF!</v>
      </c>
      <c r="AT678" s="438"/>
      <c r="AU678" s="438"/>
      <c r="AV678" s="438"/>
      <c r="AW678" s="450"/>
    </row>
    <row r="679">
      <c r="A679" s="435" t="str">
        <f t="shared" ref="A679:C679" si="585">A144</f>
        <v>2MASS J04330781+2616066</v>
      </c>
      <c r="B679" s="485" t="str">
        <f t="shared" si="585"/>
        <v>KPNO 14</v>
      </c>
      <c r="C679" s="486" t="str">
        <f t="shared" si="585"/>
        <v/>
      </c>
      <c r="D679" s="486"/>
      <c r="E679" s="486"/>
      <c r="F679" s="528"/>
      <c r="G679" s="486"/>
      <c r="H679" s="486" t="s">
        <v>5917</v>
      </c>
      <c r="I679" s="491"/>
      <c r="J679" s="491"/>
      <c r="K679" s="491"/>
      <c r="L679" s="491"/>
      <c r="M679" s="486"/>
      <c r="N679" s="422"/>
      <c r="O679" s="422"/>
      <c r="P679" s="422"/>
      <c r="Q679" s="486"/>
      <c r="R679" s="491"/>
      <c r="S679" s="491"/>
      <c r="T679" s="491"/>
      <c r="U679" s="491"/>
      <c r="V679" s="491"/>
      <c r="W679" s="493"/>
      <c r="X679" s="486"/>
      <c r="Y679" s="442"/>
      <c r="Z679" s="491"/>
      <c r="AA679" s="524" t="str">
        <f>AC144</f>
        <v/>
      </c>
      <c r="AB679" s="494"/>
      <c r="AC679" s="436"/>
      <c r="AD679" s="495"/>
      <c r="AE679" s="491"/>
      <c r="AF679" s="491"/>
      <c r="AG679" s="525" t="str">
        <f>AI144</f>
        <v/>
      </c>
      <c r="AH679" s="491"/>
      <c r="AI679" s="446"/>
      <c r="AJ679" s="491"/>
      <c r="AK679" s="500"/>
      <c r="AL679" s="436"/>
      <c r="AM679" s="438"/>
      <c r="AN679" s="531"/>
      <c r="AO679" s="491"/>
      <c r="AP679" s="438"/>
      <c r="AQ679" s="438"/>
      <c r="AR679" s="438"/>
      <c r="AS679" s="438"/>
      <c r="AT679" s="438"/>
      <c r="AU679" s="438"/>
      <c r="AV679" s="438"/>
      <c r="AW679" s="450">
        <f>AW144</f>
        <v>152.2510315</v>
      </c>
    </row>
    <row r="680">
      <c r="A680" s="436" t="s">
        <v>1982</v>
      </c>
      <c r="B680" s="436" t="s">
        <v>1982</v>
      </c>
      <c r="C680" s="436"/>
      <c r="D680" s="436" t="s">
        <v>158</v>
      </c>
      <c r="E680" s="436"/>
      <c r="F680" s="436" t="s">
        <v>2575</v>
      </c>
      <c r="G680" s="436" t="s">
        <v>159</v>
      </c>
      <c r="H680" s="436" t="s">
        <v>160</v>
      </c>
      <c r="I680" s="436" t="s">
        <v>1963</v>
      </c>
      <c r="J680" s="436">
        <v>6165.95002</v>
      </c>
      <c r="K680" s="436"/>
      <c r="L680" s="438"/>
      <c r="M680" s="453"/>
      <c r="N680" s="422">
        <v>21.1</v>
      </c>
      <c r="O680" s="422">
        <v>11.057</v>
      </c>
      <c r="P680" s="422"/>
      <c r="Q680" s="436" t="s">
        <v>2183</v>
      </c>
      <c r="R680" s="436" t="s">
        <v>2184</v>
      </c>
      <c r="S680" s="436" t="s">
        <v>1964</v>
      </c>
      <c r="T680" s="419" t="s">
        <v>162</v>
      </c>
      <c r="U680" s="436" t="s">
        <v>2185</v>
      </c>
      <c r="V680" s="451"/>
      <c r="W680" s="458">
        <v>51.28613839913648</v>
      </c>
      <c r="X680" s="438"/>
      <c r="Y680" s="442">
        <f>IF((W680/((J680/5780)^4))^0.5&gt;0,(W680/((J680/5780)^4))^0.5,"")</f>
        <v>6.292970221</v>
      </c>
      <c r="Z680" s="442"/>
      <c r="AA680" s="443"/>
      <c r="AB680" s="443"/>
      <c r="AC680" s="436" t="str">
        <f>IF(ISNUMBER(VLOOKUP(B680,'New Masses'!A:C,3,FALSE)),VLOOKUP(B680,'New Masses'!A:C,3,FALSE),"")</f>
        <v/>
      </c>
      <c r="AD680" s="440"/>
      <c r="AE680" s="436"/>
      <c r="AF680" s="438"/>
      <c r="AG680" s="459">
        <f>10^AJ680</f>
        <v>4.365158322</v>
      </c>
      <c r="AH680" s="436"/>
      <c r="AI680" s="446" t="str">
        <f>IF(ISNUMBER(VLOOKUP(B680,'New Masses'!A:C,2, FALSE)),VLOOKUP(B680,'New Masses'!A:C,2, FALSE),"")</f>
        <v/>
      </c>
      <c r="AJ680" s="436">
        <v>0.64</v>
      </c>
      <c r="AK680" s="436"/>
      <c r="AL680" s="436"/>
      <c r="AM680" s="438"/>
      <c r="AN680" s="436">
        <v>1.0</v>
      </c>
      <c r="AO680" s="438"/>
      <c r="AP680" s="436"/>
      <c r="AQ680" s="438"/>
      <c r="AR680" s="438"/>
      <c r="AS680" s="420" t="str">
        <f>VLOOKUP(B680,natta06!A:F,6,FALSE)</f>
        <v>#REF!</v>
      </c>
      <c r="AT680" s="438"/>
      <c r="AU680" s="438"/>
      <c r="AV680" s="438"/>
      <c r="AW680" s="450"/>
    </row>
    <row r="681">
      <c r="A681" s="435" t="str">
        <f t="shared" ref="A681:C681" si="586">A146</f>
        <v>2MASS J04333405+2421170</v>
      </c>
      <c r="B681" s="485" t="str">
        <f t="shared" si="586"/>
        <v>GI Tau</v>
      </c>
      <c r="C681" s="486" t="str">
        <f t="shared" si="586"/>
        <v/>
      </c>
      <c r="D681" s="486"/>
      <c r="E681" s="486"/>
      <c r="F681" s="528"/>
      <c r="G681" s="486"/>
      <c r="H681" s="486" t="s">
        <v>5917</v>
      </c>
      <c r="I681" s="491"/>
      <c r="J681" s="491"/>
      <c r="K681" s="491"/>
      <c r="L681" s="491"/>
      <c r="M681" s="486"/>
      <c r="N681" s="422"/>
      <c r="O681" s="422"/>
      <c r="P681" s="422"/>
      <c r="Q681" s="486"/>
      <c r="R681" s="491"/>
      <c r="S681" s="491"/>
      <c r="T681" s="491"/>
      <c r="U681" s="491"/>
      <c r="V681" s="491"/>
      <c r="W681" s="493"/>
      <c r="X681" s="486"/>
      <c r="Y681" s="442"/>
      <c r="Z681" s="491"/>
      <c r="AA681" s="524" t="str">
        <f>AC146</f>
        <v/>
      </c>
      <c r="AB681" s="494"/>
      <c r="AC681" s="436"/>
      <c r="AD681" s="495"/>
      <c r="AE681" s="491"/>
      <c r="AF681" s="491"/>
      <c r="AG681" s="525" t="str">
        <f>AI146</f>
        <v/>
      </c>
      <c r="AH681" s="491"/>
      <c r="AI681" s="446"/>
      <c r="AJ681" s="491"/>
      <c r="AK681" s="500"/>
      <c r="AL681" s="436"/>
      <c r="AM681" s="438"/>
      <c r="AN681" s="531"/>
      <c r="AO681" s="491"/>
      <c r="AP681" s="438"/>
      <c r="AQ681" s="438"/>
      <c r="AR681" s="438"/>
      <c r="AS681" s="438"/>
      <c r="AT681" s="438"/>
      <c r="AU681" s="438"/>
      <c r="AV681" s="438"/>
      <c r="AW681" s="450">
        <f>AW146</f>
        <v>130.5040065</v>
      </c>
    </row>
    <row r="682">
      <c r="A682" s="436" t="s">
        <v>1333</v>
      </c>
      <c r="B682" s="436" t="s">
        <v>1333</v>
      </c>
      <c r="C682" s="419"/>
      <c r="D682" s="436" t="s">
        <v>158</v>
      </c>
      <c r="E682" s="436"/>
      <c r="F682" s="436" t="s">
        <v>2576</v>
      </c>
      <c r="G682" s="436" t="s">
        <v>169</v>
      </c>
      <c r="H682" s="436" t="s">
        <v>1309</v>
      </c>
      <c r="I682" s="436" t="s">
        <v>2409</v>
      </c>
      <c r="J682" s="436">
        <v>3850.0</v>
      </c>
      <c r="K682" s="436"/>
      <c r="L682" s="436" t="s">
        <v>427</v>
      </c>
      <c r="M682" s="457">
        <v>2.0</v>
      </c>
      <c r="N682" s="422">
        <v>15.616</v>
      </c>
      <c r="O682" s="422">
        <v>11.486</v>
      </c>
      <c r="P682" s="422"/>
      <c r="Q682" s="436" t="s">
        <v>2410</v>
      </c>
      <c r="R682" s="436" t="s">
        <v>2411</v>
      </c>
      <c r="S682" s="436" t="s">
        <v>2412</v>
      </c>
      <c r="T682" s="436" t="s">
        <v>596</v>
      </c>
      <c r="U682" s="436" t="s">
        <v>2413</v>
      </c>
      <c r="V682" s="440"/>
      <c r="W682" s="441">
        <v>0.07</v>
      </c>
      <c r="X682" s="454"/>
      <c r="Y682" s="442">
        <f t="shared" ref="Y682:Y684" si="587">IF((W682/((J682/5780)^4))^0.5&gt;0,(W682/((J682/5780)^4))^0.5,"")</f>
        <v>0.5963253034</v>
      </c>
      <c r="Z682" s="442"/>
      <c r="AA682" s="443"/>
      <c r="AB682" s="443"/>
      <c r="AC682" s="436" t="str">
        <f>IF(ISNUMBER(VLOOKUP(B682,'New Masses'!A:C,3,FALSE)),VLOOKUP(B682,'New Masses'!A:C,3,FALSE),"")</f>
        <v/>
      </c>
      <c r="AD682" s="451">
        <f t="shared" ref="AD682:AD683" si="588">10^(AE682)</f>
        <v>0</v>
      </c>
      <c r="AE682" s="436">
        <v>-10.81</v>
      </c>
      <c r="AF682" s="438"/>
      <c r="AG682" s="459">
        <v>0.6</v>
      </c>
      <c r="AH682" s="436"/>
      <c r="AI682" s="446" t="str">
        <f>IF(ISNUMBER(VLOOKUP(B682,'New Masses'!A:C,2, FALSE)),VLOOKUP(B682,'New Masses'!A:C,2, FALSE),"")</f>
        <v/>
      </c>
      <c r="AJ682" s="436">
        <f t="shared" ref="AJ682:AJ683" si="589">LOG10(AG682)</f>
        <v>-0.2218487496</v>
      </c>
      <c r="AK682" s="438"/>
      <c r="AL682" s="438"/>
      <c r="AM682" s="436" t="s">
        <v>2407</v>
      </c>
      <c r="AN682" s="436">
        <v>1.0</v>
      </c>
      <c r="AO682" s="438"/>
      <c r="AP682" s="438"/>
      <c r="AQ682" s="438"/>
      <c r="AR682" s="438"/>
      <c r="AS682" s="438"/>
      <c r="AT682" s="438"/>
      <c r="AU682" s="438"/>
      <c r="AV682" s="438"/>
      <c r="AW682" s="450"/>
    </row>
    <row r="683">
      <c r="A683" s="436" t="s">
        <v>1333</v>
      </c>
      <c r="B683" s="436" t="s">
        <v>1333</v>
      </c>
      <c r="C683" s="419"/>
      <c r="D683" s="436" t="s">
        <v>158</v>
      </c>
      <c r="E683" s="436"/>
      <c r="F683" s="436" t="s">
        <v>2576</v>
      </c>
      <c r="G683" s="436" t="s">
        <v>169</v>
      </c>
      <c r="H683" s="436" t="s">
        <v>754</v>
      </c>
      <c r="I683" s="436">
        <v>2010.0</v>
      </c>
      <c r="J683" s="436">
        <v>3560.0</v>
      </c>
      <c r="K683" s="436">
        <v>110.0</v>
      </c>
      <c r="L683" s="436" t="s">
        <v>415</v>
      </c>
      <c r="M683" s="439"/>
      <c r="N683" s="422">
        <v>15.616</v>
      </c>
      <c r="O683" s="422">
        <v>11.486</v>
      </c>
      <c r="P683" s="422"/>
      <c r="Q683" s="436" t="s">
        <v>2417</v>
      </c>
      <c r="R683" s="436" t="s">
        <v>2577</v>
      </c>
      <c r="S683" s="436" t="s">
        <v>2419</v>
      </c>
      <c r="T683" s="419" t="s">
        <v>162</v>
      </c>
      <c r="U683" s="436" t="s">
        <v>1754</v>
      </c>
      <c r="V683" s="440"/>
      <c r="W683" s="474">
        <v>0.145</v>
      </c>
      <c r="X683" s="436"/>
      <c r="Y683" s="442">
        <f t="shared" si="587"/>
        <v>1.003782644</v>
      </c>
      <c r="Z683" s="469"/>
      <c r="AA683" s="470">
        <v>1.0</v>
      </c>
      <c r="AB683" s="470">
        <v>0.14</v>
      </c>
      <c r="AC683" s="436" t="str">
        <f>IF(ISNUMBER(VLOOKUP(B683,'New Masses'!A:C,3,FALSE)),VLOOKUP(B683,'New Masses'!A:C,3,FALSE),"")</f>
        <v/>
      </c>
      <c r="AD683" s="451">
        <f t="shared" si="588"/>
        <v>0.0000000002041737945</v>
      </c>
      <c r="AE683" s="436">
        <v>-9.69</v>
      </c>
      <c r="AF683" s="438"/>
      <c r="AG683" s="459">
        <v>0.51</v>
      </c>
      <c r="AH683" s="436">
        <v>0.1</v>
      </c>
      <c r="AI683" s="446" t="str">
        <f>IF(ISNUMBER(VLOOKUP(B683,'New Masses'!A:C,2, FALSE)),VLOOKUP(B683,'New Masses'!A:C,2, FALSE),"")</f>
        <v/>
      </c>
      <c r="AJ683" s="436">
        <f t="shared" si="589"/>
        <v>-0.2924298239</v>
      </c>
      <c r="AK683" s="436"/>
      <c r="AL683" s="436">
        <v>-2.58</v>
      </c>
      <c r="AM683" s="438"/>
      <c r="AN683" s="436">
        <v>1.0</v>
      </c>
      <c r="AO683" s="438"/>
      <c r="AP683" s="438"/>
      <c r="AQ683" s="438"/>
      <c r="AR683" s="438"/>
      <c r="AS683" s="438"/>
      <c r="AT683" s="438"/>
      <c r="AU683" s="438"/>
      <c r="AV683" s="438"/>
      <c r="AW683" s="450"/>
    </row>
    <row r="684">
      <c r="A684" s="436" t="s">
        <v>1333</v>
      </c>
      <c r="B684" s="436" t="s">
        <v>1333</v>
      </c>
      <c r="C684" s="419"/>
      <c r="D684" s="436" t="s">
        <v>158</v>
      </c>
      <c r="E684" s="436"/>
      <c r="F684" s="436" t="s">
        <v>2576</v>
      </c>
      <c r="G684" s="436" t="s">
        <v>169</v>
      </c>
      <c r="H684" s="436" t="s">
        <v>160</v>
      </c>
      <c r="I684" s="436" t="s">
        <v>1963</v>
      </c>
      <c r="J684" s="436">
        <v>2818.38293</v>
      </c>
      <c r="K684" s="436"/>
      <c r="L684" s="438"/>
      <c r="M684" s="453"/>
      <c r="N684" s="422">
        <v>15.616</v>
      </c>
      <c r="O684" s="422">
        <v>11.486</v>
      </c>
      <c r="P684" s="422"/>
      <c r="Q684" s="436" t="s">
        <v>2183</v>
      </c>
      <c r="R684" s="436" t="s">
        <v>2184</v>
      </c>
      <c r="S684" s="436" t="s">
        <v>1964</v>
      </c>
      <c r="T684" s="419" t="s">
        <v>162</v>
      </c>
      <c r="U684" s="436" t="s">
        <v>2185</v>
      </c>
      <c r="V684" s="451">
        <v>4.40776E28</v>
      </c>
      <c r="W684" s="458">
        <v>0.06918309709189366</v>
      </c>
      <c r="X684" s="438"/>
      <c r="Y684" s="442">
        <f t="shared" si="587"/>
        <v>1.106256097</v>
      </c>
      <c r="Z684" s="442"/>
      <c r="AA684" s="443"/>
      <c r="AB684" s="443"/>
      <c r="AC684" s="436" t="str">
        <f>IF(ISNUMBER(VLOOKUP(B684,'New Masses'!A:C,3,FALSE)),VLOOKUP(B684,'New Masses'!A:C,3,FALSE),"")</f>
        <v/>
      </c>
      <c r="AD684" s="440">
        <f>10^AE684</f>
        <v>0.0000000007244359601</v>
      </c>
      <c r="AE684" s="436">
        <v>-9.14</v>
      </c>
      <c r="AF684" s="438"/>
      <c r="AG684" s="459">
        <f>10^AJ684</f>
        <v>0.08317637711</v>
      </c>
      <c r="AH684" s="436"/>
      <c r="AI684" s="446" t="str">
        <f>IF(ISNUMBER(VLOOKUP(B684,'New Masses'!A:C,2, FALSE)),VLOOKUP(B684,'New Masses'!A:C,2, FALSE),"")</f>
        <v/>
      </c>
      <c r="AJ684" s="436">
        <v>-1.08</v>
      </c>
      <c r="AK684" s="436"/>
      <c r="AL684" s="436">
        <v>-2.71</v>
      </c>
      <c r="AM684" s="438"/>
      <c r="AN684" s="436">
        <v>1.0</v>
      </c>
      <c r="AO684" s="438"/>
      <c r="AP684" s="438"/>
      <c r="AQ684" s="438"/>
      <c r="AR684" s="436"/>
      <c r="AS684" s="420" t="str">
        <f>VLOOKUP(B684,natta06!A:F,6,FALSE)</f>
        <v>#REF!</v>
      </c>
      <c r="AT684" s="438"/>
      <c r="AU684" s="438"/>
      <c r="AV684" s="438" t="s">
        <v>2206</v>
      </c>
      <c r="AW684" s="450"/>
    </row>
    <row r="685">
      <c r="A685" s="435" t="str">
        <f t="shared" ref="A685:C685" si="590">A150</f>
        <v>2MASS J04333935+1751523</v>
      </c>
      <c r="B685" s="485" t="str">
        <f t="shared" si="590"/>
        <v>HN Tau</v>
      </c>
      <c r="C685" s="486" t="str">
        <f t="shared" si="590"/>
        <v/>
      </c>
      <c r="D685" s="486"/>
      <c r="E685" s="486"/>
      <c r="F685" s="528"/>
      <c r="G685" s="486"/>
      <c r="H685" s="486" t="s">
        <v>5917</v>
      </c>
      <c r="I685" s="491"/>
      <c r="J685" s="491"/>
      <c r="K685" s="491"/>
      <c r="L685" s="491"/>
      <c r="M685" s="486"/>
      <c r="N685" s="422"/>
      <c r="O685" s="422"/>
      <c r="P685" s="422"/>
      <c r="Q685" s="486"/>
      <c r="R685" s="491"/>
      <c r="S685" s="491"/>
      <c r="T685" s="491"/>
      <c r="U685" s="491"/>
      <c r="V685" s="491"/>
      <c r="W685" s="493"/>
      <c r="X685" s="486"/>
      <c r="Y685" s="442"/>
      <c r="Z685" s="491"/>
      <c r="AA685" s="524" t="str">
        <f t="shared" ref="AA685:AA687" si="592">AC150</f>
        <v/>
      </c>
      <c r="AB685" s="494"/>
      <c r="AC685" s="436"/>
      <c r="AD685" s="495"/>
      <c r="AE685" s="491"/>
      <c r="AF685" s="491"/>
      <c r="AG685" s="525" t="str">
        <f t="shared" ref="AG685:AG687" si="593">AI150</f>
        <v/>
      </c>
      <c r="AH685" s="491"/>
      <c r="AI685" s="446"/>
      <c r="AJ685" s="491"/>
      <c r="AK685" s="500"/>
      <c r="AL685" s="436"/>
      <c r="AM685" s="438"/>
      <c r="AN685" s="531"/>
      <c r="AO685" s="491"/>
      <c r="AP685" s="438"/>
      <c r="AQ685" s="438"/>
      <c r="AR685" s="438"/>
      <c r="AS685" s="438"/>
      <c r="AT685" s="438"/>
      <c r="AU685" s="438"/>
      <c r="AV685" s="438"/>
      <c r="AW685" s="450">
        <f t="shared" ref="AW685:AW687" si="594">AW150</f>
        <v>136.5747064</v>
      </c>
    </row>
    <row r="686">
      <c r="A686" s="435" t="str">
        <f t="shared" ref="A686:C686" si="591">A151</f>
        <v>#REF!</v>
      </c>
      <c r="B686" s="485" t="str">
        <f t="shared" si="591"/>
        <v>#REF!</v>
      </c>
      <c r="C686" s="486" t="str">
        <f t="shared" si="591"/>
        <v>#REF!</v>
      </c>
      <c r="D686" s="486"/>
      <c r="E686" s="486"/>
      <c r="F686" s="528"/>
      <c r="G686" s="486"/>
      <c r="H686" s="486" t="s">
        <v>5917</v>
      </c>
      <c r="I686" s="491"/>
      <c r="J686" s="491"/>
      <c r="K686" s="491"/>
      <c r="L686" s="491"/>
      <c r="M686" s="486"/>
      <c r="N686" s="422"/>
      <c r="O686" s="422"/>
      <c r="P686" s="422"/>
      <c r="Q686" s="486"/>
      <c r="R686" s="491"/>
      <c r="S686" s="491"/>
      <c r="T686" s="491"/>
      <c r="U686" s="491"/>
      <c r="V686" s="491"/>
      <c r="W686" s="493"/>
      <c r="X686" s="486"/>
      <c r="Y686" s="442"/>
      <c r="Z686" s="491"/>
      <c r="AA686" s="524" t="str">
        <f t="shared" si="592"/>
        <v/>
      </c>
      <c r="AB686" s="494"/>
      <c r="AC686" s="436"/>
      <c r="AD686" s="495"/>
      <c r="AE686" s="491"/>
      <c r="AF686" s="491"/>
      <c r="AG686" s="525" t="str">
        <f t="shared" si="593"/>
        <v/>
      </c>
      <c r="AH686" s="491"/>
      <c r="AI686" s="446"/>
      <c r="AJ686" s="491"/>
      <c r="AK686" s="500"/>
      <c r="AL686" s="436"/>
      <c r="AM686" s="438"/>
      <c r="AN686" s="531"/>
      <c r="AO686" s="491"/>
      <c r="AP686" s="438"/>
      <c r="AQ686" s="438"/>
      <c r="AR686" s="438"/>
      <c r="AS686" s="438"/>
      <c r="AT686" s="438"/>
      <c r="AU686" s="438"/>
      <c r="AV686" s="438"/>
      <c r="AW686" s="450" t="str">
        <f t="shared" si="594"/>
        <v>#REF!</v>
      </c>
    </row>
    <row r="687">
      <c r="A687" s="435" t="str">
        <f t="shared" ref="A687:C687" si="595">A152</f>
        <v>2MASS J04363893+2258119</v>
      </c>
      <c r="B687" s="485" t="str">
        <f t="shared" si="595"/>
        <v>CFHT 3</v>
      </c>
      <c r="C687" s="486" t="str">
        <f t="shared" si="595"/>
        <v/>
      </c>
      <c r="D687" s="486"/>
      <c r="E687" s="486"/>
      <c r="F687" s="528"/>
      <c r="G687" s="486"/>
      <c r="H687" s="486" t="s">
        <v>5917</v>
      </c>
      <c r="I687" s="491"/>
      <c r="J687" s="491"/>
      <c r="K687" s="491"/>
      <c r="L687" s="491"/>
      <c r="M687" s="486"/>
      <c r="N687" s="422"/>
      <c r="O687" s="422"/>
      <c r="P687" s="422"/>
      <c r="Q687" s="486"/>
      <c r="R687" s="491"/>
      <c r="S687" s="491"/>
      <c r="T687" s="491"/>
      <c r="U687" s="491"/>
      <c r="V687" s="491"/>
      <c r="W687" s="493"/>
      <c r="X687" s="486"/>
      <c r="Y687" s="442"/>
      <c r="Z687" s="491"/>
      <c r="AA687" s="619">
        <f t="shared" si="592"/>
        <v>0.446101</v>
      </c>
      <c r="AB687" s="494"/>
      <c r="AC687" s="436"/>
      <c r="AD687" s="495"/>
      <c r="AE687" s="491"/>
      <c r="AF687" s="491"/>
      <c r="AG687" s="525">
        <f t="shared" si="593"/>
        <v>0.028161</v>
      </c>
      <c r="AH687" s="491"/>
      <c r="AI687" s="446"/>
      <c r="AJ687" s="491"/>
      <c r="AK687" s="500"/>
      <c r="AL687" s="436"/>
      <c r="AM687" s="438"/>
      <c r="AN687" s="531"/>
      <c r="AO687" s="491"/>
      <c r="AP687" s="438"/>
      <c r="AQ687" s="438"/>
      <c r="AR687" s="438"/>
      <c r="AS687" s="438"/>
      <c r="AT687" s="438"/>
      <c r="AU687" s="438"/>
      <c r="AV687" s="438"/>
      <c r="AW687" s="450">
        <f t="shared" si="594"/>
        <v>183.908046</v>
      </c>
    </row>
    <row r="688">
      <c r="A688" s="436" t="s">
        <v>1426</v>
      </c>
      <c r="B688" s="436" t="s">
        <v>1426</v>
      </c>
      <c r="C688" s="436"/>
      <c r="D688" s="436" t="s">
        <v>158</v>
      </c>
      <c r="E688" s="436"/>
      <c r="F688" s="436" t="s">
        <v>2578</v>
      </c>
      <c r="G688" s="436" t="s">
        <v>169</v>
      </c>
      <c r="H688" s="436" t="s">
        <v>160</v>
      </c>
      <c r="I688" s="436" t="s">
        <v>1963</v>
      </c>
      <c r="J688" s="436">
        <v>3801.89396</v>
      </c>
      <c r="K688" s="436"/>
      <c r="L688" s="438"/>
      <c r="M688" s="453"/>
      <c r="N688" s="422">
        <v>12.256</v>
      </c>
      <c r="O688" s="422">
        <v>9.287</v>
      </c>
      <c r="P688" s="422"/>
      <c r="Q688" s="436" t="s">
        <v>2183</v>
      </c>
      <c r="R688" s="436" t="s">
        <v>2184</v>
      </c>
      <c r="S688" s="436" t="s">
        <v>1964</v>
      </c>
      <c r="T688" s="419" t="s">
        <v>162</v>
      </c>
      <c r="U688" s="436" t="s">
        <v>2185</v>
      </c>
      <c r="V688" s="451">
        <v>2.5364E29</v>
      </c>
      <c r="W688" s="458">
        <v>1.4125375446227544</v>
      </c>
      <c r="X688" s="438"/>
      <c r="Y688" s="442">
        <f>IF((W688/((J688/5780)^4))^0.5&gt;0,(W688/((J688/5780)^4))^0.5,"")</f>
        <v>2.746981139</v>
      </c>
      <c r="Z688" s="442"/>
      <c r="AA688" s="443"/>
      <c r="AB688" s="443"/>
      <c r="AC688" s="436" t="str">
        <f>IF(ISNUMBER(VLOOKUP(B688,'New Masses'!A:C,3,FALSE)),VLOOKUP(B688,'New Masses'!A:C,3,FALSE),"")</f>
        <v/>
      </c>
      <c r="AD688" s="440">
        <f>10^AE688</f>
        <v>0.000000003090295433</v>
      </c>
      <c r="AE688" s="436">
        <v>-8.51</v>
      </c>
      <c r="AF688" s="438"/>
      <c r="AG688" s="459">
        <f>10^AJ688</f>
        <v>0.5011872336</v>
      </c>
      <c r="AH688" s="436"/>
      <c r="AI688" s="446" t="str">
        <f>IF(ISNUMBER(VLOOKUP(B688,'New Masses'!A:C,2, FALSE)),VLOOKUP(B688,'New Masses'!A:C,2, FALSE),"")</f>
        <v/>
      </c>
      <c r="AJ688" s="436">
        <v>-0.3</v>
      </c>
      <c r="AK688" s="436"/>
      <c r="AL688" s="436">
        <v>-1.68</v>
      </c>
      <c r="AM688" s="438"/>
      <c r="AN688" s="436">
        <v>1.0</v>
      </c>
      <c r="AO688" s="438"/>
      <c r="AP688" s="436"/>
      <c r="AQ688" s="438"/>
      <c r="AR688" s="438"/>
      <c r="AS688" s="420" t="str">
        <f>VLOOKUP(B688,natta06!A:F,6,FALSE)</f>
        <v>#REF!</v>
      </c>
      <c r="AT688" s="438" t="s">
        <v>5916</v>
      </c>
      <c r="AU688" s="438"/>
      <c r="AV688" s="438"/>
      <c r="AW688" s="450">
        <v>136.59149581347</v>
      </c>
    </row>
    <row r="689">
      <c r="A689" s="435" t="str">
        <f t="shared" ref="A689:C689" si="596">A154</f>
        <v>2MASS J04381486+2611399</v>
      </c>
      <c r="B689" s="485" t="str">
        <f t="shared" si="596"/>
        <v>2MASS J04381486+2611399</v>
      </c>
      <c r="C689" s="486" t="str">
        <f t="shared" si="596"/>
        <v/>
      </c>
      <c r="D689" s="486"/>
      <c r="E689" s="486"/>
      <c r="F689" s="528"/>
      <c r="G689" s="486"/>
      <c r="H689" s="486" t="s">
        <v>5917</v>
      </c>
      <c r="I689" s="491"/>
      <c r="J689" s="491"/>
      <c r="K689" s="491"/>
      <c r="L689" s="491"/>
      <c r="M689" s="486"/>
      <c r="N689" s="422"/>
      <c r="O689" s="422"/>
      <c r="P689" s="422"/>
      <c r="Q689" s="486"/>
      <c r="R689" s="491"/>
      <c r="S689" s="491"/>
      <c r="T689" s="491"/>
      <c r="U689" s="491"/>
      <c r="V689" s="491"/>
      <c r="W689" s="493"/>
      <c r="X689" s="486"/>
      <c r="Y689" s="442"/>
      <c r="Z689" s="491"/>
      <c r="AA689" s="619">
        <f>AC154</f>
        <v>0.502954</v>
      </c>
      <c r="AB689" s="494"/>
      <c r="AC689" s="436"/>
      <c r="AD689" s="495"/>
      <c r="AE689" s="491"/>
      <c r="AF689" s="491"/>
      <c r="AG689" s="525">
        <f>AI154</f>
        <v>0.035005</v>
      </c>
      <c r="AH689" s="491"/>
      <c r="AI689" s="446"/>
      <c r="AJ689" s="491"/>
      <c r="AK689" s="500"/>
      <c r="AL689" s="436"/>
      <c r="AM689" s="438"/>
      <c r="AN689" s="531"/>
      <c r="AO689" s="491"/>
      <c r="AP689" s="438"/>
      <c r="AQ689" s="438"/>
      <c r="AR689" s="438"/>
      <c r="AS689" s="438"/>
      <c r="AT689" s="438"/>
      <c r="AU689" s="438"/>
      <c r="AV689" s="438"/>
      <c r="AW689" s="450">
        <f>AW154</f>
        <v>145.4101293</v>
      </c>
    </row>
    <row r="690">
      <c r="A690" s="436" t="s">
        <v>1372</v>
      </c>
      <c r="B690" s="436" t="s">
        <v>1372</v>
      </c>
      <c r="C690" s="419"/>
      <c r="D690" s="436" t="s">
        <v>158</v>
      </c>
      <c r="E690" s="436"/>
      <c r="F690" s="436" t="s">
        <v>2579</v>
      </c>
      <c r="G690" s="436" t="s">
        <v>169</v>
      </c>
      <c r="H690" s="436" t="s">
        <v>1309</v>
      </c>
      <c r="I690" s="436" t="s">
        <v>2409</v>
      </c>
      <c r="J690" s="436">
        <v>3950.0</v>
      </c>
      <c r="K690" s="436"/>
      <c r="L690" s="436" t="s">
        <v>1441</v>
      </c>
      <c r="M690" s="439"/>
      <c r="N690" s="422">
        <v>13.325</v>
      </c>
      <c r="O690" s="422">
        <v>9.978</v>
      </c>
      <c r="P690" s="422"/>
      <c r="Q690" s="436" t="s">
        <v>2410</v>
      </c>
      <c r="R690" s="436" t="s">
        <v>2565</v>
      </c>
      <c r="S690" s="436" t="s">
        <v>2412</v>
      </c>
      <c r="T690" s="436" t="s">
        <v>596</v>
      </c>
      <c r="U690" s="436" t="s">
        <v>2413</v>
      </c>
      <c r="V690" s="440"/>
      <c r="W690" s="474">
        <v>0.35</v>
      </c>
      <c r="X690" s="419"/>
      <c r="Y690" s="442">
        <f t="shared" ref="Y690:Y692" si="597">IF((W690/((J690/5780)^4))^0.5&gt;0,(W690/((J690/5780)^4))^0.5,"")</f>
        <v>1.266763402</v>
      </c>
      <c r="Z690" s="469"/>
      <c r="AA690" s="470"/>
      <c r="AB690" s="470"/>
      <c r="AC690" s="436" t="str">
        <f>IF(ISNUMBER(VLOOKUP(B690,'New Masses'!A:C,3,FALSE)),VLOOKUP(B690,'New Masses'!A:C,3,FALSE),"")</f>
        <v/>
      </c>
      <c r="AD690" s="451">
        <f t="shared" ref="AD690:AD691" si="598">10^(AE690)</f>
        <v>0.000000002344228815</v>
      </c>
      <c r="AE690" s="436">
        <v>-8.63</v>
      </c>
      <c r="AF690" s="438"/>
      <c r="AG690" s="459">
        <v>0.6</v>
      </c>
      <c r="AH690" s="436"/>
      <c r="AI690" s="446" t="str">
        <f>IF(ISNUMBER(VLOOKUP(B690,'New Masses'!A:C,2, FALSE)),VLOOKUP(B690,'New Masses'!A:C,2, FALSE),"")</f>
        <v/>
      </c>
      <c r="AJ690" s="436">
        <f t="shared" ref="AJ690:AJ691" si="599">LOG10(AG690)</f>
        <v>-0.2218487496</v>
      </c>
      <c r="AK690" s="438"/>
      <c r="AL690" s="438"/>
      <c r="AM690" s="436" t="s">
        <v>2407</v>
      </c>
      <c r="AN690" s="436">
        <v>1.0</v>
      </c>
      <c r="AO690" s="438"/>
      <c r="AP690" s="438"/>
      <c r="AQ690" s="438"/>
      <c r="AR690" s="438"/>
      <c r="AS690" s="438"/>
      <c r="AT690" s="438"/>
      <c r="AU690" s="438"/>
      <c r="AV690" s="438"/>
      <c r="AW690" s="450">
        <v>145.450314172678</v>
      </c>
    </row>
    <row r="691">
      <c r="A691" s="436" t="s">
        <v>1372</v>
      </c>
      <c r="B691" s="436" t="s">
        <v>1372</v>
      </c>
      <c r="C691" s="419"/>
      <c r="D691" s="436" t="s">
        <v>158</v>
      </c>
      <c r="E691" s="436"/>
      <c r="F691" s="436" t="s">
        <v>2579</v>
      </c>
      <c r="G691" s="436" t="s">
        <v>169</v>
      </c>
      <c r="H691" s="436" t="s">
        <v>754</v>
      </c>
      <c r="I691" s="436">
        <v>2010.0</v>
      </c>
      <c r="J691" s="436">
        <v>3340.0</v>
      </c>
      <c r="K691" s="436">
        <v>50.0</v>
      </c>
      <c r="L691" s="436" t="s">
        <v>422</v>
      </c>
      <c r="M691" s="439"/>
      <c r="N691" s="422">
        <v>13.325</v>
      </c>
      <c r="O691" s="422">
        <v>9.978</v>
      </c>
      <c r="P691" s="422"/>
      <c r="Q691" s="436" t="s">
        <v>2417</v>
      </c>
      <c r="R691" s="436" t="s">
        <v>2580</v>
      </c>
      <c r="S691" s="436" t="s">
        <v>2419</v>
      </c>
      <c r="T691" s="419" t="s">
        <v>162</v>
      </c>
      <c r="U691" s="436" t="s">
        <v>1754</v>
      </c>
      <c r="V691" s="440"/>
      <c r="W691" s="474">
        <v>0.221</v>
      </c>
      <c r="X691" s="436"/>
      <c r="Y691" s="442">
        <f t="shared" si="597"/>
        <v>1.407858088</v>
      </c>
      <c r="Z691" s="469"/>
      <c r="AA691" s="470">
        <v>1.41</v>
      </c>
      <c r="AB691" s="470">
        <v>0.04</v>
      </c>
      <c r="AC691" s="436" t="str">
        <f>IF(ISNUMBER(VLOOKUP(B691,'New Masses'!A:C,3,FALSE)),VLOOKUP(B691,'New Masses'!A:C,3,FALSE),"")</f>
        <v/>
      </c>
      <c r="AD691" s="451">
        <f t="shared" si="598"/>
        <v>0.0000000002290867653</v>
      </c>
      <c r="AE691" s="436">
        <v>-9.64</v>
      </c>
      <c r="AF691" s="438"/>
      <c r="AG691" s="459">
        <v>0.33</v>
      </c>
      <c r="AH691" s="436">
        <v>0.1</v>
      </c>
      <c r="AI691" s="446" t="str">
        <f>IF(ISNUMBER(VLOOKUP(B691,'New Masses'!A:C,2, FALSE)),VLOOKUP(B691,'New Masses'!A:C,2, FALSE),"")</f>
        <v/>
      </c>
      <c r="AJ691" s="436">
        <f t="shared" si="599"/>
        <v>-0.4814860601</v>
      </c>
      <c r="AK691" s="436"/>
      <c r="AL691" s="436">
        <v>-2.87</v>
      </c>
      <c r="AM691" s="438"/>
      <c r="AN691" s="436">
        <v>1.0</v>
      </c>
      <c r="AO691" s="438"/>
      <c r="AP691" s="438"/>
      <c r="AQ691" s="438"/>
      <c r="AR691" s="438"/>
      <c r="AS691" s="438"/>
      <c r="AT691" s="438"/>
      <c r="AU691" s="438"/>
      <c r="AV691" s="438"/>
      <c r="AW691" s="450">
        <v>145.450314172678</v>
      </c>
    </row>
    <row r="692">
      <c r="A692" s="436" t="s">
        <v>1372</v>
      </c>
      <c r="B692" s="436" t="s">
        <v>1372</v>
      </c>
      <c r="C692" s="419"/>
      <c r="D692" s="436" t="s">
        <v>158</v>
      </c>
      <c r="E692" s="436"/>
      <c r="F692" s="436" t="s">
        <v>2579</v>
      </c>
      <c r="G692" s="436" t="s">
        <v>169</v>
      </c>
      <c r="H692" s="436" t="s">
        <v>160</v>
      </c>
      <c r="I692" s="436" t="s">
        <v>1963</v>
      </c>
      <c r="J692" s="436">
        <v>3162.27766</v>
      </c>
      <c r="K692" s="436"/>
      <c r="L692" s="438"/>
      <c r="M692" s="453"/>
      <c r="N692" s="422">
        <v>13.325</v>
      </c>
      <c r="O692" s="422">
        <v>9.978</v>
      </c>
      <c r="P692" s="422"/>
      <c r="Q692" s="436" t="s">
        <v>2183</v>
      </c>
      <c r="R692" s="436" t="s">
        <v>2184</v>
      </c>
      <c r="S692" s="436" t="s">
        <v>1964</v>
      </c>
      <c r="T692" s="419" t="s">
        <v>162</v>
      </c>
      <c r="U692" s="436" t="s">
        <v>2185</v>
      </c>
      <c r="V692" s="451">
        <v>1.67578E29</v>
      </c>
      <c r="W692" s="458">
        <v>0.33884415613920255</v>
      </c>
      <c r="X692" s="438"/>
      <c r="Y692" s="442">
        <f t="shared" si="597"/>
        <v>1.944713714</v>
      </c>
      <c r="Z692" s="442"/>
      <c r="AA692" s="443"/>
      <c r="AB692" s="443"/>
      <c r="AC692" s="436" t="str">
        <f>IF(ISNUMBER(VLOOKUP(B692,'New Masses'!A:C,3,FALSE)),VLOOKUP(B692,'New Masses'!A:C,3,FALSE),"")</f>
        <v/>
      </c>
      <c r="AD692" s="440">
        <f>10^AE692</f>
        <v>0.00000000301995172</v>
      </c>
      <c r="AE692" s="436">
        <v>-8.52</v>
      </c>
      <c r="AF692" s="438"/>
      <c r="AG692" s="459">
        <f>10^AJ692</f>
        <v>0.213796209</v>
      </c>
      <c r="AH692" s="436"/>
      <c r="AI692" s="446" t="str">
        <f>IF(ISNUMBER(VLOOKUP(B692,'New Masses'!A:C,2, FALSE)),VLOOKUP(B692,'New Masses'!A:C,2, FALSE),"")</f>
        <v/>
      </c>
      <c r="AJ692" s="436">
        <v>-0.67</v>
      </c>
      <c r="AK692" s="436"/>
      <c r="AL692" s="436">
        <v>-1.92</v>
      </c>
      <c r="AM692" s="438"/>
      <c r="AN692" s="436">
        <v>1.0</v>
      </c>
      <c r="AO692" s="438"/>
      <c r="AP692" s="438"/>
      <c r="AQ692" s="438"/>
      <c r="AR692" s="438"/>
      <c r="AS692" s="420" t="str">
        <f>VLOOKUP(B692,natta06!A:F,6,FALSE)</f>
        <v>#REF!</v>
      </c>
      <c r="AT692" s="438"/>
      <c r="AU692" s="438"/>
      <c r="AV692" s="438"/>
      <c r="AW692" s="450">
        <v>145.450314172678</v>
      </c>
    </row>
    <row r="693">
      <c r="A693" s="435" t="str">
        <f t="shared" ref="A693:C693" si="600">A158</f>
        <v>#REF!</v>
      </c>
      <c r="B693" s="485" t="str">
        <f t="shared" si="600"/>
        <v>#REF!</v>
      </c>
      <c r="C693" s="486" t="str">
        <f t="shared" si="600"/>
        <v>#REF!</v>
      </c>
      <c r="D693" s="486"/>
      <c r="E693" s="486"/>
      <c r="F693" s="528"/>
      <c r="G693" s="486"/>
      <c r="H693" s="486" t="s">
        <v>5917</v>
      </c>
      <c r="I693" s="491"/>
      <c r="J693" s="491"/>
      <c r="K693" s="491"/>
      <c r="L693" s="491"/>
      <c r="M693" s="486"/>
      <c r="N693" s="422"/>
      <c r="O693" s="422"/>
      <c r="P693" s="422"/>
      <c r="Q693" s="486"/>
      <c r="R693" s="491"/>
      <c r="S693" s="491"/>
      <c r="T693" s="491"/>
      <c r="U693" s="491"/>
      <c r="V693" s="491"/>
      <c r="W693" s="493"/>
      <c r="X693" s="486"/>
      <c r="Y693" s="442"/>
      <c r="Z693" s="491"/>
      <c r="AA693" s="524" t="str">
        <f t="shared" ref="AA693:AA695" si="602">AC158</f>
        <v/>
      </c>
      <c r="AB693" s="494"/>
      <c r="AC693" s="436"/>
      <c r="AD693" s="495"/>
      <c r="AE693" s="491"/>
      <c r="AF693" s="491"/>
      <c r="AG693" s="525" t="str">
        <f t="shared" ref="AG693:AG695" si="603">AI158</f>
        <v/>
      </c>
      <c r="AH693" s="491"/>
      <c r="AI693" s="446"/>
      <c r="AJ693" s="491"/>
      <c r="AK693" s="500"/>
      <c r="AL693" s="436"/>
      <c r="AM693" s="438"/>
      <c r="AN693" s="531"/>
      <c r="AO693" s="491"/>
      <c r="AP693" s="438"/>
      <c r="AQ693" s="438"/>
      <c r="AR693" s="438"/>
      <c r="AS693" s="438"/>
      <c r="AT693" s="438"/>
      <c r="AU693" s="438"/>
      <c r="AV693" s="438"/>
      <c r="AW693" s="450" t="str">
        <f t="shared" ref="AW693:AW695" si="604">AW158</f>
        <v>#REF!</v>
      </c>
    </row>
    <row r="694">
      <c r="A694" s="435" t="str">
        <f t="shared" ref="A694:C694" si="601">A159</f>
        <v>#REF!</v>
      </c>
      <c r="B694" s="485" t="str">
        <f t="shared" si="601"/>
        <v>#REF!</v>
      </c>
      <c r="C694" s="486" t="str">
        <f t="shared" si="601"/>
        <v>#REF!</v>
      </c>
      <c r="D694" s="486"/>
      <c r="E694" s="486"/>
      <c r="F694" s="528"/>
      <c r="G694" s="486"/>
      <c r="H694" s="486" t="s">
        <v>5917</v>
      </c>
      <c r="I694" s="491"/>
      <c r="J694" s="491"/>
      <c r="K694" s="491"/>
      <c r="L694" s="491"/>
      <c r="M694" s="486"/>
      <c r="N694" s="422"/>
      <c r="O694" s="422"/>
      <c r="P694" s="422"/>
      <c r="Q694" s="486"/>
      <c r="R694" s="491"/>
      <c r="S694" s="491"/>
      <c r="T694" s="491"/>
      <c r="U694" s="491"/>
      <c r="V694" s="491"/>
      <c r="W694" s="493"/>
      <c r="X694" s="486"/>
      <c r="Y694" s="442"/>
      <c r="Z694" s="491"/>
      <c r="AA694" s="524" t="str">
        <f t="shared" si="602"/>
        <v/>
      </c>
      <c r="AB694" s="494"/>
      <c r="AC694" s="436"/>
      <c r="AD694" s="495"/>
      <c r="AE694" s="491"/>
      <c r="AF694" s="491"/>
      <c r="AG694" s="525" t="str">
        <f t="shared" si="603"/>
        <v/>
      </c>
      <c r="AH694" s="491"/>
      <c r="AI694" s="446"/>
      <c r="AJ694" s="491"/>
      <c r="AK694" s="500"/>
      <c r="AL694" s="436"/>
      <c r="AM694" s="438"/>
      <c r="AN694" s="531"/>
      <c r="AO694" s="491"/>
      <c r="AP694" s="438"/>
      <c r="AQ694" s="438"/>
      <c r="AR694" s="438"/>
      <c r="AS694" s="438"/>
      <c r="AT694" s="438"/>
      <c r="AU694" s="438"/>
      <c r="AV694" s="438"/>
      <c r="AW694" s="450" t="str">
        <f t="shared" si="604"/>
        <v>#REF!</v>
      </c>
    </row>
    <row r="695">
      <c r="A695" s="435" t="str">
        <f t="shared" ref="A695:C695" si="605">A160</f>
        <v>2MASS J04394748+2601407</v>
      </c>
      <c r="B695" s="485" t="str">
        <f t="shared" si="605"/>
        <v>CFHT-BD-Tau 4</v>
      </c>
      <c r="C695" s="486" t="str">
        <f t="shared" si="605"/>
        <v>CFHT 4</v>
      </c>
      <c r="D695" s="486"/>
      <c r="E695" s="486"/>
      <c r="F695" s="528"/>
      <c r="G695" s="486"/>
      <c r="H695" s="486" t="s">
        <v>5917</v>
      </c>
      <c r="I695" s="491"/>
      <c r="J695" s="491"/>
      <c r="K695" s="491"/>
      <c r="L695" s="491"/>
      <c r="M695" s="486"/>
      <c r="N695" s="422"/>
      <c r="O695" s="422"/>
      <c r="P695" s="422"/>
      <c r="Q695" s="486"/>
      <c r="R695" s="491"/>
      <c r="S695" s="491"/>
      <c r="T695" s="491"/>
      <c r="U695" s="491"/>
      <c r="V695" s="491"/>
      <c r="W695" s="493"/>
      <c r="X695" s="486"/>
      <c r="Y695" s="442"/>
      <c r="Z695" s="491"/>
      <c r="AA695" s="619">
        <f t="shared" si="602"/>
        <v>0.53496</v>
      </c>
      <c r="AB695" s="494"/>
      <c r="AC695" s="436"/>
      <c r="AD695" s="495"/>
      <c r="AE695" s="491"/>
      <c r="AF695" s="491"/>
      <c r="AG695" s="525">
        <f t="shared" si="603"/>
        <v>0.038933</v>
      </c>
      <c r="AH695" s="491"/>
      <c r="AI695" s="446"/>
      <c r="AJ695" s="491"/>
      <c r="AK695" s="500"/>
      <c r="AL695" s="436"/>
      <c r="AM695" s="438"/>
      <c r="AN695" s="531"/>
      <c r="AO695" s="491"/>
      <c r="AP695" s="438"/>
      <c r="AQ695" s="438"/>
      <c r="AR695" s="438"/>
      <c r="AS695" s="438"/>
      <c r="AT695" s="438"/>
      <c r="AU695" s="438"/>
      <c r="AV695" s="438"/>
      <c r="AW695" s="450">
        <f t="shared" si="604"/>
        <v>147.1323897</v>
      </c>
    </row>
    <row r="696">
      <c r="A696" s="436" t="s">
        <v>1983</v>
      </c>
      <c r="B696" s="436" t="s">
        <v>1983</v>
      </c>
      <c r="C696" s="436"/>
      <c r="D696" s="436" t="s">
        <v>158</v>
      </c>
      <c r="E696" s="436"/>
      <c r="F696" s="436" t="s">
        <v>2581</v>
      </c>
      <c r="G696" s="436" t="s">
        <v>169</v>
      </c>
      <c r="H696" s="436" t="s">
        <v>160</v>
      </c>
      <c r="I696" s="436" t="s">
        <v>1963</v>
      </c>
      <c r="J696" s="436">
        <v>3548.13389</v>
      </c>
      <c r="K696" s="436"/>
      <c r="L696" s="438"/>
      <c r="M696" s="453"/>
      <c r="N696" s="422">
        <v>20.52</v>
      </c>
      <c r="O696" s="422">
        <v>12.263</v>
      </c>
      <c r="P696" s="422"/>
      <c r="Q696" s="436" t="s">
        <v>2183</v>
      </c>
      <c r="R696" s="436" t="s">
        <v>2184</v>
      </c>
      <c r="S696" s="436" t="s">
        <v>1964</v>
      </c>
      <c r="T696" s="419" t="s">
        <v>162</v>
      </c>
      <c r="U696" s="436" t="s">
        <v>2185</v>
      </c>
      <c r="V696" s="451"/>
      <c r="W696" s="458">
        <v>0.7762471166286917</v>
      </c>
      <c r="X696" s="438"/>
      <c r="Y696" s="442">
        <f>IF((W696/((J696/5780)^4))^0.5&gt;0,(W696/((J696/5780)^4))^0.5,"")</f>
        <v>2.338060137</v>
      </c>
      <c r="Z696" s="442"/>
      <c r="AA696" s="443"/>
      <c r="AB696" s="443"/>
      <c r="AC696" s="436" t="str">
        <f>IF(ISNUMBER(VLOOKUP(B696,'New Masses'!A:C,3,FALSE)),VLOOKUP(B696,'New Masses'!A:C,3,FALSE),"")</f>
        <v/>
      </c>
      <c r="AD696" s="451"/>
      <c r="AE696" s="436"/>
      <c r="AF696" s="438"/>
      <c r="AG696" s="459"/>
      <c r="AH696" s="436"/>
      <c r="AI696" s="446" t="str">
        <f>IF(ISNUMBER(VLOOKUP(B696,'New Masses'!A:C,2, FALSE)),VLOOKUP(B696,'New Masses'!A:C,2, FALSE),"")</f>
        <v/>
      </c>
      <c r="AJ696" s="436"/>
      <c r="AK696" s="436"/>
      <c r="AL696" s="436"/>
      <c r="AM696" s="438"/>
      <c r="AN696" s="436">
        <v>1.0</v>
      </c>
      <c r="AO696" s="438"/>
      <c r="AP696" s="438"/>
      <c r="AQ696" s="438"/>
      <c r="AR696" s="438"/>
      <c r="AS696" s="420" t="str">
        <f>VLOOKUP(B696,natta06!A:F,6,FALSE)</f>
        <v>#REF!</v>
      </c>
      <c r="AT696" s="438"/>
      <c r="AU696" s="438"/>
      <c r="AV696" s="438"/>
      <c r="AW696" s="450"/>
    </row>
    <row r="697">
      <c r="A697" s="435" t="str">
        <f t="shared" ref="A697:C697" si="606">A162</f>
        <v>2MASS J04394748+2601407</v>
      </c>
      <c r="B697" s="485" t="str">
        <f t="shared" si="606"/>
        <v>CFHT 4</v>
      </c>
      <c r="C697" s="486" t="str">
        <f t="shared" si="606"/>
        <v>CFHT-BD-Tau 4</v>
      </c>
      <c r="D697" s="486"/>
      <c r="E697" s="486"/>
      <c r="F697" s="528"/>
      <c r="G697" s="486"/>
      <c r="H697" s="486" t="s">
        <v>5917</v>
      </c>
      <c r="I697" s="491"/>
      <c r="J697" s="491"/>
      <c r="K697" s="491"/>
      <c r="L697" s="491"/>
      <c r="M697" s="486"/>
      <c r="N697" s="422"/>
      <c r="O697" s="422"/>
      <c r="P697" s="422"/>
      <c r="Q697" s="486"/>
      <c r="R697" s="491"/>
      <c r="S697" s="491"/>
      <c r="T697" s="491"/>
      <c r="U697" s="491"/>
      <c r="V697" s="491"/>
      <c r="W697" s="493"/>
      <c r="X697" s="486"/>
      <c r="Y697" s="442"/>
      <c r="Z697" s="491"/>
      <c r="AA697" s="619">
        <f>AC162</f>
        <v>0.53496</v>
      </c>
      <c r="AB697" s="494"/>
      <c r="AC697" s="436"/>
      <c r="AD697" s="495"/>
      <c r="AE697" s="491"/>
      <c r="AF697" s="491"/>
      <c r="AG697" s="525">
        <f>AI162</f>
        <v>0.038933</v>
      </c>
      <c r="AH697" s="491"/>
      <c r="AI697" s="446"/>
      <c r="AJ697" s="491"/>
      <c r="AK697" s="500"/>
      <c r="AL697" s="436"/>
      <c r="AM697" s="438"/>
      <c r="AN697" s="531"/>
      <c r="AO697" s="491"/>
      <c r="AP697" s="438"/>
      <c r="AQ697" s="438"/>
      <c r="AR697" s="438"/>
      <c r="AS697" s="438"/>
      <c r="AT697" s="438"/>
      <c r="AU697" s="438"/>
      <c r="AV697" s="438"/>
      <c r="AW697" s="450">
        <f>AW162</f>
        <v>147.1323897</v>
      </c>
    </row>
    <row r="698">
      <c r="A698" s="436" t="s">
        <v>1365</v>
      </c>
      <c r="B698" s="436" t="s">
        <v>1365</v>
      </c>
      <c r="C698" s="436"/>
      <c r="D698" s="436" t="s">
        <v>158</v>
      </c>
      <c r="E698" s="436"/>
      <c r="F698" s="436" t="s">
        <v>2582</v>
      </c>
      <c r="G698" s="436" t="s">
        <v>169</v>
      </c>
      <c r="H698" s="436" t="s">
        <v>160</v>
      </c>
      <c r="I698" s="436" t="s">
        <v>1963</v>
      </c>
      <c r="J698" s="436">
        <v>3090.29543</v>
      </c>
      <c r="K698" s="436"/>
      <c r="L698" s="438"/>
      <c r="M698" s="453"/>
      <c r="N698" s="422">
        <v>17.417</v>
      </c>
      <c r="O698" s="422">
        <v>10.794</v>
      </c>
      <c r="P698" s="422"/>
      <c r="Q698" s="436" t="s">
        <v>2183</v>
      </c>
      <c r="R698" s="436" t="s">
        <v>2184</v>
      </c>
      <c r="S698" s="436" t="s">
        <v>1964</v>
      </c>
      <c r="T698" s="419" t="s">
        <v>162</v>
      </c>
      <c r="U698" s="436" t="s">
        <v>2185</v>
      </c>
      <c r="V698" s="451">
        <v>1.42632E29</v>
      </c>
      <c r="W698" s="458">
        <v>0.2691534803926916</v>
      </c>
      <c r="X698" s="438"/>
      <c r="Y698" s="442">
        <f>IF((W698/((J698/5780)^4))^0.5&gt;0,(W698/((J698/5780)^4))^0.5,"")</f>
        <v>1.81491244</v>
      </c>
      <c r="Z698" s="442"/>
      <c r="AA698" s="443"/>
      <c r="AB698" s="443"/>
      <c r="AC698" s="436" t="str">
        <f>IF(ISNUMBER(VLOOKUP(B698,'New Masses'!A:C,3,FALSE)),VLOOKUP(B698,'New Masses'!A:C,3,FALSE),"")</f>
        <v/>
      </c>
      <c r="AD698" s="440">
        <f>10^AE698</f>
        <v>0.000000002570395783</v>
      </c>
      <c r="AE698" s="436">
        <v>-8.59</v>
      </c>
      <c r="AF698" s="438"/>
      <c r="AG698" s="459">
        <f>10^AJ698</f>
        <v>0.1862087137</v>
      </c>
      <c r="AH698" s="436"/>
      <c r="AI698" s="446" t="str">
        <f>IF(ISNUMBER(VLOOKUP(B698,'New Masses'!A:C,2, FALSE)),VLOOKUP(B698,'New Masses'!A:C,2, FALSE),"")</f>
        <v/>
      </c>
      <c r="AJ698" s="436">
        <v>-0.73</v>
      </c>
      <c r="AK698" s="436"/>
      <c r="AL698" s="436">
        <v>-2.02</v>
      </c>
      <c r="AM698" s="438"/>
      <c r="AN698" s="436">
        <v>1.0</v>
      </c>
      <c r="AO698" s="438"/>
      <c r="AP698" s="436"/>
      <c r="AQ698" s="438"/>
      <c r="AR698" s="438"/>
      <c r="AS698" s="420" t="str">
        <f>VLOOKUP(B698,natta06!A:F,6,FALSE)</f>
        <v>#REF!</v>
      </c>
      <c r="AT698" s="438" t="s">
        <v>5916</v>
      </c>
      <c r="AU698" s="438"/>
      <c r="AV698" s="438"/>
      <c r="AW698" s="450"/>
    </row>
    <row r="699">
      <c r="A699" s="435" t="str">
        <f t="shared" ref="A699:C699" si="607">A164</f>
        <v>#REF!</v>
      </c>
      <c r="B699" s="485" t="str">
        <f t="shared" si="607"/>
        <v>#REF!</v>
      </c>
      <c r="C699" s="486" t="str">
        <f t="shared" si="607"/>
        <v>#REF!</v>
      </c>
      <c r="D699" s="486"/>
      <c r="E699" s="486"/>
      <c r="F699" s="528"/>
      <c r="G699" s="486"/>
      <c r="H699" s="486" t="s">
        <v>5917</v>
      </c>
      <c r="I699" s="491"/>
      <c r="J699" s="491"/>
      <c r="K699" s="491"/>
      <c r="L699" s="491"/>
      <c r="M699" s="486"/>
      <c r="N699" s="422"/>
      <c r="O699" s="422"/>
      <c r="P699" s="422"/>
      <c r="Q699" s="486"/>
      <c r="R699" s="491"/>
      <c r="S699" s="491"/>
      <c r="T699" s="491"/>
      <c r="U699" s="491"/>
      <c r="V699" s="491"/>
      <c r="W699" s="493"/>
      <c r="X699" s="486"/>
      <c r="Y699" s="442"/>
      <c r="Z699" s="491"/>
      <c r="AA699" s="524" t="str">
        <f>AC164</f>
        <v/>
      </c>
      <c r="AB699" s="494"/>
      <c r="AC699" s="436"/>
      <c r="AD699" s="495"/>
      <c r="AE699" s="491"/>
      <c r="AF699" s="491"/>
      <c r="AG699" s="525" t="str">
        <f>AI164</f>
        <v/>
      </c>
      <c r="AH699" s="491"/>
      <c r="AI699" s="446"/>
      <c r="AJ699" s="491"/>
      <c r="AK699" s="500"/>
      <c r="AL699" s="436"/>
      <c r="AM699" s="438"/>
      <c r="AN699" s="531"/>
      <c r="AO699" s="491"/>
      <c r="AP699" s="438"/>
      <c r="AQ699" s="438"/>
      <c r="AR699" s="438"/>
      <c r="AS699" s="438"/>
      <c r="AT699" s="438"/>
      <c r="AU699" s="438"/>
      <c r="AV699" s="438"/>
      <c r="AW699" s="450" t="str">
        <f>AW164</f>
        <v>#REF!</v>
      </c>
    </row>
    <row r="700">
      <c r="A700" s="436" t="s">
        <v>1331</v>
      </c>
      <c r="B700" s="436" t="s">
        <v>1331</v>
      </c>
      <c r="C700" s="419"/>
      <c r="D700" s="436" t="s">
        <v>158</v>
      </c>
      <c r="E700" s="436"/>
      <c r="F700" s="436" t="s">
        <v>2583</v>
      </c>
      <c r="G700" s="436" t="s">
        <v>169</v>
      </c>
      <c r="H700" s="436" t="s">
        <v>754</v>
      </c>
      <c r="I700" s="436">
        <v>2010.0</v>
      </c>
      <c r="J700" s="436">
        <v>4060.0</v>
      </c>
      <c r="K700" s="436"/>
      <c r="L700" s="436" t="s">
        <v>434</v>
      </c>
      <c r="M700" s="439"/>
      <c r="N700" s="422">
        <v>12.728</v>
      </c>
      <c r="O700" s="422">
        <v>10.727</v>
      </c>
      <c r="P700" s="422">
        <v>17.67</v>
      </c>
      <c r="Q700" s="436" t="s">
        <v>2417</v>
      </c>
      <c r="R700" s="436" t="s">
        <v>2584</v>
      </c>
      <c r="S700" s="436" t="s">
        <v>2419</v>
      </c>
      <c r="T700" s="419" t="s">
        <v>162</v>
      </c>
      <c r="U700" s="436" t="s">
        <v>1754</v>
      </c>
      <c r="V700" s="440"/>
      <c r="W700" s="474">
        <v>0.078</v>
      </c>
      <c r="X700" s="436"/>
      <c r="Y700" s="442">
        <f t="shared" ref="Y700:Y701" si="608">IF((W700/((J700/5780)^4))^0.5&gt;0,(W700/((J700/5780)^4))^0.5,"")</f>
        <v>0.5660449381</v>
      </c>
      <c r="Z700" s="469"/>
      <c r="AA700" s="470">
        <v>0.56</v>
      </c>
      <c r="AB700" s="470"/>
      <c r="AC700" s="436" t="str">
        <f>IF(ISNUMBER(VLOOKUP(B700,'New Masses'!A:C,3,FALSE)),VLOOKUP(B700,'New Masses'!A:C,3,FALSE),"")</f>
        <v/>
      </c>
      <c r="AD700" s="440">
        <f t="shared" ref="AD700:AD701" si="609">10^AE700</f>
        <v>0.0000000002754228703</v>
      </c>
      <c r="AE700" s="436">
        <v>-9.56</v>
      </c>
      <c r="AF700" s="438"/>
      <c r="AG700" s="459">
        <v>0.62</v>
      </c>
      <c r="AH700" s="436">
        <v>0.1</v>
      </c>
      <c r="AI700" s="446" t="str">
        <f>IF(ISNUMBER(VLOOKUP(B700,'New Masses'!A:C,2, FALSE)),VLOOKUP(B700,'New Masses'!A:C,2, FALSE),"")</f>
        <v/>
      </c>
      <c r="AJ700" s="436">
        <f>LOG10(AG700)</f>
        <v>-0.2076083105</v>
      </c>
      <c r="AK700" s="436"/>
      <c r="AL700" s="436">
        <v>-2.12</v>
      </c>
      <c r="AM700" s="438"/>
      <c r="AN700" s="436">
        <v>1.0</v>
      </c>
      <c r="AO700" s="438"/>
      <c r="AP700" s="438"/>
      <c r="AQ700" s="438"/>
      <c r="AR700" s="438"/>
      <c r="AS700" s="420"/>
      <c r="AT700" s="438"/>
      <c r="AU700" s="438"/>
      <c r="AV700" s="438"/>
      <c r="AW700" s="450">
        <v>136.584033326504</v>
      </c>
    </row>
    <row r="701">
      <c r="A701" s="436" t="s">
        <v>1331</v>
      </c>
      <c r="B701" s="436" t="s">
        <v>1331</v>
      </c>
      <c r="C701" s="419"/>
      <c r="D701" s="436" t="s">
        <v>158</v>
      </c>
      <c r="E701" s="436"/>
      <c r="F701" s="436" t="s">
        <v>2583</v>
      </c>
      <c r="G701" s="436" t="s">
        <v>169</v>
      </c>
      <c r="H701" s="436" t="s">
        <v>160</v>
      </c>
      <c r="I701" s="436" t="s">
        <v>1963</v>
      </c>
      <c r="J701" s="436">
        <v>2818.38293</v>
      </c>
      <c r="K701" s="436"/>
      <c r="L701" s="436" t="s">
        <v>422</v>
      </c>
      <c r="M701" s="439"/>
      <c r="N701" s="422">
        <v>12.728</v>
      </c>
      <c r="O701" s="422">
        <v>10.727</v>
      </c>
      <c r="P701" s="422">
        <v>17.67</v>
      </c>
      <c r="Q701" s="436" t="s">
        <v>2183</v>
      </c>
      <c r="R701" s="436" t="s">
        <v>2184</v>
      </c>
      <c r="S701" s="436" t="s">
        <v>1964</v>
      </c>
      <c r="T701" s="419" t="s">
        <v>162</v>
      </c>
      <c r="U701" s="436" t="s">
        <v>2185</v>
      </c>
      <c r="V701" s="451">
        <v>3.66622E29</v>
      </c>
      <c r="W701" s="458">
        <v>0.0707945784384138</v>
      </c>
      <c r="X701" s="438"/>
      <c r="Y701" s="442">
        <f t="shared" si="608"/>
        <v>1.119065939</v>
      </c>
      <c r="Z701" s="442"/>
      <c r="AA701" s="443"/>
      <c r="AB701" s="443"/>
      <c r="AC701" s="436" t="str">
        <f>IF(ISNUMBER(VLOOKUP(B701,'New Masses'!A:C,3,FALSE)),VLOOKUP(B701,'New Masses'!A:C,3,FALSE),"")</f>
        <v/>
      </c>
      <c r="AD701" s="440">
        <f t="shared" si="609"/>
        <v>0.00000001288249552</v>
      </c>
      <c r="AE701" s="436">
        <v>-7.89</v>
      </c>
      <c r="AF701" s="438"/>
      <c r="AG701" s="459">
        <f>10^AJ701</f>
        <v>0.08317637711</v>
      </c>
      <c r="AH701" s="436"/>
      <c r="AI701" s="446" t="str">
        <f>IF(ISNUMBER(VLOOKUP(B701,'New Masses'!A:C,2, FALSE)),VLOOKUP(B701,'New Masses'!A:C,2, FALSE),"")</f>
        <v/>
      </c>
      <c r="AJ701" s="436">
        <v>-1.08</v>
      </c>
      <c r="AK701" s="436"/>
      <c r="AL701" s="436">
        <v>-1.46</v>
      </c>
      <c r="AM701" s="438"/>
      <c r="AN701" s="436">
        <v>1.0</v>
      </c>
      <c r="AO701" s="438"/>
      <c r="AP701" s="438"/>
      <c r="AQ701" s="436"/>
      <c r="AR701" s="436"/>
      <c r="AS701" s="420" t="str">
        <f>VLOOKUP(B701,natta06!A:F,6,FALSE)</f>
        <v>#REF!</v>
      </c>
      <c r="AT701" s="438"/>
      <c r="AU701" s="438" t="s">
        <v>1332</v>
      </c>
      <c r="AV701" s="438" t="s">
        <v>2206</v>
      </c>
      <c r="AW701" s="450">
        <v>136.584033326504</v>
      </c>
    </row>
    <row r="702">
      <c r="A702" s="435" t="str">
        <f t="shared" ref="A702:C702" si="610">A167</f>
        <v>2MASS J04414825+2534304</v>
      </c>
      <c r="B702" s="485" t="str">
        <f t="shared" si="610"/>
        <v>2MASS J04414825+2534304</v>
      </c>
      <c r="C702" s="486" t="str">
        <f t="shared" si="610"/>
        <v/>
      </c>
      <c r="D702" s="486"/>
      <c r="E702" s="486"/>
      <c r="F702" s="528"/>
      <c r="G702" s="486"/>
      <c r="H702" s="486" t="s">
        <v>5917</v>
      </c>
      <c r="I702" s="491"/>
      <c r="J702" s="491"/>
      <c r="K702" s="491"/>
      <c r="L702" s="491"/>
      <c r="M702" s="486"/>
      <c r="N702" s="422"/>
      <c r="O702" s="422"/>
      <c r="P702" s="422"/>
      <c r="Q702" s="486"/>
      <c r="R702" s="491"/>
      <c r="S702" s="491"/>
      <c r="T702" s="491"/>
      <c r="U702" s="491"/>
      <c r="V702" s="491"/>
      <c r="W702" s="493"/>
      <c r="X702" s="486"/>
      <c r="Y702" s="442"/>
      <c r="Z702" s="491"/>
      <c r="AA702" s="619">
        <f t="shared" ref="AA702:AA703" si="612">AC167</f>
        <v>0.283246</v>
      </c>
      <c r="AB702" s="494"/>
      <c r="AC702" s="436"/>
      <c r="AD702" s="495"/>
      <c r="AE702" s="491"/>
      <c r="AF702" s="491"/>
      <c r="AG702" s="525">
        <f t="shared" ref="AG702:AG703" si="613">AI167</f>
        <v>0.031573</v>
      </c>
      <c r="AH702" s="491"/>
      <c r="AI702" s="446"/>
      <c r="AJ702" s="491"/>
      <c r="AK702" s="500"/>
      <c r="AL702" s="436"/>
      <c r="AM702" s="438"/>
      <c r="AN702" s="531"/>
      <c r="AO702" s="491"/>
      <c r="AP702" s="438"/>
      <c r="AQ702" s="438"/>
      <c r="AR702" s="438"/>
      <c r="AS702" s="438"/>
      <c r="AT702" s="438"/>
      <c r="AU702" s="438"/>
      <c r="AV702" s="438"/>
      <c r="AW702" s="450">
        <f t="shared" ref="AW702:AW703" si="614">AW167</f>
        <v>136</v>
      </c>
    </row>
    <row r="703">
      <c r="A703" s="435" t="str">
        <f t="shared" ref="A703:C703" si="611">A168</f>
        <v>#REF!</v>
      </c>
      <c r="B703" s="485" t="str">
        <f t="shared" si="611"/>
        <v>#REF!</v>
      </c>
      <c r="C703" s="486" t="str">
        <f t="shared" si="611"/>
        <v>#REF!</v>
      </c>
      <c r="D703" s="486"/>
      <c r="E703" s="486"/>
      <c r="F703" s="528"/>
      <c r="G703" s="486"/>
      <c r="H703" s="486" t="s">
        <v>5917</v>
      </c>
      <c r="I703" s="491"/>
      <c r="J703" s="491"/>
      <c r="K703" s="491"/>
      <c r="L703" s="491"/>
      <c r="M703" s="486"/>
      <c r="N703" s="422"/>
      <c r="O703" s="422"/>
      <c r="P703" s="422"/>
      <c r="Q703" s="486"/>
      <c r="R703" s="491"/>
      <c r="S703" s="491"/>
      <c r="T703" s="491"/>
      <c r="U703" s="491"/>
      <c r="V703" s="491"/>
      <c r="W703" s="493"/>
      <c r="X703" s="486"/>
      <c r="Y703" s="442"/>
      <c r="Z703" s="491"/>
      <c r="AA703" s="524" t="str">
        <f t="shared" si="612"/>
        <v/>
      </c>
      <c r="AB703" s="494"/>
      <c r="AC703" s="436"/>
      <c r="AD703" s="495"/>
      <c r="AE703" s="491"/>
      <c r="AF703" s="491"/>
      <c r="AG703" s="525" t="str">
        <f t="shared" si="613"/>
        <v/>
      </c>
      <c r="AH703" s="491"/>
      <c r="AI703" s="446"/>
      <c r="AJ703" s="491"/>
      <c r="AK703" s="500"/>
      <c r="AL703" s="436"/>
      <c r="AM703" s="438"/>
      <c r="AN703" s="531"/>
      <c r="AO703" s="491"/>
      <c r="AP703" s="438"/>
      <c r="AQ703" s="438"/>
      <c r="AR703" s="438"/>
      <c r="AS703" s="438"/>
      <c r="AT703" s="438"/>
      <c r="AU703" s="438"/>
      <c r="AV703" s="438"/>
      <c r="AW703" s="450" t="str">
        <f t="shared" si="614"/>
        <v>#REF!</v>
      </c>
    </row>
    <row r="704">
      <c r="A704" s="436" t="s">
        <v>1984</v>
      </c>
      <c r="B704" s="436" t="s">
        <v>1984</v>
      </c>
      <c r="C704" s="436"/>
      <c r="D704" s="436" t="s">
        <v>158</v>
      </c>
      <c r="E704" s="436"/>
      <c r="F704" s="436" t="s">
        <v>2585</v>
      </c>
      <c r="G704" s="436" t="s">
        <v>169</v>
      </c>
      <c r="H704" s="436" t="s">
        <v>160</v>
      </c>
      <c r="I704" s="436" t="s">
        <v>1963</v>
      </c>
      <c r="J704" s="436">
        <v>3715.35229</v>
      </c>
      <c r="K704" s="436"/>
      <c r="L704" s="438"/>
      <c r="M704" s="453"/>
      <c r="N704" s="422">
        <v>19.78</v>
      </c>
      <c r="O704" s="422">
        <v>11.584</v>
      </c>
      <c r="P704" s="422"/>
      <c r="Q704" s="436" t="s">
        <v>2183</v>
      </c>
      <c r="R704" s="436" t="s">
        <v>2184</v>
      </c>
      <c r="S704" s="436" t="s">
        <v>1964</v>
      </c>
      <c r="T704" s="419" t="s">
        <v>162</v>
      </c>
      <c r="U704" s="436" t="s">
        <v>2185</v>
      </c>
      <c r="V704" s="451"/>
      <c r="W704" s="458">
        <v>1.0715193052376064</v>
      </c>
      <c r="X704" s="438"/>
      <c r="Y704" s="442">
        <f>IF((W704/((J704/5780)^4))^0.5&gt;0,(W704/((J704/5780)^4))^0.5,"")</f>
        <v>2.505276572</v>
      </c>
      <c r="Z704" s="442"/>
      <c r="AA704" s="443"/>
      <c r="AB704" s="443"/>
      <c r="AC704" s="436" t="str">
        <f>IF(ISNUMBER(VLOOKUP(B704,'New Masses'!A:C,3,FALSE)),VLOOKUP(B704,'New Masses'!A:C,3,FALSE),"")</f>
        <v/>
      </c>
      <c r="AD704" s="451"/>
      <c r="AE704" s="436"/>
      <c r="AF704" s="438"/>
      <c r="AG704" s="459"/>
      <c r="AH704" s="436"/>
      <c r="AI704" s="446" t="str">
        <f>IF(ISNUMBER(VLOOKUP(B704,'New Masses'!A:C,2, FALSE)),VLOOKUP(B704,'New Masses'!A:C,2, FALSE),"")</f>
        <v/>
      </c>
      <c r="AJ704" s="436"/>
      <c r="AK704" s="436"/>
      <c r="AL704" s="436"/>
      <c r="AM704" s="438"/>
      <c r="AN704" s="436">
        <v>1.0</v>
      </c>
      <c r="AO704" s="438"/>
      <c r="AP704" s="438"/>
      <c r="AQ704" s="438"/>
      <c r="AR704" s="438"/>
      <c r="AS704" s="420" t="str">
        <f>VLOOKUP(B704,natta06!A:F,6,FALSE)</f>
        <v>#REF!</v>
      </c>
      <c r="AT704" s="438"/>
      <c r="AU704" s="438"/>
      <c r="AV704" s="438"/>
      <c r="AW704" s="450"/>
    </row>
    <row r="705">
      <c r="A705" s="435" t="str">
        <f t="shared" ref="A705:C705" si="615">A170</f>
        <v>2MASS J04442713+2512164</v>
      </c>
      <c r="B705" s="485" t="str">
        <f t="shared" si="615"/>
        <v>2MASS J04442713+2512164</v>
      </c>
      <c r="C705" s="486" t="str">
        <f t="shared" si="615"/>
        <v/>
      </c>
      <c r="D705" s="486"/>
      <c r="E705" s="486"/>
      <c r="F705" s="528"/>
      <c r="G705" s="486"/>
      <c r="H705" s="486" t="s">
        <v>5917</v>
      </c>
      <c r="I705" s="491"/>
      <c r="J705" s="491"/>
      <c r="K705" s="491"/>
      <c r="L705" s="491"/>
      <c r="M705" s="486"/>
      <c r="N705" s="422"/>
      <c r="O705" s="422"/>
      <c r="P705" s="422"/>
      <c r="Q705" s="486"/>
      <c r="R705" s="491"/>
      <c r="S705" s="491"/>
      <c r="T705" s="491"/>
      <c r="U705" s="491"/>
      <c r="V705" s="491"/>
      <c r="W705" s="493"/>
      <c r="X705" s="486"/>
      <c r="Y705" s="442"/>
      <c r="Z705" s="491"/>
      <c r="AA705" s="524" t="str">
        <f>AC170</f>
        <v/>
      </c>
      <c r="AB705" s="494"/>
      <c r="AC705" s="436"/>
      <c r="AD705" s="495"/>
      <c r="AE705" s="491"/>
      <c r="AF705" s="491"/>
      <c r="AG705" s="525" t="str">
        <f>AI170</f>
        <v/>
      </c>
      <c r="AH705" s="491"/>
      <c r="AI705" s="446"/>
      <c r="AJ705" s="491"/>
      <c r="AK705" s="500"/>
      <c r="AL705" s="436"/>
      <c r="AM705" s="438"/>
      <c r="AN705" s="531"/>
      <c r="AO705" s="491"/>
      <c r="AP705" s="438"/>
      <c r="AQ705" s="438"/>
      <c r="AR705" s="438"/>
      <c r="AS705" s="438"/>
      <c r="AT705" s="438"/>
      <c r="AU705" s="438"/>
      <c r="AV705" s="438"/>
      <c r="AW705" s="450">
        <f>AW170</f>
        <v>141</v>
      </c>
    </row>
    <row r="706">
      <c r="A706" s="436" t="s">
        <v>1420</v>
      </c>
      <c r="B706" s="436" t="s">
        <v>1420</v>
      </c>
      <c r="C706" s="436"/>
      <c r="D706" s="436" t="s">
        <v>158</v>
      </c>
      <c r="E706" s="436"/>
      <c r="F706" s="436" t="s">
        <v>2586</v>
      </c>
      <c r="G706" s="436" t="s">
        <v>169</v>
      </c>
      <c r="H706" s="436" t="s">
        <v>160</v>
      </c>
      <c r="I706" s="436" t="s">
        <v>1963</v>
      </c>
      <c r="J706" s="436">
        <v>3715.35229</v>
      </c>
      <c r="K706" s="436"/>
      <c r="L706" s="438"/>
      <c r="M706" s="453"/>
      <c r="N706" s="422">
        <v>14.611</v>
      </c>
      <c r="O706" s="422">
        <v>9.683</v>
      </c>
      <c r="P706" s="422"/>
      <c r="Q706" s="436" t="s">
        <v>2183</v>
      </c>
      <c r="R706" s="436" t="s">
        <v>2184</v>
      </c>
      <c r="S706" s="436" t="s">
        <v>1964</v>
      </c>
      <c r="T706" s="419" t="s">
        <v>162</v>
      </c>
      <c r="U706" s="436" t="s">
        <v>2185</v>
      </c>
      <c r="V706" s="451">
        <v>8.99949E28</v>
      </c>
      <c r="W706" s="458">
        <v>1.202264434617413</v>
      </c>
      <c r="X706" s="438"/>
      <c r="Y706" s="442">
        <f>IF((W706/((J706/5780)^4))^0.5&gt;0,(W706/((J706/5780)^4))^0.5,"")</f>
        <v>2.653723541</v>
      </c>
      <c r="Z706" s="442"/>
      <c r="AA706" s="443"/>
      <c r="AB706" s="443"/>
      <c r="AC706" s="436" t="str">
        <f>IF(ISNUMBER(VLOOKUP(B706,'New Masses'!A:C,3,FALSE)),VLOOKUP(B706,'New Masses'!A:C,3,FALSE),"")</f>
        <v/>
      </c>
      <c r="AD706" s="440">
        <f>10^AE706</f>
        <v>0.0000000007943282347</v>
      </c>
      <c r="AE706" s="436">
        <v>-9.1</v>
      </c>
      <c r="AF706" s="438"/>
      <c r="AG706" s="459">
        <f>10^AJ706</f>
        <v>0.4570881896</v>
      </c>
      <c r="AH706" s="436"/>
      <c r="AI706" s="446" t="str">
        <f>IF(ISNUMBER(VLOOKUP(B706,'New Masses'!A:C,2, FALSE)),VLOOKUP(B706,'New Masses'!A:C,2, FALSE),"")</f>
        <v/>
      </c>
      <c r="AJ706" s="436">
        <v>-0.34</v>
      </c>
      <c r="AK706" s="436"/>
      <c r="AL706" s="436">
        <v>-2.3</v>
      </c>
      <c r="AM706" s="438"/>
      <c r="AN706" s="436">
        <v>1.0</v>
      </c>
      <c r="AO706" s="438"/>
      <c r="AP706" s="436"/>
      <c r="AQ706" s="438"/>
      <c r="AR706" s="438"/>
      <c r="AS706" s="420" t="str">
        <f>VLOOKUP(B706,natta06!A:F,6,FALSE)</f>
        <v>#REF!</v>
      </c>
      <c r="AT706" s="438" t="s">
        <v>5916</v>
      </c>
      <c r="AU706" s="438"/>
      <c r="AV706" s="438"/>
      <c r="AW706" s="450"/>
    </row>
    <row r="707">
      <c r="A707" s="435" t="str">
        <f t="shared" ref="A707:C707" si="616">A172</f>
        <v>2MASS J04551098+3021595</v>
      </c>
      <c r="B707" s="485" t="str">
        <f t="shared" si="616"/>
        <v>GM Aur</v>
      </c>
      <c r="C707" s="486" t="str">
        <f t="shared" si="616"/>
        <v/>
      </c>
      <c r="D707" s="486"/>
      <c r="E707" s="486"/>
      <c r="F707" s="528"/>
      <c r="G707" s="486"/>
      <c r="H707" s="486" t="s">
        <v>5917</v>
      </c>
      <c r="I707" s="491"/>
      <c r="J707" s="491"/>
      <c r="K707" s="491"/>
      <c r="L707" s="491"/>
      <c r="M707" s="486"/>
      <c r="N707" s="422"/>
      <c r="O707" s="422"/>
      <c r="P707" s="422"/>
      <c r="Q707" s="486"/>
      <c r="R707" s="491"/>
      <c r="S707" s="491"/>
      <c r="T707" s="491"/>
      <c r="U707" s="491"/>
      <c r="V707" s="491"/>
      <c r="W707" s="493"/>
      <c r="X707" s="486"/>
      <c r="Y707" s="442"/>
      <c r="Z707" s="491"/>
      <c r="AA707" s="524" t="str">
        <f>AC172</f>
        <v/>
      </c>
      <c r="AB707" s="494"/>
      <c r="AC707" s="436"/>
      <c r="AD707" s="495"/>
      <c r="AE707" s="491"/>
      <c r="AF707" s="491"/>
      <c r="AG707" s="525" t="str">
        <f>AI172</f>
        <v/>
      </c>
      <c r="AH707" s="491"/>
      <c r="AI707" s="446"/>
      <c r="AJ707" s="491"/>
      <c r="AK707" s="500"/>
      <c r="AL707" s="436"/>
      <c r="AM707" s="438"/>
      <c r="AN707" s="531"/>
      <c r="AO707" s="491"/>
      <c r="AP707" s="438"/>
      <c r="AQ707" s="438"/>
      <c r="AR707" s="438"/>
      <c r="AS707" s="438"/>
      <c r="AT707" s="438"/>
      <c r="AU707" s="438"/>
      <c r="AV707" s="438"/>
      <c r="AW707" s="450">
        <f>AW172</f>
        <v>159.637304</v>
      </c>
    </row>
    <row r="708">
      <c r="A708" s="436" t="s">
        <v>1986</v>
      </c>
      <c r="B708" s="436" t="s">
        <v>1986</v>
      </c>
      <c r="C708" s="436"/>
      <c r="D708" s="436" t="s">
        <v>158</v>
      </c>
      <c r="E708" s="436"/>
      <c r="F708" s="436" t="s">
        <v>2587</v>
      </c>
      <c r="G708" s="436" t="s">
        <v>169</v>
      </c>
      <c r="H708" s="436" t="s">
        <v>160</v>
      </c>
      <c r="I708" s="436" t="s">
        <v>1963</v>
      </c>
      <c r="J708" s="436">
        <v>4073.80278</v>
      </c>
      <c r="K708" s="436"/>
      <c r="L708" s="436" t="s">
        <v>434</v>
      </c>
      <c r="M708" s="439"/>
      <c r="N708" s="422">
        <v>19.45</v>
      </c>
      <c r="O708" s="422">
        <v>11.493</v>
      </c>
      <c r="P708" s="422"/>
      <c r="Q708" s="436" t="s">
        <v>2183</v>
      </c>
      <c r="R708" s="436" t="s">
        <v>2184</v>
      </c>
      <c r="S708" s="436" t="s">
        <v>1964</v>
      </c>
      <c r="T708" s="419" t="s">
        <v>162</v>
      </c>
      <c r="U708" s="436" t="s">
        <v>2185</v>
      </c>
      <c r="V708" s="451"/>
      <c r="W708" s="458">
        <v>2.137962089502232</v>
      </c>
      <c r="X708" s="438"/>
      <c r="Y708" s="442">
        <f>IF((W708/((J708/5780)^4))^0.5&gt;0,(W708/((J708/5780)^4))^0.5,"")</f>
        <v>2.943443314</v>
      </c>
      <c r="Z708" s="442"/>
      <c r="AA708" s="443"/>
      <c r="AB708" s="443"/>
      <c r="AC708" s="436" t="str">
        <f>IF(ISNUMBER(VLOOKUP(B708,'New Masses'!A:C,3,FALSE)),VLOOKUP(B708,'New Masses'!A:C,3,FALSE),"")</f>
        <v/>
      </c>
      <c r="AD708" s="451"/>
      <c r="AE708" s="436"/>
      <c r="AF708" s="438"/>
      <c r="AG708" s="459"/>
      <c r="AH708" s="436"/>
      <c r="AI708" s="446" t="str">
        <f>IF(ISNUMBER(VLOOKUP(B708,'New Masses'!A:C,2, FALSE)),VLOOKUP(B708,'New Masses'!A:C,2, FALSE),"")</f>
        <v/>
      </c>
      <c r="AJ708" s="436"/>
      <c r="AK708" s="436"/>
      <c r="AL708" s="436"/>
      <c r="AM708" s="438"/>
      <c r="AN708" s="436">
        <v>1.0</v>
      </c>
      <c r="AO708" s="438"/>
      <c r="AP708" s="438"/>
      <c r="AQ708" s="436"/>
      <c r="AR708" s="438"/>
      <c r="AS708" s="420" t="str">
        <f>VLOOKUP(B708,natta06!A:F,6,FALSE)</f>
        <v>#REF!</v>
      </c>
      <c r="AT708" s="438"/>
      <c r="AU708" s="438" t="s">
        <v>1368</v>
      </c>
      <c r="AV708" s="438"/>
      <c r="AW708" s="450"/>
    </row>
    <row r="709">
      <c r="A709" s="435" t="str">
        <f t="shared" ref="A709:C709" si="617">A174</f>
        <v>2MASS J04554757+3028077</v>
      </c>
      <c r="B709" s="485" t="str">
        <f t="shared" si="617"/>
        <v>2MASS J04554757+3028077</v>
      </c>
      <c r="C709" s="486" t="str">
        <f t="shared" si="617"/>
        <v/>
      </c>
      <c r="D709" s="486"/>
      <c r="E709" s="486"/>
      <c r="F709" s="528"/>
      <c r="G709" s="486"/>
      <c r="H709" s="486" t="s">
        <v>5917</v>
      </c>
      <c r="I709" s="491"/>
      <c r="J709" s="491"/>
      <c r="K709" s="491"/>
      <c r="L709" s="491"/>
      <c r="M709" s="486"/>
      <c r="N709" s="422"/>
      <c r="O709" s="422"/>
      <c r="P709" s="422"/>
      <c r="Q709" s="486"/>
      <c r="R709" s="491"/>
      <c r="S709" s="491"/>
      <c r="T709" s="491"/>
      <c r="U709" s="491"/>
      <c r="V709" s="491"/>
      <c r="W709" s="493"/>
      <c r="X709" s="486"/>
      <c r="Y709" s="442"/>
      <c r="Z709" s="491"/>
      <c r="AA709" s="524" t="str">
        <f>AC174</f>
        <v/>
      </c>
      <c r="AB709" s="494"/>
      <c r="AC709" s="436"/>
      <c r="AD709" s="495"/>
      <c r="AE709" s="491"/>
      <c r="AF709" s="491"/>
      <c r="AG709" s="525" t="str">
        <f>AI174</f>
        <v/>
      </c>
      <c r="AH709" s="491"/>
      <c r="AI709" s="446"/>
      <c r="AJ709" s="491"/>
      <c r="AK709" s="500"/>
      <c r="AL709" s="436"/>
      <c r="AM709" s="438"/>
      <c r="AN709" s="531"/>
      <c r="AO709" s="491"/>
      <c r="AP709" s="438"/>
      <c r="AQ709" s="438"/>
      <c r="AR709" s="438"/>
      <c r="AS709" s="438"/>
      <c r="AT709" s="438"/>
      <c r="AU709" s="438"/>
      <c r="AV709" s="438"/>
      <c r="AW709" s="450">
        <f>AW174</f>
        <v>156.7373552</v>
      </c>
    </row>
    <row r="710">
      <c r="A710" s="436" t="s">
        <v>1450</v>
      </c>
      <c r="B710" s="436" t="s">
        <v>1450</v>
      </c>
      <c r="C710" s="436"/>
      <c r="D710" s="436" t="s">
        <v>158</v>
      </c>
      <c r="E710" s="436"/>
      <c r="F710" s="436" t="s">
        <v>2588</v>
      </c>
      <c r="G710" s="436" t="s">
        <v>169</v>
      </c>
      <c r="H710" s="436" t="s">
        <v>160</v>
      </c>
      <c r="I710" s="436" t="s">
        <v>1963</v>
      </c>
      <c r="J710" s="436">
        <v>4073.80278</v>
      </c>
      <c r="K710" s="436"/>
      <c r="L710" s="438"/>
      <c r="M710" s="453"/>
      <c r="N710" s="422">
        <v>15.216</v>
      </c>
      <c r="O710" s="422">
        <v>8.483</v>
      </c>
      <c r="P710" s="422"/>
      <c r="Q710" s="436" t="s">
        <v>2183</v>
      </c>
      <c r="R710" s="436" t="s">
        <v>2184</v>
      </c>
      <c r="S710" s="436" t="s">
        <v>1964</v>
      </c>
      <c r="T710" s="419" t="s">
        <v>162</v>
      </c>
      <c r="U710" s="436" t="s">
        <v>2185</v>
      </c>
      <c r="V710" s="451">
        <v>3.34363E29</v>
      </c>
      <c r="W710" s="458">
        <v>2.041737944669529</v>
      </c>
      <c r="X710" s="438"/>
      <c r="Y710" s="442">
        <f>IF((W710/((J710/5780)^4))^0.5&gt;0,(W710/((J710/5780)^4))^0.5,"")</f>
        <v>2.876442364</v>
      </c>
      <c r="Z710" s="442"/>
      <c r="AA710" s="443"/>
      <c r="AB710" s="443"/>
      <c r="AC710" s="436" t="str">
        <f>IF(ISNUMBER(VLOOKUP(B710,'New Masses'!A:C,3,FALSE)),VLOOKUP(B710,'New Masses'!A:C,3,FALSE),"")</f>
        <v/>
      </c>
      <c r="AD710" s="440">
        <f>10^AE710</f>
        <v>0.000000003801893963</v>
      </c>
      <c r="AE710" s="436">
        <v>-8.42</v>
      </c>
      <c r="AF710" s="438"/>
      <c r="AG710" s="459">
        <f>10^AJ710</f>
        <v>0.645654229</v>
      </c>
      <c r="AH710" s="436"/>
      <c r="AI710" s="446" t="str">
        <f>IF(ISNUMBER(VLOOKUP(B710,'New Masses'!A:C,2, FALSE)),VLOOKUP(B710,'New Masses'!A:C,2, FALSE),"")</f>
        <v/>
      </c>
      <c r="AJ710" s="436">
        <v>-0.19</v>
      </c>
      <c r="AK710" s="436"/>
      <c r="AL710" s="436">
        <v>-1.52</v>
      </c>
      <c r="AM710" s="438"/>
      <c r="AN710" s="436">
        <v>1.0</v>
      </c>
      <c r="AO710" s="438"/>
      <c r="AP710" s="436"/>
      <c r="AQ710" s="438"/>
      <c r="AR710" s="438"/>
      <c r="AS710" s="420" t="str">
        <f>VLOOKUP(B710,natta06!A:F,6,FALSE)</f>
        <v>#REF!</v>
      </c>
      <c r="AT710" s="438" t="s">
        <v>5916</v>
      </c>
      <c r="AU710" s="438"/>
      <c r="AV710" s="438"/>
      <c r="AW710" s="450"/>
    </row>
    <row r="711">
      <c r="A711" s="435" t="str">
        <f t="shared" ref="A711:C711" si="618">A176</f>
        <v>2MASS J04554801+3028050</v>
      </c>
      <c r="B711" s="485" t="str">
        <f t="shared" si="618"/>
        <v>2MASS J04554801+3028050</v>
      </c>
      <c r="C711" s="486" t="str">
        <f t="shared" si="618"/>
        <v/>
      </c>
      <c r="D711" s="486"/>
      <c r="E711" s="486"/>
      <c r="F711" s="528"/>
      <c r="G711" s="486"/>
      <c r="H711" s="486" t="s">
        <v>5917</v>
      </c>
      <c r="I711" s="491"/>
      <c r="J711" s="491"/>
      <c r="K711" s="491"/>
      <c r="L711" s="491"/>
      <c r="M711" s="486"/>
      <c r="N711" s="422"/>
      <c r="O711" s="422"/>
      <c r="P711" s="422"/>
      <c r="Q711" s="486"/>
      <c r="R711" s="491"/>
      <c r="S711" s="491"/>
      <c r="T711" s="491"/>
      <c r="U711" s="491"/>
      <c r="V711" s="491"/>
      <c r="W711" s="493"/>
      <c r="X711" s="486"/>
      <c r="Y711" s="442"/>
      <c r="Z711" s="491"/>
      <c r="AA711" s="619">
        <f>AC176</f>
        <v>0.690178</v>
      </c>
      <c r="AB711" s="494"/>
      <c r="AC711" s="436"/>
      <c r="AD711" s="495"/>
      <c r="AE711" s="491"/>
      <c r="AF711" s="491"/>
      <c r="AG711" s="525">
        <f>AI176</f>
        <v>0.058417</v>
      </c>
      <c r="AH711" s="491"/>
      <c r="AI711" s="446"/>
      <c r="AJ711" s="491"/>
      <c r="AK711" s="500"/>
      <c r="AL711" s="436"/>
      <c r="AM711" s="438"/>
      <c r="AN711" s="531"/>
      <c r="AO711" s="491"/>
      <c r="AP711" s="438"/>
      <c r="AQ711" s="438"/>
      <c r="AR711" s="438"/>
      <c r="AS711" s="438"/>
      <c r="AT711" s="438"/>
      <c r="AU711" s="438"/>
      <c r="AV711" s="438"/>
      <c r="AW711" s="450">
        <f>AW176</f>
        <v>164.8288253</v>
      </c>
    </row>
    <row r="712">
      <c r="A712" s="436" t="s">
        <v>1988</v>
      </c>
      <c r="B712" s="436" t="s">
        <v>1988</v>
      </c>
      <c r="C712" s="436"/>
      <c r="D712" s="436" t="s">
        <v>158</v>
      </c>
      <c r="E712" s="436"/>
      <c r="F712" s="436" t="s">
        <v>2589</v>
      </c>
      <c r="G712" s="436" t="s">
        <v>159</v>
      </c>
      <c r="H712" s="436" t="s">
        <v>160</v>
      </c>
      <c r="I712" s="436" t="s">
        <v>1963</v>
      </c>
      <c r="J712" s="436"/>
      <c r="K712" s="436"/>
      <c r="L712" s="438"/>
      <c r="M712" s="453"/>
      <c r="N712" s="422">
        <v>13.329</v>
      </c>
      <c r="O712" s="422">
        <v>9.454</v>
      </c>
      <c r="P712" s="422"/>
      <c r="Q712" s="436" t="s">
        <v>2183</v>
      </c>
      <c r="R712" s="436" t="s">
        <v>2184</v>
      </c>
      <c r="S712" s="436" t="s">
        <v>1964</v>
      </c>
      <c r="T712" s="419" t="s">
        <v>162</v>
      </c>
      <c r="U712" s="436" t="s">
        <v>2185</v>
      </c>
      <c r="V712" s="451"/>
      <c r="W712" s="458"/>
      <c r="X712" s="438"/>
      <c r="Y712" s="442"/>
      <c r="Z712" s="442"/>
      <c r="AA712" s="443"/>
      <c r="AB712" s="443"/>
      <c r="AC712" s="436" t="str">
        <f>IF(ISNUMBER(VLOOKUP(B712,'New Masses'!A:C,3,FALSE)),VLOOKUP(B712,'New Masses'!A:C,3,FALSE),"")</f>
        <v/>
      </c>
      <c r="AD712" s="440"/>
      <c r="AE712" s="436"/>
      <c r="AF712" s="438"/>
      <c r="AG712" s="459"/>
      <c r="AH712" s="436"/>
      <c r="AI712" s="446" t="str">
        <f>IF(ISNUMBER(VLOOKUP(B712,'New Masses'!A:C,2, FALSE)),VLOOKUP(B712,'New Masses'!A:C,2, FALSE),"")</f>
        <v/>
      </c>
      <c r="AJ712" s="436"/>
      <c r="AK712" s="436"/>
      <c r="AL712" s="436"/>
      <c r="AM712" s="438"/>
      <c r="AN712" s="436">
        <v>1.0</v>
      </c>
      <c r="AO712" s="438"/>
      <c r="AP712" s="436"/>
      <c r="AQ712" s="438"/>
      <c r="AR712" s="438"/>
      <c r="AS712" s="420" t="str">
        <f>VLOOKUP(B712,natta06!A:F,6,FALSE)</f>
        <v>#REF!</v>
      </c>
      <c r="AT712" s="438"/>
      <c r="AU712" s="438"/>
      <c r="AV712" s="438"/>
      <c r="AW712" s="450">
        <v>165.639700523421</v>
      </c>
    </row>
    <row r="713">
      <c r="A713" s="435" t="str">
        <f t="shared" ref="A713:C713" si="619">A178</f>
        <v>2MASS J05380097-0226079</v>
      </c>
      <c r="B713" s="485" t="str">
        <f t="shared" si="619"/>
        <v>SO1362</v>
      </c>
      <c r="C713" s="486" t="str">
        <f t="shared" si="619"/>
        <v/>
      </c>
      <c r="D713" s="486"/>
      <c r="E713" s="486"/>
      <c r="F713" s="528"/>
      <c r="G713" s="486"/>
      <c r="H713" s="486" t="s">
        <v>5917</v>
      </c>
      <c r="I713" s="491"/>
      <c r="J713" s="491"/>
      <c r="K713" s="491"/>
      <c r="L713" s="491"/>
      <c r="M713" s="486"/>
      <c r="N713" s="422"/>
      <c r="O713" s="422"/>
      <c r="P713" s="422"/>
      <c r="Q713" s="486"/>
      <c r="R713" s="491"/>
      <c r="S713" s="491"/>
      <c r="T713" s="491"/>
      <c r="U713" s="491"/>
      <c r="V713" s="491"/>
      <c r="W713" s="493"/>
      <c r="X713" s="486"/>
      <c r="Y713" s="442"/>
      <c r="Z713" s="491"/>
      <c r="AA713" s="524" t="str">
        <f>AC178</f>
        <v/>
      </c>
      <c r="AB713" s="494"/>
      <c r="AC713" s="436"/>
      <c r="AD713" s="495"/>
      <c r="AE713" s="491"/>
      <c r="AF713" s="491"/>
      <c r="AG713" s="525" t="str">
        <f>AI178</f>
        <v/>
      </c>
      <c r="AH713" s="491"/>
      <c r="AI713" s="446"/>
      <c r="AJ713" s="491"/>
      <c r="AK713" s="500"/>
      <c r="AL713" s="436"/>
      <c r="AM713" s="438"/>
      <c r="AN713" s="531"/>
      <c r="AO713" s="491"/>
      <c r="AP713" s="438"/>
      <c r="AQ713" s="438"/>
      <c r="AR713" s="438"/>
      <c r="AS713" s="438"/>
      <c r="AT713" s="438"/>
      <c r="AU713" s="438"/>
      <c r="AV713" s="438"/>
      <c r="AW713" s="450">
        <f>AW178</f>
        <v>349.1985892</v>
      </c>
    </row>
    <row r="714">
      <c r="A714" s="436" t="s">
        <v>663</v>
      </c>
      <c r="B714" s="436" t="s">
        <v>663</v>
      </c>
      <c r="C714" s="420"/>
      <c r="D714" s="420" t="s">
        <v>158</v>
      </c>
      <c r="E714" s="420"/>
      <c r="F714" s="420" t="s">
        <v>2590</v>
      </c>
      <c r="G714" s="420" t="s">
        <v>169</v>
      </c>
      <c r="H714" s="420" t="s">
        <v>598</v>
      </c>
      <c r="I714" s="467">
        <v>37985.0</v>
      </c>
      <c r="J714" s="436">
        <v>2935.0</v>
      </c>
      <c r="K714" s="436"/>
      <c r="L714" s="420" t="s">
        <v>217</v>
      </c>
      <c r="M714" s="429"/>
      <c r="N714" s="422">
        <v>16.398</v>
      </c>
      <c r="O714" s="422">
        <v>12.926</v>
      </c>
      <c r="P714" s="422"/>
      <c r="Q714" s="420" t="s">
        <v>2194</v>
      </c>
      <c r="R714" s="420" t="s">
        <v>2195</v>
      </c>
      <c r="S714" s="420" t="s">
        <v>2196</v>
      </c>
      <c r="T714" s="420" t="s">
        <v>596</v>
      </c>
      <c r="U714" s="420" t="s">
        <v>597</v>
      </c>
      <c r="V714" s="440"/>
      <c r="W714" s="468"/>
      <c r="X714" s="436"/>
      <c r="Y714" s="442" t="str">
        <f t="shared" ref="Y714:Y715" si="620">IF((W714/((J714/5780)^4))^0.5&gt;0,(W714/((J714/5780)^4))^0.5,"")</f>
        <v/>
      </c>
      <c r="Z714" s="469"/>
      <c r="AA714" s="470">
        <v>0.35</v>
      </c>
      <c r="AB714" s="470"/>
      <c r="AC714" s="469">
        <f>IF(ISNUMBER(VLOOKUP(B714,'New Masses'!A:C,3,FALSE)),VLOOKUP(B714,'New Masses'!A:C,3,FALSE),"")</f>
        <v>0.604621</v>
      </c>
      <c r="AD714" s="440">
        <f t="shared" ref="AD714:AD715" si="621">10^AE714</f>
        <v>0</v>
      </c>
      <c r="AE714" s="436">
        <v>-12.0</v>
      </c>
      <c r="AF714" s="438"/>
      <c r="AG714" s="459">
        <v>0.065</v>
      </c>
      <c r="AH714" s="436"/>
      <c r="AI714" s="446">
        <f>IF(ISNUMBER(VLOOKUP(B714,'New Masses'!A:C,2, FALSE)),VLOOKUP(B714,'New Masses'!A:C,2, FALSE),"")</f>
        <v>0.047607</v>
      </c>
      <c r="AJ714" s="436"/>
      <c r="AK714" s="438"/>
      <c r="AL714" s="438"/>
      <c r="AM714" s="438"/>
      <c r="AN714" s="436">
        <v>1.0</v>
      </c>
      <c r="AO714" s="438"/>
      <c r="AP714" s="436">
        <v>10.9</v>
      </c>
      <c r="AQ714" s="420"/>
      <c r="AR714" s="420" t="s">
        <v>664</v>
      </c>
      <c r="AS714" s="420"/>
      <c r="AT714" s="420" t="s">
        <v>5916</v>
      </c>
      <c r="AU714" s="420"/>
      <c r="AV714" s="438"/>
      <c r="AW714" s="450"/>
    </row>
    <row r="715">
      <c r="A715" s="436" t="s">
        <v>663</v>
      </c>
      <c r="B715" s="436" t="s">
        <v>663</v>
      </c>
      <c r="C715" s="436"/>
      <c r="D715" s="436" t="s">
        <v>158</v>
      </c>
      <c r="E715" s="436"/>
      <c r="F715" s="436" t="s">
        <v>2590</v>
      </c>
      <c r="G715" s="436" t="s">
        <v>169</v>
      </c>
      <c r="H715" s="436" t="s">
        <v>160</v>
      </c>
      <c r="I715" s="436" t="s">
        <v>1963</v>
      </c>
      <c r="J715" s="436">
        <v>2630.26799</v>
      </c>
      <c r="K715" s="436"/>
      <c r="L715" s="436" t="s">
        <v>334</v>
      </c>
      <c r="M715" s="439"/>
      <c r="N715" s="422">
        <v>16.398</v>
      </c>
      <c r="O715" s="422">
        <v>12.926</v>
      </c>
      <c r="P715" s="422"/>
      <c r="Q715" s="436" t="s">
        <v>2183</v>
      </c>
      <c r="R715" s="436" t="s">
        <v>2184</v>
      </c>
      <c r="S715" s="436" t="s">
        <v>1964</v>
      </c>
      <c r="T715" s="419" t="s">
        <v>162</v>
      </c>
      <c r="U715" s="436" t="s">
        <v>2185</v>
      </c>
      <c r="V715" s="451">
        <v>4.40776E27</v>
      </c>
      <c r="W715" s="458">
        <v>0.0162181009735893</v>
      </c>
      <c r="X715" s="438"/>
      <c r="Y715" s="442">
        <f t="shared" si="620"/>
        <v>0.6149724742</v>
      </c>
      <c r="Z715" s="442"/>
      <c r="AA715" s="443"/>
      <c r="AB715" s="443"/>
      <c r="AC715" s="469">
        <f>IF(ISNUMBER(VLOOKUP(B715,'New Masses'!A:C,3,FALSE)),VLOOKUP(B715,'New Masses'!A:C,3,FALSE),"")</f>
        <v>0.604621</v>
      </c>
      <c r="AD715" s="440">
        <f t="shared" si="621"/>
        <v>0</v>
      </c>
      <c r="AE715" s="436">
        <v>-10.38</v>
      </c>
      <c r="AF715" s="438"/>
      <c r="AG715" s="459">
        <f>10^AJ715</f>
        <v>0.03467368505</v>
      </c>
      <c r="AH715" s="436"/>
      <c r="AI715" s="446">
        <f>IF(ISNUMBER(VLOOKUP(B715,'New Masses'!A:C,2, FALSE)),VLOOKUP(B715,'New Masses'!A:C,2, FALSE),"")</f>
        <v>0.047607</v>
      </c>
      <c r="AJ715" s="436">
        <v>-1.46</v>
      </c>
      <c r="AK715" s="436"/>
      <c r="AL715" s="436">
        <v>-4.07</v>
      </c>
      <c r="AM715" s="438"/>
      <c r="AN715" s="436">
        <v>1.0</v>
      </c>
      <c r="AO715" s="438"/>
      <c r="AP715" s="436"/>
      <c r="AQ715" s="436"/>
      <c r="AR715" s="438"/>
      <c r="AS715" s="420" t="str">
        <f>VLOOKUP(B715,natta06!A:F,6,FALSE)</f>
        <v>#REF!</v>
      </c>
      <c r="AT715" s="438" t="s">
        <v>5916</v>
      </c>
      <c r="AU715" s="438" t="s">
        <v>1318</v>
      </c>
      <c r="AV715" s="438"/>
      <c r="AW715" s="450"/>
    </row>
    <row r="716">
      <c r="A716" s="435" t="str">
        <f t="shared" ref="A716:C716" si="622">A181</f>
        <v>#REF!</v>
      </c>
      <c r="B716" s="485" t="str">
        <f t="shared" si="622"/>
        <v>#REF!</v>
      </c>
      <c r="C716" s="486" t="str">
        <f t="shared" si="622"/>
        <v>#REF!</v>
      </c>
      <c r="D716" s="486"/>
      <c r="E716" s="486"/>
      <c r="F716" s="528"/>
      <c r="G716" s="486"/>
      <c r="H716" s="486" t="s">
        <v>5917</v>
      </c>
      <c r="I716" s="491"/>
      <c r="J716" s="491"/>
      <c r="K716" s="491"/>
      <c r="L716" s="491"/>
      <c r="M716" s="486"/>
      <c r="N716" s="422"/>
      <c r="O716" s="422"/>
      <c r="P716" s="422"/>
      <c r="Q716" s="486"/>
      <c r="R716" s="491"/>
      <c r="S716" s="491"/>
      <c r="T716" s="491"/>
      <c r="U716" s="491"/>
      <c r="V716" s="491"/>
      <c r="W716" s="493"/>
      <c r="X716" s="486"/>
      <c r="Y716" s="442"/>
      <c r="Z716" s="491"/>
      <c r="AA716" s="524" t="str">
        <f t="shared" ref="AA716:AA717" si="624">AC181</f>
        <v/>
      </c>
      <c r="AB716" s="494"/>
      <c r="AC716" s="436"/>
      <c r="AD716" s="495"/>
      <c r="AE716" s="491"/>
      <c r="AF716" s="491"/>
      <c r="AG716" s="525" t="str">
        <f t="shared" ref="AG716:AG717" si="625">AI181</f>
        <v/>
      </c>
      <c r="AH716" s="491"/>
      <c r="AI716" s="446"/>
      <c r="AJ716" s="491"/>
      <c r="AK716" s="500"/>
      <c r="AL716" s="436"/>
      <c r="AM716" s="438"/>
      <c r="AN716" s="531"/>
      <c r="AO716" s="491"/>
      <c r="AP716" s="438"/>
      <c r="AQ716" s="438"/>
      <c r="AR716" s="438"/>
      <c r="AS716" s="438"/>
      <c r="AT716" s="438"/>
      <c r="AU716" s="438"/>
      <c r="AV716" s="438"/>
      <c r="AW716" s="450" t="str">
        <f t="shared" ref="AW716:AW717" si="626">AW181</f>
        <v>#REF!</v>
      </c>
    </row>
    <row r="717">
      <c r="A717" s="435" t="str">
        <f t="shared" ref="A717:C717" si="623">A182</f>
        <v>2MASS J05381319-0226088</v>
      </c>
      <c r="B717" s="485" t="str">
        <f t="shared" si="623"/>
        <v>SO397</v>
      </c>
      <c r="C717" s="486" t="str">
        <f t="shared" si="623"/>
        <v/>
      </c>
      <c r="D717" s="486"/>
      <c r="E717" s="486"/>
      <c r="F717" s="528"/>
      <c r="G717" s="486"/>
      <c r="H717" s="486" t="s">
        <v>5917</v>
      </c>
      <c r="I717" s="491"/>
      <c r="J717" s="491"/>
      <c r="K717" s="491"/>
      <c r="L717" s="491"/>
      <c r="M717" s="486"/>
      <c r="N717" s="422"/>
      <c r="O717" s="422"/>
      <c r="P717" s="422"/>
      <c r="Q717" s="486"/>
      <c r="R717" s="491"/>
      <c r="S717" s="491"/>
      <c r="T717" s="491"/>
      <c r="U717" s="491"/>
      <c r="V717" s="491"/>
      <c r="W717" s="493"/>
      <c r="X717" s="486"/>
      <c r="Y717" s="442"/>
      <c r="Z717" s="491"/>
      <c r="AA717" s="524" t="str">
        <f t="shared" si="624"/>
        <v/>
      </c>
      <c r="AB717" s="494"/>
      <c r="AC717" s="436"/>
      <c r="AD717" s="495"/>
      <c r="AE717" s="491"/>
      <c r="AF717" s="491"/>
      <c r="AG717" s="525" t="str">
        <f t="shared" si="625"/>
        <v/>
      </c>
      <c r="AH717" s="491"/>
      <c r="AI717" s="446"/>
      <c r="AJ717" s="491"/>
      <c r="AK717" s="500"/>
      <c r="AL717" s="436"/>
      <c r="AM717" s="438"/>
      <c r="AN717" s="531"/>
      <c r="AO717" s="491"/>
      <c r="AP717" s="438"/>
      <c r="AQ717" s="438"/>
      <c r="AR717" s="438"/>
      <c r="AS717" s="438"/>
      <c r="AT717" s="438"/>
      <c r="AU717" s="438"/>
      <c r="AV717" s="438"/>
      <c r="AW717" s="450" t="str">
        <f t="shared" si="626"/>
        <v/>
      </c>
    </row>
    <row r="718">
      <c r="A718" s="436" t="s">
        <v>173</v>
      </c>
      <c r="B718" s="436" t="s">
        <v>173</v>
      </c>
      <c r="C718" s="436"/>
      <c r="D718" s="436" t="s">
        <v>158</v>
      </c>
      <c r="E718" s="436"/>
      <c r="F718" s="436" t="s">
        <v>2591</v>
      </c>
      <c r="G718" s="436" t="s">
        <v>169</v>
      </c>
      <c r="H718" s="436" t="s">
        <v>160</v>
      </c>
      <c r="I718" s="436" t="s">
        <v>1963</v>
      </c>
      <c r="J718" s="436">
        <v>2884.0315</v>
      </c>
      <c r="K718" s="436"/>
      <c r="L718" s="438"/>
      <c r="M718" s="453"/>
      <c r="N718" s="422"/>
      <c r="O718" s="422">
        <v>12.659</v>
      </c>
      <c r="P718" s="422"/>
      <c r="Q718" s="436" t="s">
        <v>2183</v>
      </c>
      <c r="R718" s="436" t="s">
        <v>2184</v>
      </c>
      <c r="S718" s="436" t="s">
        <v>1964</v>
      </c>
      <c r="T718" s="419" t="s">
        <v>162</v>
      </c>
      <c r="U718" s="436" t="s">
        <v>2185</v>
      </c>
      <c r="V718" s="451">
        <v>3.34363E29</v>
      </c>
      <c r="W718" s="458">
        <v>0.18620871366628675</v>
      </c>
      <c r="X718" s="438"/>
      <c r="Y718" s="442">
        <f>IF((W718/((J718/5780)^4))^0.5&gt;0,(W718/((J718/5780)^4))^0.5,"")</f>
        <v>1.733227926</v>
      </c>
      <c r="Z718" s="442"/>
      <c r="AA718" s="443"/>
      <c r="AB718" s="443"/>
      <c r="AC718" s="436" t="str">
        <f>IF(ISNUMBER(VLOOKUP(B718,'New Masses'!A:C,3,FALSE)),VLOOKUP(B718,'New Masses'!A:C,3,FALSE),"")</f>
        <v/>
      </c>
      <c r="AD718" s="440">
        <f>10^AE718</f>
        <v>0.00000005370317964</v>
      </c>
      <c r="AE718" s="436">
        <v>-7.27</v>
      </c>
      <c r="AF718" s="438"/>
      <c r="AG718" s="459">
        <f>10^AJ718</f>
        <v>0.1513561248</v>
      </c>
      <c r="AH718" s="436"/>
      <c r="AI718" s="446" t="str">
        <f>IF(ISNUMBER(VLOOKUP(B718,'New Masses'!A:C,2, FALSE)),VLOOKUP(B718,'New Masses'!A:C,2, FALSE),"")</f>
        <v/>
      </c>
      <c r="AJ718" s="436">
        <v>-0.82</v>
      </c>
      <c r="AK718" s="436"/>
      <c r="AL718" s="436">
        <v>-0.77</v>
      </c>
      <c r="AM718" s="438"/>
      <c r="AN718" s="436">
        <v>1.0</v>
      </c>
      <c r="AO718" s="438"/>
      <c r="AP718" s="436"/>
      <c r="AQ718" s="438"/>
      <c r="AR718" s="438"/>
      <c r="AS718" s="420" t="str">
        <f>VLOOKUP(B718,natta06!A:F,6,FALSE)</f>
        <v>#REF!</v>
      </c>
      <c r="AT718" s="438" t="s">
        <v>5916</v>
      </c>
      <c r="AU718" s="438"/>
      <c r="AV718" s="438"/>
      <c r="AW718" s="450"/>
    </row>
    <row r="719">
      <c r="A719" s="435" t="str">
        <f t="shared" ref="A719:C719" si="627">A184</f>
        <v>#REF!</v>
      </c>
      <c r="B719" s="485" t="str">
        <f t="shared" si="627"/>
        <v>#REF!</v>
      </c>
      <c r="C719" s="486" t="str">
        <f t="shared" si="627"/>
        <v>#REF!</v>
      </c>
      <c r="D719" s="486"/>
      <c r="E719" s="486"/>
      <c r="F719" s="528"/>
      <c r="G719" s="486"/>
      <c r="H719" s="486" t="s">
        <v>5917</v>
      </c>
      <c r="I719" s="491"/>
      <c r="J719" s="491"/>
      <c r="K719" s="491"/>
      <c r="L719" s="491"/>
      <c r="M719" s="486"/>
      <c r="N719" s="422"/>
      <c r="O719" s="422"/>
      <c r="P719" s="422"/>
      <c r="Q719" s="486"/>
      <c r="R719" s="491"/>
      <c r="S719" s="491"/>
      <c r="T719" s="491"/>
      <c r="U719" s="491"/>
      <c r="V719" s="491"/>
      <c r="W719" s="493"/>
      <c r="X719" s="486"/>
      <c r="Y719" s="442"/>
      <c r="Z719" s="491"/>
      <c r="AA719" s="524" t="str">
        <f>AC184</f>
        <v/>
      </c>
      <c r="AB719" s="494"/>
      <c r="AC719" s="436"/>
      <c r="AD719" s="495"/>
      <c r="AE719" s="491"/>
      <c r="AF719" s="491"/>
      <c r="AG719" s="525" t="str">
        <f>AI184</f>
        <v/>
      </c>
      <c r="AH719" s="491"/>
      <c r="AI719" s="446"/>
      <c r="AJ719" s="491"/>
      <c r="AK719" s="500"/>
      <c r="AL719" s="436"/>
      <c r="AM719" s="438"/>
      <c r="AN719" s="531"/>
      <c r="AO719" s="491"/>
      <c r="AP719" s="438"/>
      <c r="AQ719" s="438"/>
      <c r="AR719" s="438"/>
      <c r="AS719" s="438"/>
      <c r="AT719" s="438"/>
      <c r="AU719" s="438"/>
      <c r="AV719" s="438"/>
      <c r="AW719" s="450" t="str">
        <f>AW184</f>
        <v>#REF!</v>
      </c>
    </row>
    <row r="720">
      <c r="A720" s="436" t="s">
        <v>1427</v>
      </c>
      <c r="B720" s="436" t="s">
        <v>1427</v>
      </c>
      <c r="C720" s="436"/>
      <c r="D720" s="436" t="s">
        <v>158</v>
      </c>
      <c r="E720" s="436"/>
      <c r="F720" s="436" t="s">
        <v>2592</v>
      </c>
      <c r="G720" s="436" t="s">
        <v>169</v>
      </c>
      <c r="H720" s="436" t="s">
        <v>160</v>
      </c>
      <c r="I720" s="436" t="s">
        <v>1963</v>
      </c>
      <c r="J720" s="436">
        <v>3801.89396</v>
      </c>
      <c r="K720" s="436"/>
      <c r="L720" s="436" t="s">
        <v>419</v>
      </c>
      <c r="M720" s="439"/>
      <c r="N720" s="422">
        <v>15.693</v>
      </c>
      <c r="O720" s="422">
        <v>9.952</v>
      </c>
      <c r="P720" s="422"/>
      <c r="Q720" s="436" t="s">
        <v>2183</v>
      </c>
      <c r="R720" s="436" t="s">
        <v>2184</v>
      </c>
      <c r="S720" s="436" t="s">
        <v>1964</v>
      </c>
      <c r="T720" s="419" t="s">
        <v>162</v>
      </c>
      <c r="U720" s="436" t="s">
        <v>2185</v>
      </c>
      <c r="V720" s="451">
        <v>9.64313E29</v>
      </c>
      <c r="W720" s="458">
        <v>1.4454397707459274</v>
      </c>
      <c r="X720" s="438"/>
      <c r="Y720" s="442">
        <f>IF((W720/((J720/5780)^4))^0.5&gt;0,(W720/((J720/5780)^4))^0.5,"")</f>
        <v>2.778789682</v>
      </c>
      <c r="Z720" s="442"/>
      <c r="AA720" s="443"/>
      <c r="AB720" s="443"/>
      <c r="AC720" s="436" t="str">
        <f>IF(ISNUMBER(VLOOKUP(B720,'New Masses'!A:C,3,FALSE)),VLOOKUP(B720,'New Masses'!A:C,3,FALSE),"")</f>
        <v/>
      </c>
      <c r="AD720" s="440">
        <f>10^AE720</f>
        <v>0.00000001905460718</v>
      </c>
      <c r="AE720" s="436">
        <v>-7.72</v>
      </c>
      <c r="AF720" s="438"/>
      <c r="AG720" s="459">
        <f>10^AJ720</f>
        <v>0.512861384</v>
      </c>
      <c r="AH720" s="436"/>
      <c r="AI720" s="446" t="str">
        <f>IF(ISNUMBER(VLOOKUP(B720,'New Masses'!A:C,2, FALSE)),VLOOKUP(B720,'New Masses'!A:C,2, FALSE),"")</f>
        <v/>
      </c>
      <c r="AJ720" s="436">
        <v>-0.29</v>
      </c>
      <c r="AK720" s="436"/>
      <c r="AL720" s="436">
        <v>-0.89</v>
      </c>
      <c r="AM720" s="438"/>
      <c r="AN720" s="436">
        <v>1.0</v>
      </c>
      <c r="AO720" s="438"/>
      <c r="AP720" s="438"/>
      <c r="AQ720" s="436"/>
      <c r="AR720" s="438"/>
      <c r="AS720" s="420" t="str">
        <f>VLOOKUP(B720,natta06!A:F,6,FALSE)</f>
        <v>#REF!</v>
      </c>
      <c r="AT720" s="438"/>
      <c r="AU720" s="438" t="s">
        <v>1368</v>
      </c>
      <c r="AV720" s="438"/>
      <c r="AW720" s="450"/>
    </row>
    <row r="721">
      <c r="A721" s="435" t="str">
        <f t="shared" ref="A721:C721" si="628">A186</f>
        <v>2MASS J05381778-0240500</v>
      </c>
      <c r="B721" s="485" t="str">
        <f t="shared" si="628"/>
        <v>SO435</v>
      </c>
      <c r="C721" s="486" t="str">
        <f t="shared" si="628"/>
        <v/>
      </c>
      <c r="D721" s="486"/>
      <c r="E721" s="486"/>
      <c r="F721" s="528"/>
      <c r="G721" s="486"/>
      <c r="H721" s="486" t="s">
        <v>5917</v>
      </c>
      <c r="I721" s="491"/>
      <c r="J721" s="491"/>
      <c r="K721" s="491"/>
      <c r="L721" s="491"/>
      <c r="M721" s="486"/>
      <c r="N721" s="422"/>
      <c r="O721" s="422"/>
      <c r="P721" s="422"/>
      <c r="Q721" s="486"/>
      <c r="R721" s="491"/>
      <c r="S721" s="491"/>
      <c r="T721" s="491"/>
      <c r="U721" s="491"/>
      <c r="V721" s="491"/>
      <c r="W721" s="493"/>
      <c r="X721" s="486"/>
      <c r="Y721" s="442"/>
      <c r="Z721" s="491"/>
      <c r="AA721" s="524" t="str">
        <f>AC186</f>
        <v/>
      </c>
      <c r="AB721" s="494"/>
      <c r="AC721" s="436"/>
      <c r="AD721" s="495"/>
      <c r="AE721" s="491"/>
      <c r="AF721" s="491"/>
      <c r="AG721" s="525" t="str">
        <f>AI186</f>
        <v/>
      </c>
      <c r="AH721" s="491"/>
      <c r="AI721" s="446"/>
      <c r="AJ721" s="491"/>
      <c r="AK721" s="500"/>
      <c r="AL721" s="436"/>
      <c r="AM721" s="438"/>
      <c r="AN721" s="531"/>
      <c r="AO721" s="491"/>
      <c r="AP721" s="438"/>
      <c r="AQ721" s="438"/>
      <c r="AR721" s="438"/>
      <c r="AS721" s="438"/>
      <c r="AT721" s="438"/>
      <c r="AU721" s="438"/>
      <c r="AV721" s="438"/>
      <c r="AW721" s="450" t="str">
        <f>AW186</f>
        <v/>
      </c>
    </row>
    <row r="722">
      <c r="A722" s="436" t="s">
        <v>1406</v>
      </c>
      <c r="B722" s="436" t="s">
        <v>1406</v>
      </c>
      <c r="C722" s="436"/>
      <c r="D722" s="436" t="s">
        <v>158</v>
      </c>
      <c r="E722" s="436"/>
      <c r="F722" s="436" t="s">
        <v>2593</v>
      </c>
      <c r="G722" s="436" t="s">
        <v>169</v>
      </c>
      <c r="H722" s="436" t="s">
        <v>160</v>
      </c>
      <c r="I722" s="436" t="s">
        <v>1963</v>
      </c>
      <c r="J722" s="436">
        <v>3548.13389</v>
      </c>
      <c r="K722" s="436"/>
      <c r="L722" s="438"/>
      <c r="M722" s="453"/>
      <c r="N722" s="422">
        <v>12.353</v>
      </c>
      <c r="O722" s="422">
        <v>9.316</v>
      </c>
      <c r="P722" s="422"/>
      <c r="Q722" s="436" t="s">
        <v>2183</v>
      </c>
      <c r="R722" s="436" t="s">
        <v>2184</v>
      </c>
      <c r="S722" s="436" t="s">
        <v>1964</v>
      </c>
      <c r="T722" s="419" t="s">
        <v>162</v>
      </c>
      <c r="U722" s="436" t="s">
        <v>2185</v>
      </c>
      <c r="V722" s="451">
        <v>8.20764E28</v>
      </c>
      <c r="W722" s="458">
        <v>0.8511380382023764</v>
      </c>
      <c r="X722" s="438"/>
      <c r="Y722" s="442">
        <f>IF((W722/((J722/5780)^4))^0.5&gt;0,(W722/((J722/5780)^4))^0.5,"")</f>
        <v>2.448249517</v>
      </c>
      <c r="Z722" s="442"/>
      <c r="AA722" s="443"/>
      <c r="AB722" s="443"/>
      <c r="AC722" s="436" t="str">
        <f>IF(ISNUMBER(VLOOKUP(B722,'New Masses'!A:C,3,FALSE)),VLOOKUP(B722,'New Masses'!A:C,3,FALSE),"")</f>
        <v/>
      </c>
      <c r="AD722" s="440">
        <f>10^AE722</f>
        <v>0.0000000007943282347</v>
      </c>
      <c r="AE722" s="436">
        <v>-9.1</v>
      </c>
      <c r="AF722" s="438"/>
      <c r="AG722" s="459">
        <f>10^AJ722</f>
        <v>0.3715352291</v>
      </c>
      <c r="AH722" s="436"/>
      <c r="AI722" s="446" t="str">
        <f>IF(ISNUMBER(VLOOKUP(B722,'New Masses'!A:C,2, FALSE)),VLOOKUP(B722,'New Masses'!A:C,2, FALSE),"")</f>
        <v/>
      </c>
      <c r="AJ722" s="436">
        <v>-0.43</v>
      </c>
      <c r="AK722" s="436"/>
      <c r="AL722" s="436">
        <v>-2.35</v>
      </c>
      <c r="AM722" s="438"/>
      <c r="AN722" s="436">
        <v>1.0</v>
      </c>
      <c r="AO722" s="438"/>
      <c r="AP722" s="436"/>
      <c r="AQ722" s="438"/>
      <c r="AR722" s="438"/>
      <c r="AS722" s="420" t="str">
        <f>VLOOKUP(B722,natta06!A:F,6,FALSE)</f>
        <v>#REF!</v>
      </c>
      <c r="AT722" s="438" t="s">
        <v>5916</v>
      </c>
      <c r="AU722" s="438"/>
      <c r="AV722" s="438"/>
      <c r="AW722" s="450">
        <v>183.577185027444</v>
      </c>
    </row>
    <row r="723">
      <c r="A723" s="435" t="str">
        <f t="shared" ref="A723:C723" si="629">A188</f>
        <v>2MASS J05381824-0248143</v>
      </c>
      <c r="B723" s="485" t="str">
        <f t="shared" si="629"/>
        <v>SO444</v>
      </c>
      <c r="C723" s="486" t="str">
        <f t="shared" si="629"/>
        <v/>
      </c>
      <c r="D723" s="486"/>
      <c r="E723" s="486"/>
      <c r="F723" s="528"/>
      <c r="G723" s="486"/>
      <c r="H723" s="486" t="s">
        <v>5917</v>
      </c>
      <c r="I723" s="491"/>
      <c r="J723" s="491"/>
      <c r="K723" s="491"/>
      <c r="L723" s="491"/>
      <c r="M723" s="486"/>
      <c r="N723" s="422"/>
      <c r="O723" s="422"/>
      <c r="P723" s="422"/>
      <c r="Q723" s="486"/>
      <c r="R723" s="491"/>
      <c r="S723" s="491"/>
      <c r="T723" s="491"/>
      <c r="U723" s="491"/>
      <c r="V723" s="491"/>
      <c r="W723" s="493"/>
      <c r="X723" s="486"/>
      <c r="Y723" s="442"/>
      <c r="Z723" s="491"/>
      <c r="AA723" s="524" t="str">
        <f>AC188</f>
        <v/>
      </c>
      <c r="AB723" s="494"/>
      <c r="AC723" s="436"/>
      <c r="AD723" s="495"/>
      <c r="AE723" s="491"/>
      <c r="AF723" s="491"/>
      <c r="AG723" s="525" t="str">
        <f>AI188</f>
        <v/>
      </c>
      <c r="AH723" s="491"/>
      <c r="AI723" s="446"/>
      <c r="AJ723" s="491"/>
      <c r="AK723" s="500"/>
      <c r="AL723" s="436"/>
      <c r="AM723" s="438"/>
      <c r="AN723" s="531"/>
      <c r="AO723" s="491"/>
      <c r="AP723" s="438"/>
      <c r="AQ723" s="438"/>
      <c r="AR723" s="438"/>
      <c r="AS723" s="438"/>
      <c r="AT723" s="438"/>
      <c r="AU723" s="438"/>
      <c r="AV723" s="438"/>
      <c r="AW723" s="450">
        <f>AW188</f>
        <v>402.9333548</v>
      </c>
    </row>
    <row r="724">
      <c r="A724" s="436" t="s">
        <v>1387</v>
      </c>
      <c r="B724" s="436" t="s">
        <v>1387</v>
      </c>
      <c r="C724" s="436"/>
      <c r="D724" s="436" t="s">
        <v>158</v>
      </c>
      <c r="E724" s="436"/>
      <c r="F724" s="436" t="s">
        <v>2594</v>
      </c>
      <c r="G724" s="436" t="s">
        <v>169</v>
      </c>
      <c r="H724" s="436" t="s">
        <v>160</v>
      </c>
      <c r="I724" s="436" t="s">
        <v>1963</v>
      </c>
      <c r="J724" s="436">
        <v>3388.44156</v>
      </c>
      <c r="K724" s="436"/>
      <c r="L724" s="438"/>
      <c r="M724" s="453"/>
      <c r="N724" s="422">
        <v>15.739</v>
      </c>
      <c r="O724" s="422">
        <v>10.101</v>
      </c>
      <c r="P724" s="422"/>
      <c r="Q724" s="436" t="s">
        <v>2183</v>
      </c>
      <c r="R724" s="436" t="s">
        <v>2184</v>
      </c>
      <c r="S724" s="436" t="s">
        <v>1964</v>
      </c>
      <c r="T724" s="419" t="s">
        <v>162</v>
      </c>
      <c r="U724" s="436" t="s">
        <v>2185</v>
      </c>
      <c r="V724" s="451">
        <v>1.52833E29</v>
      </c>
      <c r="W724" s="458">
        <v>0.5495408738576245</v>
      </c>
      <c r="X724" s="438"/>
      <c r="Y724" s="442">
        <f>IF((W724/((J724/5780)^4))^0.5&gt;0,(W724/((J724/5780)^4))^0.5,"")</f>
        <v>2.157027476</v>
      </c>
      <c r="Z724" s="442"/>
      <c r="AA724" s="443"/>
      <c r="AB724" s="443"/>
      <c r="AC724" s="436" t="str">
        <f>IF(ISNUMBER(VLOOKUP(B724,'New Masses'!A:C,3,FALSE)),VLOOKUP(B724,'New Masses'!A:C,3,FALSE),"")</f>
        <v/>
      </c>
      <c r="AD724" s="440">
        <f>10^AE724</f>
        <v>0.000000002187761624</v>
      </c>
      <c r="AE724" s="436">
        <v>-8.66</v>
      </c>
      <c r="AF724" s="438"/>
      <c r="AG724" s="459">
        <f>10^AJ724</f>
        <v>0.2884031503</v>
      </c>
      <c r="AH724" s="436"/>
      <c r="AI724" s="446" t="str">
        <f>IF(ISNUMBER(VLOOKUP(B724,'New Masses'!A:C,2, FALSE)),VLOOKUP(B724,'New Masses'!A:C,2, FALSE),"")</f>
        <v/>
      </c>
      <c r="AJ724" s="436">
        <v>-0.54</v>
      </c>
      <c r="AK724" s="436"/>
      <c r="AL724" s="436">
        <v>-1.98</v>
      </c>
      <c r="AM724" s="438"/>
      <c r="AN724" s="436">
        <v>1.0</v>
      </c>
      <c r="AO724" s="438"/>
      <c r="AP724" s="436"/>
      <c r="AQ724" s="436"/>
      <c r="AR724" s="438"/>
      <c r="AS724" s="420" t="str">
        <f>VLOOKUP(B724,natta06!A:F,6,FALSE)</f>
        <v>#REF!</v>
      </c>
      <c r="AT724" s="438" t="s">
        <v>5916</v>
      </c>
      <c r="AU724" s="438" t="s">
        <v>1389</v>
      </c>
      <c r="AV724" s="438"/>
      <c r="AW724" s="450"/>
    </row>
    <row r="725">
      <c r="A725" s="435" t="str">
        <f t="shared" ref="A725:C725" si="630">A190</f>
        <v>2MASS J05382307-0236493</v>
      </c>
      <c r="B725" s="485" t="str">
        <f t="shared" si="630"/>
        <v>SO482</v>
      </c>
      <c r="C725" s="486" t="str">
        <f t="shared" si="630"/>
        <v/>
      </c>
      <c r="D725" s="486"/>
      <c r="E725" s="486"/>
      <c r="F725" s="528"/>
      <c r="G725" s="486"/>
      <c r="H725" s="486" t="s">
        <v>5917</v>
      </c>
      <c r="I725" s="491"/>
      <c r="J725" s="491"/>
      <c r="K725" s="491"/>
      <c r="L725" s="491"/>
      <c r="M725" s="486"/>
      <c r="N725" s="422"/>
      <c r="O725" s="422"/>
      <c r="P725" s="422"/>
      <c r="Q725" s="486"/>
      <c r="R725" s="491"/>
      <c r="S725" s="491"/>
      <c r="T725" s="491"/>
      <c r="U725" s="491"/>
      <c r="V725" s="491"/>
      <c r="W725" s="493"/>
      <c r="X725" s="486"/>
      <c r="Y725" s="442"/>
      <c r="Z725" s="491"/>
      <c r="AA725" s="524" t="str">
        <f>AC190</f>
        <v/>
      </c>
      <c r="AB725" s="494"/>
      <c r="AC725" s="436"/>
      <c r="AD725" s="495"/>
      <c r="AE725" s="491"/>
      <c r="AF725" s="491"/>
      <c r="AG725" s="525" t="str">
        <f>AI190</f>
        <v/>
      </c>
      <c r="AH725" s="491"/>
      <c r="AI725" s="446"/>
      <c r="AJ725" s="491"/>
      <c r="AK725" s="500"/>
      <c r="AL725" s="436"/>
      <c r="AM725" s="438"/>
      <c r="AN725" s="531"/>
      <c r="AO725" s="491"/>
      <c r="AP725" s="438"/>
      <c r="AQ725" s="438"/>
      <c r="AR725" s="438"/>
      <c r="AS725" s="438"/>
      <c r="AT725" s="438"/>
      <c r="AU725" s="438"/>
      <c r="AV725" s="438"/>
      <c r="AW725" s="450" t="str">
        <f>AW190</f>
        <v/>
      </c>
    </row>
    <row r="726">
      <c r="A726" s="436" t="s">
        <v>1444</v>
      </c>
      <c r="B726" s="436" t="s">
        <v>1444</v>
      </c>
      <c r="C726" s="436"/>
      <c r="D726" s="436" t="s">
        <v>158</v>
      </c>
      <c r="E726" s="436"/>
      <c r="F726" s="436" t="s">
        <v>2595</v>
      </c>
      <c r="G726" s="436" t="s">
        <v>169</v>
      </c>
      <c r="H726" s="436" t="s">
        <v>160</v>
      </c>
      <c r="I726" s="436" t="s">
        <v>1963</v>
      </c>
      <c r="J726" s="436">
        <v>3981.07171</v>
      </c>
      <c r="K726" s="436"/>
      <c r="L726" s="438"/>
      <c r="M726" s="453"/>
      <c r="N726" s="422">
        <v>15.321</v>
      </c>
      <c r="O726" s="422">
        <v>9.024</v>
      </c>
      <c r="P726" s="422"/>
      <c r="Q726" s="436" t="s">
        <v>2183</v>
      </c>
      <c r="R726" s="436" t="s">
        <v>2184</v>
      </c>
      <c r="S726" s="436" t="s">
        <v>1964</v>
      </c>
      <c r="T726" s="419" t="s">
        <v>162</v>
      </c>
      <c r="U726" s="436" t="s">
        <v>2185</v>
      </c>
      <c r="V726" s="451">
        <v>1.67578E29</v>
      </c>
      <c r="W726" s="458">
        <v>1.8620871366628675</v>
      </c>
      <c r="X726" s="438"/>
      <c r="Y726" s="442">
        <f>IF((W726/((J726/5780)^4))^0.5&gt;0,(W726/((J726/5780)^4))^0.5,"")</f>
        <v>2.876442361</v>
      </c>
      <c r="Z726" s="442"/>
      <c r="AA726" s="443"/>
      <c r="AB726" s="443"/>
      <c r="AC726" s="436" t="str">
        <f>IF(ISNUMBER(VLOOKUP(B726,'New Masses'!A:C,3,FALSE)),VLOOKUP(B726,'New Masses'!A:C,3,FALSE),"")</f>
        <v/>
      </c>
      <c r="AD726" s="440">
        <f>10^AE726</f>
        <v>0.000000001548816619</v>
      </c>
      <c r="AE726" s="436">
        <v>-8.81</v>
      </c>
      <c r="AF726" s="438"/>
      <c r="AG726" s="459">
        <f>10^AJ726</f>
        <v>0.6025595861</v>
      </c>
      <c r="AH726" s="436"/>
      <c r="AI726" s="446" t="str">
        <f>IF(ISNUMBER(VLOOKUP(B726,'New Masses'!A:C,2, FALSE)),VLOOKUP(B726,'New Masses'!A:C,2, FALSE),"")</f>
        <v/>
      </c>
      <c r="AJ726" s="436">
        <v>-0.22</v>
      </c>
      <c r="AK726" s="436"/>
      <c r="AL726" s="436">
        <v>-1.93</v>
      </c>
      <c r="AM726" s="438"/>
      <c r="AN726" s="436">
        <v>1.0</v>
      </c>
      <c r="AO726" s="438"/>
      <c r="AP726" s="436"/>
      <c r="AQ726" s="436"/>
      <c r="AR726" s="438"/>
      <c r="AS726" s="420" t="str">
        <f>VLOOKUP(B726,natta06!A:F,6,FALSE)</f>
        <v>#REF!</v>
      </c>
      <c r="AT726" s="438" t="s">
        <v>5916</v>
      </c>
      <c r="AU726" s="438" t="s">
        <v>1445</v>
      </c>
      <c r="AV726" s="438"/>
      <c r="AW726" s="450"/>
    </row>
    <row r="727">
      <c r="A727" s="435" t="str">
        <f t="shared" ref="A727:C727" si="631">A192</f>
        <v>2MASS J05383902-0245321</v>
      </c>
      <c r="B727" s="485" t="str">
        <f t="shared" si="631"/>
        <v>SO646</v>
      </c>
      <c r="C727" s="486" t="str">
        <f t="shared" si="631"/>
        <v/>
      </c>
      <c r="D727" s="486"/>
      <c r="E727" s="486"/>
      <c r="F727" s="528"/>
      <c r="G727" s="486"/>
      <c r="H727" s="486" t="s">
        <v>5917</v>
      </c>
      <c r="I727" s="491"/>
      <c r="J727" s="491"/>
      <c r="K727" s="491"/>
      <c r="L727" s="491"/>
      <c r="M727" s="486"/>
      <c r="N727" s="422"/>
      <c r="O727" s="422"/>
      <c r="P727" s="422"/>
      <c r="Q727" s="486"/>
      <c r="R727" s="491"/>
      <c r="S727" s="491"/>
      <c r="T727" s="491"/>
      <c r="U727" s="491"/>
      <c r="V727" s="491"/>
      <c r="W727" s="493"/>
      <c r="X727" s="486"/>
      <c r="Y727" s="442"/>
      <c r="Z727" s="491"/>
      <c r="AA727" s="524" t="str">
        <f>AC192</f>
        <v/>
      </c>
      <c r="AB727" s="494"/>
      <c r="AC727" s="436"/>
      <c r="AD727" s="495"/>
      <c r="AE727" s="491"/>
      <c r="AF727" s="491"/>
      <c r="AG727" s="525" t="str">
        <f>AI192</f>
        <v/>
      </c>
      <c r="AH727" s="491"/>
      <c r="AI727" s="446"/>
      <c r="AJ727" s="491"/>
      <c r="AK727" s="500"/>
      <c r="AL727" s="436"/>
      <c r="AM727" s="438"/>
      <c r="AN727" s="531"/>
      <c r="AO727" s="491"/>
      <c r="AP727" s="438"/>
      <c r="AQ727" s="438"/>
      <c r="AR727" s="438"/>
      <c r="AS727" s="438"/>
      <c r="AT727" s="438"/>
      <c r="AU727" s="438"/>
      <c r="AV727" s="438"/>
      <c r="AW727" s="450">
        <f>AW192</f>
        <v>428.3389017</v>
      </c>
    </row>
    <row r="728">
      <c r="A728" s="436" t="s">
        <v>1386</v>
      </c>
      <c r="B728" s="436" t="s">
        <v>1386</v>
      </c>
      <c r="C728" s="436"/>
      <c r="D728" s="436" t="s">
        <v>158</v>
      </c>
      <c r="E728" s="436"/>
      <c r="F728" s="436" t="s">
        <v>2596</v>
      </c>
      <c r="G728" s="436" t="s">
        <v>159</v>
      </c>
      <c r="H728" s="436" t="s">
        <v>160</v>
      </c>
      <c r="I728" s="436" t="s">
        <v>1963</v>
      </c>
      <c r="J728" s="436">
        <v>3388.44156</v>
      </c>
      <c r="K728" s="436"/>
      <c r="L728" s="438"/>
      <c r="M728" s="453"/>
      <c r="N728" s="422">
        <v>13.43</v>
      </c>
      <c r="O728" s="422">
        <v>10.389</v>
      </c>
      <c r="P728" s="422"/>
      <c r="Q728" s="436" t="s">
        <v>2183</v>
      </c>
      <c r="R728" s="436" t="s">
        <v>2184</v>
      </c>
      <c r="S728" s="436" t="s">
        <v>1964</v>
      </c>
      <c r="T728" s="419" t="s">
        <v>162</v>
      </c>
      <c r="U728" s="436" t="s">
        <v>2185</v>
      </c>
      <c r="V728" s="451">
        <v>5.2993E28</v>
      </c>
      <c r="W728" s="458">
        <v>0.5370317963702527</v>
      </c>
      <c r="X728" s="438"/>
      <c r="Y728" s="442">
        <f>IF((W728/((J728/5780)^4))^0.5&gt;0,(W728/((J728/5780)^4))^0.5,"")</f>
        <v>2.132336187</v>
      </c>
      <c r="Z728" s="442"/>
      <c r="AA728" s="443"/>
      <c r="AB728" s="443"/>
      <c r="AC728" s="436" t="str">
        <f>IF(ISNUMBER(VLOOKUP(B728,'New Masses'!A:C,3,FALSE)),VLOOKUP(B728,'New Masses'!A:C,3,FALSE),"")</f>
        <v/>
      </c>
      <c r="AD728" s="440">
        <f>10^AE728</f>
        <v>0.0000000005248074602</v>
      </c>
      <c r="AE728" s="436">
        <v>-9.28</v>
      </c>
      <c r="AF728" s="438"/>
      <c r="AG728" s="459">
        <f>10^AJ728</f>
        <v>0.2818382931</v>
      </c>
      <c r="AH728" s="436"/>
      <c r="AI728" s="446" t="str">
        <f>IF(ISNUMBER(VLOOKUP(B728,'New Masses'!A:C,2, FALSE)),VLOOKUP(B728,'New Masses'!A:C,2, FALSE),"")</f>
        <v/>
      </c>
      <c r="AJ728" s="436">
        <v>-0.55</v>
      </c>
      <c r="AK728" s="436"/>
      <c r="AL728" s="436">
        <v>-2.61</v>
      </c>
      <c r="AM728" s="438"/>
      <c r="AN728" s="436">
        <v>1.0</v>
      </c>
      <c r="AO728" s="438"/>
      <c r="AP728" s="436"/>
      <c r="AQ728" s="438"/>
      <c r="AR728" s="438"/>
      <c r="AS728" s="420" t="str">
        <f>VLOOKUP(B728,natta06!A:F,6,FALSE)</f>
        <v>#REF!</v>
      </c>
      <c r="AT728" s="438" t="s">
        <v>5916</v>
      </c>
      <c r="AU728" s="438"/>
      <c r="AV728" s="438"/>
      <c r="AW728" s="450">
        <v>146.610368285245</v>
      </c>
    </row>
    <row r="729">
      <c r="A729" s="435" t="str">
        <f t="shared" ref="A729:C729" si="632">A194</f>
        <v>#REF!</v>
      </c>
      <c r="B729" s="485" t="str">
        <f t="shared" si="632"/>
        <v>#REF!</v>
      </c>
      <c r="C729" s="486" t="str">
        <f t="shared" si="632"/>
        <v>#REF!</v>
      </c>
      <c r="D729" s="486"/>
      <c r="E729" s="486"/>
      <c r="F729" s="528"/>
      <c r="G729" s="486"/>
      <c r="H729" s="486" t="s">
        <v>5917</v>
      </c>
      <c r="I729" s="491"/>
      <c r="J729" s="491"/>
      <c r="K729" s="491"/>
      <c r="L729" s="491"/>
      <c r="M729" s="486"/>
      <c r="N729" s="422"/>
      <c r="O729" s="422"/>
      <c r="P729" s="422"/>
      <c r="Q729" s="486"/>
      <c r="R729" s="491"/>
      <c r="S729" s="491"/>
      <c r="T729" s="491"/>
      <c r="U729" s="491"/>
      <c r="V729" s="491"/>
      <c r="W729" s="493"/>
      <c r="X729" s="486"/>
      <c r="Y729" s="442"/>
      <c r="Z729" s="491"/>
      <c r="AA729" s="524" t="str">
        <f>AC194</f>
        <v/>
      </c>
      <c r="AB729" s="494"/>
      <c r="AC729" s="436"/>
      <c r="AD729" s="495"/>
      <c r="AE729" s="491"/>
      <c r="AF729" s="491"/>
      <c r="AG729" s="525" t="str">
        <f>AI194</f>
        <v/>
      </c>
      <c r="AH729" s="491"/>
      <c r="AI729" s="446"/>
      <c r="AJ729" s="491"/>
      <c r="AK729" s="500"/>
      <c r="AL729" s="436"/>
      <c r="AM729" s="438"/>
      <c r="AN729" s="531"/>
      <c r="AO729" s="491"/>
      <c r="AP729" s="438"/>
      <c r="AQ729" s="438"/>
      <c r="AR729" s="438"/>
      <c r="AS729" s="438"/>
      <c r="AT729" s="438"/>
      <c r="AU729" s="438"/>
      <c r="AV729" s="438"/>
      <c r="AW729" s="450" t="str">
        <f>AW194</f>
        <v>#REF!</v>
      </c>
    </row>
    <row r="730">
      <c r="A730" s="436" t="s">
        <v>1377</v>
      </c>
      <c r="B730" s="436" t="s">
        <v>1377</v>
      </c>
      <c r="C730" s="436"/>
      <c r="D730" s="436" t="s">
        <v>158</v>
      </c>
      <c r="E730" s="436"/>
      <c r="F730" s="436" t="s">
        <v>2597</v>
      </c>
      <c r="G730" s="436" t="s">
        <v>169</v>
      </c>
      <c r="H730" s="436" t="s">
        <v>160</v>
      </c>
      <c r="I730" s="436" t="s">
        <v>1963</v>
      </c>
      <c r="J730" s="436">
        <v>3235.93657</v>
      </c>
      <c r="K730" s="436"/>
      <c r="L730" s="436" t="s">
        <v>1378</v>
      </c>
      <c r="M730" s="439"/>
      <c r="N730" s="422">
        <v>12.695</v>
      </c>
      <c r="O730" s="422">
        <v>10.07</v>
      </c>
      <c r="P730" s="422">
        <v>18.45</v>
      </c>
      <c r="Q730" s="436" t="s">
        <v>2183</v>
      </c>
      <c r="R730" s="436" t="s">
        <v>2184</v>
      </c>
      <c r="S730" s="436" t="s">
        <v>1964</v>
      </c>
      <c r="T730" s="419" t="s">
        <v>162</v>
      </c>
      <c r="U730" s="436" t="s">
        <v>2185</v>
      </c>
      <c r="V730" s="451">
        <v>4.11356E28</v>
      </c>
      <c r="W730" s="458">
        <v>0.3981071705534972</v>
      </c>
      <c r="X730" s="438"/>
      <c r="Y730" s="442">
        <f>IF((W730/((J730/5780)^4))^0.5&gt;0,(W730/((J730/5780)^4))^0.5,"")</f>
        <v>2.013055167</v>
      </c>
      <c r="Z730" s="442"/>
      <c r="AA730" s="443"/>
      <c r="AB730" s="443"/>
      <c r="AC730" s="436" t="str">
        <f>IF(ISNUMBER(VLOOKUP(B730,'New Masses'!A:C,3,FALSE)),VLOOKUP(B730,'New Masses'!A:C,3,FALSE),"")</f>
        <v/>
      </c>
      <c r="AD730" s="440">
        <f>10^AE730</f>
        <v>0.0000000004073802778</v>
      </c>
      <c r="AE730" s="436">
        <v>-9.39</v>
      </c>
      <c r="AF730" s="438"/>
      <c r="AG730" s="459">
        <f>10^AJ730</f>
        <v>0.2398832919</v>
      </c>
      <c r="AH730" s="436"/>
      <c r="AI730" s="446" t="str">
        <f>IF(ISNUMBER(VLOOKUP(B730,'New Masses'!A:C,2, FALSE)),VLOOKUP(B730,'New Masses'!A:C,2, FALSE),"")</f>
        <v/>
      </c>
      <c r="AJ730" s="436">
        <v>-0.62</v>
      </c>
      <c r="AK730" s="436"/>
      <c r="AL730" s="436">
        <v>-2.76</v>
      </c>
      <c r="AM730" s="438"/>
      <c r="AN730" s="436">
        <v>1.0</v>
      </c>
      <c r="AO730" s="438"/>
      <c r="AP730" s="436"/>
      <c r="AQ730" s="436"/>
      <c r="AR730" s="438"/>
      <c r="AS730" s="420" t="str">
        <f>VLOOKUP(B730,natta06!A:F,6,FALSE)</f>
        <v>#REF!</v>
      </c>
      <c r="AT730" s="438" t="s">
        <v>5916</v>
      </c>
      <c r="AU730" s="438" t="s">
        <v>1379</v>
      </c>
      <c r="AV730" s="438"/>
      <c r="AW730" s="450">
        <v>140.940354042169</v>
      </c>
    </row>
    <row r="731">
      <c r="A731" s="435" t="str">
        <f t="shared" ref="A731:C731" si="633">A196</f>
        <v>2MASS J05383976-0232203</v>
      </c>
      <c r="B731" s="485" t="str">
        <f t="shared" si="633"/>
        <v>SO657</v>
      </c>
      <c r="C731" s="486" t="str">
        <f t="shared" si="633"/>
        <v/>
      </c>
      <c r="D731" s="486"/>
      <c r="E731" s="486"/>
      <c r="F731" s="528"/>
      <c r="G731" s="486"/>
      <c r="H731" s="486" t="s">
        <v>5917</v>
      </c>
      <c r="I731" s="491"/>
      <c r="J731" s="491"/>
      <c r="K731" s="491"/>
      <c r="L731" s="491"/>
      <c r="M731" s="486"/>
      <c r="N731" s="422"/>
      <c r="O731" s="422"/>
      <c r="P731" s="422"/>
      <c r="Q731" s="486"/>
      <c r="R731" s="491"/>
      <c r="S731" s="491"/>
      <c r="T731" s="491"/>
      <c r="U731" s="491"/>
      <c r="V731" s="491"/>
      <c r="W731" s="493"/>
      <c r="X731" s="486"/>
      <c r="Y731" s="442"/>
      <c r="Z731" s="491"/>
      <c r="AA731" s="524" t="str">
        <f>AC196</f>
        <v/>
      </c>
      <c r="AB731" s="494"/>
      <c r="AC731" s="436"/>
      <c r="AD731" s="495"/>
      <c r="AE731" s="491"/>
      <c r="AF731" s="491"/>
      <c r="AG731" s="525" t="str">
        <f>AI196</f>
        <v/>
      </c>
      <c r="AH731" s="491"/>
      <c r="AI731" s="446"/>
      <c r="AJ731" s="491"/>
      <c r="AK731" s="500"/>
      <c r="AL731" s="436"/>
      <c r="AM731" s="438"/>
      <c r="AN731" s="531"/>
      <c r="AO731" s="491"/>
      <c r="AP731" s="438"/>
      <c r="AQ731" s="438"/>
      <c r="AR731" s="438"/>
      <c r="AS731" s="438"/>
      <c r="AT731" s="438"/>
      <c r="AU731" s="438"/>
      <c r="AV731" s="438"/>
      <c r="AW731" s="450" t="str">
        <f>AW196</f>
        <v/>
      </c>
    </row>
    <row r="732">
      <c r="A732" s="436" t="s">
        <v>1402</v>
      </c>
      <c r="B732" s="436" t="s">
        <v>1402</v>
      </c>
      <c r="C732" s="436"/>
      <c r="D732" s="436" t="s">
        <v>158</v>
      </c>
      <c r="E732" s="436"/>
      <c r="F732" s="436" t="s">
        <v>2598</v>
      </c>
      <c r="G732" s="436" t="s">
        <v>169</v>
      </c>
      <c r="H732" s="436" t="s">
        <v>160</v>
      </c>
      <c r="I732" s="436" t="s">
        <v>1963</v>
      </c>
      <c r="J732" s="436">
        <v>3548.13389</v>
      </c>
      <c r="K732" s="436"/>
      <c r="L732" s="438"/>
      <c r="M732" s="453"/>
      <c r="N732" s="422">
        <v>16.146</v>
      </c>
      <c r="O732" s="422">
        <v>10.901</v>
      </c>
      <c r="P732" s="422"/>
      <c r="Q732" s="436" t="s">
        <v>2183</v>
      </c>
      <c r="R732" s="436" t="s">
        <v>2184</v>
      </c>
      <c r="S732" s="436" t="s">
        <v>1964</v>
      </c>
      <c r="T732" s="419" t="s">
        <v>162</v>
      </c>
      <c r="U732" s="436" t="s">
        <v>2185</v>
      </c>
      <c r="V732" s="451">
        <v>3.0494E29</v>
      </c>
      <c r="W732" s="458">
        <v>0.7943282347242815</v>
      </c>
      <c r="X732" s="438"/>
      <c r="Y732" s="442">
        <f>IF((W732/((J732/5780)^4))^0.5&gt;0,(W732/((J732/5780)^4))^0.5,"")</f>
        <v>2.365133597</v>
      </c>
      <c r="Z732" s="442"/>
      <c r="AA732" s="443"/>
      <c r="AB732" s="443"/>
      <c r="AC732" s="436" t="str">
        <f>IF(ISNUMBER(VLOOKUP(B732,'New Masses'!A:C,3,FALSE)),VLOOKUP(B732,'New Masses'!A:C,3,FALSE),"")</f>
        <v/>
      </c>
      <c r="AD732" s="440">
        <f>10^AE732</f>
        <v>0.000000004897788194</v>
      </c>
      <c r="AE732" s="436">
        <v>-8.31</v>
      </c>
      <c r="AF732" s="438"/>
      <c r="AG732" s="459">
        <f>10^AJ732</f>
        <v>0.3548133892</v>
      </c>
      <c r="AH732" s="436"/>
      <c r="AI732" s="446" t="str">
        <f>IF(ISNUMBER(VLOOKUP(B732,'New Masses'!A:C,2, FALSE)),VLOOKUP(B732,'New Masses'!A:C,2, FALSE),"")</f>
        <v/>
      </c>
      <c r="AJ732" s="436">
        <v>-0.45</v>
      </c>
      <c r="AK732" s="436"/>
      <c r="AL732" s="436">
        <v>-1.58</v>
      </c>
      <c r="AM732" s="438"/>
      <c r="AN732" s="436">
        <v>1.0</v>
      </c>
      <c r="AO732" s="438"/>
      <c r="AP732" s="436"/>
      <c r="AQ732" s="438"/>
      <c r="AR732" s="438"/>
      <c r="AS732" s="420" t="str">
        <f>VLOOKUP(B732,natta06!A:F,6,FALSE)</f>
        <v>#REF!</v>
      </c>
      <c r="AT732" s="438" t="s">
        <v>5916</v>
      </c>
      <c r="AU732" s="438"/>
      <c r="AV732" s="438"/>
      <c r="AW732" s="450"/>
    </row>
    <row r="733">
      <c r="A733" s="435" t="str">
        <f t="shared" ref="A733:C733" si="634">A198</f>
        <v>2MASS J05384053-0233275</v>
      </c>
      <c r="B733" s="485" t="str">
        <f t="shared" si="634"/>
        <v>SO663</v>
      </c>
      <c r="C733" s="486" t="str">
        <f t="shared" si="634"/>
        <v/>
      </c>
      <c r="D733" s="486"/>
      <c r="E733" s="486"/>
      <c r="F733" s="528"/>
      <c r="G733" s="486"/>
      <c r="H733" s="486" t="s">
        <v>5917</v>
      </c>
      <c r="I733" s="491"/>
      <c r="J733" s="491"/>
      <c r="K733" s="491"/>
      <c r="L733" s="491"/>
      <c r="M733" s="486"/>
      <c r="N733" s="422"/>
      <c r="O733" s="422"/>
      <c r="P733" s="422"/>
      <c r="Q733" s="486"/>
      <c r="R733" s="491"/>
      <c r="S733" s="491"/>
      <c r="T733" s="491"/>
      <c r="U733" s="491"/>
      <c r="V733" s="491"/>
      <c r="W733" s="493"/>
      <c r="X733" s="486"/>
      <c r="Y733" s="442"/>
      <c r="Z733" s="491"/>
      <c r="AA733" s="524" t="str">
        <f>AC198</f>
        <v/>
      </c>
      <c r="AB733" s="494"/>
      <c r="AC733" s="436"/>
      <c r="AD733" s="495"/>
      <c r="AE733" s="491"/>
      <c r="AF733" s="491"/>
      <c r="AG733" s="525" t="str">
        <f>AI198</f>
        <v/>
      </c>
      <c r="AH733" s="491"/>
      <c r="AI733" s="446"/>
      <c r="AJ733" s="491"/>
      <c r="AK733" s="500"/>
      <c r="AL733" s="436"/>
      <c r="AM733" s="438"/>
      <c r="AN733" s="531"/>
      <c r="AO733" s="491"/>
      <c r="AP733" s="438"/>
      <c r="AQ733" s="438"/>
      <c r="AR733" s="438"/>
      <c r="AS733" s="438"/>
      <c r="AT733" s="438"/>
      <c r="AU733" s="438"/>
      <c r="AV733" s="438"/>
      <c r="AW733" s="450">
        <f>AW198</f>
        <v>372.1068691</v>
      </c>
    </row>
    <row r="734">
      <c r="A734" s="436" t="s">
        <v>1415</v>
      </c>
      <c r="B734" s="436" t="s">
        <v>1415</v>
      </c>
      <c r="C734" s="436"/>
      <c r="D734" s="436" t="s">
        <v>158</v>
      </c>
      <c r="E734" s="436"/>
      <c r="F734" s="436" t="s">
        <v>2599</v>
      </c>
      <c r="G734" s="436" t="s">
        <v>169</v>
      </c>
      <c r="H734" s="436" t="s">
        <v>160</v>
      </c>
      <c r="I734" s="436" t="s">
        <v>1963</v>
      </c>
      <c r="J734" s="436">
        <v>3630.78055</v>
      </c>
      <c r="K734" s="436"/>
      <c r="L734" s="438"/>
      <c r="M734" s="453"/>
      <c r="N734" s="422">
        <v>16.189</v>
      </c>
      <c r="O734" s="422">
        <v>10.962</v>
      </c>
      <c r="P734" s="422"/>
      <c r="Q734" s="436" t="s">
        <v>2183</v>
      </c>
      <c r="R734" s="436" t="s">
        <v>2184</v>
      </c>
      <c r="S734" s="436" t="s">
        <v>1964</v>
      </c>
      <c r="T734" s="419" t="s">
        <v>162</v>
      </c>
      <c r="U734" s="436" t="s">
        <v>2185</v>
      </c>
      <c r="V734" s="451">
        <v>1.83746E29</v>
      </c>
      <c r="W734" s="458">
        <v>0.9772372209558107</v>
      </c>
      <c r="X734" s="438"/>
      <c r="Y734" s="442">
        <f>IF((W734/((J734/5780)^4))^0.5&gt;0,(W734/((J734/5780)^4))^0.5,"")</f>
        <v>2.505276567</v>
      </c>
      <c r="Z734" s="442"/>
      <c r="AA734" s="443"/>
      <c r="AB734" s="443"/>
      <c r="AC734" s="436" t="str">
        <f>IF(ISNUMBER(VLOOKUP(B734,'New Masses'!A:C,3,FALSE)),VLOOKUP(B734,'New Masses'!A:C,3,FALSE),"")</f>
        <v/>
      </c>
      <c r="AD734" s="440">
        <f>10^AE734</f>
        <v>0.000000002238721139</v>
      </c>
      <c r="AE734" s="436">
        <v>-8.65</v>
      </c>
      <c r="AF734" s="438"/>
      <c r="AG734" s="459">
        <f>10^AJ734</f>
        <v>0.4073802778</v>
      </c>
      <c r="AH734" s="436"/>
      <c r="AI734" s="446" t="str">
        <f>IF(ISNUMBER(VLOOKUP(B734,'New Masses'!A:C,2, FALSE)),VLOOKUP(B734,'New Masses'!A:C,2, FALSE),"")</f>
        <v/>
      </c>
      <c r="AJ734" s="436">
        <v>-0.39</v>
      </c>
      <c r="AK734" s="436"/>
      <c r="AL734" s="436">
        <v>-1.88</v>
      </c>
      <c r="AM734" s="438"/>
      <c r="AN734" s="436">
        <v>1.0</v>
      </c>
      <c r="AO734" s="438"/>
      <c r="AP734" s="436"/>
      <c r="AQ734" s="438"/>
      <c r="AR734" s="438"/>
      <c r="AS734" s="420" t="str">
        <f>VLOOKUP(B734,natta06!A:F,6,FALSE)</f>
        <v>#REF!</v>
      </c>
      <c r="AT734" s="438" t="s">
        <v>5916</v>
      </c>
      <c r="AU734" s="438"/>
      <c r="AV734" s="438"/>
      <c r="AW734" s="450"/>
    </row>
    <row r="735">
      <c r="A735" s="435" t="str">
        <f t="shared" ref="A735:C735" si="635">A200</f>
        <v>2MASS J05384448-0240376</v>
      </c>
      <c r="B735" s="485" t="str">
        <f t="shared" si="635"/>
        <v>SO700</v>
      </c>
      <c r="C735" s="486" t="str">
        <f t="shared" si="635"/>
        <v/>
      </c>
      <c r="D735" s="486"/>
      <c r="E735" s="486"/>
      <c r="F735" s="528"/>
      <c r="G735" s="486"/>
      <c r="H735" s="486" t="s">
        <v>5917</v>
      </c>
      <c r="I735" s="491"/>
      <c r="J735" s="491"/>
      <c r="K735" s="491"/>
      <c r="L735" s="491"/>
      <c r="M735" s="486"/>
      <c r="N735" s="422"/>
      <c r="O735" s="422"/>
      <c r="P735" s="422"/>
      <c r="Q735" s="486"/>
      <c r="R735" s="491"/>
      <c r="S735" s="491"/>
      <c r="T735" s="491"/>
      <c r="U735" s="491"/>
      <c r="V735" s="491"/>
      <c r="W735" s="493"/>
      <c r="X735" s="486"/>
      <c r="Y735" s="442"/>
      <c r="Z735" s="491"/>
      <c r="AA735" s="524" t="str">
        <f>AC200</f>
        <v/>
      </c>
      <c r="AB735" s="494"/>
      <c r="AC735" s="436"/>
      <c r="AD735" s="495"/>
      <c r="AE735" s="491"/>
      <c r="AF735" s="491"/>
      <c r="AG735" s="525" t="str">
        <f>AI200</f>
        <v/>
      </c>
      <c r="AH735" s="491"/>
      <c r="AI735" s="446"/>
      <c r="AJ735" s="491"/>
      <c r="AK735" s="500"/>
      <c r="AL735" s="436"/>
      <c r="AM735" s="438"/>
      <c r="AN735" s="531"/>
      <c r="AO735" s="491"/>
      <c r="AP735" s="438"/>
      <c r="AQ735" s="438"/>
      <c r="AR735" s="438"/>
      <c r="AS735" s="438"/>
      <c r="AT735" s="438"/>
      <c r="AU735" s="438"/>
      <c r="AV735" s="438"/>
      <c r="AW735" s="450">
        <f>AW200</f>
        <v>314.8515475</v>
      </c>
    </row>
    <row r="736">
      <c r="A736" s="436" t="s">
        <v>1462</v>
      </c>
      <c r="B736" s="436" t="s">
        <v>1462</v>
      </c>
      <c r="C736" s="419"/>
      <c r="D736" s="436" t="s">
        <v>158</v>
      </c>
      <c r="E736" s="436"/>
      <c r="F736" s="436" t="s">
        <v>2600</v>
      </c>
      <c r="G736" s="436" t="s">
        <v>169</v>
      </c>
      <c r="H736" s="436" t="s">
        <v>1309</v>
      </c>
      <c r="I736" s="436" t="s">
        <v>2409</v>
      </c>
      <c r="J736" s="436">
        <v>4730.0</v>
      </c>
      <c r="K736" s="436"/>
      <c r="L736" s="436" t="s">
        <v>1471</v>
      </c>
      <c r="M736" s="457">
        <v>2.0</v>
      </c>
      <c r="N736" s="422">
        <v>11.322</v>
      </c>
      <c r="O736" s="422">
        <v>7.806</v>
      </c>
      <c r="P736" s="422">
        <v>17.66</v>
      </c>
      <c r="Q736" s="436" t="s">
        <v>2410</v>
      </c>
      <c r="R736" s="436" t="s">
        <v>2601</v>
      </c>
      <c r="S736" s="436" t="s">
        <v>2412</v>
      </c>
      <c r="T736" s="436" t="s">
        <v>596</v>
      </c>
      <c r="U736" s="436" t="s">
        <v>2413</v>
      </c>
      <c r="V736" s="440"/>
      <c r="W736" s="441">
        <v>3.1</v>
      </c>
      <c r="X736" s="454"/>
      <c r="Y736" s="442">
        <f t="shared" ref="Y736:Y737" si="636">IF((W736/((J736/5780)^4))^0.5&gt;0,(W736/((J736/5780)^4))^0.5,"")</f>
        <v>2.629143206</v>
      </c>
      <c r="Z736" s="442"/>
      <c r="AA736" s="443"/>
      <c r="AB736" s="443"/>
      <c r="AC736" s="436" t="str">
        <f>IF(ISNUMBER(VLOOKUP(B736,'New Masses'!A:C,3,FALSE)),VLOOKUP(B736,'New Masses'!A:C,3,FALSE),"")</f>
        <v/>
      </c>
      <c r="AD736" s="440">
        <f t="shared" ref="AD736:AD737" si="637">10^AE736</f>
        <v>0.000000005248074602</v>
      </c>
      <c r="AE736" s="436">
        <v>-8.28</v>
      </c>
      <c r="AF736" s="438"/>
      <c r="AG736" s="459">
        <v>1.0</v>
      </c>
      <c r="AH736" s="436"/>
      <c r="AI736" s="446" t="str">
        <f>IF(ISNUMBER(VLOOKUP(B736,'New Masses'!A:C,2, FALSE)),VLOOKUP(B736,'New Masses'!A:C,2, FALSE),"")</f>
        <v/>
      </c>
      <c r="AJ736" s="436">
        <f>LOG10(AG736)</f>
        <v>0</v>
      </c>
      <c r="AK736" s="438"/>
      <c r="AL736" s="438"/>
      <c r="AM736" s="436" t="s">
        <v>2407</v>
      </c>
      <c r="AN736" s="436">
        <v>1.0</v>
      </c>
      <c r="AO736" s="438"/>
      <c r="AP736" s="438"/>
      <c r="AQ736" s="438"/>
      <c r="AR736" s="438"/>
      <c r="AS736" s="438"/>
      <c r="AT736" s="438"/>
      <c r="AU736" s="438"/>
      <c r="AV736" s="438"/>
      <c r="AW736" s="450">
        <v>137.854976564653</v>
      </c>
    </row>
    <row r="737">
      <c r="A737" s="436" t="s">
        <v>1462</v>
      </c>
      <c r="B737" s="436" t="s">
        <v>1462</v>
      </c>
      <c r="C737" s="419"/>
      <c r="D737" s="436" t="s">
        <v>158</v>
      </c>
      <c r="E737" s="436"/>
      <c r="F737" s="436" t="s">
        <v>2600</v>
      </c>
      <c r="G737" s="436" t="s">
        <v>169</v>
      </c>
      <c r="H737" s="436" t="s">
        <v>160</v>
      </c>
      <c r="I737" s="436" t="s">
        <v>1963</v>
      </c>
      <c r="J737" s="436">
        <v>4265.79519</v>
      </c>
      <c r="K737" s="436"/>
      <c r="L737" s="438"/>
      <c r="M737" s="453"/>
      <c r="N737" s="422">
        <v>11.322</v>
      </c>
      <c r="O737" s="422">
        <v>7.806</v>
      </c>
      <c r="P737" s="422">
        <v>17.66</v>
      </c>
      <c r="Q737" s="436" t="s">
        <v>2183</v>
      </c>
      <c r="R737" s="436" t="s">
        <v>2184</v>
      </c>
      <c r="S737" s="436" t="s">
        <v>1964</v>
      </c>
      <c r="T737" s="419" t="s">
        <v>162</v>
      </c>
      <c r="U737" s="436" t="s">
        <v>2185</v>
      </c>
      <c r="V737" s="451">
        <v>2.10969E30</v>
      </c>
      <c r="W737" s="458">
        <v>3.0902954325135905</v>
      </c>
      <c r="X737" s="438"/>
      <c r="Y737" s="442">
        <f t="shared" si="636"/>
        <v>3.227421416</v>
      </c>
      <c r="Z737" s="442"/>
      <c r="AA737" s="443"/>
      <c r="AB737" s="443"/>
      <c r="AC737" s="436" t="str">
        <f>IF(ISNUMBER(VLOOKUP(B737,'New Masses'!A:C,3,FALSE)),VLOOKUP(B737,'New Masses'!A:C,3,FALSE),"")</f>
        <v/>
      </c>
      <c r="AD737" s="440">
        <f t="shared" si="637"/>
        <v>0.00000004073802778</v>
      </c>
      <c r="AE737" s="436">
        <v>-7.39</v>
      </c>
      <c r="AF737" s="438"/>
      <c r="AG737" s="459">
        <f>10^AJ737</f>
        <v>0.8128305162</v>
      </c>
      <c r="AH737" s="436"/>
      <c r="AI737" s="446" t="str">
        <f>IF(ISNUMBER(VLOOKUP(B737,'New Masses'!A:C,2, FALSE)),VLOOKUP(B737,'New Masses'!A:C,2, FALSE),"")</f>
        <v/>
      </c>
      <c r="AJ737" s="436">
        <v>-0.09</v>
      </c>
      <c r="AK737" s="436"/>
      <c r="AL737" s="436">
        <v>-0.43</v>
      </c>
      <c r="AM737" s="438"/>
      <c r="AN737" s="436">
        <v>1.0</v>
      </c>
      <c r="AO737" s="438"/>
      <c r="AP737" s="438"/>
      <c r="AQ737" s="438"/>
      <c r="AR737" s="438"/>
      <c r="AS737" s="420" t="str">
        <f>VLOOKUP(B737,natta06!A:F,6,FALSE)</f>
        <v>#REF!</v>
      </c>
      <c r="AT737" s="438"/>
      <c r="AU737" s="438"/>
      <c r="AV737" s="438"/>
      <c r="AW737" s="450">
        <v>137.854976564653</v>
      </c>
    </row>
    <row r="738">
      <c r="A738" s="435" t="str">
        <f t="shared" ref="A738:C738" si="638">A203</f>
        <v>#REF!</v>
      </c>
      <c r="B738" s="485" t="str">
        <f t="shared" si="638"/>
        <v>#REF!</v>
      </c>
      <c r="C738" s="486" t="str">
        <f t="shared" si="638"/>
        <v>#REF!</v>
      </c>
      <c r="D738" s="486"/>
      <c r="E738" s="486"/>
      <c r="F738" s="528"/>
      <c r="G738" s="486"/>
      <c r="H738" s="486" t="s">
        <v>5917</v>
      </c>
      <c r="I738" s="491"/>
      <c r="J738" s="491"/>
      <c r="K738" s="491"/>
      <c r="L738" s="491"/>
      <c r="M738" s="486"/>
      <c r="N738" s="422"/>
      <c r="O738" s="422"/>
      <c r="P738" s="422"/>
      <c r="Q738" s="486"/>
      <c r="R738" s="491"/>
      <c r="S738" s="491"/>
      <c r="T738" s="491"/>
      <c r="U738" s="491"/>
      <c r="V738" s="491"/>
      <c r="W738" s="493"/>
      <c r="X738" s="486"/>
      <c r="Y738" s="442"/>
      <c r="Z738" s="491"/>
      <c r="AA738" s="524" t="str">
        <f t="shared" ref="AA738:AA739" si="640">AC203</f>
        <v/>
      </c>
      <c r="AB738" s="494"/>
      <c r="AC738" s="436"/>
      <c r="AD738" s="495"/>
      <c r="AE738" s="491"/>
      <c r="AF738" s="491"/>
      <c r="AG738" s="525" t="str">
        <f t="shared" ref="AG738:AG739" si="641">AI203</f>
        <v/>
      </c>
      <c r="AH738" s="491"/>
      <c r="AI738" s="446"/>
      <c r="AJ738" s="491"/>
      <c r="AK738" s="500"/>
      <c r="AL738" s="436"/>
      <c r="AM738" s="438"/>
      <c r="AN738" s="531"/>
      <c r="AO738" s="491"/>
      <c r="AP738" s="438"/>
      <c r="AQ738" s="438"/>
      <c r="AR738" s="438"/>
      <c r="AS738" s="438"/>
      <c r="AT738" s="438"/>
      <c r="AU738" s="438"/>
      <c r="AV738" s="438"/>
      <c r="AW738" s="450" t="str">
        <f t="shared" ref="AW738:AW739" si="642">AW203</f>
        <v>#REF!</v>
      </c>
    </row>
    <row r="739">
      <c r="A739" s="435" t="str">
        <f t="shared" ref="A739:C739" si="639">A204</f>
        <v>2MASS J05384818-0244007</v>
      </c>
      <c r="B739" s="485" t="str">
        <f t="shared" si="639"/>
        <v>SO739</v>
      </c>
      <c r="C739" s="486" t="str">
        <f t="shared" si="639"/>
        <v/>
      </c>
      <c r="D739" s="486"/>
      <c r="E739" s="486"/>
      <c r="F739" s="528"/>
      <c r="G739" s="486"/>
      <c r="H739" s="486" t="s">
        <v>5917</v>
      </c>
      <c r="I739" s="491"/>
      <c r="J739" s="491"/>
      <c r="K739" s="491"/>
      <c r="L739" s="491"/>
      <c r="M739" s="486"/>
      <c r="N739" s="422"/>
      <c r="O739" s="422"/>
      <c r="P739" s="422"/>
      <c r="Q739" s="486"/>
      <c r="R739" s="491"/>
      <c r="S739" s="491"/>
      <c r="T739" s="491"/>
      <c r="U739" s="491"/>
      <c r="V739" s="491"/>
      <c r="W739" s="493"/>
      <c r="X739" s="486"/>
      <c r="Y739" s="442"/>
      <c r="Z739" s="491"/>
      <c r="AA739" s="524" t="str">
        <f t="shared" si="640"/>
        <v/>
      </c>
      <c r="AB739" s="494"/>
      <c r="AC739" s="436"/>
      <c r="AD739" s="495"/>
      <c r="AE739" s="491"/>
      <c r="AF739" s="491"/>
      <c r="AG739" s="525" t="str">
        <f t="shared" si="641"/>
        <v/>
      </c>
      <c r="AH739" s="491"/>
      <c r="AI739" s="446"/>
      <c r="AJ739" s="491"/>
      <c r="AK739" s="500"/>
      <c r="AL739" s="436"/>
      <c r="AM739" s="438"/>
      <c r="AN739" s="531"/>
      <c r="AO739" s="491"/>
      <c r="AP739" s="438"/>
      <c r="AQ739" s="438"/>
      <c r="AR739" s="438"/>
      <c r="AS739" s="438"/>
      <c r="AT739" s="438"/>
      <c r="AU739" s="438"/>
      <c r="AV739" s="438"/>
      <c r="AW739" s="450">
        <f t="shared" si="642"/>
        <v>427.4783055</v>
      </c>
    </row>
    <row r="740">
      <c r="A740" s="436" t="s">
        <v>1362</v>
      </c>
      <c r="B740" s="436" t="s">
        <v>1362</v>
      </c>
      <c r="C740" s="436"/>
      <c r="D740" s="436" t="s">
        <v>158</v>
      </c>
      <c r="E740" s="436"/>
      <c r="F740" s="436" t="s">
        <v>2602</v>
      </c>
      <c r="G740" s="436" t="s">
        <v>159</v>
      </c>
      <c r="H740" s="436" t="s">
        <v>160</v>
      </c>
      <c r="I740" s="436" t="s">
        <v>1963</v>
      </c>
      <c r="J740" s="436">
        <v>3019.95172</v>
      </c>
      <c r="K740" s="436"/>
      <c r="L740" s="436" t="s">
        <v>402</v>
      </c>
      <c r="M740" s="439"/>
      <c r="N740" s="422">
        <v>11.277</v>
      </c>
      <c r="O740" s="422">
        <v>9.668</v>
      </c>
      <c r="P740" s="422">
        <v>16.16</v>
      </c>
      <c r="Q740" s="436" t="s">
        <v>2183</v>
      </c>
      <c r="R740" s="436" t="s">
        <v>2184</v>
      </c>
      <c r="S740" s="436" t="s">
        <v>1964</v>
      </c>
      <c r="T740" s="419" t="s">
        <v>162</v>
      </c>
      <c r="U740" s="436" t="s">
        <v>2185</v>
      </c>
      <c r="V740" s="451">
        <v>2.0617E28</v>
      </c>
      <c r="W740" s="458">
        <v>0.23988329190194904</v>
      </c>
      <c r="X740" s="438"/>
      <c r="Y740" s="442">
        <f>IF((W740/((J740/5780)^4))^0.5&gt;0,(W740/((J740/5780)^4))^0.5,"")</f>
        <v>1.794137307</v>
      </c>
      <c r="Z740" s="442"/>
      <c r="AA740" s="443"/>
      <c r="AB740" s="443"/>
      <c r="AC740" s="436" t="str">
        <f>IF(ISNUMBER(VLOOKUP(B740,'New Masses'!A:C,3,FALSE)),VLOOKUP(B740,'New Masses'!A:C,3,FALSE),"")</f>
        <v/>
      </c>
      <c r="AD740" s="440">
        <f>10^AE740</f>
        <v>0.00000000019498446</v>
      </c>
      <c r="AE740" s="436">
        <v>-9.71</v>
      </c>
      <c r="AF740" s="438"/>
      <c r="AG740" s="459">
        <f>10^AJ740</f>
        <v>0.1737800829</v>
      </c>
      <c r="AH740" s="436"/>
      <c r="AI740" s="446" t="str">
        <f>IF(ISNUMBER(VLOOKUP(B740,'New Masses'!A:C,2, FALSE)),VLOOKUP(B740,'New Masses'!A:C,2, FALSE),"")</f>
        <v/>
      </c>
      <c r="AJ740" s="436">
        <v>-0.76</v>
      </c>
      <c r="AK740" s="436"/>
      <c r="AL740" s="436">
        <v>-3.17</v>
      </c>
      <c r="AM740" s="438"/>
      <c r="AN740" s="436">
        <v>1.0</v>
      </c>
      <c r="AO740" s="438"/>
      <c r="AP740" s="436"/>
      <c r="AQ740" s="436"/>
      <c r="AR740" s="438"/>
      <c r="AS740" s="420" t="str">
        <f>VLOOKUP(B740,natta06!A:F,6,FALSE)</f>
        <v>#REF!</v>
      </c>
      <c r="AT740" s="438" t="s">
        <v>5916</v>
      </c>
      <c r="AU740" s="438" t="s">
        <v>1363</v>
      </c>
      <c r="AV740" s="438"/>
      <c r="AW740" s="450">
        <v>143.905597927759</v>
      </c>
    </row>
    <row r="741">
      <c r="A741" s="435" t="str">
        <f t="shared" ref="A741:C741" si="643">A206</f>
        <v>2MASS J05385060-0242429</v>
      </c>
      <c r="B741" s="485" t="str">
        <f t="shared" si="643"/>
        <v>SO762</v>
      </c>
      <c r="C741" s="486" t="str">
        <f t="shared" si="643"/>
        <v/>
      </c>
      <c r="D741" s="486"/>
      <c r="E741" s="486"/>
      <c r="F741" s="528"/>
      <c r="G741" s="486"/>
      <c r="H741" s="486" t="s">
        <v>5917</v>
      </c>
      <c r="I741" s="491"/>
      <c r="J741" s="491"/>
      <c r="K741" s="491"/>
      <c r="L741" s="491"/>
      <c r="M741" s="486"/>
      <c r="N741" s="422"/>
      <c r="O741" s="422"/>
      <c r="P741" s="422"/>
      <c r="Q741" s="486"/>
      <c r="R741" s="491"/>
      <c r="S741" s="491"/>
      <c r="T741" s="491"/>
      <c r="U741" s="491"/>
      <c r="V741" s="491"/>
      <c r="W741" s="493"/>
      <c r="X741" s="486"/>
      <c r="Y741" s="442"/>
      <c r="Z741" s="491"/>
      <c r="AA741" s="524" t="str">
        <f>AC206</f>
        <v/>
      </c>
      <c r="AB741" s="494"/>
      <c r="AC741" s="436"/>
      <c r="AD741" s="495"/>
      <c r="AE741" s="491"/>
      <c r="AF741" s="491"/>
      <c r="AG741" s="525" t="str">
        <f>AI206</f>
        <v/>
      </c>
      <c r="AH741" s="491"/>
      <c r="AI741" s="446"/>
      <c r="AJ741" s="491"/>
      <c r="AK741" s="500"/>
      <c r="AL741" s="436"/>
      <c r="AM741" s="438"/>
      <c r="AN741" s="531"/>
      <c r="AO741" s="491"/>
      <c r="AP741" s="438"/>
      <c r="AQ741" s="438"/>
      <c r="AR741" s="438"/>
      <c r="AS741" s="438"/>
      <c r="AT741" s="438"/>
      <c r="AU741" s="438"/>
      <c r="AV741" s="438"/>
      <c r="AW741" s="450">
        <f>AW206</f>
        <v>398.8513082</v>
      </c>
    </row>
    <row r="742">
      <c r="A742" s="436" t="s">
        <v>167</v>
      </c>
      <c r="B742" s="436" t="s">
        <v>167</v>
      </c>
      <c r="C742" s="436"/>
      <c r="D742" s="436" t="s">
        <v>158</v>
      </c>
      <c r="E742" s="436"/>
      <c r="F742" s="436" t="s">
        <v>2603</v>
      </c>
      <c r="G742" s="436" t="s">
        <v>169</v>
      </c>
      <c r="H742" s="436" t="s">
        <v>160</v>
      </c>
      <c r="I742" s="436" t="s">
        <v>1963</v>
      </c>
      <c r="J742" s="436">
        <v>2884.0315</v>
      </c>
      <c r="K742" s="436"/>
      <c r="L742" s="438"/>
      <c r="M742" s="453"/>
      <c r="N742" s="422">
        <v>12.713</v>
      </c>
      <c r="O742" s="422">
        <v>10.881</v>
      </c>
      <c r="P742" s="422"/>
      <c r="Q742" s="436" t="s">
        <v>2183</v>
      </c>
      <c r="R742" s="436" t="s">
        <v>2184</v>
      </c>
      <c r="S742" s="436" t="s">
        <v>1964</v>
      </c>
      <c r="T742" s="419" t="s">
        <v>162</v>
      </c>
      <c r="U742" s="436" t="s">
        <v>2185</v>
      </c>
      <c r="V742" s="451">
        <v>1.1072E28</v>
      </c>
      <c r="W742" s="458">
        <v>0.11220184543019636</v>
      </c>
      <c r="X742" s="438"/>
      <c r="Y742" s="442">
        <f>IF((W742/((J742/5780)^4))^0.5&gt;0,(W742/((J742/5780)^4))^0.5,"")</f>
        <v>1.34541318</v>
      </c>
      <c r="Z742" s="442"/>
      <c r="AA742" s="443"/>
      <c r="AB742" s="443"/>
      <c r="AC742" s="436" t="str">
        <f>IF(ISNUMBER(VLOOKUP(B742,'New Masses'!A:C,3,FALSE)),VLOOKUP(B742,'New Masses'!A:C,3,FALSE),"")</f>
        <v/>
      </c>
      <c r="AD742" s="440">
        <f>10^AE742</f>
        <v>0.000000002884031503</v>
      </c>
      <c r="AE742" s="436">
        <v>-8.54</v>
      </c>
      <c r="AF742" s="438"/>
      <c r="AG742" s="459">
        <f>10^AJ742</f>
        <v>0.1096478196</v>
      </c>
      <c r="AH742" s="436"/>
      <c r="AI742" s="446" t="str">
        <f>IF(ISNUMBER(VLOOKUP(B742,'New Masses'!A:C,2, FALSE)),VLOOKUP(B742,'New Masses'!A:C,2, FALSE),"")</f>
        <v/>
      </c>
      <c r="AJ742" s="436">
        <v>-0.96</v>
      </c>
      <c r="AK742" s="436"/>
      <c r="AL742" s="436">
        <v>-2.08</v>
      </c>
      <c r="AM742" s="438"/>
      <c r="AN742" s="436">
        <v>1.0</v>
      </c>
      <c r="AO742" s="438"/>
      <c r="AP742" s="436"/>
      <c r="AQ742" s="438"/>
      <c r="AR742" s="438"/>
      <c r="AS742" s="420" t="str">
        <f>VLOOKUP(B742,natta06!A:F,6,FALSE)</f>
        <v>#REF!</v>
      </c>
      <c r="AT742" s="438" t="s">
        <v>5916</v>
      </c>
      <c r="AU742" s="438"/>
      <c r="AV742" s="438"/>
      <c r="AW742" s="450">
        <v>143.270580818934</v>
      </c>
    </row>
    <row r="743">
      <c r="A743" s="435" t="str">
        <f t="shared" ref="A743:C743" si="644">A208</f>
        <v>2MASS J05385831-0216101</v>
      </c>
      <c r="B743" s="485" t="str">
        <f t="shared" si="644"/>
        <v>SO818</v>
      </c>
      <c r="C743" s="486" t="str">
        <f t="shared" si="644"/>
        <v/>
      </c>
      <c r="D743" s="486"/>
      <c r="E743" s="486"/>
      <c r="F743" s="528"/>
      <c r="G743" s="486"/>
      <c r="H743" s="486" t="s">
        <v>5917</v>
      </c>
      <c r="I743" s="491"/>
      <c r="J743" s="491"/>
      <c r="K743" s="491"/>
      <c r="L743" s="491"/>
      <c r="M743" s="486"/>
      <c r="N743" s="422"/>
      <c r="O743" s="422"/>
      <c r="P743" s="422"/>
      <c r="Q743" s="486"/>
      <c r="R743" s="491"/>
      <c r="S743" s="491"/>
      <c r="T743" s="491"/>
      <c r="U743" s="491"/>
      <c r="V743" s="491"/>
      <c r="W743" s="493"/>
      <c r="X743" s="486"/>
      <c r="Y743" s="442"/>
      <c r="Z743" s="491"/>
      <c r="AA743" s="524" t="str">
        <f>AC208</f>
        <v/>
      </c>
      <c r="AB743" s="494"/>
      <c r="AC743" s="436"/>
      <c r="AD743" s="495"/>
      <c r="AE743" s="491"/>
      <c r="AF743" s="491"/>
      <c r="AG743" s="525" t="str">
        <f>AI208</f>
        <v/>
      </c>
      <c r="AH743" s="491"/>
      <c r="AI743" s="446"/>
      <c r="AJ743" s="491"/>
      <c r="AK743" s="500"/>
      <c r="AL743" s="436"/>
      <c r="AM743" s="438"/>
      <c r="AN743" s="531"/>
      <c r="AO743" s="491"/>
      <c r="AP743" s="438"/>
      <c r="AQ743" s="438"/>
      <c r="AR743" s="438"/>
      <c r="AS743" s="438"/>
      <c r="AT743" s="438"/>
      <c r="AU743" s="438"/>
      <c r="AV743" s="438"/>
      <c r="AW743" s="450">
        <f>AW208</f>
        <v>398.6922893</v>
      </c>
    </row>
    <row r="744">
      <c r="A744" s="535" t="s">
        <v>1329</v>
      </c>
      <c r="B744" s="535" t="s">
        <v>1329</v>
      </c>
      <c r="C744" s="420"/>
      <c r="D744" s="420" t="s">
        <v>158</v>
      </c>
      <c r="E744" s="420"/>
      <c r="F744" s="420" t="s">
        <v>2604</v>
      </c>
      <c r="G744" s="420" t="s">
        <v>159</v>
      </c>
      <c r="H744" s="420" t="s">
        <v>160</v>
      </c>
      <c r="I744" s="420" t="s">
        <v>1963</v>
      </c>
      <c r="J744" s="436">
        <v>2754.2287</v>
      </c>
      <c r="K744" s="436"/>
      <c r="L744" s="420" t="s">
        <v>415</v>
      </c>
      <c r="M744" s="429"/>
      <c r="N744" s="422">
        <v>11.994</v>
      </c>
      <c r="O744" s="422">
        <v>11.146</v>
      </c>
      <c r="P744" s="422">
        <v>14.67</v>
      </c>
      <c r="Q744" s="420" t="s">
        <v>2183</v>
      </c>
      <c r="R744" s="438"/>
      <c r="S744" s="438" t="s">
        <v>1964</v>
      </c>
      <c r="T744" s="421" t="s">
        <v>162</v>
      </c>
      <c r="U744" s="420" t="s">
        <v>2185</v>
      </c>
      <c r="V744" s="451"/>
      <c r="W744" s="458"/>
      <c r="X744" s="438"/>
      <c r="Y744" s="442" t="str">
        <f>IF((W744/((J744/5780)^4))^0.5&gt;0,(W744/((J744/5780)^4))^0.5,"")</f>
        <v/>
      </c>
      <c r="Z744" s="442"/>
      <c r="AA744" s="443"/>
      <c r="AB744" s="443"/>
      <c r="AC744" s="436" t="str">
        <f>IF(ISNUMBER(VLOOKUP(B744,'New Masses'!A:C,3,FALSE)),VLOOKUP(B744,'New Masses'!A:C,3,FALSE),"")</f>
        <v/>
      </c>
      <c r="AD744" s="440">
        <f>10^AE744</f>
        <v>0.0000000001380384265</v>
      </c>
      <c r="AE744" s="436">
        <v>-9.86</v>
      </c>
      <c r="AF744" s="438"/>
      <c r="AG744" s="459">
        <f>10^AJ744</f>
        <v>0.06918309709</v>
      </c>
      <c r="AH744" s="438"/>
      <c r="AI744" s="446" t="str">
        <f>IF(ISNUMBER(VLOOKUP(B744,'New Masses'!A:C,2, FALSE)),VLOOKUP(B744,'New Masses'!A:C,2, FALSE),"")</f>
        <v/>
      </c>
      <c r="AJ744" s="436">
        <v>-1.16</v>
      </c>
      <c r="AK744" s="436"/>
      <c r="AL744" s="511">
        <v>-3.46</v>
      </c>
      <c r="AM744" s="436"/>
      <c r="AN744" s="436">
        <v>1.0</v>
      </c>
      <c r="AO744" s="438"/>
      <c r="AP744" s="436">
        <v>0.0</v>
      </c>
      <c r="AQ744" s="438"/>
      <c r="AR744" s="420" t="s">
        <v>664</v>
      </c>
      <c r="AS744" s="420" t="str">
        <f>VLOOKUP(B744,natta06!A:F,6,FALSE)</f>
        <v>#REF!</v>
      </c>
      <c r="AT744" s="438" t="s">
        <v>5916</v>
      </c>
      <c r="AU744" s="420" t="s">
        <v>1304</v>
      </c>
      <c r="AV744" s="438"/>
      <c r="AW744" s="450">
        <v>95.8276635299078</v>
      </c>
    </row>
    <row r="745">
      <c r="A745" s="435" t="str">
        <f t="shared" ref="A745:C745" si="645">A210</f>
        <v>2MASS J05390193-0235029</v>
      </c>
      <c r="B745" s="485" t="str">
        <f t="shared" si="645"/>
        <v>SO848</v>
      </c>
      <c r="C745" s="486" t="str">
        <f t="shared" si="645"/>
        <v/>
      </c>
      <c r="D745" s="486"/>
      <c r="E745" s="486"/>
      <c r="F745" s="528"/>
      <c r="G745" s="486"/>
      <c r="H745" s="486" t="s">
        <v>5917</v>
      </c>
      <c r="I745" s="491"/>
      <c r="J745" s="491"/>
      <c r="K745" s="491"/>
      <c r="L745" s="491"/>
      <c r="M745" s="486"/>
      <c r="N745" s="422"/>
      <c r="O745" s="422"/>
      <c r="P745" s="422"/>
      <c r="Q745" s="486"/>
      <c r="R745" s="491"/>
      <c r="S745" s="491"/>
      <c r="T745" s="491"/>
      <c r="U745" s="491"/>
      <c r="V745" s="491"/>
      <c r="W745" s="493"/>
      <c r="X745" s="486"/>
      <c r="Y745" s="442"/>
      <c r="Z745" s="491"/>
      <c r="AA745" s="524" t="str">
        <f>AC210</f>
        <v/>
      </c>
      <c r="AB745" s="494"/>
      <c r="AC745" s="436"/>
      <c r="AD745" s="495"/>
      <c r="AE745" s="491"/>
      <c r="AF745" s="491"/>
      <c r="AG745" s="525" t="str">
        <f>AI210</f>
        <v/>
      </c>
      <c r="AH745" s="491"/>
      <c r="AI745" s="446"/>
      <c r="AJ745" s="491"/>
      <c r="AK745" s="500"/>
      <c r="AL745" s="436"/>
      <c r="AM745" s="438"/>
      <c r="AN745" s="531"/>
      <c r="AO745" s="491"/>
      <c r="AP745" s="438"/>
      <c r="AQ745" s="438"/>
      <c r="AR745" s="438"/>
      <c r="AS745" s="438"/>
      <c r="AT745" s="438"/>
      <c r="AU745" s="438"/>
      <c r="AV745" s="438"/>
      <c r="AW745" s="450">
        <f>AW210</f>
        <v>335.8635051</v>
      </c>
    </row>
    <row r="746">
      <c r="A746" s="470" t="s">
        <v>1320</v>
      </c>
      <c r="B746" s="470" t="s">
        <v>1320</v>
      </c>
      <c r="C746" s="420"/>
      <c r="D746" s="420" t="s">
        <v>158</v>
      </c>
      <c r="E746" s="420"/>
      <c r="F746" s="420" t="s">
        <v>2605</v>
      </c>
      <c r="G746" s="420" t="s">
        <v>169</v>
      </c>
      <c r="H746" s="420" t="s">
        <v>1309</v>
      </c>
      <c r="I746" s="420" t="s">
        <v>2409</v>
      </c>
      <c r="J746" s="436">
        <v>2700.0</v>
      </c>
      <c r="K746" s="419">
        <v>150.0</v>
      </c>
      <c r="L746" s="420" t="s">
        <v>353</v>
      </c>
      <c r="M746" s="422">
        <v>2.0</v>
      </c>
      <c r="N746" s="422">
        <v>14.148</v>
      </c>
      <c r="O746" s="422">
        <v>11.947</v>
      </c>
      <c r="P746" s="422"/>
      <c r="Q746" s="420" t="s">
        <v>2410</v>
      </c>
      <c r="R746" s="420" t="s">
        <v>2548</v>
      </c>
      <c r="S746" s="420" t="s">
        <v>2412</v>
      </c>
      <c r="T746" s="420" t="s">
        <v>596</v>
      </c>
      <c r="U746" s="420" t="s">
        <v>2413</v>
      </c>
      <c r="V746" s="440"/>
      <c r="W746" s="441">
        <v>0.04</v>
      </c>
      <c r="X746" s="454"/>
      <c r="Y746" s="442">
        <f t="shared" ref="Y746:Y748" si="646">IF((W746/((J746/5780)^4))^0.5&gt;0,(W746/((J746/5780)^4))^0.5,"")</f>
        <v>0.9165541838</v>
      </c>
      <c r="Z746" s="442"/>
      <c r="AA746" s="443"/>
      <c r="AB746" s="443"/>
      <c r="AC746" s="469">
        <f>IF(ISNUMBER(VLOOKUP(B746,'New Masses'!A:C,3,FALSE)),VLOOKUP(B746,'New Masses'!A:C,3,FALSE),"")</f>
        <v>0.690178</v>
      </c>
      <c r="AD746" s="451">
        <f t="shared" ref="AD746:AD748" si="647">10^AE746</f>
        <v>0.0000000002238721139</v>
      </c>
      <c r="AE746" s="436">
        <v>-9.65</v>
      </c>
      <c r="AF746" s="438"/>
      <c r="AG746" s="459">
        <v>0.05</v>
      </c>
      <c r="AH746" s="436"/>
      <c r="AI746" s="446">
        <f>IF(ISNUMBER(VLOOKUP(B746,'New Masses'!A:C,2, FALSE)),VLOOKUP(B746,'New Masses'!A:C,2, FALSE),"")</f>
        <v>0.058417</v>
      </c>
      <c r="AJ746" s="436"/>
      <c r="AK746" s="438"/>
      <c r="AL746" s="438"/>
      <c r="AM746" s="420" t="s">
        <v>2407</v>
      </c>
      <c r="AN746" s="505">
        <v>1.0</v>
      </c>
      <c r="AO746" s="506"/>
      <c r="AP746" s="505">
        <v>6.73</v>
      </c>
      <c r="AQ746" s="506"/>
      <c r="AR746" s="507" t="s">
        <v>2408</v>
      </c>
      <c r="AS746" s="507"/>
      <c r="AT746" s="506"/>
      <c r="AU746" s="506"/>
      <c r="AV746" s="506"/>
      <c r="AW746" s="450">
        <v>143.0</v>
      </c>
    </row>
    <row r="747">
      <c r="A747" s="470" t="s">
        <v>1320</v>
      </c>
      <c r="B747" s="470" t="s">
        <v>1320</v>
      </c>
      <c r="C747" s="420"/>
      <c r="D747" s="420" t="s">
        <v>158</v>
      </c>
      <c r="E747" s="420"/>
      <c r="F747" s="420" t="s">
        <v>2605</v>
      </c>
      <c r="G747" s="420" t="s">
        <v>169</v>
      </c>
      <c r="H747" s="420" t="s">
        <v>754</v>
      </c>
      <c r="I747" s="436">
        <v>2010.0</v>
      </c>
      <c r="J747" s="436">
        <v>2800.0</v>
      </c>
      <c r="K747" s="419">
        <v>50.0</v>
      </c>
      <c r="L747" s="420" t="s">
        <v>232</v>
      </c>
      <c r="M747" s="429"/>
      <c r="N747" s="422">
        <v>14.148</v>
      </c>
      <c r="O747" s="422">
        <v>11.947</v>
      </c>
      <c r="P747" s="422"/>
      <c r="Q747" s="420" t="s">
        <v>2417</v>
      </c>
      <c r="R747" s="420" t="s">
        <v>2606</v>
      </c>
      <c r="S747" s="420" t="s">
        <v>2419</v>
      </c>
      <c r="T747" s="421" t="s">
        <v>162</v>
      </c>
      <c r="U747" s="420" t="s">
        <v>1754</v>
      </c>
      <c r="V747" s="440"/>
      <c r="W747" s="474">
        <v>0.03</v>
      </c>
      <c r="X747" s="436"/>
      <c r="Y747" s="442">
        <f t="shared" si="646"/>
        <v>0.7380745689</v>
      </c>
      <c r="Z747" s="469"/>
      <c r="AA747" s="470">
        <v>0.73</v>
      </c>
      <c r="AB747" s="470">
        <v>0.03</v>
      </c>
      <c r="AC747" s="469">
        <f>IF(ISNUMBER(VLOOKUP(B747,'New Masses'!A:C,3,FALSE)),VLOOKUP(B747,'New Masses'!A:C,3,FALSE),"")</f>
        <v>0.690178</v>
      </c>
      <c r="AD747" s="451">
        <f t="shared" si="647"/>
        <v>0.0000000002754228703</v>
      </c>
      <c r="AE747" s="436">
        <v>-9.56</v>
      </c>
      <c r="AF747" s="438"/>
      <c r="AG747" s="459">
        <v>0.06</v>
      </c>
      <c r="AH747" s="436">
        <v>0.01</v>
      </c>
      <c r="AI747" s="446">
        <f>IF(ISNUMBER(VLOOKUP(B747,'New Masses'!A:C,2, FALSE)),VLOOKUP(B747,'New Masses'!A:C,2, FALSE),"")</f>
        <v>0.058417</v>
      </c>
      <c r="AJ747" s="436"/>
      <c r="AK747" s="436"/>
      <c r="AL747" s="436">
        <v>-3.25</v>
      </c>
      <c r="AM747" s="438"/>
      <c r="AN747" s="436">
        <v>1.0</v>
      </c>
      <c r="AO747" s="438"/>
      <c r="AP747" s="436">
        <v>6.73</v>
      </c>
      <c r="AQ747" s="438"/>
      <c r="AR747" s="420" t="s">
        <v>2408</v>
      </c>
      <c r="AS747" s="420"/>
      <c r="AT747" s="438"/>
      <c r="AU747" s="438"/>
      <c r="AV747" s="438"/>
      <c r="AW747" s="450">
        <v>143.0</v>
      </c>
    </row>
    <row r="748">
      <c r="A748" s="436" t="s">
        <v>1320</v>
      </c>
      <c r="B748" s="436" t="s">
        <v>1320</v>
      </c>
      <c r="C748" s="420"/>
      <c r="D748" s="420" t="s">
        <v>158</v>
      </c>
      <c r="E748" s="420"/>
      <c r="F748" s="420" t="s">
        <v>2605</v>
      </c>
      <c r="G748" s="420" t="s">
        <v>169</v>
      </c>
      <c r="H748" s="420" t="s">
        <v>160</v>
      </c>
      <c r="I748" s="420" t="s">
        <v>1963</v>
      </c>
      <c r="J748" s="436">
        <v>2691.5348</v>
      </c>
      <c r="K748" s="436"/>
      <c r="L748" s="420" t="s">
        <v>232</v>
      </c>
      <c r="M748" s="429"/>
      <c r="N748" s="422">
        <v>14.148</v>
      </c>
      <c r="O748" s="422">
        <v>11.947</v>
      </c>
      <c r="P748" s="422"/>
      <c r="Q748" s="420" t="s">
        <v>2183</v>
      </c>
      <c r="R748" s="438"/>
      <c r="S748" s="438" t="s">
        <v>1964</v>
      </c>
      <c r="T748" s="421" t="s">
        <v>162</v>
      </c>
      <c r="U748" s="420" t="s">
        <v>2185</v>
      </c>
      <c r="V748" s="451"/>
      <c r="W748" s="458">
        <v>0.026915348039269153</v>
      </c>
      <c r="X748" s="438"/>
      <c r="Y748" s="442">
        <f t="shared" si="646"/>
        <v>0.7565814311</v>
      </c>
      <c r="Z748" s="442"/>
      <c r="AA748" s="443"/>
      <c r="AB748" s="443"/>
      <c r="AC748" s="469">
        <f>IF(ISNUMBER(VLOOKUP(B748,'New Masses'!A:C,3,FALSE)),VLOOKUP(B748,'New Masses'!A:C,3,FALSE),"")</f>
        <v>0.690178</v>
      </c>
      <c r="AD748" s="440">
        <f t="shared" si="647"/>
        <v>0.0000000003630780548</v>
      </c>
      <c r="AE748" s="436">
        <v>-9.44</v>
      </c>
      <c r="AF748" s="438"/>
      <c r="AG748" s="459">
        <f>10^AJ748</f>
        <v>0.04677351413</v>
      </c>
      <c r="AH748" s="438"/>
      <c r="AI748" s="446">
        <f>IF(ISNUMBER(VLOOKUP(B748,'New Masses'!A:C,2, FALSE)),VLOOKUP(B748,'New Masses'!A:C,2, FALSE),"")</f>
        <v>0.058417</v>
      </c>
      <c r="AJ748" s="436">
        <v>-1.33</v>
      </c>
      <c r="AK748" s="436"/>
      <c r="AL748" s="489">
        <v>-3.09</v>
      </c>
      <c r="AM748" s="436"/>
      <c r="AN748" s="436">
        <v>1.0</v>
      </c>
      <c r="AO748" s="438"/>
      <c r="AP748" s="436">
        <v>6.73</v>
      </c>
      <c r="AQ748" s="438"/>
      <c r="AR748" s="420" t="s">
        <v>2408</v>
      </c>
      <c r="AS748" s="420" t="str">
        <f>VLOOKUP(B748,natta06!A:F,6,FALSE)</f>
        <v>#REF!</v>
      </c>
      <c r="AT748" s="438"/>
      <c r="AU748" s="420" t="s">
        <v>1304</v>
      </c>
      <c r="AV748" s="438"/>
      <c r="AW748" s="450">
        <v>143.0</v>
      </c>
    </row>
    <row r="749">
      <c r="A749" s="435" t="str">
        <f t="shared" ref="A749:C749" si="648">A214</f>
        <v>2MASS J05390297-0241272</v>
      </c>
      <c r="B749" s="485" t="str">
        <f t="shared" si="648"/>
        <v>SO859</v>
      </c>
      <c r="C749" s="486" t="str">
        <f t="shared" si="648"/>
        <v/>
      </c>
      <c r="D749" s="486"/>
      <c r="E749" s="486"/>
      <c r="F749" s="528"/>
      <c r="G749" s="486"/>
      <c r="H749" s="486" t="s">
        <v>5917</v>
      </c>
      <c r="I749" s="491"/>
      <c r="J749" s="491"/>
      <c r="K749" s="491"/>
      <c r="L749" s="491"/>
      <c r="M749" s="486"/>
      <c r="N749" s="422"/>
      <c r="O749" s="422"/>
      <c r="P749" s="422"/>
      <c r="Q749" s="486"/>
      <c r="R749" s="491"/>
      <c r="S749" s="491"/>
      <c r="T749" s="491"/>
      <c r="U749" s="491"/>
      <c r="V749" s="491"/>
      <c r="W749" s="493"/>
      <c r="X749" s="486"/>
      <c r="Y749" s="442"/>
      <c r="Z749" s="491"/>
      <c r="AA749" s="524" t="str">
        <f t="shared" ref="AA749:AA751" si="650">AC214</f>
        <v/>
      </c>
      <c r="AB749" s="494"/>
      <c r="AC749" s="436"/>
      <c r="AD749" s="495"/>
      <c r="AE749" s="491"/>
      <c r="AF749" s="491"/>
      <c r="AG749" s="525" t="str">
        <f t="shared" ref="AG749:AG751" si="651">AI214</f>
        <v/>
      </c>
      <c r="AH749" s="491"/>
      <c r="AI749" s="446"/>
      <c r="AJ749" s="491"/>
      <c r="AK749" s="500"/>
      <c r="AL749" s="436"/>
      <c r="AM749" s="438"/>
      <c r="AN749" s="531"/>
      <c r="AO749" s="491"/>
      <c r="AP749" s="438"/>
      <c r="AQ749" s="438"/>
      <c r="AR749" s="438"/>
      <c r="AS749" s="438"/>
      <c r="AT749" s="438"/>
      <c r="AU749" s="438"/>
      <c r="AV749" s="438"/>
      <c r="AW749" s="450">
        <f t="shared" ref="AW749:AW751" si="652">AW214</f>
        <v>410.2059234</v>
      </c>
    </row>
    <row r="750">
      <c r="A750" s="435" t="str">
        <f t="shared" ref="A750:C750" si="649">A215</f>
        <v>#REF!</v>
      </c>
      <c r="B750" s="485" t="str">
        <f t="shared" si="649"/>
        <v>#REF!</v>
      </c>
      <c r="C750" s="486" t="str">
        <f t="shared" si="649"/>
        <v>#REF!</v>
      </c>
      <c r="D750" s="486"/>
      <c r="E750" s="486"/>
      <c r="F750" s="528"/>
      <c r="G750" s="486"/>
      <c r="H750" s="486" t="s">
        <v>5917</v>
      </c>
      <c r="I750" s="491"/>
      <c r="J750" s="491"/>
      <c r="K750" s="491"/>
      <c r="L750" s="491"/>
      <c r="M750" s="486"/>
      <c r="N750" s="422"/>
      <c r="O750" s="422"/>
      <c r="P750" s="422"/>
      <c r="Q750" s="486"/>
      <c r="R750" s="491"/>
      <c r="S750" s="491"/>
      <c r="T750" s="491"/>
      <c r="U750" s="491"/>
      <c r="V750" s="491"/>
      <c r="W750" s="493"/>
      <c r="X750" s="486"/>
      <c r="Y750" s="442"/>
      <c r="Z750" s="491"/>
      <c r="AA750" s="524" t="str">
        <f t="shared" si="650"/>
        <v/>
      </c>
      <c r="AB750" s="494"/>
      <c r="AC750" s="436"/>
      <c r="AD750" s="495"/>
      <c r="AE750" s="491"/>
      <c r="AF750" s="491"/>
      <c r="AG750" s="525" t="str">
        <f t="shared" si="651"/>
        <v/>
      </c>
      <c r="AH750" s="491"/>
      <c r="AI750" s="446"/>
      <c r="AJ750" s="491"/>
      <c r="AK750" s="500"/>
      <c r="AL750" s="436"/>
      <c r="AM750" s="438"/>
      <c r="AN750" s="531"/>
      <c r="AO750" s="491"/>
      <c r="AP750" s="438"/>
      <c r="AQ750" s="438"/>
      <c r="AR750" s="438"/>
      <c r="AS750" s="438"/>
      <c r="AT750" s="438"/>
      <c r="AU750" s="438"/>
      <c r="AV750" s="438"/>
      <c r="AW750" s="450" t="str">
        <f t="shared" si="652"/>
        <v>#REF!</v>
      </c>
    </row>
    <row r="751">
      <c r="A751" s="435" t="str">
        <f t="shared" ref="A751:C751" si="653">A216</f>
        <v>2MASS J05390387-0220081</v>
      </c>
      <c r="B751" s="485" t="str">
        <f t="shared" si="653"/>
        <v>SO866</v>
      </c>
      <c r="C751" s="486" t="str">
        <f t="shared" si="653"/>
        <v/>
      </c>
      <c r="D751" s="486"/>
      <c r="E751" s="486"/>
      <c r="F751" s="528"/>
      <c r="G751" s="486"/>
      <c r="H751" s="486" t="s">
        <v>5917</v>
      </c>
      <c r="I751" s="491"/>
      <c r="J751" s="491"/>
      <c r="K751" s="491"/>
      <c r="L751" s="491"/>
      <c r="M751" s="486"/>
      <c r="N751" s="422"/>
      <c r="O751" s="422"/>
      <c r="P751" s="422"/>
      <c r="Q751" s="486"/>
      <c r="R751" s="491"/>
      <c r="S751" s="491"/>
      <c r="T751" s="491"/>
      <c r="U751" s="491"/>
      <c r="V751" s="491"/>
      <c r="W751" s="493"/>
      <c r="X751" s="486"/>
      <c r="Y751" s="442"/>
      <c r="Z751" s="491"/>
      <c r="AA751" s="524" t="str">
        <f t="shared" si="650"/>
        <v/>
      </c>
      <c r="AB751" s="494"/>
      <c r="AC751" s="436"/>
      <c r="AD751" s="495"/>
      <c r="AE751" s="491"/>
      <c r="AF751" s="491"/>
      <c r="AG751" s="525" t="str">
        <f t="shared" si="651"/>
        <v/>
      </c>
      <c r="AH751" s="491"/>
      <c r="AI751" s="446"/>
      <c r="AJ751" s="491"/>
      <c r="AK751" s="500"/>
      <c r="AL751" s="436"/>
      <c r="AM751" s="438"/>
      <c r="AN751" s="531"/>
      <c r="AO751" s="491"/>
      <c r="AP751" s="438"/>
      <c r="AQ751" s="438"/>
      <c r="AR751" s="438"/>
      <c r="AS751" s="438"/>
      <c r="AT751" s="438"/>
      <c r="AU751" s="438"/>
      <c r="AV751" s="438"/>
      <c r="AW751" s="450">
        <f t="shared" si="652"/>
        <v>347.258395</v>
      </c>
    </row>
    <row r="752">
      <c r="A752" s="436" t="s">
        <v>182</v>
      </c>
      <c r="B752" s="436" t="s">
        <v>182</v>
      </c>
      <c r="C752" s="436"/>
      <c r="D752" s="436" t="s">
        <v>158</v>
      </c>
      <c r="E752" s="436"/>
      <c r="F752" s="436" t="s">
        <v>2607</v>
      </c>
      <c r="G752" s="436" t="s">
        <v>169</v>
      </c>
      <c r="H752" s="436" t="s">
        <v>160</v>
      </c>
      <c r="I752" s="436" t="s">
        <v>1963</v>
      </c>
      <c r="J752" s="436">
        <v>3981.07171</v>
      </c>
      <c r="K752" s="436"/>
      <c r="L752" s="438"/>
      <c r="M752" s="453"/>
      <c r="N752" s="422"/>
      <c r="O752" s="422">
        <v>11.457</v>
      </c>
      <c r="P752" s="422"/>
      <c r="Q752" s="436" t="s">
        <v>2183</v>
      </c>
      <c r="R752" s="436" t="s">
        <v>2184</v>
      </c>
      <c r="S752" s="436" t="s">
        <v>1964</v>
      </c>
      <c r="T752" s="419" t="s">
        <v>162</v>
      </c>
      <c r="U752" s="436" t="s">
        <v>2185</v>
      </c>
      <c r="V752" s="451">
        <v>3.34363E29</v>
      </c>
      <c r="W752" s="458">
        <v>1.8620871366628675</v>
      </c>
      <c r="X752" s="438"/>
      <c r="Y752" s="442">
        <f>IF((W752/((J752/5780)^4))^0.5&gt;0,(W752/((J752/5780)^4))^0.5,"")</f>
        <v>2.876442361</v>
      </c>
      <c r="Z752" s="442"/>
      <c r="AA752" s="443"/>
      <c r="AB752" s="443"/>
      <c r="AC752" s="436" t="str">
        <f>IF(ISNUMBER(VLOOKUP(B752,'New Masses'!A:C,3,FALSE)),VLOOKUP(B752,'New Masses'!A:C,3,FALSE),"")</f>
        <v/>
      </c>
      <c r="AD752" s="440">
        <f>10^AE752</f>
        <v>0.00000006760829754</v>
      </c>
      <c r="AE752" s="436">
        <v>-7.17</v>
      </c>
      <c r="AF752" s="438"/>
      <c r="AG752" s="459">
        <f>10^AJ752</f>
        <v>0.6025595861</v>
      </c>
      <c r="AH752" s="436"/>
      <c r="AI752" s="446" t="str">
        <f>IF(ISNUMBER(VLOOKUP(B752,'New Masses'!A:C,2, FALSE)),VLOOKUP(B752,'New Masses'!A:C,2, FALSE),"")</f>
        <v/>
      </c>
      <c r="AJ752" s="436">
        <v>-0.22</v>
      </c>
      <c r="AK752" s="436"/>
      <c r="AL752" s="436">
        <v>-0.3</v>
      </c>
      <c r="AM752" s="438"/>
      <c r="AN752" s="436">
        <v>1.0</v>
      </c>
      <c r="AO752" s="438"/>
      <c r="AP752" s="436"/>
      <c r="AQ752" s="438"/>
      <c r="AR752" s="438"/>
      <c r="AS752" s="420" t="str">
        <f>VLOOKUP(B752,natta06!A:F,6,FALSE)</f>
        <v>#REF!</v>
      </c>
      <c r="AT752" s="438" t="s">
        <v>5916</v>
      </c>
      <c r="AU752" s="438"/>
      <c r="AV752" s="438"/>
      <c r="AW752" s="450"/>
    </row>
    <row r="753">
      <c r="A753" s="435" t="str">
        <f t="shared" ref="A753:C753" si="654">A218</f>
        <v>2MASS J05390853-0251465</v>
      </c>
      <c r="B753" s="485" t="str">
        <f t="shared" si="654"/>
        <v>SO905</v>
      </c>
      <c r="C753" s="486" t="str">
        <f t="shared" si="654"/>
        <v/>
      </c>
      <c r="D753" s="486"/>
      <c r="E753" s="486"/>
      <c r="F753" s="528"/>
      <c r="G753" s="486"/>
      <c r="H753" s="486" t="s">
        <v>5917</v>
      </c>
      <c r="I753" s="491"/>
      <c r="J753" s="491"/>
      <c r="K753" s="491"/>
      <c r="L753" s="491"/>
      <c r="M753" s="486"/>
      <c r="N753" s="422"/>
      <c r="O753" s="422"/>
      <c r="P753" s="422"/>
      <c r="Q753" s="486"/>
      <c r="R753" s="491"/>
      <c r="S753" s="491"/>
      <c r="T753" s="491"/>
      <c r="U753" s="491"/>
      <c r="V753" s="491"/>
      <c r="W753" s="493"/>
      <c r="X753" s="486"/>
      <c r="Y753" s="442"/>
      <c r="Z753" s="491"/>
      <c r="AA753" s="524" t="str">
        <f>AC218</f>
        <v/>
      </c>
      <c r="AB753" s="494"/>
      <c r="AC753" s="436"/>
      <c r="AD753" s="495"/>
      <c r="AE753" s="491"/>
      <c r="AF753" s="491"/>
      <c r="AG753" s="525" t="str">
        <f>AI218</f>
        <v/>
      </c>
      <c r="AH753" s="491"/>
      <c r="AI753" s="446"/>
      <c r="AJ753" s="491"/>
      <c r="AK753" s="500"/>
      <c r="AL753" s="436"/>
      <c r="AM753" s="438"/>
      <c r="AN753" s="531"/>
      <c r="AO753" s="491"/>
      <c r="AP753" s="438"/>
      <c r="AQ753" s="438"/>
      <c r="AR753" s="438"/>
      <c r="AS753" s="438"/>
      <c r="AT753" s="438"/>
      <c r="AU753" s="438"/>
      <c r="AV753" s="438"/>
      <c r="AW753" s="450">
        <f>AW218</f>
        <v>429.9226139</v>
      </c>
    </row>
    <row r="754">
      <c r="A754" s="436" t="s">
        <v>1440</v>
      </c>
      <c r="B754" s="436" t="s">
        <v>1440</v>
      </c>
      <c r="C754" s="419"/>
      <c r="D754" s="436" t="s">
        <v>158</v>
      </c>
      <c r="E754" s="436"/>
      <c r="F754" s="436" t="s">
        <v>2608</v>
      </c>
      <c r="G754" s="436" t="s">
        <v>169</v>
      </c>
      <c r="H754" s="436" t="s">
        <v>1309</v>
      </c>
      <c r="I754" s="436" t="s">
        <v>2409</v>
      </c>
      <c r="J754" s="436">
        <v>4350.0</v>
      </c>
      <c r="K754" s="436"/>
      <c r="L754" s="436" t="s">
        <v>459</v>
      </c>
      <c r="M754" s="457">
        <v>3.0</v>
      </c>
      <c r="N754" s="422">
        <v>11.378</v>
      </c>
      <c r="O754" s="422">
        <v>8.271</v>
      </c>
      <c r="P754" s="422">
        <v>17.69</v>
      </c>
      <c r="Q754" s="436" t="s">
        <v>2410</v>
      </c>
      <c r="R754" s="436" t="s">
        <v>2420</v>
      </c>
      <c r="S754" s="436" t="s">
        <v>2412</v>
      </c>
      <c r="T754" s="436" t="s">
        <v>596</v>
      </c>
      <c r="U754" s="436" t="s">
        <v>2413</v>
      </c>
      <c r="V754" s="440"/>
      <c r="W754" s="474">
        <v>1.6</v>
      </c>
      <c r="X754" s="419"/>
      <c r="Y754" s="442">
        <f t="shared" ref="Y754:Y755" si="655">IF((W754/((J754/5780)^4))^0.5&gt;0,(W754/((J754/5780)^4))^0.5,"")</f>
        <v>2.233249031</v>
      </c>
      <c r="Z754" s="469"/>
      <c r="AA754" s="470"/>
      <c r="AB754" s="470"/>
      <c r="AC754" s="436" t="str">
        <f>IF(ISNUMBER(VLOOKUP(B754,'New Masses'!A:C,3,FALSE)),VLOOKUP(B754,'New Masses'!A:C,3,FALSE),"")</f>
        <v/>
      </c>
      <c r="AD754" s="440">
        <f t="shared" ref="AD754:AD755" si="656">10^AE754</f>
        <v>0.00000001288249552</v>
      </c>
      <c r="AE754" s="436">
        <v>-7.89</v>
      </c>
      <c r="AF754" s="438"/>
      <c r="AG754" s="459">
        <v>0.6</v>
      </c>
      <c r="AH754" s="436"/>
      <c r="AI754" s="446" t="str">
        <f>IF(ISNUMBER(VLOOKUP(B754,'New Masses'!A:C,2, FALSE)),VLOOKUP(B754,'New Masses'!A:C,2, FALSE),"")</f>
        <v/>
      </c>
      <c r="AJ754" s="436">
        <f>LOG10(AG754)</f>
        <v>-0.2218487496</v>
      </c>
      <c r="AK754" s="438"/>
      <c r="AL754" s="438"/>
      <c r="AM754" s="436" t="s">
        <v>2407</v>
      </c>
      <c r="AN754" s="436">
        <v>1.0</v>
      </c>
      <c r="AO754" s="438"/>
      <c r="AP754" s="438"/>
      <c r="AQ754" s="438"/>
      <c r="AR754" s="438"/>
      <c r="AS754" s="438"/>
      <c r="AT754" s="438"/>
      <c r="AU754" s="438"/>
      <c r="AV754" s="438"/>
      <c r="AW754" s="450">
        <v>134.575012111751</v>
      </c>
    </row>
    <row r="755">
      <c r="A755" s="436" t="s">
        <v>1440</v>
      </c>
      <c r="B755" s="436" t="s">
        <v>1440</v>
      </c>
      <c r="C755" s="419"/>
      <c r="D755" s="436" t="s">
        <v>158</v>
      </c>
      <c r="E755" s="436"/>
      <c r="F755" s="436" t="s">
        <v>2608</v>
      </c>
      <c r="G755" s="436" t="s">
        <v>169</v>
      </c>
      <c r="H755" s="436" t="s">
        <v>160</v>
      </c>
      <c r="I755" s="436" t="s">
        <v>1963</v>
      </c>
      <c r="J755" s="436">
        <v>3890.45145</v>
      </c>
      <c r="K755" s="436"/>
      <c r="L755" s="438"/>
      <c r="M755" s="453"/>
      <c r="N755" s="422">
        <v>11.378</v>
      </c>
      <c r="O755" s="422">
        <v>8.271</v>
      </c>
      <c r="P755" s="422">
        <v>17.69</v>
      </c>
      <c r="Q755" s="436" t="s">
        <v>2183</v>
      </c>
      <c r="R755" s="436" t="s">
        <v>2184</v>
      </c>
      <c r="S755" s="436" t="s">
        <v>1964</v>
      </c>
      <c r="T755" s="419" t="s">
        <v>162</v>
      </c>
      <c r="U755" s="436" t="s">
        <v>2185</v>
      </c>
      <c r="V755" s="451">
        <v>6.0844E29</v>
      </c>
      <c r="W755" s="458">
        <v>1.6982436524617444</v>
      </c>
      <c r="X755" s="438"/>
      <c r="Y755" s="442">
        <f t="shared" si="655"/>
        <v>2.876442367</v>
      </c>
      <c r="Z755" s="442"/>
      <c r="AA755" s="443"/>
      <c r="AB755" s="443"/>
      <c r="AC755" s="436" t="str">
        <f>IF(ISNUMBER(VLOOKUP(B755,'New Masses'!A:C,3,FALSE)),VLOOKUP(B755,'New Masses'!A:C,3,FALSE),"")</f>
        <v/>
      </c>
      <c r="AD755" s="440">
        <f t="shared" si="656"/>
        <v>0.00000000954992586</v>
      </c>
      <c r="AE755" s="436">
        <v>-8.02</v>
      </c>
      <c r="AF755" s="438"/>
      <c r="AG755" s="459">
        <f>10^AJ755</f>
        <v>0.5623413252</v>
      </c>
      <c r="AH755" s="436"/>
      <c r="AI755" s="446" t="str">
        <f>IF(ISNUMBER(VLOOKUP(B755,'New Masses'!A:C,2, FALSE)),VLOOKUP(B755,'New Masses'!A:C,2, FALSE),"")</f>
        <v/>
      </c>
      <c r="AJ755" s="436">
        <v>-0.25</v>
      </c>
      <c r="AK755" s="436"/>
      <c r="AL755" s="436">
        <v>-1.16</v>
      </c>
      <c r="AM755" s="438"/>
      <c r="AN755" s="436">
        <v>1.0</v>
      </c>
      <c r="AO755" s="438"/>
      <c r="AP755" s="438"/>
      <c r="AQ755" s="438"/>
      <c r="AR755" s="438"/>
      <c r="AS755" s="420" t="str">
        <f>VLOOKUP(B755,natta06!A:F,6,FALSE)</f>
        <v>#REF!</v>
      </c>
      <c r="AT755" s="438"/>
      <c r="AU755" s="438"/>
      <c r="AV755" s="438"/>
      <c r="AW755" s="450">
        <v>134.575012111751</v>
      </c>
    </row>
    <row r="756">
      <c r="A756" s="435" t="str">
        <f t="shared" ref="A756:C756" si="657">A221</f>
        <v>#REF!</v>
      </c>
      <c r="B756" s="485" t="str">
        <f t="shared" si="657"/>
        <v>#REF!</v>
      </c>
      <c r="C756" s="486" t="str">
        <f t="shared" si="657"/>
        <v>#REF!</v>
      </c>
      <c r="D756" s="486"/>
      <c r="E756" s="486"/>
      <c r="F756" s="528"/>
      <c r="G756" s="486"/>
      <c r="H756" s="486" t="s">
        <v>5917</v>
      </c>
      <c r="I756" s="491"/>
      <c r="J756" s="491"/>
      <c r="K756" s="491"/>
      <c r="L756" s="491"/>
      <c r="M756" s="486"/>
      <c r="N756" s="422"/>
      <c r="O756" s="422"/>
      <c r="P756" s="422"/>
      <c r="Q756" s="486"/>
      <c r="R756" s="491"/>
      <c r="S756" s="491"/>
      <c r="T756" s="491"/>
      <c r="U756" s="491"/>
      <c r="V756" s="491"/>
      <c r="W756" s="493"/>
      <c r="X756" s="486"/>
      <c r="Y756" s="442"/>
      <c r="Z756" s="491"/>
      <c r="AA756" s="524" t="str">
        <f t="shared" ref="AA756:AA757" si="659">AC221</f>
        <v/>
      </c>
      <c r="AB756" s="494"/>
      <c r="AC756" s="436"/>
      <c r="AD756" s="495"/>
      <c r="AE756" s="491"/>
      <c r="AF756" s="491"/>
      <c r="AG756" s="525" t="str">
        <f t="shared" ref="AG756:AG757" si="660">AI221</f>
        <v/>
      </c>
      <c r="AH756" s="491"/>
      <c r="AI756" s="446"/>
      <c r="AJ756" s="491"/>
      <c r="AK756" s="500"/>
      <c r="AL756" s="436"/>
      <c r="AM756" s="438"/>
      <c r="AN756" s="531"/>
      <c r="AO756" s="491"/>
      <c r="AP756" s="438"/>
      <c r="AQ756" s="438"/>
      <c r="AR756" s="438"/>
      <c r="AS756" s="438"/>
      <c r="AT756" s="438"/>
      <c r="AU756" s="438"/>
      <c r="AV756" s="438"/>
      <c r="AW756" s="450" t="str">
        <f t="shared" ref="AW756:AW757" si="661">AW221</f>
        <v>#REF!</v>
      </c>
    </row>
    <row r="757">
      <c r="A757" s="435" t="str">
        <f t="shared" ref="A757:C757" si="658">A222</f>
        <v>2MASS J05391807-0229284</v>
      </c>
      <c r="B757" s="485" t="str">
        <f t="shared" si="658"/>
        <v>SO981</v>
      </c>
      <c r="C757" s="486" t="str">
        <f t="shared" si="658"/>
        <v/>
      </c>
      <c r="D757" s="486"/>
      <c r="E757" s="486"/>
      <c r="F757" s="528"/>
      <c r="G757" s="486"/>
      <c r="H757" s="486" t="s">
        <v>5917</v>
      </c>
      <c r="I757" s="491"/>
      <c r="J757" s="491"/>
      <c r="K757" s="491"/>
      <c r="L757" s="491"/>
      <c r="M757" s="486"/>
      <c r="N757" s="422"/>
      <c r="O757" s="422"/>
      <c r="P757" s="422"/>
      <c r="Q757" s="486"/>
      <c r="R757" s="491"/>
      <c r="S757" s="491"/>
      <c r="T757" s="491"/>
      <c r="U757" s="491"/>
      <c r="V757" s="491"/>
      <c r="W757" s="493"/>
      <c r="X757" s="486"/>
      <c r="Y757" s="442"/>
      <c r="Z757" s="491"/>
      <c r="AA757" s="524" t="str">
        <f t="shared" si="659"/>
        <v/>
      </c>
      <c r="AB757" s="494"/>
      <c r="AC757" s="436"/>
      <c r="AD757" s="495"/>
      <c r="AE757" s="491"/>
      <c r="AF757" s="491"/>
      <c r="AG757" s="525" t="str">
        <f t="shared" si="660"/>
        <v/>
      </c>
      <c r="AH757" s="491"/>
      <c r="AI757" s="446"/>
      <c r="AJ757" s="491"/>
      <c r="AK757" s="500"/>
      <c r="AL757" s="436"/>
      <c r="AM757" s="438"/>
      <c r="AN757" s="531"/>
      <c r="AO757" s="491"/>
      <c r="AP757" s="438"/>
      <c r="AQ757" s="438"/>
      <c r="AR757" s="438"/>
      <c r="AS757" s="438"/>
      <c r="AT757" s="438"/>
      <c r="AU757" s="438"/>
      <c r="AV757" s="438"/>
      <c r="AW757" s="450">
        <f t="shared" si="661"/>
        <v>373.468778</v>
      </c>
    </row>
    <row r="758">
      <c r="A758" s="436" t="s">
        <v>1326</v>
      </c>
      <c r="B758" s="436" t="s">
        <v>1326</v>
      </c>
      <c r="C758" s="420"/>
      <c r="D758" s="420" t="s">
        <v>158</v>
      </c>
      <c r="E758" s="420"/>
      <c r="F758" s="420" t="s">
        <v>2609</v>
      </c>
      <c r="G758" s="420" t="s">
        <v>257</v>
      </c>
      <c r="H758" s="420" t="s">
        <v>160</v>
      </c>
      <c r="I758" s="420" t="s">
        <v>1963</v>
      </c>
      <c r="J758" s="436">
        <v>2754.2287</v>
      </c>
      <c r="K758" s="436"/>
      <c r="L758" s="420" t="s">
        <v>1285</v>
      </c>
      <c r="M758" s="429"/>
      <c r="N758" s="422">
        <v>16.541</v>
      </c>
      <c r="O758" s="422">
        <v>12.286</v>
      </c>
      <c r="P758" s="422"/>
      <c r="Q758" s="420" t="s">
        <v>2183</v>
      </c>
      <c r="R758" s="438"/>
      <c r="S758" s="438" t="s">
        <v>1964</v>
      </c>
      <c r="T758" s="421" t="s">
        <v>162</v>
      </c>
      <c r="U758" s="420" t="s">
        <v>2185</v>
      </c>
      <c r="V758" s="451"/>
      <c r="W758" s="458">
        <v>0.0446683592150963</v>
      </c>
      <c r="X758" s="438"/>
      <c r="Y758" s="442">
        <f t="shared" ref="Y758:Y759" si="662">IF((W758/((J758/5780)^4))^0.5&gt;0,(W758/((J758/5780)^4))^0.5,"")</f>
        <v>0.9307985068</v>
      </c>
      <c r="Z758" s="442"/>
      <c r="AA758" s="443"/>
      <c r="AB758" s="443"/>
      <c r="AC758" s="436" t="str">
        <f>IF(ISNUMBER(VLOOKUP(B758,'New Masses'!A:C,3,FALSE)),VLOOKUP(B758,'New Masses'!A:C,3,FALSE),"")</f>
        <v/>
      </c>
      <c r="AD758" s="440">
        <f>10^AE758</f>
        <v>0.000000002630267992</v>
      </c>
      <c r="AE758" s="436">
        <v>-8.58</v>
      </c>
      <c r="AF758" s="438"/>
      <c r="AG758" s="459">
        <f>10^AJ758</f>
        <v>0.06309573445</v>
      </c>
      <c r="AH758" s="438"/>
      <c r="AI758" s="446" t="str">
        <f>IF(ISNUMBER(VLOOKUP(B758,'New Masses'!A:C,2, FALSE)),VLOOKUP(B758,'New Masses'!A:C,2, FALSE),"")</f>
        <v/>
      </c>
      <c r="AJ758" s="436">
        <v>-1.2</v>
      </c>
      <c r="AK758" s="436"/>
      <c r="AL758" s="511">
        <v>-2.2</v>
      </c>
      <c r="AM758" s="436"/>
      <c r="AN758" s="436">
        <v>1.0</v>
      </c>
      <c r="AO758" s="438"/>
      <c r="AP758" s="436">
        <v>14.8</v>
      </c>
      <c r="AQ758" s="438"/>
      <c r="AR758" s="420" t="s">
        <v>664</v>
      </c>
      <c r="AS758" s="420" t="str">
        <f>VLOOKUP(B758,natta06!A:F,6,FALSE)</f>
        <v>#REF!</v>
      </c>
      <c r="AT758" s="438"/>
      <c r="AU758" s="420" t="s">
        <v>1304</v>
      </c>
      <c r="AV758" s="438"/>
      <c r="AW758" s="450"/>
    </row>
    <row r="759">
      <c r="A759" s="470" t="s">
        <v>1326</v>
      </c>
      <c r="B759" s="470" t="s">
        <v>1326</v>
      </c>
      <c r="C759" s="420"/>
      <c r="D759" s="436" t="s">
        <v>158</v>
      </c>
      <c r="E759" s="436"/>
      <c r="F759" s="436" t="s">
        <v>2609</v>
      </c>
      <c r="G759" s="436" t="s">
        <v>169</v>
      </c>
      <c r="H759" s="436" t="s">
        <v>754</v>
      </c>
      <c r="I759" s="436">
        <v>2010.0</v>
      </c>
      <c r="J759" s="436">
        <v>3500.0</v>
      </c>
      <c r="K759" s="436">
        <v>150.0</v>
      </c>
      <c r="L759" s="436" t="s">
        <v>1285</v>
      </c>
      <c r="M759" s="439"/>
      <c r="N759" s="422">
        <v>16.541</v>
      </c>
      <c r="O759" s="422">
        <v>12.286</v>
      </c>
      <c r="P759" s="422"/>
      <c r="Q759" s="436" t="s">
        <v>2417</v>
      </c>
      <c r="R759" s="436" t="s">
        <v>2610</v>
      </c>
      <c r="S759" s="436" t="s">
        <v>2419</v>
      </c>
      <c r="T759" s="419" t="s">
        <v>162</v>
      </c>
      <c r="U759" s="436" t="s">
        <v>1754</v>
      </c>
      <c r="V759" s="440"/>
      <c r="W759" s="474">
        <v>0.034</v>
      </c>
      <c r="X759" s="436"/>
      <c r="Y759" s="442">
        <f t="shared" si="662"/>
        <v>0.5028738433</v>
      </c>
      <c r="Z759" s="469"/>
      <c r="AA759" s="470">
        <v>0.5</v>
      </c>
      <c r="AB759" s="470">
        <v>0.1</v>
      </c>
      <c r="AC759" s="436" t="str">
        <f>IF(ISNUMBER(VLOOKUP(B759,'New Masses'!A:C,3,FALSE)),VLOOKUP(B759,'New Masses'!A:C,3,FALSE),"")</f>
        <v/>
      </c>
      <c r="AD759" s="451">
        <f>10^(AE759)</f>
        <v>0</v>
      </c>
      <c r="AE759" s="436">
        <v>-10.34</v>
      </c>
      <c r="AF759" s="438"/>
      <c r="AG759" s="459">
        <v>0.4</v>
      </c>
      <c r="AH759" s="436">
        <v>0.1</v>
      </c>
      <c r="AI759" s="446" t="str">
        <f>IF(ISNUMBER(VLOOKUP(B759,'New Masses'!A:C,2, FALSE)),VLOOKUP(B759,'New Masses'!A:C,2, FALSE),"")</f>
        <v/>
      </c>
      <c r="AJ759" s="436">
        <f>LOG10(AG759)</f>
        <v>-0.3979400087</v>
      </c>
      <c r="AK759" s="436"/>
      <c r="AL759" s="436">
        <v>-3.04</v>
      </c>
      <c r="AM759" s="438"/>
      <c r="AN759" s="436">
        <v>1.0</v>
      </c>
      <c r="AO759" s="438"/>
      <c r="AP759" s="438"/>
      <c r="AQ759" s="438"/>
      <c r="AR759" s="438"/>
      <c r="AS759" s="438"/>
      <c r="AT759" s="438"/>
      <c r="AU759" s="438"/>
      <c r="AV759" s="438"/>
      <c r="AW759" s="450"/>
    </row>
    <row r="760">
      <c r="A760" s="435" t="str">
        <f t="shared" ref="A760:C760" si="663">A225</f>
        <v>#REF!</v>
      </c>
      <c r="B760" s="485" t="str">
        <f t="shared" si="663"/>
        <v>#REF!</v>
      </c>
      <c r="C760" s="486" t="str">
        <f t="shared" si="663"/>
        <v>#REF!</v>
      </c>
      <c r="D760" s="486"/>
      <c r="E760" s="486"/>
      <c r="F760" s="528"/>
      <c r="G760" s="486"/>
      <c r="H760" s="486" t="s">
        <v>5917</v>
      </c>
      <c r="I760" s="491"/>
      <c r="J760" s="491"/>
      <c r="K760" s="491"/>
      <c r="L760" s="491"/>
      <c r="M760" s="486"/>
      <c r="N760" s="422"/>
      <c r="O760" s="422"/>
      <c r="P760" s="422"/>
      <c r="Q760" s="486"/>
      <c r="R760" s="491"/>
      <c r="S760" s="491"/>
      <c r="T760" s="491"/>
      <c r="U760" s="491"/>
      <c r="V760" s="491"/>
      <c r="W760" s="493"/>
      <c r="X760" s="486"/>
      <c r="Y760" s="442"/>
      <c r="Z760" s="491"/>
      <c r="AA760" s="524" t="str">
        <f t="shared" ref="AA760:AA761" si="665">AC225</f>
        <v/>
      </c>
      <c r="AB760" s="494"/>
      <c r="AC760" s="436"/>
      <c r="AD760" s="495"/>
      <c r="AE760" s="491"/>
      <c r="AF760" s="491"/>
      <c r="AG760" s="525" t="str">
        <f t="shared" ref="AG760:AG761" si="666">AI225</f>
        <v/>
      </c>
      <c r="AH760" s="491"/>
      <c r="AI760" s="446"/>
      <c r="AJ760" s="491"/>
      <c r="AK760" s="500"/>
      <c r="AL760" s="436"/>
      <c r="AM760" s="438"/>
      <c r="AN760" s="531"/>
      <c r="AO760" s="491"/>
      <c r="AP760" s="438"/>
      <c r="AQ760" s="438"/>
      <c r="AR760" s="438"/>
      <c r="AS760" s="438"/>
      <c r="AT760" s="438"/>
      <c r="AU760" s="438"/>
      <c r="AV760" s="438"/>
      <c r="AW760" s="450" t="str">
        <f t="shared" ref="AW760:AW761" si="667">AW225</f>
        <v>#REF!</v>
      </c>
    </row>
    <row r="761">
      <c r="A761" s="435" t="str">
        <f t="shared" ref="A761:C761" si="664">A226</f>
        <v>2MASS J05392633-0228376</v>
      </c>
      <c r="B761" s="485" t="str">
        <f t="shared" si="664"/>
        <v>SO1050</v>
      </c>
      <c r="C761" s="486" t="str">
        <f t="shared" si="664"/>
        <v/>
      </c>
      <c r="D761" s="486"/>
      <c r="E761" s="486"/>
      <c r="F761" s="528"/>
      <c r="G761" s="486"/>
      <c r="H761" s="486" t="s">
        <v>5917</v>
      </c>
      <c r="I761" s="491"/>
      <c r="J761" s="491"/>
      <c r="K761" s="491"/>
      <c r="L761" s="491"/>
      <c r="M761" s="486"/>
      <c r="N761" s="422"/>
      <c r="O761" s="422"/>
      <c r="P761" s="422"/>
      <c r="Q761" s="486"/>
      <c r="R761" s="491"/>
      <c r="S761" s="491"/>
      <c r="T761" s="491"/>
      <c r="U761" s="491"/>
      <c r="V761" s="491"/>
      <c r="W761" s="493"/>
      <c r="X761" s="486"/>
      <c r="Y761" s="442"/>
      <c r="Z761" s="491"/>
      <c r="AA761" s="524" t="str">
        <f t="shared" si="665"/>
        <v/>
      </c>
      <c r="AB761" s="494"/>
      <c r="AC761" s="436"/>
      <c r="AD761" s="495"/>
      <c r="AE761" s="491"/>
      <c r="AF761" s="491"/>
      <c r="AG761" s="525" t="str">
        <f t="shared" si="666"/>
        <v/>
      </c>
      <c r="AH761" s="491"/>
      <c r="AI761" s="446"/>
      <c r="AJ761" s="491"/>
      <c r="AK761" s="500"/>
      <c r="AL761" s="436"/>
      <c r="AM761" s="438"/>
      <c r="AN761" s="531"/>
      <c r="AO761" s="491"/>
      <c r="AP761" s="438"/>
      <c r="AQ761" s="438"/>
      <c r="AR761" s="438"/>
      <c r="AS761" s="438"/>
      <c r="AT761" s="438"/>
      <c r="AU761" s="438"/>
      <c r="AV761" s="438"/>
      <c r="AW761" s="450">
        <f t="shared" si="667"/>
        <v>370.3566535</v>
      </c>
    </row>
    <row r="762">
      <c r="A762" s="436" t="s">
        <v>1438</v>
      </c>
      <c r="B762" s="436" t="s">
        <v>1438</v>
      </c>
      <c r="C762" s="419"/>
      <c r="D762" s="436" t="s">
        <v>158</v>
      </c>
      <c r="E762" s="436"/>
      <c r="F762" s="436" t="s">
        <v>2611</v>
      </c>
      <c r="G762" s="436" t="s">
        <v>169</v>
      </c>
      <c r="H762" s="436" t="s">
        <v>1309</v>
      </c>
      <c r="I762" s="436" t="s">
        <v>2409</v>
      </c>
      <c r="J762" s="436">
        <v>4350.0</v>
      </c>
      <c r="K762" s="436"/>
      <c r="L762" s="436" t="s">
        <v>459</v>
      </c>
      <c r="M762" s="457">
        <v>3.0</v>
      </c>
      <c r="N762" s="422">
        <v>10.754</v>
      </c>
      <c r="O762" s="422">
        <v>8.464</v>
      </c>
      <c r="P762" s="422">
        <v>15.76</v>
      </c>
      <c r="Q762" s="436" t="s">
        <v>2410</v>
      </c>
      <c r="R762" s="436" t="s">
        <v>2612</v>
      </c>
      <c r="S762" s="436" t="s">
        <v>2412</v>
      </c>
      <c r="T762" s="436" t="s">
        <v>596</v>
      </c>
      <c r="U762" s="436" t="s">
        <v>2413</v>
      </c>
      <c r="V762" s="440"/>
      <c r="W762" s="441">
        <v>1.9</v>
      </c>
      <c r="X762" s="454"/>
      <c r="Y762" s="442">
        <f t="shared" ref="Y762:Y763" si="668">IF((W762/((J762/5780)^4))^0.5&gt;0,(W762/((J762/5780)^4))^0.5,"")</f>
        <v>2.433626711</v>
      </c>
      <c r="Z762" s="442"/>
      <c r="AA762" s="443"/>
      <c r="AB762" s="443"/>
      <c r="AC762" s="436" t="str">
        <f>IF(ISNUMBER(VLOOKUP(B762,'New Masses'!A:C,3,FALSE)),VLOOKUP(B762,'New Masses'!A:C,3,FALSE),"")</f>
        <v/>
      </c>
      <c r="AD762" s="451">
        <f t="shared" ref="AD762:AD763" si="669">10^(AE762)</f>
        <v>0.00000000645654229</v>
      </c>
      <c r="AE762" s="436">
        <v>-8.19</v>
      </c>
      <c r="AF762" s="438"/>
      <c r="AG762" s="459">
        <v>0.6</v>
      </c>
      <c r="AH762" s="436"/>
      <c r="AI762" s="446" t="str">
        <f>IF(ISNUMBER(VLOOKUP(B762,'New Masses'!A:C,2, FALSE)),VLOOKUP(B762,'New Masses'!A:C,2, FALSE),"")</f>
        <v/>
      </c>
      <c r="AJ762" s="436">
        <f>LOG10(AG762)</f>
        <v>-0.2218487496</v>
      </c>
      <c r="AK762" s="438"/>
      <c r="AL762" s="438"/>
      <c r="AM762" s="436" t="s">
        <v>2407</v>
      </c>
      <c r="AN762" s="436">
        <v>1.0</v>
      </c>
      <c r="AO762" s="438"/>
      <c r="AP762" s="438"/>
      <c r="AQ762" s="438"/>
      <c r="AR762" s="438"/>
      <c r="AS762" s="438"/>
      <c r="AT762" s="438"/>
      <c r="AU762" s="438"/>
      <c r="AV762" s="438"/>
      <c r="AW762" s="450">
        <v>137.018209720071</v>
      </c>
    </row>
    <row r="763">
      <c r="A763" s="436" t="s">
        <v>1438</v>
      </c>
      <c r="B763" s="436" t="s">
        <v>1438</v>
      </c>
      <c r="C763" s="419"/>
      <c r="D763" s="436" t="s">
        <v>158</v>
      </c>
      <c r="E763" s="436"/>
      <c r="F763" s="436" t="s">
        <v>2611</v>
      </c>
      <c r="G763" s="436" t="s">
        <v>169</v>
      </c>
      <c r="H763" s="436" t="s">
        <v>160</v>
      </c>
      <c r="I763" s="436" t="s">
        <v>1963</v>
      </c>
      <c r="J763" s="436">
        <v>3890.45145</v>
      </c>
      <c r="K763" s="436"/>
      <c r="L763" s="438"/>
      <c r="M763" s="453"/>
      <c r="N763" s="422">
        <v>10.754</v>
      </c>
      <c r="O763" s="422">
        <v>8.464</v>
      </c>
      <c r="P763" s="422">
        <v>15.76</v>
      </c>
      <c r="Q763" s="436" t="s">
        <v>2183</v>
      </c>
      <c r="R763" s="436" t="s">
        <v>2184</v>
      </c>
      <c r="S763" s="436" t="s">
        <v>1964</v>
      </c>
      <c r="T763" s="419" t="s">
        <v>162</v>
      </c>
      <c r="U763" s="436" t="s">
        <v>2185</v>
      </c>
      <c r="V763" s="451">
        <v>1.00976E30</v>
      </c>
      <c r="W763" s="458">
        <v>1.7378008287493754</v>
      </c>
      <c r="X763" s="438"/>
      <c r="Y763" s="442">
        <f t="shared" si="668"/>
        <v>2.90975</v>
      </c>
      <c r="Z763" s="442"/>
      <c r="AA763" s="443"/>
      <c r="AB763" s="443"/>
      <c r="AC763" s="436" t="str">
        <f>IF(ISNUMBER(VLOOKUP(B763,'New Masses'!A:C,3,FALSE)),VLOOKUP(B763,'New Masses'!A:C,3,FALSE),"")</f>
        <v/>
      </c>
      <c r="AD763" s="451">
        <f t="shared" si="669"/>
        <v>0.00000001862087137</v>
      </c>
      <c r="AE763" s="436">
        <v>-7.73</v>
      </c>
      <c r="AF763" s="438"/>
      <c r="AG763" s="459">
        <f>10^AJ763</f>
        <v>0.5623413252</v>
      </c>
      <c r="AH763" s="436"/>
      <c r="AI763" s="446" t="str">
        <f>IF(ISNUMBER(VLOOKUP(B763,'New Masses'!A:C,2, FALSE)),VLOOKUP(B763,'New Masses'!A:C,2, FALSE),"")</f>
        <v/>
      </c>
      <c r="AJ763" s="436">
        <v>-0.25</v>
      </c>
      <c r="AK763" s="436"/>
      <c r="AL763" s="436">
        <v>-0.87</v>
      </c>
      <c r="AM763" s="438"/>
      <c r="AN763" s="436">
        <v>1.0</v>
      </c>
      <c r="AO763" s="438"/>
      <c r="AP763" s="438"/>
      <c r="AQ763" s="438"/>
      <c r="AR763" s="438"/>
      <c r="AS763" s="420" t="str">
        <f>VLOOKUP(B763,natta06!A:F,6,FALSE)</f>
        <v>#REF!</v>
      </c>
      <c r="AT763" s="438"/>
      <c r="AU763" s="438"/>
      <c r="AV763" s="438"/>
      <c r="AW763" s="450">
        <v>137.018209720071</v>
      </c>
    </row>
    <row r="764">
      <c r="A764" s="435" t="str">
        <f t="shared" ref="A764:C764" si="670">A229</f>
        <v>#REF!</v>
      </c>
      <c r="B764" s="485" t="str">
        <f t="shared" si="670"/>
        <v>#REF!</v>
      </c>
      <c r="C764" s="486" t="str">
        <f t="shared" si="670"/>
        <v>#REF!</v>
      </c>
      <c r="D764" s="486"/>
      <c r="E764" s="486"/>
      <c r="F764" s="528"/>
      <c r="G764" s="486"/>
      <c r="H764" s="486" t="s">
        <v>5917</v>
      </c>
      <c r="I764" s="491"/>
      <c r="J764" s="491"/>
      <c r="K764" s="491"/>
      <c r="L764" s="491"/>
      <c r="M764" s="486"/>
      <c r="N764" s="422"/>
      <c r="O764" s="422"/>
      <c r="P764" s="422"/>
      <c r="Q764" s="486"/>
      <c r="R764" s="491"/>
      <c r="S764" s="491"/>
      <c r="T764" s="491"/>
      <c r="U764" s="491"/>
      <c r="V764" s="491"/>
      <c r="W764" s="493"/>
      <c r="X764" s="486"/>
      <c r="Y764" s="442"/>
      <c r="Z764" s="491"/>
      <c r="AA764" s="524" t="str">
        <f t="shared" ref="AA764:AA765" si="672">AC229</f>
        <v/>
      </c>
      <c r="AB764" s="494"/>
      <c r="AC764" s="436"/>
      <c r="AD764" s="495"/>
      <c r="AE764" s="491"/>
      <c r="AF764" s="491"/>
      <c r="AG764" s="525" t="str">
        <f t="shared" ref="AG764:AG765" si="673">AI229</f>
        <v/>
      </c>
      <c r="AH764" s="491"/>
      <c r="AI764" s="446"/>
      <c r="AJ764" s="491"/>
      <c r="AK764" s="500"/>
      <c r="AL764" s="436"/>
      <c r="AM764" s="438"/>
      <c r="AN764" s="531"/>
      <c r="AO764" s="491"/>
      <c r="AP764" s="438"/>
      <c r="AQ764" s="438"/>
      <c r="AR764" s="438"/>
      <c r="AS764" s="438"/>
      <c r="AT764" s="438"/>
      <c r="AU764" s="438"/>
      <c r="AV764" s="438"/>
      <c r="AW764" s="450" t="str">
        <f t="shared" ref="AW764:AW765" si="674">AW229</f>
        <v>#REF!</v>
      </c>
    </row>
    <row r="765">
      <c r="A765" s="435" t="str">
        <f t="shared" ref="A765:C765" si="671">A230</f>
        <v>2MASS J05392935-0227209</v>
      </c>
      <c r="B765" s="485" t="str">
        <f t="shared" si="671"/>
        <v>SO1075</v>
      </c>
      <c r="C765" s="486" t="str">
        <f t="shared" si="671"/>
        <v/>
      </c>
      <c r="D765" s="486"/>
      <c r="E765" s="486"/>
      <c r="F765" s="528"/>
      <c r="G765" s="486"/>
      <c r="H765" s="486" t="s">
        <v>5917</v>
      </c>
      <c r="I765" s="491"/>
      <c r="J765" s="491"/>
      <c r="K765" s="491"/>
      <c r="L765" s="491"/>
      <c r="M765" s="486"/>
      <c r="N765" s="422"/>
      <c r="O765" s="422"/>
      <c r="P765" s="422"/>
      <c r="Q765" s="486"/>
      <c r="R765" s="491"/>
      <c r="S765" s="491"/>
      <c r="T765" s="491"/>
      <c r="U765" s="491"/>
      <c r="V765" s="491"/>
      <c r="W765" s="493"/>
      <c r="X765" s="486"/>
      <c r="Y765" s="442"/>
      <c r="Z765" s="491"/>
      <c r="AA765" s="524" t="str">
        <f t="shared" si="672"/>
        <v/>
      </c>
      <c r="AB765" s="494"/>
      <c r="AC765" s="436"/>
      <c r="AD765" s="495"/>
      <c r="AE765" s="491"/>
      <c r="AF765" s="491"/>
      <c r="AG765" s="525" t="str">
        <f t="shared" si="673"/>
        <v/>
      </c>
      <c r="AH765" s="491"/>
      <c r="AI765" s="446"/>
      <c r="AJ765" s="491"/>
      <c r="AK765" s="500"/>
      <c r="AL765" s="436"/>
      <c r="AM765" s="438"/>
      <c r="AN765" s="531"/>
      <c r="AO765" s="491"/>
      <c r="AP765" s="438"/>
      <c r="AQ765" s="438"/>
      <c r="AR765" s="438"/>
      <c r="AS765" s="438"/>
      <c r="AT765" s="438"/>
      <c r="AU765" s="438"/>
      <c r="AV765" s="438"/>
      <c r="AW765" s="450">
        <f t="shared" si="674"/>
        <v>387.2366791</v>
      </c>
    </row>
    <row r="766">
      <c r="A766" s="436" t="s">
        <v>1442</v>
      </c>
      <c r="B766" s="436" t="s">
        <v>1442</v>
      </c>
      <c r="C766" s="436"/>
      <c r="D766" s="436" t="s">
        <v>158</v>
      </c>
      <c r="E766" s="436"/>
      <c r="F766" s="436" t="s">
        <v>2613</v>
      </c>
      <c r="G766" s="436" t="s">
        <v>169</v>
      </c>
      <c r="H766" s="436" t="s">
        <v>160</v>
      </c>
      <c r="I766" s="436" t="s">
        <v>1963</v>
      </c>
      <c r="J766" s="436">
        <v>3981.07171</v>
      </c>
      <c r="K766" s="436"/>
      <c r="L766" s="436" t="s">
        <v>459</v>
      </c>
      <c r="M766" s="439"/>
      <c r="N766" s="422">
        <v>8.44</v>
      </c>
      <c r="O766" s="422">
        <v>7.207</v>
      </c>
      <c r="P766" s="422">
        <v>11.11</v>
      </c>
      <c r="Q766" s="436" t="s">
        <v>2183</v>
      </c>
      <c r="R766" s="436" t="s">
        <v>2184</v>
      </c>
      <c r="S766" s="436" t="s">
        <v>1964</v>
      </c>
      <c r="T766" s="419" t="s">
        <v>162</v>
      </c>
      <c r="U766" s="436" t="s">
        <v>2185</v>
      </c>
      <c r="V766" s="451">
        <v>4.20938E29</v>
      </c>
      <c r="W766" s="458">
        <v>1.9054607179632472</v>
      </c>
      <c r="X766" s="438"/>
      <c r="Y766" s="442">
        <f>IF((W766/((J766/5780)^4))^0.5&gt;0,(W766/((J766/5780)^4))^0.5,"")</f>
        <v>2.909749993</v>
      </c>
      <c r="Z766" s="442"/>
      <c r="AA766" s="443"/>
      <c r="AB766" s="443"/>
      <c r="AC766" s="436" t="str">
        <f>IF(ISNUMBER(VLOOKUP(B766,'New Masses'!A:C,3,FALSE)),VLOOKUP(B766,'New Masses'!A:C,3,FALSE),"")</f>
        <v/>
      </c>
      <c r="AD766" s="451">
        <f>10^(AE766)</f>
        <v>0.000000005495408739</v>
      </c>
      <c r="AE766" s="436">
        <v>-8.26</v>
      </c>
      <c r="AF766" s="438"/>
      <c r="AG766" s="459">
        <f>10^AJ766</f>
        <v>0.6025595861</v>
      </c>
      <c r="AH766" s="436"/>
      <c r="AI766" s="446" t="str">
        <f>IF(ISNUMBER(VLOOKUP(B766,'New Masses'!A:C,2, FALSE)),VLOOKUP(B766,'New Masses'!A:C,2, FALSE),"")</f>
        <v/>
      </c>
      <c r="AJ766" s="436">
        <v>-0.22</v>
      </c>
      <c r="AK766" s="436"/>
      <c r="AL766" s="436">
        <v>-1.38</v>
      </c>
      <c r="AM766" s="438"/>
      <c r="AN766" s="436">
        <v>1.0</v>
      </c>
      <c r="AO766" s="438"/>
      <c r="AP766" s="438"/>
      <c r="AQ766" s="436"/>
      <c r="AR766" s="438"/>
      <c r="AS766" s="420" t="str">
        <f>VLOOKUP(B766,natta06!A:F,6,FALSE)</f>
        <v>#REF!</v>
      </c>
      <c r="AT766" s="438"/>
      <c r="AU766" s="438" t="s">
        <v>1443</v>
      </c>
      <c r="AV766" s="438"/>
      <c r="AW766" s="450">
        <v>130.456336264252</v>
      </c>
    </row>
    <row r="767">
      <c r="A767" s="435" t="str">
        <f t="shared" ref="A767:C767" si="675">A232</f>
        <v>2MASS J05394318-0232433</v>
      </c>
      <c r="B767" s="485" t="str">
        <f t="shared" si="675"/>
        <v>SO1182</v>
      </c>
      <c r="C767" s="486" t="str">
        <f t="shared" si="675"/>
        <v/>
      </c>
      <c r="D767" s="486"/>
      <c r="E767" s="486"/>
      <c r="F767" s="528"/>
      <c r="G767" s="486"/>
      <c r="H767" s="486" t="s">
        <v>5917</v>
      </c>
      <c r="I767" s="491"/>
      <c r="J767" s="491"/>
      <c r="K767" s="491"/>
      <c r="L767" s="491"/>
      <c r="M767" s="486"/>
      <c r="N767" s="422"/>
      <c r="O767" s="422"/>
      <c r="P767" s="422"/>
      <c r="Q767" s="486"/>
      <c r="R767" s="491"/>
      <c r="S767" s="491"/>
      <c r="T767" s="491"/>
      <c r="U767" s="491"/>
      <c r="V767" s="491"/>
      <c r="W767" s="493"/>
      <c r="X767" s="486"/>
      <c r="Y767" s="442"/>
      <c r="Z767" s="491"/>
      <c r="AA767" s="524" t="str">
        <f>AC232</f>
        <v/>
      </c>
      <c r="AB767" s="494"/>
      <c r="AC767" s="436"/>
      <c r="AD767" s="495"/>
      <c r="AE767" s="491"/>
      <c r="AF767" s="491"/>
      <c r="AG767" s="525" t="str">
        <f>AI232</f>
        <v/>
      </c>
      <c r="AH767" s="491"/>
      <c r="AI767" s="446"/>
      <c r="AJ767" s="491"/>
      <c r="AK767" s="500"/>
      <c r="AL767" s="436"/>
      <c r="AM767" s="438"/>
      <c r="AN767" s="531"/>
      <c r="AO767" s="491"/>
      <c r="AP767" s="438"/>
      <c r="AQ767" s="438"/>
      <c r="AR767" s="438"/>
      <c r="AS767" s="438"/>
      <c r="AT767" s="438"/>
      <c r="AU767" s="438"/>
      <c r="AV767" s="438"/>
      <c r="AW767" s="450">
        <f>AW232</f>
        <v>362.8183731</v>
      </c>
    </row>
    <row r="768">
      <c r="A768" s="436" t="s">
        <v>1301</v>
      </c>
      <c r="B768" s="436" t="s">
        <v>1301</v>
      </c>
      <c r="C768" s="420"/>
      <c r="D768" s="420" t="s">
        <v>158</v>
      </c>
      <c r="E768" s="420"/>
      <c r="F768" s="420" t="s">
        <v>2614</v>
      </c>
      <c r="G768" s="420" t="s">
        <v>169</v>
      </c>
      <c r="H768" s="420" t="s">
        <v>160</v>
      </c>
      <c r="I768" s="420" t="s">
        <v>1963</v>
      </c>
      <c r="J768" s="436">
        <v>2290.86765</v>
      </c>
      <c r="K768" s="436"/>
      <c r="L768" s="420"/>
      <c r="M768" s="429"/>
      <c r="N768" s="422">
        <v>17.203</v>
      </c>
      <c r="O768" s="422">
        <v>13.548</v>
      </c>
      <c r="P768" s="422"/>
      <c r="Q768" s="420" t="s">
        <v>2183</v>
      </c>
      <c r="R768" s="438"/>
      <c r="S768" s="438" t="s">
        <v>1964</v>
      </c>
      <c r="T768" s="421" t="s">
        <v>162</v>
      </c>
      <c r="U768" s="420" t="s">
        <v>2185</v>
      </c>
      <c r="V768" s="451"/>
      <c r="W768" s="458">
        <v>8.511380382023768E-4</v>
      </c>
      <c r="X768" s="438"/>
      <c r="Y768" s="442">
        <f>IF((W768/((J768/5780)^4))^0.5&gt;0,(W768/((J768/5780)^4))^0.5,"")</f>
        <v>0.1857187183</v>
      </c>
      <c r="Z768" s="442"/>
      <c r="AA768" s="443"/>
      <c r="AB768" s="443"/>
      <c r="AC768" s="436" t="str">
        <f>IF(ISNUMBER(VLOOKUP(B768,'New Masses'!A:C,3,FALSE)),VLOOKUP(B768,'New Masses'!A:C,3,FALSE),"")</f>
        <v/>
      </c>
      <c r="AD768" s="440">
        <f>10^AE768</f>
        <v>0</v>
      </c>
      <c r="AE768" s="436">
        <v>-11.07</v>
      </c>
      <c r="AF768" s="438"/>
      <c r="AG768" s="459">
        <f>10^AJ768</f>
        <v>0.005888436554</v>
      </c>
      <c r="AH768" s="438"/>
      <c r="AI768" s="446" t="str">
        <f>IF(ISNUMBER(VLOOKUP(B768,'New Masses'!A:C,2, FALSE)),VLOOKUP(B768,'New Masses'!A:C,2, FALSE),"")</f>
        <v/>
      </c>
      <c r="AJ768" s="436">
        <v>-2.23</v>
      </c>
      <c r="AK768" s="436"/>
      <c r="AL768" s="489">
        <v>-5.01</v>
      </c>
      <c r="AM768" s="436"/>
      <c r="AN768" s="436">
        <v>1.0</v>
      </c>
      <c r="AO768" s="438"/>
      <c r="AP768" s="436">
        <v>3.54</v>
      </c>
      <c r="AQ768" s="438"/>
      <c r="AR768" s="420" t="s">
        <v>664</v>
      </c>
      <c r="AS768" s="420" t="str">
        <f>VLOOKUP(B768,natta06!A:F,6,FALSE)</f>
        <v>#REF!</v>
      </c>
      <c r="AT768" s="438" t="s">
        <v>5916</v>
      </c>
      <c r="AU768" s="438"/>
      <c r="AV768" s="438"/>
      <c r="AW768" s="450"/>
    </row>
    <row r="769">
      <c r="A769" s="435" t="str">
        <f t="shared" ref="A769:C769" si="676">A234</f>
        <v>2MASS J05394944-0223459</v>
      </c>
      <c r="B769" s="485" t="str">
        <f t="shared" si="676"/>
        <v>SO1230</v>
      </c>
      <c r="C769" s="486" t="str">
        <f t="shared" si="676"/>
        <v/>
      </c>
      <c r="D769" s="486"/>
      <c r="E769" s="486"/>
      <c r="F769" s="528"/>
      <c r="G769" s="486"/>
      <c r="H769" s="486" t="s">
        <v>5917</v>
      </c>
      <c r="I769" s="491"/>
      <c r="J769" s="491"/>
      <c r="K769" s="491"/>
      <c r="L769" s="491"/>
      <c r="M769" s="486"/>
      <c r="N769" s="422"/>
      <c r="O769" s="422"/>
      <c r="P769" s="422"/>
      <c r="Q769" s="486"/>
      <c r="R769" s="491"/>
      <c r="S769" s="491"/>
      <c r="T769" s="491"/>
      <c r="U769" s="491"/>
      <c r="V769" s="491"/>
      <c r="W769" s="493"/>
      <c r="X769" s="486"/>
      <c r="Y769" s="442"/>
      <c r="Z769" s="491"/>
      <c r="AA769" s="524" t="str">
        <f>AC234</f>
        <v/>
      </c>
      <c r="AB769" s="494"/>
      <c r="AC769" s="436"/>
      <c r="AD769" s="495"/>
      <c r="AE769" s="491"/>
      <c r="AF769" s="491"/>
      <c r="AG769" s="525" t="str">
        <f>AI234</f>
        <v/>
      </c>
      <c r="AH769" s="491"/>
      <c r="AI769" s="446"/>
      <c r="AJ769" s="491"/>
      <c r="AK769" s="500"/>
      <c r="AL769" s="436"/>
      <c r="AM769" s="438"/>
      <c r="AN769" s="531"/>
      <c r="AO769" s="491"/>
      <c r="AP769" s="438"/>
      <c r="AQ769" s="438"/>
      <c r="AR769" s="438"/>
      <c r="AS769" s="438"/>
      <c r="AT769" s="438"/>
      <c r="AU769" s="438"/>
      <c r="AV769" s="438"/>
      <c r="AW769" s="450">
        <f>AW234</f>
        <v>436.3953742</v>
      </c>
    </row>
    <row r="770">
      <c r="A770" s="436" t="s">
        <v>1991</v>
      </c>
      <c r="B770" s="436" t="s">
        <v>1991</v>
      </c>
      <c r="C770" s="436"/>
      <c r="D770" s="436" t="s">
        <v>158</v>
      </c>
      <c r="E770" s="436"/>
      <c r="F770" s="436" t="s">
        <v>2615</v>
      </c>
      <c r="G770" s="436" t="s">
        <v>169</v>
      </c>
      <c r="H770" s="436" t="s">
        <v>160</v>
      </c>
      <c r="I770" s="436" t="s">
        <v>1963</v>
      </c>
      <c r="J770" s="436">
        <v>3162.27766</v>
      </c>
      <c r="K770" s="436"/>
      <c r="L770" s="438"/>
      <c r="M770" s="453"/>
      <c r="N770" s="422"/>
      <c r="O770" s="422">
        <v>12.286</v>
      </c>
      <c r="P770" s="422"/>
      <c r="Q770" s="436" t="s">
        <v>2183</v>
      </c>
      <c r="R770" s="436" t="s">
        <v>2184</v>
      </c>
      <c r="S770" s="436" t="s">
        <v>1964</v>
      </c>
      <c r="T770" s="419" t="s">
        <v>162</v>
      </c>
      <c r="U770" s="436" t="s">
        <v>2185</v>
      </c>
      <c r="V770" s="451"/>
      <c r="W770" s="458">
        <v>0.31622776601683794</v>
      </c>
      <c r="X770" s="438"/>
      <c r="Y770" s="442">
        <f>IF((W770/((J770/5780)^4))^0.5&gt;0,(W770/((J770/5780)^4))^0.5,"")</f>
        <v>1.878692393</v>
      </c>
      <c r="Z770" s="442"/>
      <c r="AA770" s="443"/>
      <c r="AB770" s="443"/>
      <c r="AC770" s="436" t="str">
        <f>IF(ISNUMBER(VLOOKUP(B770,'New Masses'!A:C,3,FALSE)),VLOOKUP(B770,'New Masses'!A:C,3,FALSE),"")</f>
        <v/>
      </c>
      <c r="AD770" s="451"/>
      <c r="AE770" s="436"/>
      <c r="AF770" s="438"/>
      <c r="AG770" s="459"/>
      <c r="AH770" s="436"/>
      <c r="AI770" s="446" t="str">
        <f>IF(ISNUMBER(VLOOKUP(B770,'New Masses'!A:C,2, FALSE)),VLOOKUP(B770,'New Masses'!A:C,2, FALSE),"")</f>
        <v/>
      </c>
      <c r="AJ770" s="436"/>
      <c r="AK770" s="436"/>
      <c r="AL770" s="436"/>
      <c r="AM770" s="438"/>
      <c r="AN770" s="436">
        <v>1.0</v>
      </c>
      <c r="AO770" s="438"/>
      <c r="AP770" s="438"/>
      <c r="AQ770" s="438"/>
      <c r="AR770" s="438"/>
      <c r="AS770" s="420" t="str">
        <f>VLOOKUP(B770,natta06!A:F,6,FALSE)</f>
        <v>#REF!</v>
      </c>
      <c r="AT770" s="438"/>
      <c r="AU770" s="438"/>
      <c r="AV770" s="438"/>
      <c r="AW770" s="450"/>
    </row>
    <row r="771">
      <c r="A771" s="435" t="str">
        <f t="shared" ref="A771:C771" si="677">A236</f>
        <v>2MASS J05395421-0227326</v>
      </c>
      <c r="B771" s="485" t="str">
        <f t="shared" si="677"/>
        <v>SO1266</v>
      </c>
      <c r="C771" s="486" t="str">
        <f t="shared" si="677"/>
        <v/>
      </c>
      <c r="D771" s="486"/>
      <c r="E771" s="486"/>
      <c r="F771" s="528"/>
      <c r="G771" s="486"/>
      <c r="H771" s="486" t="s">
        <v>5917</v>
      </c>
      <c r="I771" s="491"/>
      <c r="J771" s="491"/>
      <c r="K771" s="491"/>
      <c r="L771" s="491"/>
      <c r="M771" s="486"/>
      <c r="N771" s="422"/>
      <c r="O771" s="422"/>
      <c r="P771" s="422"/>
      <c r="Q771" s="486"/>
      <c r="R771" s="491"/>
      <c r="S771" s="491"/>
      <c r="T771" s="491"/>
      <c r="U771" s="491"/>
      <c r="V771" s="491"/>
      <c r="W771" s="493"/>
      <c r="X771" s="486"/>
      <c r="Y771" s="442"/>
      <c r="Z771" s="491"/>
      <c r="AA771" s="524" t="str">
        <f>AC236</f>
        <v/>
      </c>
      <c r="AB771" s="494"/>
      <c r="AC771" s="436"/>
      <c r="AD771" s="495"/>
      <c r="AE771" s="491"/>
      <c r="AF771" s="491"/>
      <c r="AG771" s="525" t="str">
        <f>AI236</f>
        <v/>
      </c>
      <c r="AH771" s="491"/>
      <c r="AI771" s="446"/>
      <c r="AJ771" s="491"/>
      <c r="AK771" s="500"/>
      <c r="AL771" s="436"/>
      <c r="AM771" s="438"/>
      <c r="AN771" s="531"/>
      <c r="AO771" s="491"/>
      <c r="AP771" s="438"/>
      <c r="AQ771" s="438"/>
      <c r="AR771" s="438"/>
      <c r="AS771" s="438"/>
      <c r="AT771" s="438"/>
      <c r="AU771" s="438"/>
      <c r="AV771" s="438"/>
      <c r="AW771" s="450">
        <f>AW236</f>
        <v>381.7668168</v>
      </c>
    </row>
    <row r="772">
      <c r="A772" s="436" t="s">
        <v>1369</v>
      </c>
      <c r="B772" s="436" t="s">
        <v>1369</v>
      </c>
      <c r="C772" s="420"/>
      <c r="D772" s="436" t="s">
        <v>158</v>
      </c>
      <c r="E772" s="436"/>
      <c r="F772" s="436" t="s">
        <v>2616</v>
      </c>
      <c r="G772" s="436" t="s">
        <v>169</v>
      </c>
      <c r="H772" s="436" t="s">
        <v>160</v>
      </c>
      <c r="I772" s="436" t="s">
        <v>1963</v>
      </c>
      <c r="J772" s="436">
        <v>3090.29543</v>
      </c>
      <c r="K772" s="436"/>
      <c r="L772" s="436" t="s">
        <v>415</v>
      </c>
      <c r="M772" s="439"/>
      <c r="N772" s="422">
        <v>13.245</v>
      </c>
      <c r="O772" s="422">
        <v>10.537</v>
      </c>
      <c r="P772" s="422"/>
      <c r="Q772" s="436" t="s">
        <v>2183</v>
      </c>
      <c r="R772" s="436" t="s">
        <v>2184</v>
      </c>
      <c r="S772" s="436" t="s">
        <v>1964</v>
      </c>
      <c r="T772" s="419" t="s">
        <v>162</v>
      </c>
      <c r="U772" s="436" t="s">
        <v>2185</v>
      </c>
      <c r="V772" s="451">
        <v>5.81056E28</v>
      </c>
      <c r="W772" s="458">
        <v>0.2754228703338166</v>
      </c>
      <c r="X772" s="438"/>
      <c r="Y772" s="442">
        <f>IF((W772/((J772/5780)^4))^0.5&gt;0,(W772/((J772/5780)^4))^0.5,"")</f>
        <v>1.835928136</v>
      </c>
      <c r="Z772" s="442"/>
      <c r="AA772" s="443"/>
      <c r="AB772" s="443"/>
      <c r="AC772" s="436" t="str">
        <f>IF(ISNUMBER(VLOOKUP(B772,'New Masses'!A:C,3,FALSE)),VLOOKUP(B772,'New Masses'!A:C,3,FALSE),"")</f>
        <v/>
      </c>
      <c r="AD772" s="451">
        <f>10^(AE772)</f>
        <v>0.000000000758577575</v>
      </c>
      <c r="AE772" s="436">
        <v>-9.12</v>
      </c>
      <c r="AF772" s="438"/>
      <c r="AG772" s="459">
        <f>10^AJ772</f>
        <v>0.1905460718</v>
      </c>
      <c r="AH772" s="436"/>
      <c r="AI772" s="446" t="str">
        <f>IF(ISNUMBER(VLOOKUP(B772,'New Masses'!A:C,2, FALSE)),VLOOKUP(B772,'New Masses'!A:C,2, FALSE),"")</f>
        <v/>
      </c>
      <c r="AJ772" s="436">
        <v>-0.72</v>
      </c>
      <c r="AK772" s="436"/>
      <c r="AL772" s="436">
        <v>-2.56</v>
      </c>
      <c r="AM772" s="438"/>
      <c r="AN772" s="436">
        <v>1.0</v>
      </c>
      <c r="AO772" s="438"/>
      <c r="AP772" s="436"/>
      <c r="AQ772" s="436"/>
      <c r="AR772" s="438"/>
      <c r="AS772" s="420" t="str">
        <f>VLOOKUP(B772,natta06!A:F,6,FALSE)</f>
        <v>#REF!</v>
      </c>
      <c r="AT772" s="438" t="s">
        <v>5916</v>
      </c>
      <c r="AU772" s="438" t="s">
        <v>1332</v>
      </c>
      <c r="AV772" s="438"/>
      <c r="AW772" s="450">
        <v>151.505969335191</v>
      </c>
    </row>
    <row r="773">
      <c r="A773" s="435" t="str">
        <f t="shared" ref="A773:C773" si="678">A238</f>
        <v>#REF!</v>
      </c>
      <c r="B773" s="485" t="str">
        <f t="shared" si="678"/>
        <v>#REF!</v>
      </c>
      <c r="C773" s="486" t="str">
        <f t="shared" si="678"/>
        <v>#REF!</v>
      </c>
      <c r="D773" s="486"/>
      <c r="E773" s="486"/>
      <c r="F773" s="528"/>
      <c r="G773" s="486"/>
      <c r="H773" s="486" t="s">
        <v>5917</v>
      </c>
      <c r="I773" s="491"/>
      <c r="J773" s="491"/>
      <c r="K773" s="491"/>
      <c r="L773" s="491"/>
      <c r="M773" s="486"/>
      <c r="N773" s="422"/>
      <c r="O773" s="422"/>
      <c r="P773" s="422"/>
      <c r="Q773" s="486"/>
      <c r="R773" s="491"/>
      <c r="S773" s="491"/>
      <c r="T773" s="491"/>
      <c r="U773" s="491"/>
      <c r="V773" s="491"/>
      <c r="W773" s="493"/>
      <c r="X773" s="486"/>
      <c r="Y773" s="442"/>
      <c r="Z773" s="491"/>
      <c r="AA773" s="524" t="str">
        <f>AC238</f>
        <v/>
      </c>
      <c r="AB773" s="494"/>
      <c r="AC773" s="436"/>
      <c r="AD773" s="495"/>
      <c r="AE773" s="491"/>
      <c r="AF773" s="491"/>
      <c r="AG773" s="525" t="str">
        <f>AI238</f>
        <v/>
      </c>
      <c r="AH773" s="491"/>
      <c r="AI773" s="446"/>
      <c r="AJ773" s="491"/>
      <c r="AK773" s="500"/>
      <c r="AL773" s="436"/>
      <c r="AM773" s="438"/>
      <c r="AN773" s="531"/>
      <c r="AO773" s="491"/>
      <c r="AP773" s="438"/>
      <c r="AQ773" s="438"/>
      <c r="AR773" s="438"/>
      <c r="AS773" s="438"/>
      <c r="AT773" s="438"/>
      <c r="AU773" s="438"/>
      <c r="AV773" s="438"/>
      <c r="AW773" s="450" t="str">
        <f>AW238</f>
        <v>#REF!</v>
      </c>
    </row>
    <row r="774">
      <c r="A774" s="436" t="s">
        <v>1317</v>
      </c>
      <c r="B774" s="436" t="s">
        <v>1317</v>
      </c>
      <c r="C774" s="420"/>
      <c r="D774" s="420" t="s">
        <v>158</v>
      </c>
      <c r="E774" s="420"/>
      <c r="F774" s="420" t="s">
        <v>2617</v>
      </c>
      <c r="G774" s="420" t="s">
        <v>169</v>
      </c>
      <c r="H774" s="420" t="s">
        <v>160</v>
      </c>
      <c r="I774" s="420" t="s">
        <v>1963</v>
      </c>
      <c r="J774" s="436">
        <v>2630.26799</v>
      </c>
      <c r="K774" s="436"/>
      <c r="L774" s="420"/>
      <c r="M774" s="429"/>
      <c r="N774" s="422">
        <v>17.382</v>
      </c>
      <c r="O774" s="422">
        <v>12.455</v>
      </c>
      <c r="P774" s="422"/>
      <c r="Q774" s="420" t="s">
        <v>2183</v>
      </c>
      <c r="R774" s="438"/>
      <c r="S774" s="438" t="s">
        <v>1964</v>
      </c>
      <c r="T774" s="421" t="s">
        <v>162</v>
      </c>
      <c r="U774" s="420" t="s">
        <v>2185</v>
      </c>
      <c r="V774" s="451"/>
      <c r="W774" s="458">
        <v>0.01513561248436208</v>
      </c>
      <c r="X774" s="438"/>
      <c r="Y774" s="442">
        <f>IF((W774/((J774/5780)^4))^0.5&gt;0,(W774/((J774/5780)^4))^0.5,"")</f>
        <v>0.5940946993</v>
      </c>
      <c r="Z774" s="442"/>
      <c r="AA774" s="443"/>
      <c r="AB774" s="443"/>
      <c r="AC774" s="436" t="str">
        <f>IF(ISNUMBER(VLOOKUP(B774,'New Masses'!A:C,3,FALSE)),VLOOKUP(B774,'New Masses'!A:C,3,FALSE),"")</f>
        <v/>
      </c>
      <c r="AD774" s="440">
        <f>10^AE774</f>
        <v>0.000000001621810097</v>
      </c>
      <c r="AE774" s="436">
        <v>-8.79</v>
      </c>
      <c r="AF774" s="438"/>
      <c r="AG774" s="459">
        <f>10^AJ774</f>
        <v>0.03311311215</v>
      </c>
      <c r="AH774" s="438"/>
      <c r="AI774" s="446" t="str">
        <f>IF(ISNUMBER(VLOOKUP(B774,'New Masses'!A:C,2, FALSE)),VLOOKUP(B774,'New Masses'!A:C,2, FALSE),"")</f>
        <v/>
      </c>
      <c r="AJ774" s="436">
        <v>-1.48</v>
      </c>
      <c r="AK774" s="436"/>
      <c r="AL774" s="511">
        <v>-2.49</v>
      </c>
      <c r="AM774" s="436"/>
      <c r="AN774" s="436">
        <v>1.0</v>
      </c>
      <c r="AO774" s="438"/>
      <c r="AP774" s="436">
        <v>14.18</v>
      </c>
      <c r="AQ774" s="438"/>
      <c r="AR774" s="420" t="s">
        <v>664</v>
      </c>
      <c r="AS774" s="420"/>
      <c r="AT774" s="438"/>
      <c r="AU774" s="420"/>
      <c r="AV774" s="438"/>
      <c r="AW774" s="450"/>
    </row>
    <row r="775">
      <c r="A775" s="435" t="str">
        <f t="shared" ref="A775:C775" si="679">A240</f>
        <v>2MASS J05400101-0219597</v>
      </c>
      <c r="B775" s="485" t="str">
        <f t="shared" si="679"/>
        <v>SO1323</v>
      </c>
      <c r="C775" s="486" t="str">
        <f t="shared" si="679"/>
        <v/>
      </c>
      <c r="D775" s="486"/>
      <c r="E775" s="486"/>
      <c r="F775" s="528"/>
      <c r="G775" s="486"/>
      <c r="H775" s="486" t="s">
        <v>5917</v>
      </c>
      <c r="I775" s="491"/>
      <c r="J775" s="491"/>
      <c r="K775" s="491"/>
      <c r="L775" s="491"/>
      <c r="M775" s="486"/>
      <c r="N775" s="422"/>
      <c r="O775" s="422"/>
      <c r="P775" s="422"/>
      <c r="Q775" s="486"/>
      <c r="R775" s="491"/>
      <c r="S775" s="491"/>
      <c r="T775" s="491"/>
      <c r="U775" s="491"/>
      <c r="V775" s="491"/>
      <c r="W775" s="493"/>
      <c r="X775" s="486"/>
      <c r="Y775" s="442"/>
      <c r="Z775" s="491"/>
      <c r="AA775" s="524" t="str">
        <f>AC240</f>
        <v/>
      </c>
      <c r="AB775" s="494"/>
      <c r="AC775" s="436"/>
      <c r="AD775" s="495"/>
      <c r="AE775" s="491"/>
      <c r="AF775" s="491"/>
      <c r="AG775" s="525" t="str">
        <f>AI240</f>
        <v/>
      </c>
      <c r="AH775" s="491"/>
      <c r="AI775" s="446"/>
      <c r="AJ775" s="491"/>
      <c r="AK775" s="500"/>
      <c r="AL775" s="436"/>
      <c r="AM775" s="438"/>
      <c r="AN775" s="531"/>
      <c r="AO775" s="491"/>
      <c r="AP775" s="438"/>
      <c r="AQ775" s="438"/>
      <c r="AR775" s="438"/>
      <c r="AS775" s="438"/>
      <c r="AT775" s="438"/>
      <c r="AU775" s="438"/>
      <c r="AV775" s="438"/>
      <c r="AW775" s="450">
        <f>AW240</f>
        <v>403.3721915</v>
      </c>
    </row>
    <row r="776">
      <c r="A776" s="436" t="s">
        <v>1321</v>
      </c>
      <c r="B776" s="436" t="s">
        <v>1321</v>
      </c>
      <c r="C776" s="421"/>
      <c r="D776" s="420" t="s">
        <v>158</v>
      </c>
      <c r="E776" s="420"/>
      <c r="F776" s="420" t="s">
        <v>2618</v>
      </c>
      <c r="G776" s="420" t="s">
        <v>169</v>
      </c>
      <c r="H776" s="420" t="s">
        <v>754</v>
      </c>
      <c r="I776" s="436">
        <v>2010.0</v>
      </c>
      <c r="J776" s="436">
        <v>2800.0</v>
      </c>
      <c r="K776" s="419">
        <v>50.0</v>
      </c>
      <c r="L776" s="420" t="s">
        <v>232</v>
      </c>
      <c r="M776" s="429"/>
      <c r="N776" s="422">
        <v>13.834</v>
      </c>
      <c r="O776" s="422">
        <v>11.323</v>
      </c>
      <c r="P776" s="422"/>
      <c r="Q776" s="420" t="s">
        <v>2417</v>
      </c>
      <c r="R776" s="420" t="s">
        <v>2619</v>
      </c>
      <c r="S776" s="420" t="s">
        <v>2419</v>
      </c>
      <c r="T776" s="421" t="s">
        <v>162</v>
      </c>
      <c r="U776" s="420" t="s">
        <v>1754</v>
      </c>
      <c r="V776" s="440"/>
      <c r="W776" s="474">
        <v>0.057</v>
      </c>
      <c r="X776" s="436"/>
      <c r="Y776" s="442">
        <f t="shared" ref="Y776:Y777" si="680">IF((W776/((J776/5780)^4))^0.5&gt;0,(W776/((J776/5780)^4))^0.5,"")</f>
        <v>1.017365584</v>
      </c>
      <c r="Z776" s="469"/>
      <c r="AA776" s="470">
        <v>1.02</v>
      </c>
      <c r="AB776" s="470">
        <v>0.04</v>
      </c>
      <c r="AC776" s="469">
        <f>IF(ISNUMBER(VLOOKUP(B776,'New Masses'!A:C,3,FALSE)),VLOOKUP(B776,'New Masses'!A:C,3,FALSE),"")</f>
        <v>0.473141</v>
      </c>
      <c r="AD776" s="451">
        <f>10^AE776</f>
        <v>0</v>
      </c>
      <c r="AE776" s="436">
        <v>-10.73</v>
      </c>
      <c r="AF776" s="438"/>
      <c r="AG776" s="459">
        <v>0.06</v>
      </c>
      <c r="AH776" s="436">
        <v>0.08</v>
      </c>
      <c r="AI776" s="446">
        <f>IF(ISNUMBER(VLOOKUP(B776,'New Masses'!A:C,2, FALSE)),VLOOKUP(B776,'New Masses'!A:C,2, FALSE),"")</f>
        <v>0.03139</v>
      </c>
      <c r="AJ776" s="436"/>
      <c r="AK776" s="436"/>
      <c r="AL776" s="436">
        <v>-4.6</v>
      </c>
      <c r="AM776" s="438"/>
      <c r="AN776" s="436">
        <v>1.0</v>
      </c>
      <c r="AO776" s="438"/>
      <c r="AP776" s="436">
        <v>7.0</v>
      </c>
      <c r="AQ776" s="438"/>
      <c r="AR776" s="420" t="s">
        <v>2504</v>
      </c>
      <c r="AS776" s="420"/>
      <c r="AT776" s="438"/>
      <c r="AU776" s="438"/>
      <c r="AV776" s="438"/>
      <c r="AW776" s="450">
        <v>138.952575485986</v>
      </c>
    </row>
    <row r="777">
      <c r="A777" s="470" t="s">
        <v>1321</v>
      </c>
      <c r="B777" s="470" t="s">
        <v>1321</v>
      </c>
      <c r="C777" s="421"/>
      <c r="D777" s="436" t="s">
        <v>158</v>
      </c>
      <c r="E777" s="436"/>
      <c r="F777" s="436" t="s">
        <v>2618</v>
      </c>
      <c r="G777" s="436" t="s">
        <v>169</v>
      </c>
      <c r="H777" s="436" t="s">
        <v>160</v>
      </c>
      <c r="I777" s="436" t="s">
        <v>1963</v>
      </c>
      <c r="J777" s="436">
        <v>2818.38293</v>
      </c>
      <c r="K777" s="436"/>
      <c r="L777" s="436" t="s">
        <v>232</v>
      </c>
      <c r="M777" s="439"/>
      <c r="N777" s="422">
        <v>13.834</v>
      </c>
      <c r="O777" s="422">
        <v>11.323</v>
      </c>
      <c r="P777" s="422"/>
      <c r="Q777" s="436" t="s">
        <v>2183</v>
      </c>
      <c r="R777" s="436" t="s">
        <v>2184</v>
      </c>
      <c r="S777" s="436" t="s">
        <v>1964</v>
      </c>
      <c r="T777" s="419" t="s">
        <v>162</v>
      </c>
      <c r="U777" s="436" t="s">
        <v>2185</v>
      </c>
      <c r="V777" s="451">
        <v>9.20912E27</v>
      </c>
      <c r="W777" s="458">
        <v>0.07762471166286916</v>
      </c>
      <c r="X777" s="438"/>
      <c r="Y777" s="442">
        <f t="shared" si="680"/>
        <v>1.171805892</v>
      </c>
      <c r="Z777" s="442"/>
      <c r="AA777" s="443"/>
      <c r="AB777" s="443"/>
      <c r="AC777" s="469">
        <f>IF(ISNUMBER(VLOOKUP(B777,'New Masses'!A:C,3,FALSE)),VLOOKUP(B777,'New Masses'!A:C,3,FALSE),"")</f>
        <v>0.473141</v>
      </c>
      <c r="AD777" s="451">
        <f>10^(AE777)</f>
        <v>0</v>
      </c>
      <c r="AE777" s="436">
        <v>-10.08</v>
      </c>
      <c r="AF777" s="438"/>
      <c r="AG777" s="459">
        <f>10^AJ777</f>
        <v>0.08912509381</v>
      </c>
      <c r="AH777" s="436"/>
      <c r="AI777" s="446">
        <f>IF(ISNUMBER(VLOOKUP(B777,'New Masses'!A:C,2, FALSE)),VLOOKUP(B777,'New Masses'!A:C,2, FALSE),"")</f>
        <v>0.03139</v>
      </c>
      <c r="AJ777" s="436">
        <v>-1.05</v>
      </c>
      <c r="AK777" s="436"/>
      <c r="AL777" s="436">
        <v>-3.64</v>
      </c>
      <c r="AM777" s="438"/>
      <c r="AN777" s="436">
        <v>1.0</v>
      </c>
      <c r="AO777" s="438"/>
      <c r="AP777" s="436"/>
      <c r="AQ777" s="436"/>
      <c r="AR777" s="438"/>
      <c r="AS777" s="420" t="str">
        <f>VLOOKUP(B777,natta06!A:F,6,FALSE)</f>
        <v>#REF!</v>
      </c>
      <c r="AT777" s="438" t="s">
        <v>5916</v>
      </c>
      <c r="AU777" s="438" t="s">
        <v>1304</v>
      </c>
      <c r="AV777" s="438"/>
      <c r="AW777" s="450">
        <v>138.952575485986</v>
      </c>
    </row>
    <row r="778">
      <c r="A778" s="435" t="str">
        <f t="shared" ref="A778:C778" si="681">A243</f>
        <v>#REF!</v>
      </c>
      <c r="B778" s="485" t="str">
        <f t="shared" si="681"/>
        <v>#REF!</v>
      </c>
      <c r="C778" s="486" t="str">
        <f t="shared" si="681"/>
        <v>#REF!</v>
      </c>
      <c r="D778" s="486"/>
      <c r="E778" s="486"/>
      <c r="F778" s="528"/>
      <c r="G778" s="486"/>
      <c r="H778" s="486" t="s">
        <v>5917</v>
      </c>
      <c r="I778" s="491"/>
      <c r="J778" s="491"/>
      <c r="K778" s="491"/>
      <c r="L778" s="491"/>
      <c r="M778" s="486"/>
      <c r="N778" s="422"/>
      <c r="O778" s="422"/>
      <c r="P778" s="422"/>
      <c r="Q778" s="486"/>
      <c r="R778" s="491"/>
      <c r="S778" s="491"/>
      <c r="T778" s="491"/>
      <c r="U778" s="491"/>
      <c r="V778" s="491"/>
      <c r="W778" s="493"/>
      <c r="X778" s="486"/>
      <c r="Y778" s="442"/>
      <c r="Z778" s="491"/>
      <c r="AA778" s="524" t="str">
        <f t="shared" ref="AA778:AA779" si="683">AC243</f>
        <v/>
      </c>
      <c r="AB778" s="494"/>
      <c r="AC778" s="436"/>
      <c r="AD778" s="495"/>
      <c r="AE778" s="491"/>
      <c r="AF778" s="491"/>
      <c r="AG778" s="525" t="str">
        <f t="shared" ref="AG778:AG779" si="684">AI243</f>
        <v/>
      </c>
      <c r="AH778" s="491"/>
      <c r="AI778" s="446"/>
      <c r="AJ778" s="491"/>
      <c r="AK778" s="500"/>
      <c r="AL778" s="436"/>
      <c r="AM778" s="438"/>
      <c r="AN778" s="531"/>
      <c r="AO778" s="491"/>
      <c r="AP778" s="438"/>
      <c r="AQ778" s="438"/>
      <c r="AR778" s="438"/>
      <c r="AS778" s="438"/>
      <c r="AT778" s="438"/>
      <c r="AU778" s="438"/>
      <c r="AV778" s="438"/>
      <c r="AW778" s="450" t="str">
        <f t="shared" ref="AW778:AW779" si="685">AW243</f>
        <v>#REF!</v>
      </c>
    </row>
    <row r="779">
      <c r="A779" s="435" t="str">
        <f t="shared" ref="A779:C779" si="682">A244</f>
        <v>2MASS J06443294+0010528</v>
      </c>
      <c r="B779" s="485" t="str">
        <f t="shared" si="682"/>
        <v>2MASS J06443294+0010528</v>
      </c>
      <c r="C779" s="486" t="str">
        <f t="shared" si="682"/>
        <v/>
      </c>
      <c r="D779" s="486"/>
      <c r="E779" s="486"/>
      <c r="F779" s="528"/>
      <c r="G779" s="486"/>
      <c r="H779" s="486" t="s">
        <v>5917</v>
      </c>
      <c r="I779" s="491"/>
      <c r="J779" s="491"/>
      <c r="K779" s="491"/>
      <c r="L779" s="491"/>
      <c r="M779" s="486"/>
      <c r="N779" s="422"/>
      <c r="O779" s="422"/>
      <c r="P779" s="422"/>
      <c r="Q779" s="486"/>
      <c r="R779" s="491"/>
      <c r="S779" s="491"/>
      <c r="T779" s="491"/>
      <c r="U779" s="491"/>
      <c r="V779" s="491"/>
      <c r="W779" s="493"/>
      <c r="X779" s="486"/>
      <c r="Y779" s="442"/>
      <c r="Z779" s="491"/>
      <c r="AA779" s="524" t="str">
        <f t="shared" si="683"/>
        <v/>
      </c>
      <c r="AB779" s="494"/>
      <c r="AC779" s="436"/>
      <c r="AD779" s="495"/>
      <c r="AE779" s="491"/>
      <c r="AF779" s="491"/>
      <c r="AG779" s="525" t="str">
        <f t="shared" si="684"/>
        <v/>
      </c>
      <c r="AH779" s="491"/>
      <c r="AI779" s="446"/>
      <c r="AJ779" s="491"/>
      <c r="AK779" s="500"/>
      <c r="AL779" s="436"/>
      <c r="AM779" s="438"/>
      <c r="AN779" s="531"/>
      <c r="AO779" s="491"/>
      <c r="AP779" s="438"/>
      <c r="AQ779" s="438"/>
      <c r="AR779" s="438"/>
      <c r="AS779" s="438"/>
      <c r="AT779" s="438"/>
      <c r="AU779" s="438"/>
      <c r="AV779" s="438"/>
      <c r="AW779" s="450" t="str">
        <f t="shared" si="685"/>
        <v/>
      </c>
    </row>
    <row r="780">
      <c r="A780" s="436" t="s">
        <v>1370</v>
      </c>
      <c r="B780" s="436" t="s">
        <v>1370</v>
      </c>
      <c r="C780" s="436"/>
      <c r="D780" s="436" t="s">
        <v>158</v>
      </c>
      <c r="E780" s="436"/>
      <c r="F780" s="436" t="s">
        <v>2620</v>
      </c>
      <c r="G780" s="436" t="s">
        <v>169</v>
      </c>
      <c r="H780" s="436" t="s">
        <v>160</v>
      </c>
      <c r="I780" s="436" t="s">
        <v>1963</v>
      </c>
      <c r="J780" s="436">
        <v>3090.29543</v>
      </c>
      <c r="K780" s="436"/>
      <c r="L780" s="438"/>
      <c r="M780" s="453"/>
      <c r="N780" s="422">
        <v>15.753</v>
      </c>
      <c r="O780" s="422">
        <v>11.133</v>
      </c>
      <c r="P780" s="422"/>
      <c r="Q780" s="436" t="s">
        <v>2183</v>
      </c>
      <c r="R780" s="436" t="s">
        <v>2184</v>
      </c>
      <c r="S780" s="436" t="s">
        <v>1964</v>
      </c>
      <c r="T780" s="419" t="s">
        <v>162</v>
      </c>
      <c r="U780" s="436" t="s">
        <v>2185</v>
      </c>
      <c r="V780" s="451">
        <v>2.36711E28</v>
      </c>
      <c r="W780" s="458">
        <v>0.28183829312644537</v>
      </c>
      <c r="X780" s="438"/>
      <c r="Y780" s="442">
        <f>IF((W780/((J780/5780)^4))^0.5&gt;0,(W780/((J780/5780)^4))^0.5,"")</f>
        <v>1.857187182</v>
      </c>
      <c r="Z780" s="442"/>
      <c r="AA780" s="443"/>
      <c r="AB780" s="443"/>
      <c r="AC780" s="436" t="str">
        <f>IF(ISNUMBER(VLOOKUP(B780,'New Masses'!A:C,3,FALSE)),VLOOKUP(B780,'New Masses'!A:C,3,FALSE),"")</f>
        <v/>
      </c>
      <c r="AD780" s="451">
        <f>10^(AE780)</f>
        <v>0.0000000002187761624</v>
      </c>
      <c r="AE780" s="436">
        <v>-9.66</v>
      </c>
      <c r="AF780" s="438"/>
      <c r="AG780" s="459">
        <f>10^AJ780</f>
        <v>0.1905460718</v>
      </c>
      <c r="AH780" s="436"/>
      <c r="AI780" s="446" t="str">
        <f>IF(ISNUMBER(VLOOKUP(B780,'New Masses'!A:C,2, FALSE)),VLOOKUP(B780,'New Masses'!A:C,2, FALSE),"")</f>
        <v/>
      </c>
      <c r="AJ780" s="436">
        <v>-0.72</v>
      </c>
      <c r="AK780" s="436"/>
      <c r="AL780" s="436">
        <v>-3.09</v>
      </c>
      <c r="AM780" s="438"/>
      <c r="AN780" s="436">
        <v>1.0</v>
      </c>
      <c r="AO780" s="438"/>
      <c r="AP780" s="436"/>
      <c r="AQ780" s="438"/>
      <c r="AR780" s="438"/>
      <c r="AS780" s="420" t="str">
        <f>VLOOKUP(B780,natta06!A:F,6,FALSE)</f>
        <v>#REF!</v>
      </c>
      <c r="AT780" s="438" t="s">
        <v>5916</v>
      </c>
      <c r="AU780" s="438"/>
      <c r="AV780" s="438"/>
      <c r="AW780" s="450"/>
    </row>
    <row r="781">
      <c r="A781" s="435" t="str">
        <f t="shared" ref="A781:C781" si="686">A246</f>
        <v>2MASS J06443541+0019093</v>
      </c>
      <c r="B781" s="485" t="str">
        <f t="shared" si="686"/>
        <v>2MASS J06443541+0019093</v>
      </c>
      <c r="C781" s="486" t="str">
        <f t="shared" si="686"/>
        <v/>
      </c>
      <c r="D781" s="486"/>
      <c r="E781" s="486"/>
      <c r="F781" s="528"/>
      <c r="G781" s="486"/>
      <c r="H781" s="486" t="s">
        <v>5917</v>
      </c>
      <c r="I781" s="491"/>
      <c r="J781" s="491"/>
      <c r="K781" s="491"/>
      <c r="L781" s="491"/>
      <c r="M781" s="486"/>
      <c r="N781" s="422"/>
      <c r="O781" s="422"/>
      <c r="P781" s="422"/>
      <c r="Q781" s="486"/>
      <c r="R781" s="491"/>
      <c r="S781" s="491"/>
      <c r="T781" s="491"/>
      <c r="U781" s="491"/>
      <c r="V781" s="491"/>
      <c r="W781" s="493"/>
      <c r="X781" s="486"/>
      <c r="Y781" s="442"/>
      <c r="Z781" s="491"/>
      <c r="AA781" s="524" t="str">
        <f>AC246</f>
        <v/>
      </c>
      <c r="AB781" s="494"/>
      <c r="AC781" s="436"/>
      <c r="AD781" s="495"/>
      <c r="AE781" s="491"/>
      <c r="AF781" s="491"/>
      <c r="AG781" s="525" t="str">
        <f>AI246</f>
        <v/>
      </c>
      <c r="AH781" s="491"/>
      <c r="AI781" s="446"/>
      <c r="AJ781" s="491"/>
      <c r="AK781" s="500"/>
      <c r="AL781" s="436"/>
      <c r="AM781" s="438"/>
      <c r="AN781" s="531"/>
      <c r="AO781" s="491"/>
      <c r="AP781" s="438"/>
      <c r="AQ781" s="438"/>
      <c r="AR781" s="438"/>
      <c r="AS781" s="438"/>
      <c r="AT781" s="438"/>
      <c r="AU781" s="438"/>
      <c r="AV781" s="438"/>
      <c r="AW781" s="450">
        <f>AW246</f>
        <v>5327.650506</v>
      </c>
    </row>
    <row r="782">
      <c r="A782" s="436" t="s">
        <v>1361</v>
      </c>
      <c r="B782" s="436" t="s">
        <v>1361</v>
      </c>
      <c r="C782" s="436"/>
      <c r="D782" s="436" t="s">
        <v>158</v>
      </c>
      <c r="E782" s="436"/>
      <c r="F782" s="436" t="s">
        <v>2621</v>
      </c>
      <c r="G782" s="436" t="s">
        <v>169</v>
      </c>
      <c r="H782" s="436" t="s">
        <v>160</v>
      </c>
      <c r="I782" s="436" t="s">
        <v>1963</v>
      </c>
      <c r="J782" s="436">
        <v>3019.95172</v>
      </c>
      <c r="K782" s="436"/>
      <c r="L782" s="438"/>
      <c r="M782" s="453"/>
      <c r="N782" s="422">
        <v>12.783</v>
      </c>
      <c r="O782" s="422">
        <v>10.161</v>
      </c>
      <c r="P782" s="422"/>
      <c r="Q782" s="436" t="s">
        <v>2183</v>
      </c>
      <c r="R782" s="436" t="s">
        <v>2184</v>
      </c>
      <c r="S782" s="436" t="s">
        <v>1964</v>
      </c>
      <c r="T782" s="419" t="s">
        <v>162</v>
      </c>
      <c r="U782" s="436" t="s">
        <v>2185</v>
      </c>
      <c r="V782" s="451">
        <v>9.64313E28</v>
      </c>
      <c r="W782" s="458">
        <v>0.22387211385683395</v>
      </c>
      <c r="X782" s="438"/>
      <c r="Y782" s="442">
        <f>IF((W782/((J782/5780)^4))^0.5&gt;0,(W782/((J782/5780)^4))^0.5,"")</f>
        <v>1.733227923</v>
      </c>
      <c r="Z782" s="442"/>
      <c r="AA782" s="443"/>
      <c r="AB782" s="443"/>
      <c r="AC782" s="436" t="str">
        <f>IF(ISNUMBER(VLOOKUP(B782,'New Masses'!A:C,3,FALSE)),VLOOKUP(B782,'New Masses'!A:C,3,FALSE),"")</f>
        <v/>
      </c>
      <c r="AD782" s="451">
        <f>10^(AE782)</f>
        <v>0.000000001659586907</v>
      </c>
      <c r="AE782" s="436">
        <v>-8.78</v>
      </c>
      <c r="AF782" s="438"/>
      <c r="AG782" s="459">
        <f>10^AJ782</f>
        <v>0.1698243652</v>
      </c>
      <c r="AH782" s="436"/>
      <c r="AI782" s="446" t="str">
        <f>IF(ISNUMBER(VLOOKUP(B782,'New Masses'!A:C,2, FALSE)),VLOOKUP(B782,'New Masses'!A:C,2, FALSE),"")</f>
        <v/>
      </c>
      <c r="AJ782" s="436">
        <v>-0.77</v>
      </c>
      <c r="AK782" s="436"/>
      <c r="AL782" s="436">
        <v>-2.25</v>
      </c>
      <c r="AM782" s="438"/>
      <c r="AN782" s="436">
        <v>1.0</v>
      </c>
      <c r="AO782" s="438"/>
      <c r="AP782" s="438"/>
      <c r="AQ782" s="438"/>
      <c r="AR782" s="438"/>
      <c r="AS782" s="420" t="str">
        <f>VLOOKUP(B782,natta06!A:F,6,FALSE)</f>
        <v>#REF!</v>
      </c>
      <c r="AT782" s="438"/>
      <c r="AU782" s="438"/>
      <c r="AV782" s="438"/>
      <c r="AW782" s="450">
        <v>206.011413032282</v>
      </c>
    </row>
    <row r="783">
      <c r="A783" s="435" t="str">
        <f t="shared" ref="A783:C783" si="687">A248</f>
        <v>2MASS J06443682+0016186</v>
      </c>
      <c r="B783" s="485" t="str">
        <f t="shared" si="687"/>
        <v>2MASS J06443682+0016186</v>
      </c>
      <c r="C783" s="486" t="str">
        <f t="shared" si="687"/>
        <v/>
      </c>
      <c r="D783" s="486"/>
      <c r="E783" s="486"/>
      <c r="F783" s="528"/>
      <c r="G783" s="486"/>
      <c r="H783" s="486" t="s">
        <v>5917</v>
      </c>
      <c r="I783" s="491"/>
      <c r="J783" s="491"/>
      <c r="K783" s="491"/>
      <c r="L783" s="491"/>
      <c r="M783" s="486"/>
      <c r="N783" s="422"/>
      <c r="O783" s="422"/>
      <c r="P783" s="422"/>
      <c r="Q783" s="486"/>
      <c r="R783" s="491"/>
      <c r="S783" s="491"/>
      <c r="T783" s="491"/>
      <c r="U783" s="491"/>
      <c r="V783" s="491"/>
      <c r="W783" s="493"/>
      <c r="X783" s="486"/>
      <c r="Y783" s="442"/>
      <c r="Z783" s="491"/>
      <c r="AA783" s="524" t="str">
        <f>AC248</f>
        <v/>
      </c>
      <c r="AB783" s="494"/>
      <c r="AC783" s="436"/>
      <c r="AD783" s="495"/>
      <c r="AE783" s="491"/>
      <c r="AF783" s="491"/>
      <c r="AG783" s="525" t="str">
        <f>AI248</f>
        <v/>
      </c>
      <c r="AH783" s="491"/>
      <c r="AI783" s="446"/>
      <c r="AJ783" s="491"/>
      <c r="AK783" s="500"/>
      <c r="AL783" s="436"/>
      <c r="AM783" s="438"/>
      <c r="AN783" s="531"/>
      <c r="AO783" s="491"/>
      <c r="AP783" s="438"/>
      <c r="AQ783" s="438"/>
      <c r="AR783" s="438"/>
      <c r="AS783" s="438"/>
      <c r="AT783" s="438"/>
      <c r="AU783" s="438"/>
      <c r="AV783" s="438"/>
      <c r="AW783" s="450">
        <f>AW248</f>
        <v>2926.543752</v>
      </c>
    </row>
    <row r="784">
      <c r="A784" s="436" t="s">
        <v>171</v>
      </c>
      <c r="B784" s="436" t="s">
        <v>171</v>
      </c>
      <c r="C784" s="436"/>
      <c r="D784" s="436" t="s">
        <v>158</v>
      </c>
      <c r="E784" s="436"/>
      <c r="F784" s="436" t="s">
        <v>2622</v>
      </c>
      <c r="G784" s="436" t="s">
        <v>169</v>
      </c>
      <c r="H784" s="436" t="s">
        <v>160</v>
      </c>
      <c r="I784" s="436" t="s">
        <v>1963</v>
      </c>
      <c r="J784" s="436">
        <v>2884.0315</v>
      </c>
      <c r="K784" s="436"/>
      <c r="L784" s="438"/>
      <c r="M784" s="453"/>
      <c r="N784" s="422">
        <v>13.849</v>
      </c>
      <c r="O784" s="422">
        <v>10.936</v>
      </c>
      <c r="P784" s="422"/>
      <c r="Q784" s="436" t="s">
        <v>2183</v>
      </c>
      <c r="R784" s="436" t="s">
        <v>2184</v>
      </c>
      <c r="S784" s="436" t="s">
        <v>1964</v>
      </c>
      <c r="T784" s="419" t="s">
        <v>162</v>
      </c>
      <c r="U784" s="436" t="s">
        <v>2431</v>
      </c>
      <c r="V784" s="451">
        <v>1.6376E28</v>
      </c>
      <c r="W784" s="458">
        <v>0.14454397707459277</v>
      </c>
      <c r="X784" s="438"/>
      <c r="Y784" s="442">
        <f>IF((W784/((J784/5780)^4))^0.5&gt;0,(W784/((J784/5780)^4))^0.5,"")</f>
        <v>1.527058511</v>
      </c>
      <c r="Z784" s="442"/>
      <c r="AA784" s="443"/>
      <c r="AB784" s="443"/>
      <c r="AC784" s="436" t="str">
        <f>IF(ISNUMBER(VLOOKUP(B784,'New Masses'!A:C,3,FALSE)),VLOOKUP(B784,'New Masses'!A:C,3,FALSE),"")</f>
        <v/>
      </c>
      <c r="AD784" s="451">
        <f>10^(AE784)</f>
        <v>0.000000003801893963</v>
      </c>
      <c r="AE784" s="436">
        <v>-8.42</v>
      </c>
      <c r="AF784" s="438"/>
      <c r="AG784" s="459">
        <f>10^AJ784</f>
        <v>0.1288249552</v>
      </c>
      <c r="AH784" s="436"/>
      <c r="AI784" s="446" t="str">
        <f>IF(ISNUMBER(VLOOKUP(B784,'New Masses'!A:C,2, FALSE)),VLOOKUP(B784,'New Masses'!A:C,2, FALSE),"")</f>
        <v/>
      </c>
      <c r="AJ784" s="436">
        <v>-0.89</v>
      </c>
      <c r="AK784" s="436"/>
      <c r="AL784" s="436">
        <v>-1.94</v>
      </c>
      <c r="AM784" s="438"/>
      <c r="AN784" s="436">
        <v>1.0</v>
      </c>
      <c r="AO784" s="438"/>
      <c r="AP784" s="436"/>
      <c r="AQ784" s="438"/>
      <c r="AR784" s="438"/>
      <c r="AS784" s="420" t="str">
        <f>VLOOKUP(B784,natta06!A:F,6,FALSE)</f>
        <v>#REF!</v>
      </c>
      <c r="AT784" s="438" t="s">
        <v>5916</v>
      </c>
      <c r="AU784" s="438"/>
      <c r="AV784" s="438"/>
      <c r="AW784" s="450">
        <v>127.326899080699</v>
      </c>
    </row>
    <row r="785">
      <c r="A785" s="435" t="str">
        <f t="shared" ref="A785:C785" si="688">A250</f>
        <v>2MASS J06443788+0021509</v>
      </c>
      <c r="B785" s="485" t="str">
        <f t="shared" si="688"/>
        <v>2MASS J06443788+0021509</v>
      </c>
      <c r="C785" s="486" t="str">
        <f t="shared" si="688"/>
        <v/>
      </c>
      <c r="D785" s="486"/>
      <c r="E785" s="486"/>
      <c r="F785" s="528"/>
      <c r="G785" s="486"/>
      <c r="H785" s="486" t="s">
        <v>5917</v>
      </c>
      <c r="I785" s="491"/>
      <c r="J785" s="491"/>
      <c r="K785" s="491"/>
      <c r="L785" s="491"/>
      <c r="M785" s="486"/>
      <c r="N785" s="422"/>
      <c r="O785" s="422"/>
      <c r="P785" s="422"/>
      <c r="Q785" s="486"/>
      <c r="R785" s="491"/>
      <c r="S785" s="491"/>
      <c r="T785" s="491"/>
      <c r="U785" s="491"/>
      <c r="V785" s="491"/>
      <c r="W785" s="493"/>
      <c r="X785" s="486"/>
      <c r="Y785" s="442"/>
      <c r="Z785" s="491"/>
      <c r="AA785" s="524" t="str">
        <f>AC250</f>
        <v/>
      </c>
      <c r="AB785" s="494"/>
      <c r="AC785" s="436"/>
      <c r="AD785" s="495"/>
      <c r="AE785" s="491"/>
      <c r="AF785" s="491"/>
      <c r="AG785" s="525" t="str">
        <f>AI250</f>
        <v/>
      </c>
      <c r="AH785" s="491"/>
      <c r="AI785" s="446"/>
      <c r="AJ785" s="491"/>
      <c r="AK785" s="500"/>
      <c r="AL785" s="436"/>
      <c r="AM785" s="438"/>
      <c r="AN785" s="531"/>
      <c r="AO785" s="491"/>
      <c r="AP785" s="438"/>
      <c r="AQ785" s="438"/>
      <c r="AR785" s="438"/>
      <c r="AS785" s="438"/>
      <c r="AT785" s="438"/>
      <c r="AU785" s="438"/>
      <c r="AV785" s="438"/>
      <c r="AW785" s="450">
        <f>AW250</f>
        <v>6635.700066</v>
      </c>
    </row>
    <row r="786">
      <c r="A786" s="436" t="s">
        <v>1993</v>
      </c>
      <c r="B786" s="436" t="s">
        <v>1993</v>
      </c>
      <c r="C786" s="436"/>
      <c r="D786" s="436" t="s">
        <v>158</v>
      </c>
      <c r="E786" s="436"/>
      <c r="F786" s="436" t="s">
        <v>2623</v>
      </c>
      <c r="G786" s="436" t="s">
        <v>159</v>
      </c>
      <c r="H786" s="436" t="s">
        <v>160</v>
      </c>
      <c r="I786" s="436" t="s">
        <v>1963</v>
      </c>
      <c r="J786" s="436"/>
      <c r="K786" s="436"/>
      <c r="L786" s="436" t="s">
        <v>1994</v>
      </c>
      <c r="M786" s="439"/>
      <c r="N786" s="422">
        <v>9.441</v>
      </c>
      <c r="O786" s="422">
        <v>7.301</v>
      </c>
      <c r="P786" s="422">
        <v>13.69</v>
      </c>
      <c r="Q786" s="436" t="s">
        <v>2183</v>
      </c>
      <c r="R786" s="436" t="s">
        <v>2184</v>
      </c>
      <c r="S786" s="436" t="s">
        <v>1964</v>
      </c>
      <c r="T786" s="419" t="s">
        <v>162</v>
      </c>
      <c r="U786" s="436" t="s">
        <v>2185</v>
      </c>
      <c r="V786" s="451"/>
      <c r="W786" s="458"/>
      <c r="X786" s="438"/>
      <c r="Y786" s="442"/>
      <c r="Z786" s="442"/>
      <c r="AA786" s="443"/>
      <c r="AB786" s="443"/>
      <c r="AC786" s="436" t="str">
        <f>IF(ISNUMBER(VLOOKUP(B786,'New Masses'!A:C,3,FALSE)),VLOOKUP(B786,'New Masses'!A:C,3,FALSE),"")</f>
        <v/>
      </c>
      <c r="AD786" s="451"/>
      <c r="AE786" s="436"/>
      <c r="AF786" s="438"/>
      <c r="AG786" s="459"/>
      <c r="AH786" s="436"/>
      <c r="AI786" s="446" t="str">
        <f>IF(ISNUMBER(VLOOKUP(B786,'New Masses'!A:C,2, FALSE)),VLOOKUP(B786,'New Masses'!A:C,2, FALSE),"")</f>
        <v/>
      </c>
      <c r="AJ786" s="436"/>
      <c r="AK786" s="436"/>
      <c r="AL786" s="436"/>
      <c r="AM786" s="438"/>
      <c r="AN786" s="436">
        <v>1.0</v>
      </c>
      <c r="AO786" s="438"/>
      <c r="AP786" s="436"/>
      <c r="AQ786" s="436"/>
      <c r="AR786" s="438"/>
      <c r="AS786" s="420" t="str">
        <f>VLOOKUP(B786,natta06!A:F,6,FALSE)</f>
        <v>#REF!</v>
      </c>
      <c r="AT786" s="438"/>
      <c r="AU786" s="438" t="s">
        <v>1332</v>
      </c>
      <c r="AV786" s="438"/>
      <c r="AW786" s="450">
        <v>141.997046461433</v>
      </c>
    </row>
    <row r="787">
      <c r="A787" s="435" t="str">
        <f t="shared" ref="A787:C787" si="689">A252</f>
        <v>2MASS J06443827+0019229</v>
      </c>
      <c r="B787" s="485" t="str">
        <f t="shared" si="689"/>
        <v>2MASS J06443827+0019229</v>
      </c>
      <c r="C787" s="486" t="str">
        <f t="shared" si="689"/>
        <v/>
      </c>
      <c r="D787" s="486"/>
      <c r="E787" s="486"/>
      <c r="F787" s="528"/>
      <c r="G787" s="486"/>
      <c r="H787" s="486" t="s">
        <v>5917</v>
      </c>
      <c r="I787" s="491"/>
      <c r="J787" s="491"/>
      <c r="K787" s="491"/>
      <c r="L787" s="491"/>
      <c r="M787" s="486"/>
      <c r="N787" s="422"/>
      <c r="O787" s="422"/>
      <c r="P787" s="422"/>
      <c r="Q787" s="486"/>
      <c r="R787" s="491"/>
      <c r="S787" s="491"/>
      <c r="T787" s="491"/>
      <c r="U787" s="491"/>
      <c r="V787" s="491"/>
      <c r="W787" s="493"/>
      <c r="X787" s="486"/>
      <c r="Y787" s="442"/>
      <c r="Z787" s="491"/>
      <c r="AA787" s="524" t="str">
        <f>AC252</f>
        <v/>
      </c>
      <c r="AB787" s="494"/>
      <c r="AC787" s="436"/>
      <c r="AD787" s="495"/>
      <c r="AE787" s="491"/>
      <c r="AF787" s="491"/>
      <c r="AG787" s="525" t="str">
        <f>AI252</f>
        <v/>
      </c>
      <c r="AH787" s="491"/>
      <c r="AI787" s="446"/>
      <c r="AJ787" s="491"/>
      <c r="AK787" s="500"/>
      <c r="AL787" s="436"/>
      <c r="AM787" s="438"/>
      <c r="AN787" s="531"/>
      <c r="AO787" s="491"/>
      <c r="AP787" s="438"/>
      <c r="AQ787" s="438"/>
      <c r="AR787" s="438"/>
      <c r="AS787" s="438"/>
      <c r="AT787" s="438"/>
      <c r="AU787" s="438"/>
      <c r="AV787" s="438"/>
      <c r="AW787" s="450">
        <f>AW252</f>
        <v>2652.519894</v>
      </c>
    </row>
    <row r="788">
      <c r="A788" s="436" t="s">
        <v>1995</v>
      </c>
      <c r="B788" s="436" t="s">
        <v>1995</v>
      </c>
      <c r="C788" s="436"/>
      <c r="D788" s="436" t="s">
        <v>158</v>
      </c>
      <c r="E788" s="436"/>
      <c r="F788" s="436" t="s">
        <v>2624</v>
      </c>
      <c r="G788" s="436" t="s">
        <v>159</v>
      </c>
      <c r="H788" s="436" t="s">
        <v>160</v>
      </c>
      <c r="I788" s="436" t="s">
        <v>1963</v>
      </c>
      <c r="J788" s="436"/>
      <c r="K788" s="436"/>
      <c r="L788" s="438"/>
      <c r="M788" s="453"/>
      <c r="N788" s="422">
        <v>14.468</v>
      </c>
      <c r="O788" s="422">
        <v>11.851</v>
      </c>
      <c r="P788" s="422"/>
      <c r="Q788" s="436" t="s">
        <v>2183</v>
      </c>
      <c r="R788" s="436" t="s">
        <v>2184</v>
      </c>
      <c r="S788" s="436" t="s">
        <v>1964</v>
      </c>
      <c r="T788" s="419" t="s">
        <v>162</v>
      </c>
      <c r="U788" s="436" t="s">
        <v>2185</v>
      </c>
      <c r="V788" s="451"/>
      <c r="W788" s="458"/>
      <c r="X788" s="438"/>
      <c r="Y788" s="442"/>
      <c r="Z788" s="442"/>
      <c r="AA788" s="443"/>
      <c r="AB788" s="443"/>
      <c r="AC788" s="436" t="str">
        <f>IF(ISNUMBER(VLOOKUP(B788,'New Masses'!A:C,3,FALSE)),VLOOKUP(B788,'New Masses'!A:C,3,FALSE),"")</f>
        <v/>
      </c>
      <c r="AD788" s="451"/>
      <c r="AE788" s="436"/>
      <c r="AF788" s="438"/>
      <c r="AG788" s="459"/>
      <c r="AH788" s="436"/>
      <c r="AI788" s="446" t="str">
        <f>IF(ISNUMBER(VLOOKUP(B788,'New Masses'!A:C,2, FALSE)),VLOOKUP(B788,'New Masses'!A:C,2, FALSE),"")</f>
        <v/>
      </c>
      <c r="AJ788" s="436"/>
      <c r="AK788" s="436"/>
      <c r="AL788" s="436"/>
      <c r="AM788" s="438"/>
      <c r="AN788" s="436">
        <v>1.0</v>
      </c>
      <c r="AO788" s="438"/>
      <c r="AP788" s="436"/>
      <c r="AQ788" s="438"/>
      <c r="AR788" s="438"/>
      <c r="AS788" s="420" t="str">
        <f>VLOOKUP(B788,natta06!A:F,6,FALSE)</f>
        <v>#REF!</v>
      </c>
      <c r="AT788" s="438"/>
      <c r="AU788" s="438"/>
      <c r="AV788" s="438"/>
      <c r="AW788" s="450">
        <v>496.968492197594</v>
      </c>
    </row>
    <row r="789">
      <c r="A789" s="435" t="str">
        <f t="shared" ref="A789:C789" si="690">A254</f>
        <v>2MASS J06444496+0019335</v>
      </c>
      <c r="B789" s="485" t="str">
        <f t="shared" si="690"/>
        <v>2MASS J06444496+0019335</v>
      </c>
      <c r="C789" s="486" t="str">
        <f t="shared" si="690"/>
        <v/>
      </c>
      <c r="D789" s="486"/>
      <c r="E789" s="486"/>
      <c r="F789" s="528"/>
      <c r="G789" s="486"/>
      <c r="H789" s="486" t="s">
        <v>5917</v>
      </c>
      <c r="I789" s="491"/>
      <c r="J789" s="491"/>
      <c r="K789" s="491"/>
      <c r="L789" s="491"/>
      <c r="M789" s="486"/>
      <c r="N789" s="422"/>
      <c r="O789" s="422"/>
      <c r="P789" s="422"/>
      <c r="Q789" s="486"/>
      <c r="R789" s="491"/>
      <c r="S789" s="491"/>
      <c r="T789" s="491"/>
      <c r="U789" s="491"/>
      <c r="V789" s="491"/>
      <c r="W789" s="493"/>
      <c r="X789" s="486"/>
      <c r="Y789" s="442"/>
      <c r="Z789" s="491"/>
      <c r="AA789" s="524" t="str">
        <f>AC254</f>
        <v/>
      </c>
      <c r="AB789" s="494"/>
      <c r="AC789" s="436"/>
      <c r="AD789" s="495"/>
      <c r="AE789" s="491"/>
      <c r="AF789" s="491"/>
      <c r="AG789" s="525" t="str">
        <f>AI254</f>
        <v/>
      </c>
      <c r="AH789" s="491"/>
      <c r="AI789" s="446"/>
      <c r="AJ789" s="491"/>
      <c r="AK789" s="500"/>
      <c r="AL789" s="436"/>
      <c r="AM789" s="438"/>
      <c r="AN789" s="531"/>
      <c r="AO789" s="491"/>
      <c r="AP789" s="438"/>
      <c r="AQ789" s="438"/>
      <c r="AR789" s="438"/>
      <c r="AS789" s="438"/>
      <c r="AT789" s="438"/>
      <c r="AU789" s="438"/>
      <c r="AV789" s="438"/>
      <c r="AW789" s="450" t="str">
        <f>AW254</f>
        <v/>
      </c>
    </row>
    <row r="790">
      <c r="A790" s="436" t="s">
        <v>1395</v>
      </c>
      <c r="B790" s="436" t="s">
        <v>1395</v>
      </c>
      <c r="C790" s="436"/>
      <c r="D790" s="436" t="s">
        <v>158</v>
      </c>
      <c r="E790" s="436"/>
      <c r="F790" s="436" t="s">
        <v>2625</v>
      </c>
      <c r="G790" s="436" t="s">
        <v>159</v>
      </c>
      <c r="H790" s="436" t="s">
        <v>160</v>
      </c>
      <c r="I790" s="436" t="s">
        <v>1963</v>
      </c>
      <c r="J790" s="436">
        <v>3388.44156</v>
      </c>
      <c r="K790" s="436"/>
      <c r="L790" s="438"/>
      <c r="M790" s="453"/>
      <c r="N790" s="422">
        <v>14.048</v>
      </c>
      <c r="O790" s="422">
        <v>10.366</v>
      </c>
      <c r="P790" s="422"/>
      <c r="Q790" s="436" t="s">
        <v>2183</v>
      </c>
      <c r="R790" s="436" t="s">
        <v>2184</v>
      </c>
      <c r="S790" s="436" t="s">
        <v>1964</v>
      </c>
      <c r="T790" s="419" t="s">
        <v>162</v>
      </c>
      <c r="U790" s="436" t="s">
        <v>2185</v>
      </c>
      <c r="V790" s="451">
        <v>8.3988E28</v>
      </c>
      <c r="W790" s="458">
        <v>0.6025595860743578</v>
      </c>
      <c r="X790" s="438"/>
      <c r="Y790" s="442">
        <f>IF((W790/((J790/5780)^4))^0.5&gt;0,(W790/((J790/5780)^4))^0.5,"")</f>
        <v>2.258685049</v>
      </c>
      <c r="Z790" s="442"/>
      <c r="AA790" s="443"/>
      <c r="AB790" s="443"/>
      <c r="AC790" s="436" t="str">
        <f>IF(ISNUMBER(VLOOKUP(B790,'New Masses'!A:C,3,FALSE)),VLOOKUP(B790,'New Masses'!A:C,3,FALSE),"")</f>
        <v/>
      </c>
      <c r="AD790" s="451">
        <f>10^(AE790)</f>
        <v>0.0000000009332543008</v>
      </c>
      <c r="AE790" s="436">
        <v>-9.03</v>
      </c>
      <c r="AF790" s="438"/>
      <c r="AG790" s="459">
        <f>10^AJ790</f>
        <v>0.301995172</v>
      </c>
      <c r="AH790" s="436"/>
      <c r="AI790" s="446" t="str">
        <f>IF(ISNUMBER(VLOOKUP(B790,'New Masses'!A:C,2, FALSE)),VLOOKUP(B790,'New Masses'!A:C,2, FALSE),"")</f>
        <v/>
      </c>
      <c r="AJ790" s="436">
        <v>-0.52</v>
      </c>
      <c r="AK790" s="436"/>
      <c r="AL790" s="436">
        <v>-2.34</v>
      </c>
      <c r="AM790" s="438"/>
      <c r="AN790" s="436">
        <v>1.0</v>
      </c>
      <c r="AO790" s="438"/>
      <c r="AP790" s="436"/>
      <c r="AQ790" s="438"/>
      <c r="AR790" s="438"/>
      <c r="AS790" s="420" t="str">
        <f>VLOOKUP(B790,natta06!A:F,6,FALSE)</f>
        <v>#REF!</v>
      </c>
      <c r="AT790" s="438" t="s">
        <v>5916</v>
      </c>
      <c r="AU790" s="438"/>
      <c r="AV790" s="438"/>
      <c r="AW790" s="450"/>
    </row>
    <row r="791">
      <c r="A791" s="435" t="str">
        <f t="shared" ref="A791:C791" si="691">A256</f>
        <v>2MASS J06444936+0020245</v>
      </c>
      <c r="B791" s="485" t="str">
        <f t="shared" si="691"/>
        <v>2MASS J06444936+0020245</v>
      </c>
      <c r="C791" s="486" t="str">
        <f t="shared" si="691"/>
        <v/>
      </c>
      <c r="D791" s="486"/>
      <c r="E791" s="486"/>
      <c r="F791" s="528"/>
      <c r="G791" s="486"/>
      <c r="H791" s="486" t="s">
        <v>5917</v>
      </c>
      <c r="I791" s="491"/>
      <c r="J791" s="491"/>
      <c r="K791" s="491"/>
      <c r="L791" s="491"/>
      <c r="M791" s="486"/>
      <c r="N791" s="422"/>
      <c r="O791" s="422"/>
      <c r="P791" s="422"/>
      <c r="Q791" s="486"/>
      <c r="R791" s="491"/>
      <c r="S791" s="491"/>
      <c r="T791" s="491"/>
      <c r="U791" s="491"/>
      <c r="V791" s="491"/>
      <c r="W791" s="493"/>
      <c r="X791" s="486"/>
      <c r="Y791" s="442"/>
      <c r="Z791" s="491"/>
      <c r="AA791" s="524" t="str">
        <f>AC256</f>
        <v/>
      </c>
      <c r="AB791" s="494"/>
      <c r="AC791" s="436"/>
      <c r="AD791" s="495"/>
      <c r="AE791" s="491"/>
      <c r="AF791" s="491"/>
      <c r="AG791" s="525" t="str">
        <f>AI256</f>
        <v/>
      </c>
      <c r="AH791" s="491"/>
      <c r="AI791" s="446"/>
      <c r="AJ791" s="491"/>
      <c r="AK791" s="500"/>
      <c r="AL791" s="436"/>
      <c r="AM791" s="438"/>
      <c r="AN791" s="531"/>
      <c r="AO791" s="491"/>
      <c r="AP791" s="438"/>
      <c r="AQ791" s="438"/>
      <c r="AR791" s="438"/>
      <c r="AS791" s="438"/>
      <c r="AT791" s="438"/>
      <c r="AU791" s="438"/>
      <c r="AV791" s="438"/>
      <c r="AW791" s="450">
        <f>AW256</f>
        <v>3827.018752</v>
      </c>
    </row>
    <row r="792">
      <c r="A792" s="436" t="s">
        <v>1344</v>
      </c>
      <c r="B792" s="436" t="s">
        <v>1344</v>
      </c>
      <c r="C792" s="436"/>
      <c r="D792" s="436" t="s">
        <v>158</v>
      </c>
      <c r="E792" s="436"/>
      <c r="F792" s="436" t="s">
        <v>2626</v>
      </c>
      <c r="G792" s="436" t="s">
        <v>169</v>
      </c>
      <c r="H792" s="436" t="s">
        <v>160</v>
      </c>
      <c r="I792" s="436" t="s">
        <v>1963</v>
      </c>
      <c r="J792" s="436">
        <v>2818.38293</v>
      </c>
      <c r="K792" s="436"/>
      <c r="L792" s="438"/>
      <c r="M792" s="453"/>
      <c r="N792" s="422">
        <v>13.037</v>
      </c>
      <c r="O792" s="422">
        <v>10.789</v>
      </c>
      <c r="P792" s="422"/>
      <c r="Q792" s="436" t="s">
        <v>2183</v>
      </c>
      <c r="R792" s="436" t="s">
        <v>2184</v>
      </c>
      <c r="S792" s="436" t="s">
        <v>1964</v>
      </c>
      <c r="T792" s="419" t="s">
        <v>162</v>
      </c>
      <c r="U792" s="436" t="s">
        <v>2185</v>
      </c>
      <c r="V792" s="451">
        <v>4.83301E27</v>
      </c>
      <c r="W792" s="458">
        <v>0.10471285480508996</v>
      </c>
      <c r="X792" s="438"/>
      <c r="Y792" s="442">
        <f>IF((W792/((J792/5780)^4))^0.5&gt;0,(W792/((J792/5780)^4))^0.5,"")</f>
        <v>1.360992329</v>
      </c>
      <c r="Z792" s="442"/>
      <c r="AA792" s="443"/>
      <c r="AB792" s="443"/>
      <c r="AC792" s="436" t="str">
        <f>IF(ISNUMBER(VLOOKUP(B792,'New Masses'!A:C,3,FALSE)),VLOOKUP(B792,'New Masses'!A:C,3,FALSE),"")</f>
        <v/>
      </c>
      <c r="AD792" s="451">
        <f>10^(AE792)</f>
        <v>0</v>
      </c>
      <c r="AE792" s="436">
        <v>-10.48</v>
      </c>
      <c r="AF792" s="438"/>
      <c r="AG792" s="459">
        <f>10^AJ792</f>
        <v>0.1071519305</v>
      </c>
      <c r="AH792" s="436"/>
      <c r="AI792" s="446" t="str">
        <f>IF(ISNUMBER(VLOOKUP(B792,'New Masses'!A:C,2, FALSE)),VLOOKUP(B792,'New Masses'!A:C,2, FALSE),"")</f>
        <v/>
      </c>
      <c r="AJ792" s="436">
        <v>-0.97</v>
      </c>
      <c r="AK792" s="436"/>
      <c r="AL792" s="436">
        <v>-4.03</v>
      </c>
      <c r="AM792" s="438"/>
      <c r="AN792" s="436">
        <v>1.0</v>
      </c>
      <c r="AO792" s="438"/>
      <c r="AP792" s="436"/>
      <c r="AQ792" s="438"/>
      <c r="AR792" s="438"/>
      <c r="AS792" s="420" t="str">
        <f>VLOOKUP(B792,natta06!A:F,6,FALSE)</f>
        <v>#REF!</v>
      </c>
      <c r="AT792" s="438" t="s">
        <v>5916</v>
      </c>
      <c r="AU792" s="438"/>
      <c r="AV792" s="438"/>
      <c r="AW792" s="450"/>
    </row>
    <row r="793">
      <c r="A793" s="435" t="str">
        <f t="shared" ref="A793:C793" si="692">A258</f>
        <v>2MASS J06445577+0013168</v>
      </c>
      <c r="B793" s="485" t="str">
        <f t="shared" si="692"/>
        <v>2MASS J06445577+0013168</v>
      </c>
      <c r="C793" s="486" t="str">
        <f t="shared" si="692"/>
        <v/>
      </c>
      <c r="D793" s="486"/>
      <c r="E793" s="486"/>
      <c r="F793" s="528"/>
      <c r="G793" s="486"/>
      <c r="H793" s="486" t="s">
        <v>5917</v>
      </c>
      <c r="I793" s="491"/>
      <c r="J793" s="491"/>
      <c r="K793" s="491"/>
      <c r="L793" s="491"/>
      <c r="M793" s="486"/>
      <c r="N793" s="422"/>
      <c r="O793" s="422"/>
      <c r="P793" s="422"/>
      <c r="Q793" s="486"/>
      <c r="R793" s="491"/>
      <c r="S793" s="491"/>
      <c r="T793" s="491"/>
      <c r="U793" s="491"/>
      <c r="V793" s="491"/>
      <c r="W793" s="493"/>
      <c r="X793" s="486"/>
      <c r="Y793" s="442"/>
      <c r="Z793" s="491"/>
      <c r="AA793" s="524" t="str">
        <f>AC258</f>
        <v/>
      </c>
      <c r="AB793" s="494"/>
      <c r="AC793" s="436"/>
      <c r="AD793" s="495"/>
      <c r="AE793" s="491"/>
      <c r="AF793" s="491"/>
      <c r="AG793" s="525" t="str">
        <f>AI258</f>
        <v/>
      </c>
      <c r="AH793" s="491"/>
      <c r="AI793" s="446"/>
      <c r="AJ793" s="491"/>
      <c r="AK793" s="500"/>
      <c r="AL793" s="436"/>
      <c r="AM793" s="438"/>
      <c r="AN793" s="531"/>
      <c r="AO793" s="491"/>
      <c r="AP793" s="438"/>
      <c r="AQ793" s="438"/>
      <c r="AR793" s="438"/>
      <c r="AS793" s="438"/>
      <c r="AT793" s="438"/>
      <c r="AU793" s="438"/>
      <c r="AV793" s="438"/>
      <c r="AW793" s="450">
        <f>AW258</f>
        <v>5263.157895</v>
      </c>
    </row>
    <row r="794">
      <c r="A794" s="436" t="s">
        <v>1342</v>
      </c>
      <c r="B794" s="436" t="s">
        <v>1342</v>
      </c>
      <c r="C794" s="436"/>
      <c r="D794" s="436" t="s">
        <v>158</v>
      </c>
      <c r="E794" s="436"/>
      <c r="F794" s="436" t="s">
        <v>2627</v>
      </c>
      <c r="G794" s="436" t="s">
        <v>159</v>
      </c>
      <c r="H794" s="436" t="s">
        <v>160</v>
      </c>
      <c r="I794" s="436" t="s">
        <v>1963</v>
      </c>
      <c r="J794" s="436">
        <v>2818.38293</v>
      </c>
      <c r="K794" s="436"/>
      <c r="L794" s="438"/>
      <c r="M794" s="453"/>
      <c r="N794" s="422">
        <v>12.339</v>
      </c>
      <c r="O794" s="422">
        <v>10.474</v>
      </c>
      <c r="P794" s="422"/>
      <c r="Q794" s="436" t="s">
        <v>2183</v>
      </c>
      <c r="R794" s="436" t="s">
        <v>2184</v>
      </c>
      <c r="S794" s="436" t="s">
        <v>1964</v>
      </c>
      <c r="T794" s="419" t="s">
        <v>162</v>
      </c>
      <c r="U794" s="436" t="s">
        <v>2185</v>
      </c>
      <c r="V794" s="451">
        <v>3.5828E28</v>
      </c>
      <c r="W794" s="458">
        <v>0.10471285480508996</v>
      </c>
      <c r="X794" s="438"/>
      <c r="Y794" s="442">
        <f>IF((W794/((J794/5780)^4))^0.5&gt;0,(W794/((J794/5780)^4))^0.5,"")</f>
        <v>1.360992329</v>
      </c>
      <c r="Z794" s="442"/>
      <c r="AA794" s="443"/>
      <c r="AB794" s="443"/>
      <c r="AC794" s="436" t="str">
        <f>IF(ISNUMBER(VLOOKUP(B794,'New Masses'!A:C,3,FALSE)),VLOOKUP(B794,'New Masses'!A:C,3,FALSE),"")</f>
        <v/>
      </c>
      <c r="AD794" s="451">
        <f>10^(AE794)</f>
        <v>0.000000000512861384</v>
      </c>
      <c r="AE794" s="436">
        <v>-9.29</v>
      </c>
      <c r="AF794" s="438"/>
      <c r="AG794" s="459">
        <f>10^AJ794</f>
        <v>0.1071519305</v>
      </c>
      <c r="AH794" s="436"/>
      <c r="AI794" s="446" t="str">
        <f>IF(ISNUMBER(VLOOKUP(B794,'New Masses'!A:C,2, FALSE)),VLOOKUP(B794,'New Masses'!A:C,2, FALSE),"")</f>
        <v/>
      </c>
      <c r="AJ794" s="436">
        <v>-0.97</v>
      </c>
      <c r="AK794" s="436"/>
      <c r="AL794" s="436">
        <v>-2.84</v>
      </c>
      <c r="AM794" s="438"/>
      <c r="AN794" s="436">
        <v>1.0</v>
      </c>
      <c r="AO794" s="438"/>
      <c r="AP794" s="436"/>
      <c r="AQ794" s="438"/>
      <c r="AR794" s="438"/>
      <c r="AS794" s="420" t="str">
        <f>VLOOKUP(B794,natta06!A:F,6,FALSE)</f>
        <v>#REF!</v>
      </c>
      <c r="AT794" s="438" t="s">
        <v>5916</v>
      </c>
      <c r="AU794" s="438"/>
      <c r="AV794" s="438"/>
      <c r="AW794" s="450">
        <v>164.573836051544</v>
      </c>
    </row>
    <row r="795">
      <c r="A795" s="435" t="str">
        <f t="shared" ref="A795:C795" si="693">A260</f>
        <v>2MASS J06445837+0014151</v>
      </c>
      <c r="B795" s="485" t="str">
        <f t="shared" si="693"/>
        <v>2MASS J06445837+0014151</v>
      </c>
      <c r="C795" s="486" t="str">
        <f t="shared" si="693"/>
        <v/>
      </c>
      <c r="D795" s="486"/>
      <c r="E795" s="486"/>
      <c r="F795" s="528"/>
      <c r="G795" s="486"/>
      <c r="H795" s="486" t="s">
        <v>5917</v>
      </c>
      <c r="I795" s="491"/>
      <c r="J795" s="491"/>
      <c r="K795" s="491"/>
      <c r="L795" s="491"/>
      <c r="M795" s="486"/>
      <c r="N795" s="422"/>
      <c r="O795" s="422"/>
      <c r="P795" s="422"/>
      <c r="Q795" s="486"/>
      <c r="R795" s="491"/>
      <c r="S795" s="491"/>
      <c r="T795" s="491"/>
      <c r="U795" s="491"/>
      <c r="V795" s="491"/>
      <c r="W795" s="493"/>
      <c r="X795" s="486"/>
      <c r="Y795" s="442"/>
      <c r="Z795" s="491"/>
      <c r="AA795" s="524" t="str">
        <f>AC260</f>
        <v/>
      </c>
      <c r="AB795" s="494"/>
      <c r="AC795" s="436"/>
      <c r="AD795" s="495"/>
      <c r="AE795" s="491"/>
      <c r="AF795" s="491"/>
      <c r="AG795" s="525" t="str">
        <f>AI260</f>
        <v/>
      </c>
      <c r="AH795" s="491"/>
      <c r="AI795" s="446"/>
      <c r="AJ795" s="491"/>
      <c r="AK795" s="500"/>
      <c r="AL795" s="436"/>
      <c r="AM795" s="438"/>
      <c r="AN795" s="531"/>
      <c r="AO795" s="491"/>
      <c r="AP795" s="438"/>
      <c r="AQ795" s="438"/>
      <c r="AR795" s="438"/>
      <c r="AS795" s="438"/>
      <c r="AT795" s="438"/>
      <c r="AU795" s="438"/>
      <c r="AV795" s="438"/>
      <c r="AW795" s="450">
        <f>AW260</f>
        <v>8333.333333</v>
      </c>
    </row>
    <row r="796">
      <c r="A796" s="436" t="s">
        <v>1375</v>
      </c>
      <c r="B796" s="436" t="s">
        <v>1375</v>
      </c>
      <c r="C796" s="436"/>
      <c r="D796" s="436" t="s">
        <v>158</v>
      </c>
      <c r="E796" s="436"/>
      <c r="F796" s="436" t="s">
        <v>2628</v>
      </c>
      <c r="G796" s="436" t="s">
        <v>169</v>
      </c>
      <c r="H796" s="436" t="s">
        <v>160</v>
      </c>
      <c r="I796" s="436" t="s">
        <v>1963</v>
      </c>
      <c r="J796" s="436">
        <v>3235.93657</v>
      </c>
      <c r="K796" s="436"/>
      <c r="L796" s="438"/>
      <c r="M796" s="453"/>
      <c r="N796" s="422">
        <v>10.143</v>
      </c>
      <c r="O796" s="422">
        <v>8.896</v>
      </c>
      <c r="P796" s="422">
        <v>13.91</v>
      </c>
      <c r="Q796" s="436" t="s">
        <v>2183</v>
      </c>
      <c r="R796" s="436" t="s">
        <v>2184</v>
      </c>
      <c r="S796" s="436" t="s">
        <v>1964</v>
      </c>
      <c r="T796" s="419" t="s">
        <v>162</v>
      </c>
      <c r="U796" s="436" t="s">
        <v>2185</v>
      </c>
      <c r="V796" s="451">
        <v>4.723E29</v>
      </c>
      <c r="W796" s="458">
        <v>0.40738027780411273</v>
      </c>
      <c r="X796" s="438"/>
      <c r="Y796" s="442">
        <f>IF((W796/((J796/5780)^4))^0.5&gt;0,(W796/((J796/5780)^4))^0.5,"")</f>
        <v>2.036365247</v>
      </c>
      <c r="Z796" s="442"/>
      <c r="AA796" s="443"/>
      <c r="AB796" s="443"/>
      <c r="AC796" s="436" t="str">
        <f>IF(ISNUMBER(VLOOKUP(B796,'New Masses'!A:C,3,FALSE)),VLOOKUP(B796,'New Masses'!A:C,3,FALSE),"")</f>
        <v/>
      </c>
      <c r="AD796" s="451">
        <f>10^(AE796)</f>
        <v>0.00000001122018454</v>
      </c>
      <c r="AE796" s="436">
        <v>-7.95</v>
      </c>
      <c r="AF796" s="438"/>
      <c r="AG796" s="459">
        <f>10^AJ796</f>
        <v>0.2398832919</v>
      </c>
      <c r="AH796" s="436"/>
      <c r="AI796" s="446" t="str">
        <f>IF(ISNUMBER(VLOOKUP(B796,'New Masses'!A:C,2, FALSE)),VLOOKUP(B796,'New Masses'!A:C,2, FALSE),"")</f>
        <v/>
      </c>
      <c r="AJ796" s="436">
        <v>-0.62</v>
      </c>
      <c r="AK796" s="436"/>
      <c r="AL796" s="436">
        <v>-1.32</v>
      </c>
      <c r="AM796" s="438"/>
      <c r="AN796" s="436">
        <v>1.0</v>
      </c>
      <c r="AO796" s="438"/>
      <c r="AP796" s="438"/>
      <c r="AQ796" s="436"/>
      <c r="AR796" s="438"/>
      <c r="AS796" s="420" t="str">
        <f>VLOOKUP(B796,natta06!A:F,6,FALSE)</f>
        <v>#REF!</v>
      </c>
      <c r="AT796" s="438"/>
      <c r="AU796" s="438" t="s">
        <v>1376</v>
      </c>
      <c r="AV796" s="438"/>
      <c r="AW796" s="450">
        <v>133.115024692837</v>
      </c>
    </row>
    <row r="797">
      <c r="A797" s="435" t="str">
        <f t="shared" ref="A797:C797" si="694">A262</f>
        <v>2MASS J06450075+0013356</v>
      </c>
      <c r="B797" s="485" t="str">
        <f t="shared" si="694"/>
        <v>2MASS J06450075+0013356</v>
      </c>
      <c r="C797" s="486" t="str">
        <f t="shared" si="694"/>
        <v/>
      </c>
      <c r="D797" s="486"/>
      <c r="E797" s="486"/>
      <c r="F797" s="528"/>
      <c r="G797" s="486"/>
      <c r="H797" s="486" t="s">
        <v>5917</v>
      </c>
      <c r="I797" s="491"/>
      <c r="J797" s="491"/>
      <c r="K797" s="491"/>
      <c r="L797" s="491"/>
      <c r="M797" s="486"/>
      <c r="N797" s="422"/>
      <c r="O797" s="422"/>
      <c r="P797" s="422"/>
      <c r="Q797" s="486"/>
      <c r="R797" s="491"/>
      <c r="S797" s="491"/>
      <c r="T797" s="491"/>
      <c r="U797" s="491"/>
      <c r="V797" s="491"/>
      <c r="W797" s="493"/>
      <c r="X797" s="486"/>
      <c r="Y797" s="442"/>
      <c r="Z797" s="491"/>
      <c r="AA797" s="524" t="str">
        <f>AC262</f>
        <v/>
      </c>
      <c r="AB797" s="494"/>
      <c r="AC797" s="436"/>
      <c r="AD797" s="495"/>
      <c r="AE797" s="491"/>
      <c r="AF797" s="491"/>
      <c r="AG797" s="525" t="str">
        <f>AI262</f>
        <v/>
      </c>
      <c r="AH797" s="491"/>
      <c r="AI797" s="446"/>
      <c r="AJ797" s="491"/>
      <c r="AK797" s="500"/>
      <c r="AL797" s="436"/>
      <c r="AM797" s="438"/>
      <c r="AN797" s="531"/>
      <c r="AO797" s="491"/>
      <c r="AP797" s="438"/>
      <c r="AQ797" s="438"/>
      <c r="AR797" s="438"/>
      <c r="AS797" s="438"/>
      <c r="AT797" s="438"/>
      <c r="AU797" s="438"/>
      <c r="AV797" s="438"/>
      <c r="AW797" s="450" t="str">
        <f>AW262</f>
        <v/>
      </c>
    </row>
    <row r="798">
      <c r="A798" s="436" t="s">
        <v>1353</v>
      </c>
      <c r="B798" s="436" t="s">
        <v>1353</v>
      </c>
      <c r="C798" s="436"/>
      <c r="D798" s="436" t="s">
        <v>158</v>
      </c>
      <c r="E798" s="436"/>
      <c r="F798" s="436" t="s">
        <v>2629</v>
      </c>
      <c r="G798" s="436" t="s">
        <v>159</v>
      </c>
      <c r="H798" s="436" t="s">
        <v>160</v>
      </c>
      <c r="I798" s="436" t="s">
        <v>1963</v>
      </c>
      <c r="J798" s="436">
        <v>2884.0315</v>
      </c>
      <c r="K798" s="436"/>
      <c r="L798" s="436" t="s">
        <v>558</v>
      </c>
      <c r="M798" s="439"/>
      <c r="N798" s="422">
        <v>15.367</v>
      </c>
      <c r="O798" s="422">
        <v>11.832</v>
      </c>
      <c r="P798" s="422"/>
      <c r="Q798" s="436" t="s">
        <v>2183</v>
      </c>
      <c r="R798" s="436" t="s">
        <v>2184</v>
      </c>
      <c r="S798" s="436" t="s">
        <v>1964</v>
      </c>
      <c r="T798" s="419" t="s">
        <v>162</v>
      </c>
      <c r="U798" s="436" t="s">
        <v>2185</v>
      </c>
      <c r="V798" s="451">
        <v>5.2993E28</v>
      </c>
      <c r="W798" s="458">
        <v>0.162181009735893</v>
      </c>
      <c r="X798" s="438"/>
      <c r="Y798" s="442">
        <f>IF((W798/((J798/5780)^4))^0.5&gt;0,(W798/((J798/5780)^4))^0.5,"")</f>
        <v>1.617542416</v>
      </c>
      <c r="Z798" s="442"/>
      <c r="AA798" s="443"/>
      <c r="AB798" s="443"/>
      <c r="AC798" s="436" t="str">
        <f>IF(ISNUMBER(VLOOKUP(B798,'New Masses'!A:C,3,FALSE)),VLOOKUP(B798,'New Masses'!A:C,3,FALSE),"")</f>
        <v/>
      </c>
      <c r="AD798" s="451">
        <f>10^(AE798)</f>
        <v>0.0000000007943282347</v>
      </c>
      <c r="AE798" s="436">
        <v>-9.1</v>
      </c>
      <c r="AF798" s="438"/>
      <c r="AG798" s="459">
        <f>10^AJ798</f>
        <v>0.1380384265</v>
      </c>
      <c r="AH798" s="436"/>
      <c r="AI798" s="446" t="str">
        <f>IF(ISNUMBER(VLOOKUP(B798,'New Masses'!A:C,2, FALSE)),VLOOKUP(B798,'New Masses'!A:C,2, FALSE),"")</f>
        <v/>
      </c>
      <c r="AJ798" s="436">
        <v>-0.86</v>
      </c>
      <c r="AK798" s="436"/>
      <c r="AL798" s="436">
        <v>-2.61</v>
      </c>
      <c r="AM798" s="438"/>
      <c r="AN798" s="436">
        <v>1.0</v>
      </c>
      <c r="AO798" s="438"/>
      <c r="AP798" s="436"/>
      <c r="AQ798" s="438"/>
      <c r="AR798" s="438"/>
      <c r="AS798" s="420" t="str">
        <f>VLOOKUP(B798,natta06!A:F,6,FALSE)</f>
        <v>#REF!</v>
      </c>
      <c r="AT798" s="438" t="s">
        <v>5916</v>
      </c>
      <c r="AU798" s="438"/>
      <c r="AV798" s="438"/>
      <c r="AW798" s="450"/>
    </row>
    <row r="799">
      <c r="A799" s="435" t="str">
        <f t="shared" ref="A799:C799" si="695">A264</f>
        <v>2MASS J06450208+0019443</v>
      </c>
      <c r="B799" s="485" t="str">
        <f t="shared" si="695"/>
        <v>2MASS J06450208+0019443</v>
      </c>
      <c r="C799" s="486" t="str">
        <f t="shared" si="695"/>
        <v/>
      </c>
      <c r="D799" s="486"/>
      <c r="E799" s="486"/>
      <c r="F799" s="528"/>
      <c r="G799" s="486"/>
      <c r="H799" s="486" t="s">
        <v>5917</v>
      </c>
      <c r="I799" s="491"/>
      <c r="J799" s="491"/>
      <c r="K799" s="491"/>
      <c r="L799" s="491"/>
      <c r="M799" s="486"/>
      <c r="N799" s="422"/>
      <c r="O799" s="422"/>
      <c r="P799" s="422"/>
      <c r="Q799" s="486"/>
      <c r="R799" s="491"/>
      <c r="S799" s="491"/>
      <c r="T799" s="491"/>
      <c r="U799" s="491"/>
      <c r="V799" s="491"/>
      <c r="W799" s="493"/>
      <c r="X799" s="486"/>
      <c r="Y799" s="442"/>
      <c r="Z799" s="491"/>
      <c r="AA799" s="524" t="str">
        <f>AC264</f>
        <v/>
      </c>
      <c r="AB799" s="494"/>
      <c r="AC799" s="436"/>
      <c r="AD799" s="495"/>
      <c r="AE799" s="491"/>
      <c r="AF799" s="491"/>
      <c r="AG799" s="525" t="str">
        <f>AI264</f>
        <v/>
      </c>
      <c r="AH799" s="491"/>
      <c r="AI799" s="446"/>
      <c r="AJ799" s="491"/>
      <c r="AK799" s="500"/>
      <c r="AL799" s="436"/>
      <c r="AM799" s="438"/>
      <c r="AN799" s="531"/>
      <c r="AO799" s="491"/>
      <c r="AP799" s="438"/>
      <c r="AQ799" s="438"/>
      <c r="AR799" s="438"/>
      <c r="AS799" s="438"/>
      <c r="AT799" s="438"/>
      <c r="AU799" s="438"/>
      <c r="AV799" s="438"/>
      <c r="AW799" s="450">
        <f>AW264</f>
        <v>8532.423208</v>
      </c>
    </row>
    <row r="800">
      <c r="A800" s="436" t="s">
        <v>1996</v>
      </c>
      <c r="B800" s="436" t="s">
        <v>1996</v>
      </c>
      <c r="C800" s="436"/>
      <c r="D800" s="436" t="s">
        <v>158</v>
      </c>
      <c r="E800" s="436"/>
      <c r="F800" s="436" t="s">
        <v>2630</v>
      </c>
      <c r="G800" s="436" t="s">
        <v>169</v>
      </c>
      <c r="H800" s="436" t="s">
        <v>160</v>
      </c>
      <c r="I800" s="436" t="s">
        <v>1963</v>
      </c>
      <c r="J800" s="436">
        <v>2754.2287</v>
      </c>
      <c r="K800" s="436"/>
      <c r="L800" s="438"/>
      <c r="M800" s="453"/>
      <c r="N800" s="422">
        <v>19.17</v>
      </c>
      <c r="O800" s="422">
        <v>13.203</v>
      </c>
      <c r="P800" s="422"/>
      <c r="Q800" s="436" t="s">
        <v>2183</v>
      </c>
      <c r="R800" s="436" t="s">
        <v>2184</v>
      </c>
      <c r="S800" s="436" t="s">
        <v>1964</v>
      </c>
      <c r="T800" s="419" t="s">
        <v>162</v>
      </c>
      <c r="U800" s="436" t="s">
        <v>2185</v>
      </c>
      <c r="V800" s="451"/>
      <c r="W800" s="458">
        <v>0.04265795188015926</v>
      </c>
      <c r="X800" s="438"/>
      <c r="Y800" s="442">
        <f>IF((W800/((J800/5780)^4))^0.5&gt;0,(W800/((J800/5780)^4))^0.5,"")</f>
        <v>0.909610946</v>
      </c>
      <c r="Z800" s="442"/>
      <c r="AA800" s="443"/>
      <c r="AB800" s="443"/>
      <c r="AC800" s="436" t="str">
        <f>IF(ISNUMBER(VLOOKUP(B800,'New Masses'!A:C,3,FALSE)),VLOOKUP(B800,'New Masses'!A:C,3,FALSE),"")</f>
        <v/>
      </c>
      <c r="AD800" s="451"/>
      <c r="AE800" s="436"/>
      <c r="AF800" s="438"/>
      <c r="AG800" s="459"/>
      <c r="AH800" s="436"/>
      <c r="AI800" s="446" t="str">
        <f>IF(ISNUMBER(VLOOKUP(B800,'New Masses'!A:C,2, FALSE)),VLOOKUP(B800,'New Masses'!A:C,2, FALSE),"")</f>
        <v/>
      </c>
      <c r="AJ800" s="436"/>
      <c r="AK800" s="436"/>
      <c r="AL800" s="436"/>
      <c r="AM800" s="438"/>
      <c r="AN800" s="436">
        <v>1.0</v>
      </c>
      <c r="AO800" s="438"/>
      <c r="AP800" s="438"/>
      <c r="AQ800" s="438"/>
      <c r="AR800" s="438"/>
      <c r="AS800" s="420" t="str">
        <f>VLOOKUP(B800,natta06!A:F,6,FALSE)</f>
        <v>#REF!</v>
      </c>
      <c r="AT800" s="438"/>
      <c r="AU800" s="438"/>
      <c r="AV800" s="438"/>
      <c r="AW800" s="450"/>
    </row>
    <row r="801">
      <c r="A801" s="435" t="str">
        <f t="shared" ref="A801:C801" si="696">A266</f>
        <v>2MASS J06450274+0018077</v>
      </c>
      <c r="B801" s="485" t="str">
        <f t="shared" si="696"/>
        <v>2MASS J06450274+0018077</v>
      </c>
      <c r="C801" s="486" t="str">
        <f t="shared" si="696"/>
        <v/>
      </c>
      <c r="D801" s="486"/>
      <c r="E801" s="486"/>
      <c r="F801" s="528"/>
      <c r="G801" s="486"/>
      <c r="H801" s="486" t="s">
        <v>5917</v>
      </c>
      <c r="I801" s="491"/>
      <c r="J801" s="491"/>
      <c r="K801" s="491"/>
      <c r="L801" s="491"/>
      <c r="M801" s="486"/>
      <c r="N801" s="422"/>
      <c r="O801" s="422"/>
      <c r="P801" s="422"/>
      <c r="Q801" s="486"/>
      <c r="R801" s="491"/>
      <c r="S801" s="491"/>
      <c r="T801" s="491"/>
      <c r="U801" s="491"/>
      <c r="V801" s="491"/>
      <c r="W801" s="493"/>
      <c r="X801" s="486"/>
      <c r="Y801" s="442"/>
      <c r="Z801" s="491"/>
      <c r="AA801" s="524" t="str">
        <f>AC266</f>
        <v/>
      </c>
      <c r="AB801" s="494"/>
      <c r="AC801" s="436"/>
      <c r="AD801" s="495"/>
      <c r="AE801" s="491"/>
      <c r="AF801" s="491"/>
      <c r="AG801" s="525" t="str">
        <f>AI266</f>
        <v/>
      </c>
      <c r="AH801" s="491"/>
      <c r="AI801" s="446"/>
      <c r="AJ801" s="491"/>
      <c r="AK801" s="500"/>
      <c r="AL801" s="436"/>
      <c r="AM801" s="438"/>
      <c r="AN801" s="531"/>
      <c r="AO801" s="491"/>
      <c r="AP801" s="438"/>
      <c r="AQ801" s="438"/>
      <c r="AR801" s="438"/>
      <c r="AS801" s="438"/>
      <c r="AT801" s="438"/>
      <c r="AU801" s="438"/>
      <c r="AV801" s="438"/>
      <c r="AW801" s="450" t="str">
        <f>AW266</f>
        <v/>
      </c>
    </row>
    <row r="802">
      <c r="A802" s="436" t="s">
        <v>1335</v>
      </c>
      <c r="B802" s="436" t="s">
        <v>1335</v>
      </c>
      <c r="C802" s="436"/>
      <c r="D802" s="436" t="s">
        <v>158</v>
      </c>
      <c r="E802" s="436"/>
      <c r="F802" s="436" t="s">
        <v>2631</v>
      </c>
      <c r="G802" s="436" t="s">
        <v>159</v>
      </c>
      <c r="H802" s="436" t="s">
        <v>160</v>
      </c>
      <c r="I802" s="436" t="s">
        <v>1963</v>
      </c>
      <c r="J802" s="436">
        <v>2818.38293</v>
      </c>
      <c r="K802" s="436"/>
      <c r="L802" s="438"/>
      <c r="M802" s="453"/>
      <c r="N802" s="422">
        <v>16.755</v>
      </c>
      <c r="O802" s="422">
        <v>12.558</v>
      </c>
      <c r="P802" s="422"/>
      <c r="Q802" s="436" t="s">
        <v>2183</v>
      </c>
      <c r="R802" s="436" t="s">
        <v>2184</v>
      </c>
      <c r="S802" s="436" t="s">
        <v>1964</v>
      </c>
      <c r="T802" s="419" t="s">
        <v>162</v>
      </c>
      <c r="U802" s="436" t="s">
        <v>2185</v>
      </c>
      <c r="V802" s="451">
        <v>3.9284E28</v>
      </c>
      <c r="W802" s="458">
        <v>0.08317637711026708</v>
      </c>
      <c r="X802" s="438"/>
      <c r="Y802" s="442">
        <f>IF((W802/((J802/5780)^4))^0.5&gt;0,(W802/((J802/5780)^4))^0.5,"")</f>
        <v>1.21298569</v>
      </c>
      <c r="Z802" s="442"/>
      <c r="AA802" s="443"/>
      <c r="AB802" s="443"/>
      <c r="AC802" s="436" t="str">
        <f>IF(ISNUMBER(VLOOKUP(B802,'New Masses'!A:C,3,FALSE)),VLOOKUP(B802,'New Masses'!A:C,3,FALSE),"")</f>
        <v/>
      </c>
      <c r="AD802" s="440">
        <f>10^AE802</f>
        <v>0.0000000005888436554</v>
      </c>
      <c r="AE802" s="436">
        <v>-9.23</v>
      </c>
      <c r="AF802" s="438"/>
      <c r="AG802" s="459">
        <f>10^AJ802</f>
        <v>0.09120108394</v>
      </c>
      <c r="AH802" s="436"/>
      <c r="AI802" s="446" t="str">
        <f>IF(ISNUMBER(VLOOKUP(B802,'New Masses'!A:C,2, FALSE)),VLOOKUP(B802,'New Masses'!A:C,2, FALSE),"")</f>
        <v/>
      </c>
      <c r="AJ802" s="436">
        <v>-1.04</v>
      </c>
      <c r="AK802" s="436"/>
      <c r="AL802" s="436">
        <v>-2.79</v>
      </c>
      <c r="AM802" s="438"/>
      <c r="AN802" s="436">
        <v>1.0</v>
      </c>
      <c r="AO802" s="438"/>
      <c r="AP802" s="436"/>
      <c r="AQ802" s="438"/>
      <c r="AR802" s="438"/>
      <c r="AS802" s="420" t="str">
        <f>VLOOKUP(B802,natta06!A:F,6,FALSE)</f>
        <v>#REF!</v>
      </c>
      <c r="AT802" s="438" t="s">
        <v>5916</v>
      </c>
      <c r="AU802" s="438"/>
      <c r="AV802" s="438"/>
      <c r="AW802" s="450"/>
    </row>
    <row r="803">
      <c r="A803" s="435" t="str">
        <f t="shared" ref="A803:C803" si="697">A268</f>
        <v>2MASS J06450681+0013535</v>
      </c>
      <c r="B803" s="485" t="str">
        <f t="shared" si="697"/>
        <v>2MASS J06450681+0013535</v>
      </c>
      <c r="C803" s="486" t="str">
        <f t="shared" si="697"/>
        <v/>
      </c>
      <c r="D803" s="486"/>
      <c r="E803" s="486"/>
      <c r="F803" s="528"/>
      <c r="G803" s="486"/>
      <c r="H803" s="486" t="s">
        <v>5917</v>
      </c>
      <c r="I803" s="491"/>
      <c r="J803" s="491"/>
      <c r="K803" s="491"/>
      <c r="L803" s="491"/>
      <c r="M803" s="486"/>
      <c r="N803" s="422"/>
      <c r="O803" s="422"/>
      <c r="P803" s="422"/>
      <c r="Q803" s="486"/>
      <c r="R803" s="491"/>
      <c r="S803" s="491"/>
      <c r="T803" s="491"/>
      <c r="U803" s="491"/>
      <c r="V803" s="491"/>
      <c r="W803" s="493"/>
      <c r="X803" s="486"/>
      <c r="Y803" s="442"/>
      <c r="Z803" s="491"/>
      <c r="AA803" s="524" t="str">
        <f>AC268</f>
        <v/>
      </c>
      <c r="AB803" s="494"/>
      <c r="AC803" s="436"/>
      <c r="AD803" s="495"/>
      <c r="AE803" s="491"/>
      <c r="AF803" s="491"/>
      <c r="AG803" s="525" t="str">
        <f>AI268</f>
        <v/>
      </c>
      <c r="AH803" s="491"/>
      <c r="AI803" s="446"/>
      <c r="AJ803" s="491"/>
      <c r="AK803" s="500"/>
      <c r="AL803" s="436"/>
      <c r="AM803" s="438"/>
      <c r="AN803" s="531"/>
      <c r="AO803" s="491"/>
      <c r="AP803" s="438"/>
      <c r="AQ803" s="438"/>
      <c r="AR803" s="438"/>
      <c r="AS803" s="438"/>
      <c r="AT803" s="438"/>
      <c r="AU803" s="438"/>
      <c r="AV803" s="438"/>
      <c r="AW803" s="450">
        <f>AW268</f>
        <v>17271.15717</v>
      </c>
    </row>
    <row r="804">
      <c r="A804" s="436" t="s">
        <v>1324</v>
      </c>
      <c r="B804" s="436" t="s">
        <v>1324</v>
      </c>
      <c r="C804" s="420"/>
      <c r="D804" s="420" t="s">
        <v>158</v>
      </c>
      <c r="E804" s="420"/>
      <c r="F804" s="420" t="s">
        <v>2632</v>
      </c>
      <c r="G804" s="420" t="s">
        <v>169</v>
      </c>
      <c r="H804" s="420" t="s">
        <v>1309</v>
      </c>
      <c r="I804" s="420" t="s">
        <v>2409</v>
      </c>
      <c r="J804" s="436">
        <v>2650.0</v>
      </c>
      <c r="K804" s="419">
        <v>150.0</v>
      </c>
      <c r="L804" s="420" t="s">
        <v>353</v>
      </c>
      <c r="M804" s="429"/>
      <c r="N804" s="422">
        <v>13.611</v>
      </c>
      <c r="O804" s="422">
        <v>11.086</v>
      </c>
      <c r="P804" s="422"/>
      <c r="Q804" s="420" t="s">
        <v>2410</v>
      </c>
      <c r="R804" s="420" t="s">
        <v>2612</v>
      </c>
      <c r="S804" s="420" t="s">
        <v>2412</v>
      </c>
      <c r="T804" s="420" t="s">
        <v>596</v>
      </c>
      <c r="U804" s="420" t="s">
        <v>2413</v>
      </c>
      <c r="V804" s="440"/>
      <c r="W804" s="458"/>
      <c r="X804" s="438"/>
      <c r="Y804" s="442" t="str">
        <f t="shared" ref="Y804:Y806" si="698">IF((W804/((J804/5780)^4))^0.5&gt;0,(W804/((J804/5780)^4))^0.5,"")</f>
        <v/>
      </c>
      <c r="Z804" s="442"/>
      <c r="AA804" s="443"/>
      <c r="AB804" s="443"/>
      <c r="AC804" s="469">
        <f>IF(ISNUMBER(VLOOKUP(B804,'New Masses'!A:C,3,FALSE)),VLOOKUP(B804,'New Masses'!A:C,3,FALSE),"")</f>
        <v>0.690178</v>
      </c>
      <c r="AD804" s="451">
        <f t="shared" ref="AD804:AD806" si="699">10^AE804</f>
        <v>0.000000001318256739</v>
      </c>
      <c r="AE804" s="436">
        <v>-8.88</v>
      </c>
      <c r="AF804" s="438"/>
      <c r="AG804" s="459">
        <v>0.06</v>
      </c>
      <c r="AH804" s="436"/>
      <c r="AI804" s="446">
        <f>IF(ISNUMBER(VLOOKUP(B804,'New Masses'!A:C,2, FALSE)),VLOOKUP(B804,'New Masses'!A:C,2, FALSE),"")</f>
        <v>0.058417</v>
      </c>
      <c r="AJ804" s="436"/>
      <c r="AK804" s="460" t="str">
        <f>(6.67*10^(-11))*((2*10^(33))^2)*AD804*AG804/(3*10^7*AA804*7*10^10)</f>
        <v>#DIV/0!</v>
      </c>
      <c r="AL804" s="437" t="str">
        <f>log10(AK804/(4*10^33))</f>
        <v>#DIV/0!</v>
      </c>
      <c r="AM804" s="420" t="s">
        <v>2407</v>
      </c>
      <c r="AN804" s="505">
        <v>1.0</v>
      </c>
      <c r="AO804" s="506"/>
      <c r="AP804" s="505">
        <v>8.15</v>
      </c>
      <c r="AQ804" s="506"/>
      <c r="AR804" s="507" t="s">
        <v>2408</v>
      </c>
      <c r="AS804" s="507"/>
      <c r="AT804" s="506"/>
      <c r="AU804" s="506"/>
      <c r="AV804" s="506"/>
      <c r="AW804" s="450">
        <v>151.742765663647</v>
      </c>
    </row>
    <row r="805">
      <c r="A805" s="436" t="s">
        <v>1324</v>
      </c>
      <c r="B805" s="436" t="s">
        <v>1324</v>
      </c>
      <c r="C805" s="421"/>
      <c r="D805" s="436" t="s">
        <v>158</v>
      </c>
      <c r="E805" s="436"/>
      <c r="F805" s="436" t="s">
        <v>2632</v>
      </c>
      <c r="G805" s="436" t="s">
        <v>169</v>
      </c>
      <c r="H805" s="436" t="s">
        <v>754</v>
      </c>
      <c r="I805" s="436">
        <v>2010.0</v>
      </c>
      <c r="J805" s="436">
        <v>3000.0</v>
      </c>
      <c r="K805" s="436">
        <v>50.0</v>
      </c>
      <c r="L805" s="436" t="s">
        <v>353</v>
      </c>
      <c r="M805" s="439"/>
      <c r="N805" s="422">
        <v>13.611</v>
      </c>
      <c r="O805" s="422">
        <v>11.086</v>
      </c>
      <c r="P805" s="422"/>
      <c r="Q805" s="436" t="s">
        <v>2417</v>
      </c>
      <c r="R805" s="436" t="s">
        <v>2633</v>
      </c>
      <c r="S805" s="436" t="s">
        <v>2419</v>
      </c>
      <c r="T805" s="419" t="s">
        <v>162</v>
      </c>
      <c r="U805" s="436" t="s">
        <v>1754</v>
      </c>
      <c r="V805" s="440"/>
      <c r="W805" s="474">
        <v>0.072</v>
      </c>
      <c r="X805" s="436"/>
      <c r="Y805" s="442">
        <f t="shared" si="698"/>
        <v>0.9960460456</v>
      </c>
      <c r="Z805" s="469"/>
      <c r="AA805" s="470">
        <v>1.0</v>
      </c>
      <c r="AB805" s="470">
        <v>0.07</v>
      </c>
      <c r="AC805" s="469">
        <f>IF(ISNUMBER(VLOOKUP(B805,'New Masses'!A:C,3,FALSE)),VLOOKUP(B805,'New Masses'!A:C,3,FALSE),"")</f>
        <v>0.690178</v>
      </c>
      <c r="AD805" s="440">
        <f t="shared" si="699"/>
        <v>0.0000000005011872336</v>
      </c>
      <c r="AE805" s="436">
        <v>-9.3</v>
      </c>
      <c r="AF805" s="438"/>
      <c r="AG805" s="459">
        <v>0.11</v>
      </c>
      <c r="AH805" s="436"/>
      <c r="AI805" s="446">
        <f>IF(ISNUMBER(VLOOKUP(B805,'New Masses'!A:C,2, FALSE)),VLOOKUP(B805,'New Masses'!A:C,2, FALSE),"")</f>
        <v>0.058417</v>
      </c>
      <c r="AJ805" s="436">
        <f>LOG10(AG805)</f>
        <v>-0.9586073148</v>
      </c>
      <c r="AK805" s="436"/>
      <c r="AL805" s="436">
        <v>-2.86</v>
      </c>
      <c r="AM805" s="438"/>
      <c r="AN805" s="436">
        <v>1.0</v>
      </c>
      <c r="AO805" s="438"/>
      <c r="AP805" s="438"/>
      <c r="AQ805" s="438"/>
      <c r="AR805" s="438"/>
      <c r="AS805" s="420"/>
      <c r="AT805" s="438"/>
      <c r="AU805" s="438"/>
      <c r="AV805" s="438"/>
      <c r="AW805" s="450">
        <v>151.742765663647</v>
      </c>
    </row>
    <row r="806">
      <c r="A806" s="436" t="s">
        <v>1324</v>
      </c>
      <c r="B806" s="436" t="s">
        <v>1324</v>
      </c>
      <c r="C806" s="421"/>
      <c r="D806" s="436" t="s">
        <v>158</v>
      </c>
      <c r="E806" s="436"/>
      <c r="F806" s="436" t="s">
        <v>2632</v>
      </c>
      <c r="G806" s="436" t="s">
        <v>169</v>
      </c>
      <c r="H806" s="436" t="s">
        <v>160</v>
      </c>
      <c r="I806" s="436" t="s">
        <v>1963</v>
      </c>
      <c r="J806" s="436">
        <v>2818.38293</v>
      </c>
      <c r="K806" s="436"/>
      <c r="L806" s="438"/>
      <c r="M806" s="453"/>
      <c r="N806" s="422">
        <v>13.611</v>
      </c>
      <c r="O806" s="422">
        <v>11.086</v>
      </c>
      <c r="P806" s="422"/>
      <c r="Q806" s="436" t="s">
        <v>2183</v>
      </c>
      <c r="R806" s="436" t="s">
        <v>2184</v>
      </c>
      <c r="S806" s="436" t="s">
        <v>1964</v>
      </c>
      <c r="T806" s="419" t="s">
        <v>162</v>
      </c>
      <c r="U806" s="436" t="s">
        <v>2185</v>
      </c>
      <c r="V806" s="451">
        <v>3.26752E28</v>
      </c>
      <c r="W806" s="458">
        <v>0.07762471166286916</v>
      </c>
      <c r="X806" s="438"/>
      <c r="Y806" s="442">
        <f t="shared" si="698"/>
        <v>1.171805892</v>
      </c>
      <c r="Z806" s="442"/>
      <c r="AA806" s="443"/>
      <c r="AB806" s="443"/>
      <c r="AC806" s="469">
        <f>IF(ISNUMBER(VLOOKUP(B806,'New Masses'!A:C,3,FALSE)),VLOOKUP(B806,'New Masses'!A:C,3,FALSE),"")</f>
        <v>0.690178</v>
      </c>
      <c r="AD806" s="440">
        <f t="shared" si="699"/>
        <v>0.0000000004786300923</v>
      </c>
      <c r="AE806" s="436">
        <v>-9.32</v>
      </c>
      <c r="AF806" s="438"/>
      <c r="AG806" s="459">
        <f>10^AJ806</f>
        <v>0.08912509381</v>
      </c>
      <c r="AH806" s="436"/>
      <c r="AI806" s="446">
        <f>IF(ISNUMBER(VLOOKUP(B806,'New Masses'!A:C,2, FALSE)),VLOOKUP(B806,'New Masses'!A:C,2, FALSE),"")</f>
        <v>0.058417</v>
      </c>
      <c r="AJ806" s="436">
        <v>-1.05</v>
      </c>
      <c r="AK806" s="436"/>
      <c r="AL806" s="436">
        <v>-2.89</v>
      </c>
      <c r="AM806" s="438"/>
      <c r="AN806" s="436">
        <v>1.0</v>
      </c>
      <c r="AO806" s="438"/>
      <c r="AP806" s="438"/>
      <c r="AQ806" s="438"/>
      <c r="AR806" s="438"/>
      <c r="AS806" s="420" t="str">
        <f>VLOOKUP(B806,natta06!A:F,6,FALSE)</f>
        <v>#REF!</v>
      </c>
      <c r="AT806" s="438"/>
      <c r="AU806" s="438"/>
      <c r="AV806" s="438"/>
      <c r="AW806" s="450">
        <v>151.742765663647</v>
      </c>
    </row>
    <row r="807">
      <c r="A807" s="435" t="str">
        <f t="shared" ref="A807:C807" si="700">A272</f>
        <v>2MASS J06451318+0018307</v>
      </c>
      <c r="B807" s="485" t="str">
        <f t="shared" si="700"/>
        <v>2MASS J06451318+0018307</v>
      </c>
      <c r="C807" s="486" t="str">
        <f t="shared" si="700"/>
        <v/>
      </c>
      <c r="D807" s="486"/>
      <c r="E807" s="486"/>
      <c r="F807" s="528"/>
      <c r="G807" s="486"/>
      <c r="H807" s="486" t="s">
        <v>5917</v>
      </c>
      <c r="I807" s="491"/>
      <c r="J807" s="491"/>
      <c r="K807" s="491"/>
      <c r="L807" s="491"/>
      <c r="M807" s="486"/>
      <c r="N807" s="422"/>
      <c r="O807" s="422"/>
      <c r="P807" s="422"/>
      <c r="Q807" s="486"/>
      <c r="R807" s="491"/>
      <c r="S807" s="491"/>
      <c r="T807" s="491"/>
      <c r="U807" s="491"/>
      <c r="V807" s="491"/>
      <c r="W807" s="493"/>
      <c r="X807" s="486"/>
      <c r="Y807" s="442"/>
      <c r="Z807" s="491"/>
      <c r="AA807" s="524" t="str">
        <f t="shared" ref="AA807:AA809" si="702">AC272</f>
        <v/>
      </c>
      <c r="AB807" s="494"/>
      <c r="AC807" s="436"/>
      <c r="AD807" s="495"/>
      <c r="AE807" s="491"/>
      <c r="AF807" s="491"/>
      <c r="AG807" s="525" t="str">
        <f t="shared" ref="AG807:AG809" si="703">AI272</f>
        <v/>
      </c>
      <c r="AH807" s="491"/>
      <c r="AI807" s="446"/>
      <c r="AJ807" s="491"/>
      <c r="AK807" s="500"/>
      <c r="AL807" s="436"/>
      <c r="AM807" s="438"/>
      <c r="AN807" s="531"/>
      <c r="AO807" s="491"/>
      <c r="AP807" s="438"/>
      <c r="AQ807" s="438"/>
      <c r="AR807" s="438"/>
      <c r="AS807" s="438"/>
      <c r="AT807" s="438"/>
      <c r="AU807" s="438"/>
      <c r="AV807" s="438"/>
      <c r="AW807" s="450" t="str">
        <f t="shared" ref="AW807:AW809" si="704">AW272</f>
        <v/>
      </c>
    </row>
    <row r="808">
      <c r="A808" s="435" t="str">
        <f t="shared" ref="A808:C808" si="701">A273</f>
        <v>#REF!</v>
      </c>
      <c r="B808" s="485" t="str">
        <f t="shared" si="701"/>
        <v>#REF!</v>
      </c>
      <c r="C808" s="486" t="str">
        <f t="shared" si="701"/>
        <v>#REF!</v>
      </c>
      <c r="D808" s="486"/>
      <c r="E808" s="486"/>
      <c r="F808" s="528"/>
      <c r="G808" s="486"/>
      <c r="H808" s="486" t="s">
        <v>5917</v>
      </c>
      <c r="I808" s="491"/>
      <c r="J808" s="491"/>
      <c r="K808" s="491"/>
      <c r="L808" s="491"/>
      <c r="M808" s="486"/>
      <c r="N808" s="422"/>
      <c r="O808" s="422"/>
      <c r="P808" s="422"/>
      <c r="Q808" s="486"/>
      <c r="R808" s="491"/>
      <c r="S808" s="491"/>
      <c r="T808" s="491"/>
      <c r="U808" s="491"/>
      <c r="V808" s="491"/>
      <c r="W808" s="493"/>
      <c r="X808" s="486"/>
      <c r="Y808" s="442"/>
      <c r="Z808" s="491"/>
      <c r="AA808" s="524" t="str">
        <f t="shared" si="702"/>
        <v/>
      </c>
      <c r="AB808" s="494"/>
      <c r="AC808" s="436"/>
      <c r="AD808" s="495"/>
      <c r="AE808" s="491"/>
      <c r="AF808" s="491"/>
      <c r="AG808" s="525" t="str">
        <f t="shared" si="703"/>
        <v/>
      </c>
      <c r="AH808" s="491"/>
      <c r="AI808" s="446"/>
      <c r="AJ808" s="491"/>
      <c r="AK808" s="500"/>
      <c r="AL808" s="436"/>
      <c r="AM808" s="438"/>
      <c r="AN808" s="531"/>
      <c r="AO808" s="491"/>
      <c r="AP808" s="438"/>
      <c r="AQ808" s="438"/>
      <c r="AR808" s="438"/>
      <c r="AS808" s="438"/>
      <c r="AT808" s="438"/>
      <c r="AU808" s="438"/>
      <c r="AV808" s="438"/>
      <c r="AW808" s="450" t="str">
        <f t="shared" si="704"/>
        <v>#REF!</v>
      </c>
    </row>
    <row r="809">
      <c r="A809" s="435" t="str">
        <f t="shared" ref="A809:C809" si="705">A274</f>
        <v>2MASS J06451616+0022238</v>
      </c>
      <c r="B809" s="485" t="str">
        <f t="shared" si="705"/>
        <v>2MASS J06451616+0022238</v>
      </c>
      <c r="C809" s="486" t="str">
        <f t="shared" si="705"/>
        <v/>
      </c>
      <c r="D809" s="486"/>
      <c r="E809" s="486"/>
      <c r="F809" s="528"/>
      <c r="G809" s="486"/>
      <c r="H809" s="486" t="s">
        <v>5917</v>
      </c>
      <c r="I809" s="491"/>
      <c r="J809" s="491"/>
      <c r="K809" s="491"/>
      <c r="L809" s="491"/>
      <c r="M809" s="486"/>
      <c r="N809" s="422"/>
      <c r="O809" s="422"/>
      <c r="P809" s="422"/>
      <c r="Q809" s="486"/>
      <c r="R809" s="491"/>
      <c r="S809" s="491"/>
      <c r="T809" s="491"/>
      <c r="U809" s="491"/>
      <c r="V809" s="491"/>
      <c r="W809" s="493"/>
      <c r="X809" s="486"/>
      <c r="Y809" s="442"/>
      <c r="Z809" s="491"/>
      <c r="AA809" s="524" t="str">
        <f t="shared" si="702"/>
        <v/>
      </c>
      <c r="AB809" s="494"/>
      <c r="AC809" s="436"/>
      <c r="AD809" s="495"/>
      <c r="AE809" s="491"/>
      <c r="AF809" s="491"/>
      <c r="AG809" s="525" t="str">
        <f t="shared" si="703"/>
        <v/>
      </c>
      <c r="AH809" s="491"/>
      <c r="AI809" s="446"/>
      <c r="AJ809" s="491"/>
      <c r="AK809" s="500"/>
      <c r="AL809" s="436"/>
      <c r="AM809" s="438"/>
      <c r="AN809" s="531"/>
      <c r="AO809" s="491"/>
      <c r="AP809" s="438"/>
      <c r="AQ809" s="438"/>
      <c r="AR809" s="438"/>
      <c r="AS809" s="438"/>
      <c r="AT809" s="438"/>
      <c r="AU809" s="438"/>
      <c r="AV809" s="438"/>
      <c r="AW809" s="450" t="str">
        <f t="shared" si="704"/>
        <v/>
      </c>
    </row>
    <row r="810">
      <c r="A810" s="436" t="s">
        <v>1359</v>
      </c>
      <c r="B810" s="436" t="s">
        <v>1359</v>
      </c>
      <c r="C810" s="436"/>
      <c r="D810" s="436" t="s">
        <v>158</v>
      </c>
      <c r="E810" s="436"/>
      <c r="F810" s="436" t="s">
        <v>2634</v>
      </c>
      <c r="G810" s="436" t="s">
        <v>169</v>
      </c>
      <c r="H810" s="436" t="s">
        <v>160</v>
      </c>
      <c r="I810" s="436" t="s">
        <v>1963</v>
      </c>
      <c r="J810" s="436">
        <v>3019.95172</v>
      </c>
      <c r="K810" s="436"/>
      <c r="L810" s="438"/>
      <c r="M810" s="453"/>
      <c r="N810" s="422">
        <v>12.345</v>
      </c>
      <c r="O810" s="422">
        <v>10.096</v>
      </c>
      <c r="P810" s="422">
        <v>18.08</v>
      </c>
      <c r="Q810" s="436" t="s">
        <v>2183</v>
      </c>
      <c r="R810" s="436" t="s">
        <v>2184</v>
      </c>
      <c r="S810" s="436" t="s">
        <v>1964</v>
      </c>
      <c r="T810" s="419" t="s">
        <v>162</v>
      </c>
      <c r="U810" s="436" t="s">
        <v>2185</v>
      </c>
      <c r="V810" s="451">
        <v>2.47867E28</v>
      </c>
      <c r="W810" s="458">
        <v>0.2290867652767773</v>
      </c>
      <c r="X810" s="438"/>
      <c r="Y810" s="442">
        <f>IF((W810/((J810/5780)^4))^0.5&gt;0,(W810/((J810/5780)^4))^0.5,"")</f>
        <v>1.753297756</v>
      </c>
      <c r="Z810" s="442"/>
      <c r="AA810" s="443"/>
      <c r="AB810" s="443"/>
      <c r="AC810" s="436" t="str">
        <f>IF(ISNUMBER(VLOOKUP(B810,'New Masses'!A:C,3,FALSE)),VLOOKUP(B810,'New Masses'!A:C,3,FALSE),"")</f>
        <v/>
      </c>
      <c r="AD810" s="440">
        <f>10^AE810</f>
        <v>0.0000000002511886432</v>
      </c>
      <c r="AE810" s="436">
        <v>-9.6</v>
      </c>
      <c r="AF810" s="438"/>
      <c r="AG810" s="459">
        <f>10^AJ810</f>
        <v>0.1698243652</v>
      </c>
      <c r="AH810" s="436"/>
      <c r="AI810" s="446" t="str">
        <f>IF(ISNUMBER(VLOOKUP(B810,'New Masses'!A:C,2, FALSE)),VLOOKUP(B810,'New Masses'!A:C,2, FALSE),"")</f>
        <v/>
      </c>
      <c r="AJ810" s="436">
        <v>-0.77</v>
      </c>
      <c r="AK810" s="436"/>
      <c r="AL810" s="436">
        <v>-3.06</v>
      </c>
      <c r="AM810" s="438"/>
      <c r="AN810" s="436">
        <v>1.0</v>
      </c>
      <c r="AO810" s="438"/>
      <c r="AP810" s="436"/>
      <c r="AQ810" s="438"/>
      <c r="AR810" s="438"/>
      <c r="AS810" s="420" t="str">
        <f>VLOOKUP(B810,natta06!A:F,6,FALSE)</f>
        <v>#REF!</v>
      </c>
      <c r="AT810" s="438" t="s">
        <v>5916</v>
      </c>
      <c r="AU810" s="438"/>
      <c r="AV810" s="438"/>
      <c r="AW810" s="450">
        <v>142.126208072768</v>
      </c>
    </row>
    <row r="811">
      <c r="A811" s="435" t="str">
        <f t="shared" ref="A811:C811" si="706">A276</f>
        <v>2MASS J06451701+0022077</v>
      </c>
      <c r="B811" s="485" t="str">
        <f t="shared" si="706"/>
        <v>2MASS J06451701+0022077</v>
      </c>
      <c r="C811" s="486" t="str">
        <f t="shared" si="706"/>
        <v/>
      </c>
      <c r="D811" s="486"/>
      <c r="E811" s="486"/>
      <c r="F811" s="528"/>
      <c r="G811" s="486"/>
      <c r="H811" s="486" t="s">
        <v>5917</v>
      </c>
      <c r="I811" s="491"/>
      <c r="J811" s="491"/>
      <c r="K811" s="491"/>
      <c r="L811" s="491"/>
      <c r="M811" s="486"/>
      <c r="N811" s="422"/>
      <c r="O811" s="422"/>
      <c r="P811" s="422"/>
      <c r="Q811" s="486"/>
      <c r="R811" s="491"/>
      <c r="S811" s="491"/>
      <c r="T811" s="491"/>
      <c r="U811" s="491"/>
      <c r="V811" s="491"/>
      <c r="W811" s="493"/>
      <c r="X811" s="486"/>
      <c r="Y811" s="442"/>
      <c r="Z811" s="491"/>
      <c r="AA811" s="524" t="str">
        <f>AC276</f>
        <v/>
      </c>
      <c r="AB811" s="494"/>
      <c r="AC811" s="436"/>
      <c r="AD811" s="495"/>
      <c r="AE811" s="491"/>
      <c r="AF811" s="491"/>
      <c r="AG811" s="525" t="str">
        <f>AI276</f>
        <v/>
      </c>
      <c r="AH811" s="491"/>
      <c r="AI811" s="446"/>
      <c r="AJ811" s="491"/>
      <c r="AK811" s="500"/>
      <c r="AL811" s="436"/>
      <c r="AM811" s="438"/>
      <c r="AN811" s="531"/>
      <c r="AO811" s="491"/>
      <c r="AP811" s="438"/>
      <c r="AQ811" s="438"/>
      <c r="AR811" s="438"/>
      <c r="AS811" s="438"/>
      <c r="AT811" s="438"/>
      <c r="AU811" s="438"/>
      <c r="AV811" s="438"/>
      <c r="AW811" s="450">
        <f>AW276</f>
        <v>3361.344538</v>
      </c>
    </row>
    <row r="812">
      <c r="A812" s="436" t="s">
        <v>1409</v>
      </c>
      <c r="B812" s="436" t="s">
        <v>1409</v>
      </c>
      <c r="C812" s="436"/>
      <c r="D812" s="436" t="s">
        <v>158</v>
      </c>
      <c r="E812" s="436"/>
      <c r="F812" s="436" t="s">
        <v>2635</v>
      </c>
      <c r="G812" s="436" t="s">
        <v>169</v>
      </c>
      <c r="H812" s="436" t="s">
        <v>160</v>
      </c>
      <c r="I812" s="436" t="s">
        <v>1963</v>
      </c>
      <c r="J812" s="436">
        <v>3630.78055</v>
      </c>
      <c r="K812" s="436"/>
      <c r="L812" s="438"/>
      <c r="M812" s="453"/>
      <c r="N812" s="422">
        <v>10.984</v>
      </c>
      <c r="O812" s="422">
        <v>8.86</v>
      </c>
      <c r="P812" s="422">
        <v>15.59</v>
      </c>
      <c r="Q812" s="436" t="s">
        <v>2183</v>
      </c>
      <c r="R812" s="436" t="s">
        <v>2184</v>
      </c>
      <c r="S812" s="436" t="s">
        <v>1964</v>
      </c>
      <c r="T812" s="419" t="s">
        <v>162</v>
      </c>
      <c r="U812" s="436" t="s">
        <v>2185</v>
      </c>
      <c r="V812" s="451">
        <v>1.39386E29</v>
      </c>
      <c r="W812" s="458">
        <v>0.9120108393559098</v>
      </c>
      <c r="X812" s="438"/>
      <c r="Y812" s="442">
        <f>IF((W812/((J812/5780)^4))^0.5&gt;0,(W812/((J812/5780)^4))^0.5,"")</f>
        <v>2.42022463</v>
      </c>
      <c r="Z812" s="442"/>
      <c r="AA812" s="443"/>
      <c r="AB812" s="443"/>
      <c r="AC812" s="436" t="str">
        <f>IF(ISNUMBER(VLOOKUP(B812,'New Masses'!A:C,3,FALSE)),VLOOKUP(B812,'New Masses'!A:C,3,FALSE),"")</f>
        <v/>
      </c>
      <c r="AD812" s="440">
        <f>10^AE812</f>
        <v>0.000000001621810097</v>
      </c>
      <c r="AE812" s="436">
        <v>-8.79</v>
      </c>
      <c r="AF812" s="438"/>
      <c r="AG812" s="459">
        <f>10^AJ812</f>
        <v>0.389045145</v>
      </c>
      <c r="AH812" s="436"/>
      <c r="AI812" s="446" t="str">
        <f>IF(ISNUMBER(VLOOKUP(B812,'New Masses'!A:C,2, FALSE)),VLOOKUP(B812,'New Masses'!A:C,2, FALSE),"")</f>
        <v/>
      </c>
      <c r="AJ812" s="436">
        <v>-0.41</v>
      </c>
      <c r="AK812" s="436"/>
      <c r="AL812" s="436">
        <v>-2.03</v>
      </c>
      <c r="AM812" s="438"/>
      <c r="AN812" s="436">
        <v>1.0</v>
      </c>
      <c r="AO812" s="438"/>
      <c r="AP812" s="438"/>
      <c r="AQ812" s="438"/>
      <c r="AR812" s="438"/>
      <c r="AS812" s="420" t="str">
        <f>VLOOKUP(B812,natta06!A:F,6,FALSE)</f>
        <v>#REF!</v>
      </c>
      <c r="AT812" s="438"/>
      <c r="AU812" s="438"/>
      <c r="AV812" s="438"/>
      <c r="AW812" s="450">
        <v>138.494564088359</v>
      </c>
    </row>
    <row r="813">
      <c r="A813" s="435" t="str">
        <f t="shared" ref="A813:C813" si="707">A278</f>
        <v>2MASS J06451727+0023454</v>
      </c>
      <c r="B813" s="485" t="str">
        <f t="shared" si="707"/>
        <v>2MASS J06451727+0023454</v>
      </c>
      <c r="C813" s="486" t="str">
        <f t="shared" si="707"/>
        <v/>
      </c>
      <c r="D813" s="486"/>
      <c r="E813" s="486"/>
      <c r="F813" s="528"/>
      <c r="G813" s="486"/>
      <c r="H813" s="486" t="s">
        <v>5917</v>
      </c>
      <c r="I813" s="491"/>
      <c r="J813" s="491"/>
      <c r="K813" s="491"/>
      <c r="L813" s="491"/>
      <c r="M813" s="486"/>
      <c r="N813" s="422"/>
      <c r="O813" s="422"/>
      <c r="P813" s="422"/>
      <c r="Q813" s="486"/>
      <c r="R813" s="491"/>
      <c r="S813" s="491"/>
      <c r="T813" s="491"/>
      <c r="U813" s="491"/>
      <c r="V813" s="491"/>
      <c r="W813" s="493"/>
      <c r="X813" s="486"/>
      <c r="Y813" s="442"/>
      <c r="Z813" s="491"/>
      <c r="AA813" s="524" t="str">
        <f>AC278</f>
        <v/>
      </c>
      <c r="AB813" s="494"/>
      <c r="AC813" s="436"/>
      <c r="AD813" s="495"/>
      <c r="AE813" s="491"/>
      <c r="AF813" s="491"/>
      <c r="AG813" s="525" t="str">
        <f>AI278</f>
        <v/>
      </c>
      <c r="AH813" s="491"/>
      <c r="AI813" s="446"/>
      <c r="AJ813" s="491"/>
      <c r="AK813" s="500"/>
      <c r="AL813" s="436"/>
      <c r="AM813" s="438"/>
      <c r="AN813" s="531"/>
      <c r="AO813" s="491"/>
      <c r="AP813" s="438"/>
      <c r="AQ813" s="438"/>
      <c r="AR813" s="438"/>
      <c r="AS813" s="438"/>
      <c r="AT813" s="438"/>
      <c r="AU813" s="438"/>
      <c r="AV813" s="438"/>
      <c r="AW813" s="450">
        <f>AW278</f>
        <v>1652.346332</v>
      </c>
    </row>
    <row r="814">
      <c r="A814" s="436" t="s">
        <v>1367</v>
      </c>
      <c r="B814" s="436" t="s">
        <v>1367</v>
      </c>
      <c r="C814" s="436"/>
      <c r="D814" s="436" t="s">
        <v>158</v>
      </c>
      <c r="E814" s="436"/>
      <c r="F814" s="436" t="s">
        <v>2636</v>
      </c>
      <c r="G814" s="436" t="s">
        <v>169</v>
      </c>
      <c r="H814" s="436" t="s">
        <v>160</v>
      </c>
      <c r="I814" s="436" t="s">
        <v>1963</v>
      </c>
      <c r="J814" s="436">
        <v>3090.29543</v>
      </c>
      <c r="K814" s="436"/>
      <c r="L814" s="436" t="s">
        <v>395</v>
      </c>
      <c r="M814" s="439"/>
      <c r="N814" s="422">
        <v>11.307</v>
      </c>
      <c r="O814" s="422">
        <v>9.316</v>
      </c>
      <c r="P814" s="422">
        <v>16.55</v>
      </c>
      <c r="Q814" s="436" t="s">
        <v>2183</v>
      </c>
      <c r="R814" s="436" t="s">
        <v>2184</v>
      </c>
      <c r="S814" s="436" t="s">
        <v>1964</v>
      </c>
      <c r="T814" s="419" t="s">
        <v>162</v>
      </c>
      <c r="U814" s="436" t="s">
        <v>2185</v>
      </c>
      <c r="V814" s="451">
        <v>1.88026E29</v>
      </c>
      <c r="W814" s="458">
        <v>0.28183829312644537</v>
      </c>
      <c r="X814" s="438"/>
      <c r="Y814" s="442">
        <f>IF((W814/((J814/5780)^4))^0.5&gt;0,(W814/((J814/5780)^4))^0.5,"")</f>
        <v>1.857187182</v>
      </c>
      <c r="Z814" s="442"/>
      <c r="AA814" s="443"/>
      <c r="AB814" s="443"/>
      <c r="AC814" s="436" t="str">
        <f>IF(ISNUMBER(VLOOKUP(B814,'New Masses'!A:C,3,FALSE)),VLOOKUP(B814,'New Masses'!A:C,3,FALSE),"")</f>
        <v/>
      </c>
      <c r="AD814" s="440">
        <f>10^AE814</f>
        <v>0.000000003715352291</v>
      </c>
      <c r="AE814" s="436">
        <v>-8.43</v>
      </c>
      <c r="AF814" s="438"/>
      <c r="AG814" s="459">
        <f>10^AJ814</f>
        <v>0.1905460718</v>
      </c>
      <c r="AH814" s="436"/>
      <c r="AI814" s="446" t="str">
        <f>IF(ISNUMBER(VLOOKUP(B814,'New Masses'!A:C,2, FALSE)),VLOOKUP(B814,'New Masses'!A:C,2, FALSE),"")</f>
        <v/>
      </c>
      <c r="AJ814" s="436">
        <v>-0.72</v>
      </c>
      <c r="AK814" s="436"/>
      <c r="AL814" s="436">
        <v>-1.86</v>
      </c>
      <c r="AM814" s="438"/>
      <c r="AN814" s="436">
        <v>1.0</v>
      </c>
      <c r="AO814" s="438"/>
      <c r="AP814" s="438"/>
      <c r="AQ814" s="436"/>
      <c r="AR814" s="438"/>
      <c r="AS814" s="420" t="str">
        <f>VLOOKUP(B814,natta06!A:F,6,FALSE)</f>
        <v>#REF!</v>
      </c>
      <c r="AT814" s="438"/>
      <c r="AU814" s="438" t="s">
        <v>1368</v>
      </c>
      <c r="AV814" s="438"/>
      <c r="AW814" s="450">
        <v>137.083950211109</v>
      </c>
    </row>
    <row r="815">
      <c r="A815" s="435" t="str">
        <f t="shared" ref="A815:C815" si="708">A280</f>
        <v>2MASS J06451841+0022189</v>
      </c>
      <c r="B815" s="485" t="str">
        <f t="shared" si="708"/>
        <v>2MASS J06451841+0022189</v>
      </c>
      <c r="C815" s="486" t="str">
        <f t="shared" si="708"/>
        <v/>
      </c>
      <c r="D815" s="486"/>
      <c r="E815" s="486"/>
      <c r="F815" s="528"/>
      <c r="G815" s="486"/>
      <c r="H815" s="486" t="s">
        <v>5917</v>
      </c>
      <c r="I815" s="491"/>
      <c r="J815" s="491"/>
      <c r="K815" s="491"/>
      <c r="L815" s="491"/>
      <c r="M815" s="486"/>
      <c r="N815" s="422"/>
      <c r="O815" s="422"/>
      <c r="P815" s="422"/>
      <c r="Q815" s="486"/>
      <c r="R815" s="491"/>
      <c r="S815" s="491"/>
      <c r="T815" s="491"/>
      <c r="U815" s="491"/>
      <c r="V815" s="491"/>
      <c r="W815" s="493"/>
      <c r="X815" s="486"/>
      <c r="Y815" s="442"/>
      <c r="Z815" s="491"/>
      <c r="AA815" s="524" t="str">
        <f>AC280</f>
        <v/>
      </c>
      <c r="AB815" s="494"/>
      <c r="AC815" s="436"/>
      <c r="AD815" s="495"/>
      <c r="AE815" s="491"/>
      <c r="AF815" s="491"/>
      <c r="AG815" s="525" t="str">
        <f>AI280</f>
        <v/>
      </c>
      <c r="AH815" s="491"/>
      <c r="AI815" s="446"/>
      <c r="AJ815" s="491"/>
      <c r="AK815" s="500"/>
      <c r="AL815" s="436"/>
      <c r="AM815" s="438"/>
      <c r="AN815" s="531"/>
      <c r="AO815" s="491"/>
      <c r="AP815" s="438"/>
      <c r="AQ815" s="438"/>
      <c r="AR815" s="438"/>
      <c r="AS815" s="438"/>
      <c r="AT815" s="438"/>
      <c r="AU815" s="438"/>
      <c r="AV815" s="438"/>
      <c r="AW815" s="450">
        <f>AW280</f>
        <v>1478.852411</v>
      </c>
    </row>
    <row r="816">
      <c r="A816" s="436" t="s">
        <v>1330</v>
      </c>
      <c r="B816" s="436" t="s">
        <v>1330</v>
      </c>
      <c r="C816" s="436"/>
      <c r="D816" s="436" t="s">
        <v>158</v>
      </c>
      <c r="E816" s="436"/>
      <c r="F816" s="436" t="s">
        <v>2637</v>
      </c>
      <c r="G816" s="436" t="s">
        <v>159</v>
      </c>
      <c r="H816" s="436" t="s">
        <v>160</v>
      </c>
      <c r="I816" s="436" t="s">
        <v>1963</v>
      </c>
      <c r="J816" s="436">
        <v>2818.38293</v>
      </c>
      <c r="K816" s="436"/>
      <c r="L816" s="438"/>
      <c r="M816" s="453"/>
      <c r="N816" s="422">
        <v>16.828</v>
      </c>
      <c r="O816" s="422">
        <v>12.442</v>
      </c>
      <c r="P816" s="422"/>
      <c r="Q816" s="436" t="s">
        <v>2183</v>
      </c>
      <c r="R816" s="436" t="s">
        <v>2184</v>
      </c>
      <c r="S816" s="436" t="s">
        <v>1964</v>
      </c>
      <c r="T816" s="419" t="s">
        <v>162</v>
      </c>
      <c r="U816" s="436" t="s">
        <v>2185</v>
      </c>
      <c r="V816" s="451">
        <v>1.5639E28</v>
      </c>
      <c r="W816" s="458">
        <v>0.06606934480075961</v>
      </c>
      <c r="X816" s="438"/>
      <c r="Y816" s="442">
        <f>IF((W816/((J816/5780)^4))^0.5&gt;0,(W816/((J816/5780)^4))^0.5,"")</f>
        <v>1.081074634</v>
      </c>
      <c r="Z816" s="442"/>
      <c r="AA816" s="443"/>
      <c r="AB816" s="443"/>
      <c r="AC816" s="436" t="str">
        <f>IF(ISNUMBER(VLOOKUP(B816,'New Masses'!A:C,3,FALSE)),VLOOKUP(B816,'New Masses'!A:C,3,FALSE),"")</f>
        <v/>
      </c>
      <c r="AD816" s="440">
        <f>10^AE816</f>
        <v>0.0000000001819700859</v>
      </c>
      <c r="AE816" s="436">
        <v>-9.74</v>
      </c>
      <c r="AF816" s="438"/>
      <c r="AG816" s="459">
        <f>10^AJ816</f>
        <v>0.07943282347</v>
      </c>
      <c r="AH816" s="436"/>
      <c r="AI816" s="446" t="str">
        <f>IF(ISNUMBER(VLOOKUP(B816,'New Masses'!A:C,2, FALSE)),VLOOKUP(B816,'New Masses'!A:C,2, FALSE),"")</f>
        <v/>
      </c>
      <c r="AJ816" s="436">
        <v>-1.1</v>
      </c>
      <c r="AK816" s="436"/>
      <c r="AL816" s="436">
        <v>-3.32</v>
      </c>
      <c r="AM816" s="438"/>
      <c r="AN816" s="436">
        <v>1.0</v>
      </c>
      <c r="AO816" s="438"/>
      <c r="AP816" s="436"/>
      <c r="AQ816" s="438"/>
      <c r="AR816" s="438"/>
      <c r="AS816" s="420" t="str">
        <f>VLOOKUP(B816,natta06!A:F,6,FALSE)</f>
        <v>#REF!</v>
      </c>
      <c r="AT816" s="438" t="s">
        <v>5916</v>
      </c>
      <c r="AU816" s="438"/>
      <c r="AV816" s="438"/>
      <c r="AW816" s="450"/>
    </row>
    <row r="817">
      <c r="A817" s="435" t="str">
        <f t="shared" ref="A817:C817" si="709">A282</f>
        <v>2MASS J06452454+0022448</v>
      </c>
      <c r="B817" s="485" t="str">
        <f t="shared" si="709"/>
        <v>2MASS J06452454+0022448</v>
      </c>
      <c r="C817" s="486" t="str">
        <f t="shared" si="709"/>
        <v/>
      </c>
      <c r="D817" s="486"/>
      <c r="E817" s="486"/>
      <c r="F817" s="528"/>
      <c r="G817" s="486"/>
      <c r="H817" s="486" t="s">
        <v>5917</v>
      </c>
      <c r="I817" s="491"/>
      <c r="J817" s="491"/>
      <c r="K817" s="491"/>
      <c r="L817" s="491"/>
      <c r="M817" s="486"/>
      <c r="N817" s="422"/>
      <c r="O817" s="422"/>
      <c r="P817" s="422"/>
      <c r="Q817" s="486"/>
      <c r="R817" s="491"/>
      <c r="S817" s="491"/>
      <c r="T817" s="491"/>
      <c r="U817" s="491"/>
      <c r="V817" s="491"/>
      <c r="W817" s="493"/>
      <c r="X817" s="486"/>
      <c r="Y817" s="442"/>
      <c r="Z817" s="491"/>
      <c r="AA817" s="524" t="str">
        <f>AC282</f>
        <v/>
      </c>
      <c r="AB817" s="494"/>
      <c r="AC817" s="436"/>
      <c r="AD817" s="495"/>
      <c r="AE817" s="491"/>
      <c r="AF817" s="491"/>
      <c r="AG817" s="525" t="str">
        <f>AI282</f>
        <v/>
      </c>
      <c r="AH817" s="491"/>
      <c r="AI817" s="446"/>
      <c r="AJ817" s="491"/>
      <c r="AK817" s="500"/>
      <c r="AL817" s="436"/>
      <c r="AM817" s="438"/>
      <c r="AN817" s="531"/>
      <c r="AO817" s="491"/>
      <c r="AP817" s="438"/>
      <c r="AQ817" s="438"/>
      <c r="AR817" s="438"/>
      <c r="AS817" s="438"/>
      <c r="AT817" s="438"/>
      <c r="AU817" s="438"/>
      <c r="AV817" s="438"/>
      <c r="AW817" s="450">
        <f>AW282</f>
        <v>326.2749192</v>
      </c>
    </row>
    <row r="818">
      <c r="A818" s="436" t="s">
        <v>1476</v>
      </c>
      <c r="B818" s="436" t="s">
        <v>1476</v>
      </c>
      <c r="C818" s="436"/>
      <c r="D818" s="436" t="s">
        <v>158</v>
      </c>
      <c r="E818" s="436"/>
      <c r="F818" s="436" t="s">
        <v>2638</v>
      </c>
      <c r="G818" s="436" t="s">
        <v>159</v>
      </c>
      <c r="H818" s="436" t="s">
        <v>160</v>
      </c>
      <c r="I818" s="436" t="s">
        <v>1963</v>
      </c>
      <c r="J818" s="436">
        <v>4677.35141</v>
      </c>
      <c r="K818" s="436"/>
      <c r="L818" s="436" t="s">
        <v>1477</v>
      </c>
      <c r="M818" s="439"/>
      <c r="N818" s="422">
        <v>8.731</v>
      </c>
      <c r="O818" s="422">
        <v>6.85</v>
      </c>
      <c r="P818" s="422">
        <v>12.59</v>
      </c>
      <c r="Q818" s="436" t="s">
        <v>2183</v>
      </c>
      <c r="R818" s="436" t="s">
        <v>2184</v>
      </c>
      <c r="S818" s="436" t="s">
        <v>1964</v>
      </c>
      <c r="T818" s="419" t="s">
        <v>162</v>
      </c>
      <c r="U818" s="436" t="s">
        <v>2185</v>
      </c>
      <c r="V818" s="451">
        <v>3.6662E29</v>
      </c>
      <c r="W818" s="458">
        <v>0.17378008287493754</v>
      </c>
      <c r="X818" s="438"/>
      <c r="Y818" s="442">
        <f>IF((W818/((J818/5780)^4))^0.5&gt;0,(W818/((J818/5780)^4))^0.5,"")</f>
        <v>0.6365839393</v>
      </c>
      <c r="Z818" s="442"/>
      <c r="AA818" s="443"/>
      <c r="AB818" s="443"/>
      <c r="AC818" s="436" t="str">
        <f>IF(ISNUMBER(VLOOKUP(B818,'New Masses'!A:C,3,FALSE)),VLOOKUP(B818,'New Masses'!A:C,3,FALSE),"")</f>
        <v/>
      </c>
      <c r="AD818" s="440">
        <f>10^AE818</f>
        <v>0.00000000301995172</v>
      </c>
      <c r="AE818" s="436">
        <v>-8.52</v>
      </c>
      <c r="AF818" s="438"/>
      <c r="AG818" s="459">
        <f>10^AJ818</f>
        <v>1.174897555</v>
      </c>
      <c r="AH818" s="436"/>
      <c r="AI818" s="446" t="str">
        <f>IF(ISNUMBER(VLOOKUP(B818,'New Masses'!A:C,2, FALSE)),VLOOKUP(B818,'New Masses'!A:C,2, FALSE),"")</f>
        <v/>
      </c>
      <c r="AJ818" s="436">
        <v>0.07</v>
      </c>
      <c r="AK818" s="436"/>
      <c r="AL818" s="436">
        <v>-1.47</v>
      </c>
      <c r="AM818" s="438"/>
      <c r="AN818" s="436">
        <v>1.0</v>
      </c>
      <c r="AO818" s="438"/>
      <c r="AP818" s="436"/>
      <c r="AQ818" s="436"/>
      <c r="AR818" s="438"/>
      <c r="AS818" s="420" t="str">
        <f>VLOOKUP(B818,natta06!A:F,6,FALSE)</f>
        <v>#REF!</v>
      </c>
      <c r="AT818" s="438" t="s">
        <v>5916</v>
      </c>
      <c r="AU818" s="438" t="s">
        <v>1332</v>
      </c>
      <c r="AV818" s="438"/>
      <c r="AW818" s="450">
        <v>136.004460946319</v>
      </c>
    </row>
    <row r="819">
      <c r="A819" s="435" t="str">
        <f t="shared" ref="A819:C819" si="710">A284</f>
        <v>2MASS J06452774+0015514</v>
      </c>
      <c r="B819" s="485" t="str">
        <f t="shared" si="710"/>
        <v>2MASS J06452774+0015514</v>
      </c>
      <c r="C819" s="486" t="str">
        <f t="shared" si="710"/>
        <v/>
      </c>
      <c r="D819" s="486"/>
      <c r="E819" s="486"/>
      <c r="F819" s="528"/>
      <c r="G819" s="486"/>
      <c r="H819" s="486" t="s">
        <v>5917</v>
      </c>
      <c r="I819" s="491"/>
      <c r="J819" s="491"/>
      <c r="K819" s="491"/>
      <c r="L819" s="491"/>
      <c r="M819" s="486"/>
      <c r="N819" s="422"/>
      <c r="O819" s="422"/>
      <c r="P819" s="422"/>
      <c r="Q819" s="486"/>
      <c r="R819" s="491"/>
      <c r="S819" s="491"/>
      <c r="T819" s="491"/>
      <c r="U819" s="491"/>
      <c r="V819" s="491"/>
      <c r="W819" s="493"/>
      <c r="X819" s="486"/>
      <c r="Y819" s="442"/>
      <c r="Z819" s="491"/>
      <c r="AA819" s="524" t="str">
        <f>AC284</f>
        <v/>
      </c>
      <c r="AB819" s="494"/>
      <c r="AC819" s="436"/>
      <c r="AD819" s="495"/>
      <c r="AE819" s="491"/>
      <c r="AF819" s="491"/>
      <c r="AG819" s="525" t="str">
        <f>AI284</f>
        <v/>
      </c>
      <c r="AH819" s="491"/>
      <c r="AI819" s="446"/>
      <c r="AJ819" s="491"/>
      <c r="AK819" s="500"/>
      <c r="AL819" s="436"/>
      <c r="AM819" s="438"/>
      <c r="AN819" s="531"/>
      <c r="AO819" s="491"/>
      <c r="AP819" s="438"/>
      <c r="AQ819" s="438"/>
      <c r="AR819" s="438"/>
      <c r="AS819" s="438"/>
      <c r="AT819" s="438"/>
      <c r="AU819" s="438"/>
      <c r="AV819" s="438"/>
      <c r="AW819" s="450">
        <f>AW284</f>
        <v>3628.447025</v>
      </c>
    </row>
    <row r="820">
      <c r="A820" s="436" t="s">
        <v>1416</v>
      </c>
      <c r="B820" s="436" t="s">
        <v>1416</v>
      </c>
      <c r="C820" s="436"/>
      <c r="D820" s="436" t="s">
        <v>158</v>
      </c>
      <c r="E820" s="436"/>
      <c r="F820" s="436" t="s">
        <v>2639</v>
      </c>
      <c r="G820" s="436" t="s">
        <v>169</v>
      </c>
      <c r="H820" s="436" t="s">
        <v>160</v>
      </c>
      <c r="I820" s="436" t="s">
        <v>1963</v>
      </c>
      <c r="J820" s="436">
        <v>3715.35229</v>
      </c>
      <c r="K820" s="436"/>
      <c r="L820" s="438"/>
      <c r="M820" s="453"/>
      <c r="N820" s="422">
        <v>9.21</v>
      </c>
      <c r="O820" s="422">
        <v>7.997</v>
      </c>
      <c r="P820" s="422">
        <v>12.4</v>
      </c>
      <c r="Q820" s="436" t="s">
        <v>2183</v>
      </c>
      <c r="R820" s="436" t="s">
        <v>2184</v>
      </c>
      <c r="S820" s="436" t="s">
        <v>1964</v>
      </c>
      <c r="T820" s="419" t="s">
        <v>162</v>
      </c>
      <c r="U820" s="436" t="s">
        <v>2185</v>
      </c>
      <c r="V820" s="451">
        <v>3.34363E29</v>
      </c>
      <c r="W820" s="458">
        <v>1.0471285480508996</v>
      </c>
      <c r="X820" s="438"/>
      <c r="Y820" s="442">
        <f>IF((W820/((J820/5780)^4))^0.5&gt;0,(W820/((J820/5780)^4))^0.5,"")</f>
        <v>2.476598908</v>
      </c>
      <c r="Z820" s="442"/>
      <c r="AA820" s="443"/>
      <c r="AB820" s="443"/>
      <c r="AC820" s="436" t="str">
        <f>IF(ISNUMBER(VLOOKUP(B820,'New Masses'!A:C,3,FALSE)),VLOOKUP(B820,'New Masses'!A:C,3,FALSE),"")</f>
        <v/>
      </c>
      <c r="AD820" s="440">
        <f>10^AE820</f>
        <v>0.000000004897788194</v>
      </c>
      <c r="AE820" s="436">
        <v>-8.31</v>
      </c>
      <c r="AF820" s="438"/>
      <c r="AG820" s="459">
        <f>10^AJ820</f>
        <v>0.4168693835</v>
      </c>
      <c r="AH820" s="436"/>
      <c r="AI820" s="446" t="str">
        <f>IF(ISNUMBER(VLOOKUP(B820,'New Masses'!A:C,2, FALSE)),VLOOKUP(B820,'New Masses'!A:C,2, FALSE),"")</f>
        <v/>
      </c>
      <c r="AJ820" s="436">
        <v>-0.38</v>
      </c>
      <c r="AK820" s="436"/>
      <c r="AL820" s="436">
        <v>-1.53</v>
      </c>
      <c r="AM820" s="438"/>
      <c r="AN820" s="436">
        <v>1.0</v>
      </c>
      <c r="AO820" s="438"/>
      <c r="AP820" s="438"/>
      <c r="AQ820" s="438"/>
      <c r="AR820" s="438"/>
      <c r="AS820" s="420" t="str">
        <f>VLOOKUP(B820,natta06!A:F,6,FALSE)</f>
        <v>#REF!</v>
      </c>
      <c r="AT820" s="438"/>
      <c r="AU820" s="438"/>
      <c r="AV820" s="438"/>
      <c r="AW820" s="450">
        <v>81.9934241273849</v>
      </c>
    </row>
    <row r="821">
      <c r="A821" s="435" t="str">
        <f t="shared" ref="A821:C821" si="711">A286</f>
        <v>2MASS J10561638-7630530</v>
      </c>
      <c r="B821" s="485" t="str">
        <f t="shared" si="711"/>
        <v>2MASS J10561638-7630530</v>
      </c>
      <c r="C821" s="486" t="str">
        <f t="shared" si="711"/>
        <v/>
      </c>
      <c r="D821" s="486"/>
      <c r="E821" s="486"/>
      <c r="F821" s="528"/>
      <c r="G821" s="486"/>
      <c r="H821" s="486" t="s">
        <v>5917</v>
      </c>
      <c r="I821" s="491"/>
      <c r="J821" s="491"/>
      <c r="K821" s="491"/>
      <c r="L821" s="491"/>
      <c r="M821" s="486"/>
      <c r="N821" s="422"/>
      <c r="O821" s="422"/>
      <c r="P821" s="422"/>
      <c r="Q821" s="486"/>
      <c r="R821" s="491"/>
      <c r="S821" s="491"/>
      <c r="T821" s="491"/>
      <c r="U821" s="491"/>
      <c r="V821" s="491"/>
      <c r="W821" s="493"/>
      <c r="X821" s="486"/>
      <c r="Y821" s="442"/>
      <c r="Z821" s="491"/>
      <c r="AA821" s="524" t="str">
        <f>AC286</f>
        <v/>
      </c>
      <c r="AB821" s="494"/>
      <c r="AC821" s="436"/>
      <c r="AD821" s="495"/>
      <c r="AE821" s="491"/>
      <c r="AF821" s="491"/>
      <c r="AG821" s="525" t="str">
        <f>AI286</f>
        <v/>
      </c>
      <c r="AH821" s="491"/>
      <c r="AI821" s="446"/>
      <c r="AJ821" s="491"/>
      <c r="AK821" s="500"/>
      <c r="AL821" s="436"/>
      <c r="AM821" s="438"/>
      <c r="AN821" s="531"/>
      <c r="AO821" s="491"/>
      <c r="AP821" s="438"/>
      <c r="AQ821" s="438"/>
      <c r="AR821" s="438"/>
      <c r="AS821" s="438"/>
      <c r="AT821" s="438"/>
      <c r="AU821" s="438"/>
      <c r="AV821" s="438"/>
      <c r="AW821" s="450">
        <f>AW286</f>
        <v>196.4829551</v>
      </c>
    </row>
    <row r="822">
      <c r="A822" s="435" t="s">
        <v>1735</v>
      </c>
      <c r="B822" s="436" t="s">
        <v>1736</v>
      </c>
      <c r="C822" s="436"/>
      <c r="D822" s="436" t="s">
        <v>350</v>
      </c>
      <c r="E822" s="436"/>
      <c r="F822" s="436" t="s">
        <v>2640</v>
      </c>
      <c r="G822" s="437" t="s">
        <v>169</v>
      </c>
      <c r="H822" s="437" t="s">
        <v>702</v>
      </c>
      <c r="I822" s="437" t="s">
        <v>1999</v>
      </c>
      <c r="J822" s="437">
        <v>3600.0</v>
      </c>
      <c r="K822" s="438"/>
      <c r="L822" s="438"/>
      <c r="M822" s="453"/>
      <c r="N822" s="422">
        <v>11.764</v>
      </c>
      <c r="O822" s="422">
        <v>10.544</v>
      </c>
      <c r="P822" s="422">
        <v>14.08</v>
      </c>
      <c r="Q822" s="436" t="s">
        <v>1632</v>
      </c>
      <c r="R822" s="438"/>
      <c r="S822" s="436" t="s">
        <v>2000</v>
      </c>
      <c r="T822" s="436" t="s">
        <v>1632</v>
      </c>
      <c r="U822" s="436" t="s">
        <v>1633</v>
      </c>
      <c r="V822" s="440"/>
      <c r="W822" s="441">
        <v>0.39</v>
      </c>
      <c r="X822" s="438"/>
      <c r="Y822" s="442">
        <f>IF((W822/((J822/5780)^4))^0.5&gt;0,(W822/((J822/5780)^4))^0.5,"")</f>
        <v>1.609840981</v>
      </c>
      <c r="Z822" s="442"/>
      <c r="AA822" s="443"/>
      <c r="AB822" s="443"/>
      <c r="AC822" s="436" t="str">
        <f>IF(ISNUMBER(VLOOKUP(B822,'New Masses'!A:C,3,FALSE)),VLOOKUP(B822,'New Masses'!A:C,3,FALSE),"")</f>
        <v/>
      </c>
      <c r="AD822" s="440">
        <f>10^AE822</f>
        <v>0.0000000004786300923</v>
      </c>
      <c r="AE822" s="437">
        <v>-9.32</v>
      </c>
      <c r="AF822" s="438"/>
      <c r="AG822" s="445">
        <v>0.6</v>
      </c>
      <c r="AH822" s="438"/>
      <c r="AI822" s="446" t="str">
        <f>IF(ISNUMBER(VLOOKUP(B822,'New Masses'!A:C,2, FALSE)),VLOOKUP(B822,'New Masses'!A:C,2, FALSE),"")</f>
        <v/>
      </c>
      <c r="AJ822" s="438"/>
      <c r="AK822" s="437"/>
      <c r="AL822" s="447">
        <v>-2.26</v>
      </c>
      <c r="AM822" s="438"/>
      <c r="AN822" s="436">
        <v>3.0</v>
      </c>
      <c r="AO822" s="438"/>
      <c r="AP822" s="436"/>
      <c r="AQ822" s="438"/>
      <c r="AR822" s="438"/>
      <c r="AS822" s="438"/>
      <c r="AT822" s="438" t="s">
        <v>5916</v>
      </c>
      <c r="AU822" s="438"/>
      <c r="AV822" s="438"/>
      <c r="AW822" s="450">
        <v>424.826883045159</v>
      </c>
    </row>
    <row r="823">
      <c r="A823" s="435" t="str">
        <f t="shared" ref="A823:C823" si="712">A288</f>
        <v>2MASS J10580597-7711501</v>
      </c>
      <c r="B823" s="485" t="str">
        <f t="shared" si="712"/>
        <v>2MASS J10580597-7711501</v>
      </c>
      <c r="C823" s="486" t="str">
        <f t="shared" si="712"/>
        <v/>
      </c>
      <c r="D823" s="486"/>
      <c r="E823" s="486"/>
      <c r="F823" s="528"/>
      <c r="G823" s="486"/>
      <c r="H823" s="486" t="s">
        <v>5917</v>
      </c>
      <c r="I823" s="491"/>
      <c r="J823" s="491"/>
      <c r="K823" s="491"/>
      <c r="L823" s="491"/>
      <c r="M823" s="486"/>
      <c r="N823" s="422"/>
      <c r="O823" s="422"/>
      <c r="P823" s="422"/>
      <c r="Q823" s="486"/>
      <c r="R823" s="491"/>
      <c r="S823" s="491"/>
      <c r="T823" s="491"/>
      <c r="U823" s="491"/>
      <c r="V823" s="491"/>
      <c r="W823" s="493"/>
      <c r="X823" s="486"/>
      <c r="Y823" s="442"/>
      <c r="Z823" s="491"/>
      <c r="AA823" s="524" t="str">
        <f>AC288</f>
        <v/>
      </c>
      <c r="AB823" s="494"/>
      <c r="AC823" s="436"/>
      <c r="AD823" s="495"/>
      <c r="AE823" s="491"/>
      <c r="AF823" s="491"/>
      <c r="AG823" s="525" t="str">
        <f>AI288</f>
        <v/>
      </c>
      <c r="AH823" s="491"/>
      <c r="AI823" s="446"/>
      <c r="AJ823" s="491"/>
      <c r="AK823" s="500"/>
      <c r="AL823" s="436"/>
      <c r="AM823" s="438"/>
      <c r="AN823" s="531"/>
      <c r="AO823" s="491"/>
      <c r="AP823" s="438"/>
      <c r="AQ823" s="438"/>
      <c r="AR823" s="438"/>
      <c r="AS823" s="438"/>
      <c r="AT823" s="438"/>
      <c r="AU823" s="438"/>
      <c r="AV823" s="438"/>
      <c r="AW823" s="450">
        <f>AW288</f>
        <v>186.570645</v>
      </c>
    </row>
    <row r="824">
      <c r="A824" s="435" t="s">
        <v>1709</v>
      </c>
      <c r="B824" s="436" t="s">
        <v>1710</v>
      </c>
      <c r="C824" s="436"/>
      <c r="D824" s="436" t="s">
        <v>350</v>
      </c>
      <c r="E824" s="436"/>
      <c r="F824" s="436" t="s">
        <v>2641</v>
      </c>
      <c r="G824" s="437" t="s">
        <v>169</v>
      </c>
      <c r="H824" s="437" t="s">
        <v>702</v>
      </c>
      <c r="I824" s="437" t="s">
        <v>1999</v>
      </c>
      <c r="J824" s="437">
        <v>3300.0</v>
      </c>
      <c r="K824" s="438"/>
      <c r="L824" s="436" t="s">
        <v>422</v>
      </c>
      <c r="M824" s="439"/>
      <c r="N824" s="422">
        <v>12.826</v>
      </c>
      <c r="O824" s="422">
        <v>11.86</v>
      </c>
      <c r="P824" s="422">
        <v>15.92</v>
      </c>
      <c r="Q824" s="436" t="s">
        <v>1632</v>
      </c>
      <c r="R824" s="438"/>
      <c r="S824" s="436" t="s">
        <v>2000</v>
      </c>
      <c r="T824" s="436" t="s">
        <v>1632</v>
      </c>
      <c r="U824" s="436" t="s">
        <v>1633</v>
      </c>
      <c r="V824" s="440"/>
      <c r="W824" s="441">
        <v>0.15</v>
      </c>
      <c r="X824" s="438"/>
      <c r="Y824" s="442">
        <f>IF((W824/((J824/5780)^4))^0.5&gt;0,(W824/((J824/5780)^4))^0.5,"")</f>
        <v>1.188155894</v>
      </c>
      <c r="Z824" s="442"/>
      <c r="AA824" s="443"/>
      <c r="AB824" s="443"/>
      <c r="AC824" s="436" t="str">
        <f>IF(ISNUMBER(VLOOKUP(B824,'New Masses'!A:C,3,FALSE)),VLOOKUP(B824,'New Masses'!A:C,3,FALSE),"")</f>
        <v/>
      </c>
      <c r="AD824" s="440">
        <f>10^AE824</f>
        <v>0.0000000001513561248</v>
      </c>
      <c r="AE824" s="437">
        <v>-9.82</v>
      </c>
      <c r="AF824" s="438"/>
      <c r="AG824" s="445">
        <v>0.3</v>
      </c>
      <c r="AH824" s="438"/>
      <c r="AI824" s="446" t="str">
        <f>IF(ISNUMBER(VLOOKUP(B824,'New Masses'!A:C,2, FALSE)),VLOOKUP(B824,'New Masses'!A:C,2, FALSE),"")</f>
        <v/>
      </c>
      <c r="AJ824" s="438"/>
      <c r="AK824" s="437"/>
      <c r="AL824" s="447">
        <v>-3.02</v>
      </c>
      <c r="AM824" s="438"/>
      <c r="AN824" s="436">
        <v>3.0</v>
      </c>
      <c r="AO824" s="438"/>
      <c r="AP824" s="436"/>
      <c r="AQ824" s="436"/>
      <c r="AR824" s="438"/>
      <c r="AS824" s="438"/>
      <c r="AT824" s="438" t="s">
        <v>5916</v>
      </c>
      <c r="AU824" s="438" t="s">
        <v>1676</v>
      </c>
      <c r="AV824" s="438"/>
      <c r="AW824" s="450">
        <v>403.437285673942</v>
      </c>
    </row>
    <row r="825">
      <c r="A825" s="435" t="str">
        <f t="shared" ref="A825:C825" si="713">A290</f>
        <v>2MASS J11011926-7732383</v>
      </c>
      <c r="B825" s="485" t="str">
        <f t="shared" si="713"/>
        <v>2MASS J11011926-7732383</v>
      </c>
      <c r="C825" s="486" t="str">
        <f t="shared" si="713"/>
        <v/>
      </c>
      <c r="D825" s="486"/>
      <c r="E825" s="486"/>
      <c r="F825" s="528"/>
      <c r="G825" s="486"/>
      <c r="H825" s="486" t="s">
        <v>5917</v>
      </c>
      <c r="I825" s="491"/>
      <c r="J825" s="491"/>
      <c r="K825" s="491"/>
      <c r="L825" s="491"/>
      <c r="M825" s="486"/>
      <c r="N825" s="422"/>
      <c r="O825" s="422"/>
      <c r="P825" s="422"/>
      <c r="Q825" s="486"/>
      <c r="R825" s="491"/>
      <c r="S825" s="491"/>
      <c r="T825" s="491"/>
      <c r="U825" s="491"/>
      <c r="V825" s="491"/>
      <c r="W825" s="493"/>
      <c r="X825" s="486"/>
      <c r="Y825" s="442"/>
      <c r="Z825" s="491"/>
      <c r="AA825" s="619">
        <f>AC290</f>
        <v>0.432801</v>
      </c>
      <c r="AB825" s="494"/>
      <c r="AC825" s="436"/>
      <c r="AD825" s="495"/>
      <c r="AE825" s="491"/>
      <c r="AF825" s="491"/>
      <c r="AG825" s="525">
        <f>AI290</f>
        <v>0.034934</v>
      </c>
      <c r="AH825" s="491"/>
      <c r="AI825" s="446"/>
      <c r="AJ825" s="491"/>
      <c r="AK825" s="500"/>
      <c r="AL825" s="436"/>
      <c r="AM825" s="438"/>
      <c r="AN825" s="531"/>
      <c r="AO825" s="491"/>
      <c r="AP825" s="438"/>
      <c r="AQ825" s="438"/>
      <c r="AR825" s="438"/>
      <c r="AS825" s="438"/>
      <c r="AT825" s="438"/>
      <c r="AU825" s="438"/>
      <c r="AV825" s="438"/>
      <c r="AW825" s="450">
        <f>AW290</f>
        <v>184.9078235</v>
      </c>
    </row>
    <row r="826">
      <c r="A826" s="435" t="s">
        <v>1648</v>
      </c>
      <c r="B826" s="436" t="s">
        <v>1649</v>
      </c>
      <c r="C826" s="436"/>
      <c r="D826" s="436" t="s">
        <v>350</v>
      </c>
      <c r="E826" s="436"/>
      <c r="F826" s="436" t="s">
        <v>2642</v>
      </c>
      <c r="G826" s="437" t="s">
        <v>712</v>
      </c>
      <c r="H826" s="437" t="s">
        <v>702</v>
      </c>
      <c r="I826" s="437" t="s">
        <v>1999</v>
      </c>
      <c r="J826" s="437">
        <v>2900.0</v>
      </c>
      <c r="K826" s="438"/>
      <c r="L826" s="436" t="s">
        <v>402</v>
      </c>
      <c r="M826" s="439"/>
      <c r="N826" s="422">
        <v>14.75</v>
      </c>
      <c r="O826" s="422">
        <v>13.8</v>
      </c>
      <c r="P826" s="422">
        <v>19.05</v>
      </c>
      <c r="Q826" s="436" t="s">
        <v>1632</v>
      </c>
      <c r="R826" s="438"/>
      <c r="S826" s="436" t="s">
        <v>2000</v>
      </c>
      <c r="T826" s="436" t="s">
        <v>1632</v>
      </c>
      <c r="U826" s="436" t="s">
        <v>1633</v>
      </c>
      <c r="V826" s="451"/>
      <c r="W826" s="441">
        <v>0.02</v>
      </c>
      <c r="X826" s="438"/>
      <c r="Y826" s="442">
        <f>IF((W826/((J826/5780)^4))^0.5&gt;0,(W826/((J826/5780)^4))^0.5,"")</f>
        <v>0.5617908725</v>
      </c>
      <c r="Z826" s="442"/>
      <c r="AA826" s="443"/>
      <c r="AB826" s="443"/>
      <c r="AC826" s="436" t="str">
        <f>IF(ISNUMBER(VLOOKUP(B826,'New Masses'!A:C,3,FALSE)),VLOOKUP(B826,'New Masses'!A:C,3,FALSE),"")</f>
        <v/>
      </c>
      <c r="AD826" s="440">
        <f>10^AE826</f>
        <v>0</v>
      </c>
      <c r="AE826" s="437">
        <v>-11.06</v>
      </c>
      <c r="AF826" s="438"/>
      <c r="AG826" s="445">
        <v>0.09</v>
      </c>
      <c r="AH826" s="438"/>
      <c r="AI826" s="446" t="str">
        <f>IF(ISNUMBER(VLOOKUP(B826,'New Masses'!A:C,2, FALSE)),VLOOKUP(B826,'New Masses'!A:C,2, FALSE),"")</f>
        <v/>
      </c>
      <c r="AJ826" s="438"/>
      <c r="AK826" s="437"/>
      <c r="AL826" s="447">
        <v>-4.49</v>
      </c>
      <c r="AM826" s="438"/>
      <c r="AN826" s="436">
        <v>3.0</v>
      </c>
      <c r="AO826" s="438"/>
      <c r="AP826" s="436"/>
      <c r="AQ826" s="436"/>
      <c r="AR826" s="438"/>
      <c r="AS826" s="438"/>
      <c r="AT826" s="438" t="s">
        <v>5916</v>
      </c>
      <c r="AU826" s="438" t="s">
        <v>705</v>
      </c>
      <c r="AV826" s="438"/>
      <c r="AW826" s="450">
        <v>434.763705925829</v>
      </c>
    </row>
    <row r="827">
      <c r="A827" s="435" t="str">
        <f t="shared" ref="A827:C827" si="714">A292</f>
        <v>2MASS J11013205-7718249</v>
      </c>
      <c r="B827" s="485" t="str">
        <f t="shared" si="714"/>
        <v>2M J11013205-7718249</v>
      </c>
      <c r="C827" s="486" t="str">
        <f t="shared" si="714"/>
        <v/>
      </c>
      <c r="D827" s="486"/>
      <c r="E827" s="486"/>
      <c r="F827" s="528"/>
      <c r="G827" s="486"/>
      <c r="H827" s="486" t="s">
        <v>5917</v>
      </c>
      <c r="I827" s="491"/>
      <c r="J827" s="491"/>
      <c r="K827" s="491"/>
      <c r="L827" s="491"/>
      <c r="M827" s="486"/>
      <c r="N827" s="422"/>
      <c r="O827" s="422"/>
      <c r="P827" s="422"/>
      <c r="Q827" s="486"/>
      <c r="R827" s="491"/>
      <c r="S827" s="491"/>
      <c r="T827" s="491"/>
      <c r="U827" s="491"/>
      <c r="V827" s="491"/>
      <c r="W827" s="493"/>
      <c r="X827" s="486"/>
      <c r="Y827" s="442"/>
      <c r="Z827" s="491"/>
      <c r="AA827" s="619">
        <f>AC292</f>
        <v>0.350018</v>
      </c>
      <c r="AB827" s="494"/>
      <c r="AC827" s="436"/>
      <c r="AD827" s="495"/>
      <c r="AE827" s="491"/>
      <c r="AF827" s="491"/>
      <c r="AG827" s="525">
        <f>AI292</f>
        <v>0.025752</v>
      </c>
      <c r="AH827" s="491"/>
      <c r="AI827" s="446"/>
      <c r="AJ827" s="491"/>
      <c r="AK827" s="500"/>
      <c r="AL827" s="436"/>
      <c r="AM827" s="438"/>
      <c r="AN827" s="531"/>
      <c r="AO827" s="491"/>
      <c r="AP827" s="438"/>
      <c r="AQ827" s="438"/>
      <c r="AR827" s="438"/>
      <c r="AS827" s="438"/>
      <c r="AT827" s="438"/>
      <c r="AU827" s="438"/>
      <c r="AV827" s="438"/>
      <c r="AW827" s="450">
        <f>AW292</f>
        <v>173.1301939</v>
      </c>
    </row>
    <row r="828">
      <c r="A828" s="435" t="s">
        <v>1637</v>
      </c>
      <c r="B828" s="436" t="s">
        <v>1638</v>
      </c>
      <c r="C828" s="436"/>
      <c r="D828" s="436" t="s">
        <v>350</v>
      </c>
      <c r="E828" s="436"/>
      <c r="F828" s="436" t="s">
        <v>2643</v>
      </c>
      <c r="G828" s="437" t="s">
        <v>169</v>
      </c>
      <c r="H828" s="437" t="s">
        <v>702</v>
      </c>
      <c r="I828" s="437" t="s">
        <v>1999</v>
      </c>
      <c r="J828" s="437">
        <v>3000.0</v>
      </c>
      <c r="K828" s="438"/>
      <c r="L828" s="438"/>
      <c r="M828" s="453"/>
      <c r="N828" s="422">
        <v>14.82</v>
      </c>
      <c r="O828" s="422">
        <v>13.88</v>
      </c>
      <c r="P828" s="422"/>
      <c r="Q828" s="436" t="s">
        <v>1632</v>
      </c>
      <c r="R828" s="438"/>
      <c r="S828" s="436" t="s">
        <v>2000</v>
      </c>
      <c r="T828" s="436" t="s">
        <v>1632</v>
      </c>
      <c r="U828" s="436" t="s">
        <v>1633</v>
      </c>
      <c r="V828" s="451"/>
      <c r="W828" s="441">
        <v>0.02</v>
      </c>
      <c r="X828" s="438"/>
      <c r="Y828" s="442">
        <f>IF((W828/((J828/5780)^4))^0.5&gt;0,(W828/((J828/5780)^4))^0.5,"")</f>
        <v>0.5249623597</v>
      </c>
      <c r="Z828" s="442"/>
      <c r="AA828" s="443"/>
      <c r="AB828" s="443"/>
      <c r="AC828" s="436" t="str">
        <f>IF(ISNUMBER(VLOOKUP(B828,'New Masses'!A:C,3,FALSE)),VLOOKUP(B828,'New Masses'!A:C,3,FALSE),"")</f>
        <v/>
      </c>
      <c r="AD828" s="440">
        <f>10^AE828</f>
        <v>0</v>
      </c>
      <c r="AE828" s="437">
        <v>-10.83</v>
      </c>
      <c r="AF828" s="438"/>
      <c r="AG828" s="445">
        <v>0.07</v>
      </c>
      <c r="AH828" s="438"/>
      <c r="AI828" s="446" t="str">
        <f>IF(ISNUMBER(VLOOKUP(B828,'New Masses'!A:C,2, FALSE)),VLOOKUP(B828,'New Masses'!A:C,2, FALSE),"")</f>
        <v/>
      </c>
      <c r="AJ828" s="438"/>
      <c r="AK828" s="437"/>
      <c r="AL828" s="447">
        <v>-4.32</v>
      </c>
      <c r="AM828" s="438"/>
      <c r="AN828" s="436">
        <v>3.0</v>
      </c>
      <c r="AO828" s="438"/>
      <c r="AP828" s="436"/>
      <c r="AQ828" s="436"/>
      <c r="AR828" s="438"/>
      <c r="AS828" s="438"/>
      <c r="AT828" s="438" t="s">
        <v>5916</v>
      </c>
      <c r="AU828" s="438" t="s">
        <v>1639</v>
      </c>
      <c r="AV828" s="438"/>
      <c r="AW828" s="450"/>
    </row>
    <row r="829">
      <c r="A829" s="435" t="str">
        <f t="shared" ref="A829:C829" si="715">A294</f>
        <v>2MASS J11020983-3430355</v>
      </c>
      <c r="B829" s="485" t="str">
        <f t="shared" si="715"/>
        <v>SSSPM J1102-3431</v>
      </c>
      <c r="C829" s="486" t="str">
        <f t="shared" si="715"/>
        <v/>
      </c>
      <c r="D829" s="486"/>
      <c r="E829" s="486"/>
      <c r="F829" s="528"/>
      <c r="G829" s="486"/>
      <c r="H829" s="486" t="s">
        <v>5917</v>
      </c>
      <c r="I829" s="491"/>
      <c r="J829" s="491"/>
      <c r="K829" s="491"/>
      <c r="L829" s="491"/>
      <c r="M829" s="486"/>
      <c r="N829" s="422"/>
      <c r="O829" s="422"/>
      <c r="P829" s="422"/>
      <c r="Q829" s="486"/>
      <c r="R829" s="491"/>
      <c r="S829" s="491"/>
      <c r="T829" s="491"/>
      <c r="U829" s="491"/>
      <c r="V829" s="491"/>
      <c r="W829" s="493"/>
      <c r="X829" s="486"/>
      <c r="Y829" s="442"/>
      <c r="Z829" s="491"/>
      <c r="AA829" s="524" t="str">
        <f>AC294</f>
        <v/>
      </c>
      <c r="AB829" s="494"/>
      <c r="AC829" s="436"/>
      <c r="AD829" s="495"/>
      <c r="AE829" s="491"/>
      <c r="AF829" s="491"/>
      <c r="AG829" s="525" t="str">
        <f>AI294</f>
        <v/>
      </c>
      <c r="AH829" s="491"/>
      <c r="AI829" s="446"/>
      <c r="AJ829" s="491"/>
      <c r="AK829" s="500"/>
      <c r="AL829" s="436"/>
      <c r="AM829" s="438"/>
      <c r="AN829" s="531"/>
      <c r="AO829" s="491"/>
      <c r="AP829" s="438"/>
      <c r="AQ829" s="438"/>
      <c r="AR829" s="438"/>
      <c r="AS829" s="438"/>
      <c r="AT829" s="438"/>
      <c r="AU829" s="438"/>
      <c r="AV829" s="438"/>
      <c r="AW829" s="450">
        <f>AW294</f>
        <v>60</v>
      </c>
    </row>
    <row r="830">
      <c r="A830" s="436" t="s">
        <v>260</v>
      </c>
      <c r="B830" s="436" t="s">
        <v>260</v>
      </c>
      <c r="C830" s="420"/>
      <c r="D830" s="420" t="s">
        <v>199</v>
      </c>
      <c r="E830" s="420"/>
      <c r="F830" s="420" t="s">
        <v>2644</v>
      </c>
      <c r="G830" s="420" t="s">
        <v>169</v>
      </c>
      <c r="H830" s="420" t="s">
        <v>248</v>
      </c>
      <c r="I830" s="420" t="s">
        <v>2231</v>
      </c>
      <c r="J830" s="420"/>
      <c r="K830" s="420"/>
      <c r="L830" s="420" t="s">
        <v>353</v>
      </c>
      <c r="M830" s="429"/>
      <c r="N830" s="422">
        <v>11.07</v>
      </c>
      <c r="O830" s="422">
        <v>10.063</v>
      </c>
      <c r="P830" s="422"/>
      <c r="Q830" s="420" t="s">
        <v>2232</v>
      </c>
      <c r="R830" s="420" t="s">
        <v>2645</v>
      </c>
      <c r="S830" s="420" t="s">
        <v>2234</v>
      </c>
      <c r="T830" s="420" t="s">
        <v>596</v>
      </c>
      <c r="U830" s="420" t="s">
        <v>597</v>
      </c>
      <c r="V830" s="440"/>
      <c r="W830" s="468">
        <v>0.06606934480075961</v>
      </c>
      <c r="X830" s="436"/>
      <c r="Y830" s="442"/>
      <c r="Z830" s="469"/>
      <c r="AA830" s="470">
        <v>0.5</v>
      </c>
      <c r="AB830" s="426"/>
      <c r="AC830" s="469">
        <f>IF(ISNUMBER(VLOOKUP(B830,'New Masses'!A:C,3,FALSE)),VLOOKUP(B830,'New Masses'!A:C,3,FALSE),"")</f>
        <v>0.637798</v>
      </c>
      <c r="AD830" s="451">
        <f>10^(AE830)</f>
        <v>0</v>
      </c>
      <c r="AE830" s="436">
        <v>-10.8</v>
      </c>
      <c r="AF830" s="436">
        <v>0.09</v>
      </c>
      <c r="AG830" s="459">
        <v>0.09</v>
      </c>
      <c r="AH830" s="420"/>
      <c r="AI830" s="446">
        <f>IF(ISNUMBER(VLOOKUP(B830,'New Masses'!A:C,2, FALSE)),VLOOKUP(B830,'New Masses'!A:C,2, FALSE),"")</f>
        <v>0.057198</v>
      </c>
      <c r="AJ830" s="420"/>
      <c r="AK830" s="460">
        <f>(6.67*10^(-11))*((2*10^(33))^2)*AD830*AG830/(3*10^7*AA830*7*10^10)</f>
        <v>3.62442E+26</v>
      </c>
      <c r="AL830" s="451">
        <f>log10(AK830/(4*10^33))</f>
        <v>-7.042820956</v>
      </c>
      <c r="AM830" s="438"/>
      <c r="AN830" s="436">
        <f>10^5.1/10^6</f>
        <v>0.1258925412</v>
      </c>
      <c r="AO830" s="438"/>
      <c r="AP830" s="436">
        <v>0.3</v>
      </c>
      <c r="AQ830" s="438"/>
      <c r="AR830" s="420" t="s">
        <v>2241</v>
      </c>
      <c r="AS830" s="420"/>
      <c r="AT830" s="438"/>
      <c r="AU830" s="420" t="s">
        <v>599</v>
      </c>
      <c r="AV830" s="454">
        <v>0.11</v>
      </c>
      <c r="AW830" s="450">
        <v>144.62152546785</v>
      </c>
    </row>
    <row r="831">
      <c r="A831" s="436" t="s">
        <v>260</v>
      </c>
      <c r="B831" s="436" t="s">
        <v>260</v>
      </c>
      <c r="C831" s="436"/>
      <c r="D831" s="436" t="s">
        <v>199</v>
      </c>
      <c r="E831" s="436"/>
      <c r="F831" s="436" t="s">
        <v>2644</v>
      </c>
      <c r="G831" s="436" t="s">
        <v>169</v>
      </c>
      <c r="H831" s="420" t="s">
        <v>201</v>
      </c>
      <c r="I831" s="438" t="s">
        <v>2207</v>
      </c>
      <c r="J831" s="436">
        <v>3000.0</v>
      </c>
      <c r="K831" s="438"/>
      <c r="L831" s="420" t="s">
        <v>253</v>
      </c>
      <c r="M831" s="429"/>
      <c r="N831" s="422">
        <v>11.07</v>
      </c>
      <c r="O831" s="422">
        <v>10.063</v>
      </c>
      <c r="P831" s="422"/>
      <c r="Q831" s="438" t="s">
        <v>2208</v>
      </c>
      <c r="R831" s="438" t="s">
        <v>2209</v>
      </c>
      <c r="S831" s="438" t="s">
        <v>2229</v>
      </c>
      <c r="T831" s="454" t="s">
        <v>162</v>
      </c>
      <c r="U831" s="438" t="s">
        <v>2210</v>
      </c>
      <c r="V831" s="423">
        <v>4.48</v>
      </c>
      <c r="W831" s="458"/>
      <c r="X831" s="438"/>
      <c r="Y831" s="442" t="str">
        <f t="shared" ref="Y831:Y832" si="716">IF((W831/((J831/5780)^4))^0.5&gt;0,(W831/((J831/5780)^4))^0.5,"")</f>
        <v/>
      </c>
      <c r="Z831" s="442"/>
      <c r="AA831" s="443"/>
      <c r="AB831" s="443"/>
      <c r="AC831" s="469">
        <f>IF(ISNUMBER(VLOOKUP(B831,'New Masses'!A:C,3,FALSE)),VLOOKUP(B831,'New Masses'!A:C,3,FALSE),"")</f>
        <v>0.637798</v>
      </c>
      <c r="AD831" s="423">
        <f t="shared" ref="AD831:AD832" si="717">10^AE831</f>
        <v>0</v>
      </c>
      <c r="AE831" s="420">
        <v>-10.7</v>
      </c>
      <c r="AF831" s="438"/>
      <c r="AG831" s="459">
        <v>0.1</v>
      </c>
      <c r="AH831" s="438"/>
      <c r="AI831" s="446">
        <f>IF(ISNUMBER(VLOOKUP(B831,'New Masses'!A:C,2, FALSE)),VLOOKUP(B831,'New Masses'!A:C,2, FALSE),"")</f>
        <v>0.057198</v>
      </c>
      <c r="AJ831" s="438"/>
      <c r="AK831" s="438"/>
      <c r="AL831" s="438"/>
      <c r="AM831" s="438"/>
      <c r="AN831" s="436">
        <v>1.0</v>
      </c>
      <c r="AO831" s="438"/>
      <c r="AP831" s="436">
        <v>0.3</v>
      </c>
      <c r="AQ831" s="438"/>
      <c r="AR831" s="420" t="s">
        <v>2241</v>
      </c>
      <c r="AS831" s="438"/>
      <c r="AT831" s="438" t="s">
        <v>5916</v>
      </c>
      <c r="AU831" s="438" t="s">
        <v>207</v>
      </c>
      <c r="AV831" s="438"/>
      <c r="AW831" s="450">
        <v>144.62152546785</v>
      </c>
    </row>
    <row r="832">
      <c r="A832" s="436" t="s">
        <v>260</v>
      </c>
      <c r="B832" s="436" t="s">
        <v>260</v>
      </c>
      <c r="C832" s="436"/>
      <c r="D832" s="436" t="s">
        <v>199</v>
      </c>
      <c r="E832" s="436"/>
      <c r="F832" s="436" t="s">
        <v>2644</v>
      </c>
      <c r="G832" s="436" t="s">
        <v>169</v>
      </c>
      <c r="H832" s="420" t="s">
        <v>201</v>
      </c>
      <c r="I832" s="438" t="s">
        <v>2207</v>
      </c>
      <c r="J832" s="436">
        <v>3000.0</v>
      </c>
      <c r="K832" s="438"/>
      <c r="L832" s="420" t="s">
        <v>253</v>
      </c>
      <c r="M832" s="429"/>
      <c r="N832" s="422">
        <v>11.07</v>
      </c>
      <c r="O832" s="422">
        <v>10.063</v>
      </c>
      <c r="P832" s="422"/>
      <c r="Q832" s="438" t="s">
        <v>2208</v>
      </c>
      <c r="R832" s="438" t="s">
        <v>2209</v>
      </c>
      <c r="S832" s="438" t="s">
        <v>2229</v>
      </c>
      <c r="T832" s="454" t="s">
        <v>162</v>
      </c>
      <c r="U832" s="438" t="s">
        <v>2210</v>
      </c>
      <c r="V832" s="423">
        <v>4.48</v>
      </c>
      <c r="W832" s="458"/>
      <c r="X832" s="438"/>
      <c r="Y832" s="442" t="str">
        <f t="shared" si="716"/>
        <v/>
      </c>
      <c r="Z832" s="442"/>
      <c r="AA832" s="443"/>
      <c r="AB832" s="443"/>
      <c r="AC832" s="469">
        <f>IF(ISNUMBER(VLOOKUP(B832,'New Masses'!A:C,3,FALSE)),VLOOKUP(B832,'New Masses'!A:C,3,FALSE),"")</f>
        <v>0.637798</v>
      </c>
      <c r="AD832" s="423">
        <f t="shared" si="717"/>
        <v>0</v>
      </c>
      <c r="AE832" s="438">
        <v>-10.9</v>
      </c>
      <c r="AF832" s="438"/>
      <c r="AG832" s="459">
        <v>0.1</v>
      </c>
      <c r="AH832" s="438"/>
      <c r="AI832" s="446">
        <f>IF(ISNUMBER(VLOOKUP(B832,'New Masses'!A:C,2, FALSE)),VLOOKUP(B832,'New Masses'!A:C,2, FALSE),"")</f>
        <v>0.057198</v>
      </c>
      <c r="AJ832" s="438"/>
      <c r="AK832" s="438"/>
      <c r="AL832" s="438"/>
      <c r="AM832" s="438"/>
      <c r="AN832" s="436">
        <v>1.0</v>
      </c>
      <c r="AO832" s="438"/>
      <c r="AP832" s="436">
        <v>0.3</v>
      </c>
      <c r="AQ832" s="438"/>
      <c r="AR832" s="420" t="s">
        <v>2241</v>
      </c>
      <c r="AS832" s="438"/>
      <c r="AT832" s="438" t="s">
        <v>5916</v>
      </c>
      <c r="AU832" s="438" t="s">
        <v>206</v>
      </c>
      <c r="AV832" s="438"/>
      <c r="AW832" s="450">
        <v>144.62152546785</v>
      </c>
    </row>
    <row r="833">
      <c r="A833" s="435" t="str">
        <f t="shared" ref="A833:C833" si="718">A298</f>
        <v>2MASS J11072443-7743489</v>
      </c>
      <c r="B833" s="485" t="str">
        <f t="shared" si="718"/>
        <v>2MASS J11072443-7743489</v>
      </c>
      <c r="C833" s="486" t="str">
        <f t="shared" si="718"/>
        <v/>
      </c>
      <c r="D833" s="486"/>
      <c r="E833" s="486"/>
      <c r="F833" s="528"/>
      <c r="G833" s="486"/>
      <c r="H833" s="486" t="s">
        <v>5917</v>
      </c>
      <c r="I833" s="491"/>
      <c r="J833" s="491"/>
      <c r="K833" s="491"/>
      <c r="L833" s="491"/>
      <c r="M833" s="486"/>
      <c r="N833" s="422"/>
      <c r="O833" s="422"/>
      <c r="P833" s="422"/>
      <c r="Q833" s="486"/>
      <c r="R833" s="491"/>
      <c r="S833" s="491"/>
      <c r="T833" s="491"/>
      <c r="U833" s="491"/>
      <c r="V833" s="491"/>
      <c r="W833" s="493"/>
      <c r="X833" s="486"/>
      <c r="Y833" s="442"/>
      <c r="Z833" s="491"/>
      <c r="AA833" s="524" t="str">
        <f t="shared" ref="AA833:AA835" si="720">AC298</f>
        <v/>
      </c>
      <c r="AB833" s="494"/>
      <c r="AC833" s="436"/>
      <c r="AD833" s="495"/>
      <c r="AE833" s="491"/>
      <c r="AF833" s="491"/>
      <c r="AG833" s="525" t="str">
        <f t="shared" ref="AG833:AG835" si="721">AI298</f>
        <v/>
      </c>
      <c r="AH833" s="491"/>
      <c r="AI833" s="446"/>
      <c r="AJ833" s="491"/>
      <c r="AK833" s="500"/>
      <c r="AL833" s="436"/>
      <c r="AM833" s="438"/>
      <c r="AN833" s="531"/>
      <c r="AO833" s="491"/>
      <c r="AP833" s="438"/>
      <c r="AQ833" s="438"/>
      <c r="AR833" s="438"/>
      <c r="AS833" s="438"/>
      <c r="AT833" s="438"/>
      <c r="AU833" s="438"/>
      <c r="AV833" s="438"/>
      <c r="AW833" s="450">
        <f t="shared" ref="AW833:AW835" si="722">AW298</f>
        <v>193.3076878</v>
      </c>
    </row>
    <row r="834">
      <c r="A834" s="435" t="str">
        <f t="shared" ref="A834:C834" si="719">A299</f>
        <v>#REF!</v>
      </c>
      <c r="B834" s="485" t="str">
        <f t="shared" si="719"/>
        <v>#REF!</v>
      </c>
      <c r="C834" s="486" t="str">
        <f t="shared" si="719"/>
        <v>#REF!</v>
      </c>
      <c r="D834" s="486"/>
      <c r="E834" s="486"/>
      <c r="F834" s="528"/>
      <c r="G834" s="486"/>
      <c r="H834" s="486" t="s">
        <v>5917</v>
      </c>
      <c r="I834" s="491"/>
      <c r="J834" s="491"/>
      <c r="K834" s="491"/>
      <c r="L834" s="491"/>
      <c r="M834" s="486"/>
      <c r="N834" s="422"/>
      <c r="O834" s="422"/>
      <c r="P834" s="422"/>
      <c r="Q834" s="486"/>
      <c r="R834" s="491"/>
      <c r="S834" s="491"/>
      <c r="T834" s="491"/>
      <c r="U834" s="491"/>
      <c r="V834" s="491"/>
      <c r="W834" s="493"/>
      <c r="X834" s="486"/>
      <c r="Y834" s="442"/>
      <c r="Z834" s="491"/>
      <c r="AA834" s="524" t="str">
        <f t="shared" si="720"/>
        <v/>
      </c>
      <c r="AB834" s="494"/>
      <c r="AC834" s="436"/>
      <c r="AD834" s="495"/>
      <c r="AE834" s="491"/>
      <c r="AF834" s="491"/>
      <c r="AG834" s="525" t="str">
        <f t="shared" si="721"/>
        <v/>
      </c>
      <c r="AH834" s="491"/>
      <c r="AI834" s="446"/>
      <c r="AJ834" s="491"/>
      <c r="AK834" s="500"/>
      <c r="AL834" s="436"/>
      <c r="AM834" s="438"/>
      <c r="AN834" s="531"/>
      <c r="AO834" s="491"/>
      <c r="AP834" s="438"/>
      <c r="AQ834" s="438"/>
      <c r="AR834" s="438"/>
      <c r="AS834" s="438"/>
      <c r="AT834" s="438"/>
      <c r="AU834" s="438"/>
      <c r="AV834" s="438"/>
      <c r="AW834" s="450" t="str">
        <f t="shared" si="722"/>
        <v>#REF!</v>
      </c>
    </row>
    <row r="835">
      <c r="A835" s="435" t="str">
        <f t="shared" ref="A835:C835" si="723">A300</f>
        <v>2MASS J11075993-7715317</v>
      </c>
      <c r="B835" s="485" t="str">
        <f t="shared" si="723"/>
        <v>2MASS J11075993-7715317</v>
      </c>
      <c r="C835" s="486" t="str">
        <f t="shared" si="723"/>
        <v/>
      </c>
      <c r="D835" s="486"/>
      <c r="E835" s="486"/>
      <c r="F835" s="528"/>
      <c r="G835" s="486"/>
      <c r="H835" s="486" t="s">
        <v>5917</v>
      </c>
      <c r="I835" s="491"/>
      <c r="J835" s="491"/>
      <c r="K835" s="491"/>
      <c r="L835" s="491"/>
      <c r="M835" s="486"/>
      <c r="N835" s="422"/>
      <c r="O835" s="422"/>
      <c r="P835" s="422"/>
      <c r="Q835" s="486"/>
      <c r="R835" s="491"/>
      <c r="S835" s="491"/>
      <c r="T835" s="491"/>
      <c r="U835" s="491"/>
      <c r="V835" s="491"/>
      <c r="W835" s="493"/>
      <c r="X835" s="486"/>
      <c r="Y835" s="442"/>
      <c r="Z835" s="491"/>
      <c r="AA835" s="524" t="str">
        <f t="shared" si="720"/>
        <v/>
      </c>
      <c r="AB835" s="494"/>
      <c r="AC835" s="436"/>
      <c r="AD835" s="495"/>
      <c r="AE835" s="491"/>
      <c r="AF835" s="491"/>
      <c r="AG835" s="525" t="str">
        <f t="shared" si="721"/>
        <v/>
      </c>
      <c r="AH835" s="491"/>
      <c r="AI835" s="446"/>
      <c r="AJ835" s="491"/>
      <c r="AK835" s="500"/>
      <c r="AL835" s="436"/>
      <c r="AM835" s="438"/>
      <c r="AN835" s="531"/>
      <c r="AO835" s="491"/>
      <c r="AP835" s="438"/>
      <c r="AQ835" s="438"/>
      <c r="AR835" s="438"/>
      <c r="AS835" s="438"/>
      <c r="AT835" s="438"/>
      <c r="AU835" s="438"/>
      <c r="AV835" s="438"/>
      <c r="AW835" s="450">
        <f t="shared" si="722"/>
        <v>194.2313295</v>
      </c>
    </row>
    <row r="836">
      <c r="A836" s="419" t="s">
        <v>392</v>
      </c>
      <c r="B836" s="419" t="s">
        <v>392</v>
      </c>
      <c r="C836" s="436"/>
      <c r="D836" s="436" t="s">
        <v>199</v>
      </c>
      <c r="E836" s="436"/>
      <c r="F836" s="436" t="s">
        <v>2646</v>
      </c>
      <c r="G836" s="436" t="s">
        <v>169</v>
      </c>
      <c r="H836" s="436" t="s">
        <v>248</v>
      </c>
      <c r="I836" s="436" t="s">
        <v>2231</v>
      </c>
      <c r="J836" s="436"/>
      <c r="K836" s="436"/>
      <c r="L836" s="436" t="s">
        <v>398</v>
      </c>
      <c r="M836" s="439"/>
      <c r="N836" s="422">
        <v>11.711</v>
      </c>
      <c r="O836" s="422">
        <v>10.649</v>
      </c>
      <c r="P836" s="422"/>
      <c r="Q836" s="436" t="s">
        <v>2232</v>
      </c>
      <c r="R836" s="436" t="s">
        <v>2647</v>
      </c>
      <c r="S836" s="436" t="s">
        <v>2234</v>
      </c>
      <c r="T836" s="436" t="s">
        <v>596</v>
      </c>
      <c r="U836" s="436" t="s">
        <v>597</v>
      </c>
      <c r="V836" s="451"/>
      <c r="W836" s="468">
        <v>0.06918309709189366</v>
      </c>
      <c r="X836" s="436"/>
      <c r="Y836" s="442"/>
      <c r="Z836" s="469"/>
      <c r="AA836" s="470">
        <v>1.0</v>
      </c>
      <c r="AB836" s="470"/>
      <c r="AC836" s="436" t="str">
        <f>IF(ISNUMBER(VLOOKUP(B836,'New Masses'!A:C,3,FALSE)),VLOOKUP(B836,'New Masses'!A:C,3,FALSE),"")</f>
        <v/>
      </c>
      <c r="AD836" s="451">
        <f>10^(AE836)</f>
        <v>0</v>
      </c>
      <c r="AE836" s="436">
        <v>-10.3</v>
      </c>
      <c r="AF836" s="436">
        <v>0.13</v>
      </c>
      <c r="AG836" s="459">
        <v>0.13</v>
      </c>
      <c r="AH836" s="436"/>
      <c r="AI836" s="446" t="str">
        <f>IF(ISNUMBER(VLOOKUP(B836,'New Masses'!A:C,2, FALSE)),VLOOKUP(B836,'New Masses'!A:C,2, FALSE),"")</f>
        <v/>
      </c>
      <c r="AJ836" s="436">
        <f>LOG10(AG836)</f>
        <v>-0.8860566477</v>
      </c>
      <c r="AK836" s="460">
        <f>(6.67*10^(-11))*((2*10^(33))^2)*AD836*AG836/(3*10^7*AA836*7*10^10)</f>
        <v>8.2777E+26</v>
      </c>
      <c r="AL836" s="451">
        <f>log10(AK836/(4*10^33))</f>
        <v>-6.684150109</v>
      </c>
      <c r="AM836" s="436"/>
      <c r="AN836" s="436">
        <v>0.43</v>
      </c>
      <c r="AO836" s="436"/>
      <c r="AP836" s="419">
        <v>0.86</v>
      </c>
      <c r="AQ836" s="436"/>
      <c r="AR836" s="438"/>
      <c r="AS836" s="438"/>
      <c r="AT836" s="438"/>
      <c r="AU836" s="438" t="s">
        <v>599</v>
      </c>
      <c r="AV836" s="438"/>
      <c r="AW836" s="450">
        <v>141.918453656528</v>
      </c>
    </row>
    <row r="837">
      <c r="A837" s="435" t="str">
        <f t="shared" ref="A837:C837" si="724">A302</f>
        <v>2MASS J11080234-7640343</v>
      </c>
      <c r="B837" s="485" t="str">
        <f t="shared" si="724"/>
        <v>2MASS J11080234-7640343</v>
      </c>
      <c r="C837" s="486" t="str">
        <f t="shared" si="724"/>
        <v/>
      </c>
      <c r="D837" s="486"/>
      <c r="E837" s="486"/>
      <c r="F837" s="528"/>
      <c r="G837" s="486"/>
      <c r="H837" s="486" t="s">
        <v>5917</v>
      </c>
      <c r="I837" s="491"/>
      <c r="J837" s="491"/>
      <c r="K837" s="491"/>
      <c r="L837" s="491"/>
      <c r="M837" s="486"/>
      <c r="N837" s="422"/>
      <c r="O837" s="422"/>
      <c r="P837" s="422"/>
      <c r="Q837" s="486"/>
      <c r="R837" s="491"/>
      <c r="S837" s="491"/>
      <c r="T837" s="491"/>
      <c r="U837" s="491"/>
      <c r="V837" s="491"/>
      <c r="W837" s="493"/>
      <c r="X837" s="486"/>
      <c r="Y837" s="442"/>
      <c r="Z837" s="491"/>
      <c r="AA837" s="524" t="str">
        <f>AC302</f>
        <v/>
      </c>
      <c r="AB837" s="494"/>
      <c r="AC837" s="436"/>
      <c r="AD837" s="495"/>
      <c r="AE837" s="491"/>
      <c r="AF837" s="491"/>
      <c r="AG837" s="525" t="str">
        <f>AI302</f>
        <v/>
      </c>
      <c r="AH837" s="491"/>
      <c r="AI837" s="446"/>
      <c r="AJ837" s="491"/>
      <c r="AK837" s="500"/>
      <c r="AL837" s="436"/>
      <c r="AM837" s="438"/>
      <c r="AN837" s="531"/>
      <c r="AO837" s="491"/>
      <c r="AP837" s="438"/>
      <c r="AQ837" s="438"/>
      <c r="AR837" s="438"/>
      <c r="AS837" s="438"/>
      <c r="AT837" s="438"/>
      <c r="AU837" s="438"/>
      <c r="AV837" s="438"/>
      <c r="AW837" s="450">
        <f>AW302</f>
        <v>193.2852697</v>
      </c>
    </row>
    <row r="838">
      <c r="A838" s="435" t="s">
        <v>583</v>
      </c>
      <c r="B838" s="435" t="s">
        <v>583</v>
      </c>
      <c r="C838" s="440"/>
      <c r="D838" s="440" t="s">
        <v>314</v>
      </c>
      <c r="E838" s="440"/>
      <c r="F838" s="451" t="s">
        <v>2648</v>
      </c>
      <c r="G838" s="440" t="s">
        <v>159</v>
      </c>
      <c r="H838" s="440" t="s">
        <v>476</v>
      </c>
      <c r="I838" s="436">
        <v>2015.0</v>
      </c>
      <c r="J838" s="460">
        <v>5100.0</v>
      </c>
      <c r="K838" s="460">
        <v>235.0</v>
      </c>
      <c r="L838" s="460" t="s">
        <v>584</v>
      </c>
      <c r="M838" s="461">
        <v>1.0</v>
      </c>
      <c r="N838" s="422">
        <v>9.457</v>
      </c>
      <c r="O838" s="422">
        <v>8.348</v>
      </c>
      <c r="P838" s="422">
        <v>11.06</v>
      </c>
      <c r="Q838" s="440" t="s">
        <v>2189</v>
      </c>
      <c r="R838" s="451" t="s">
        <v>2190</v>
      </c>
      <c r="S838" s="451" t="s">
        <v>2191</v>
      </c>
      <c r="T838" s="462" t="s">
        <v>162</v>
      </c>
      <c r="U838" s="451" t="s">
        <v>2192</v>
      </c>
      <c r="V838" s="440"/>
      <c r="W838" s="463"/>
      <c r="X838" s="437"/>
      <c r="Y838" s="442" t="str">
        <f>IF((W838/((J838/5780)^4))^0.5&gt;0,(W838/((J838/5780)^4))^0.5,"")</f>
        <v/>
      </c>
      <c r="Z838" s="464"/>
      <c r="AA838" s="465">
        <v>1.13</v>
      </c>
      <c r="AB838" s="465">
        <v>0.24</v>
      </c>
      <c r="AC838" s="436" t="str">
        <f>IF(ISNUMBER(VLOOKUP(B838,'New Masses'!A:C,3,FALSE)),VLOOKUP(B838,'New Masses'!A:C,3,FALSE),"")</f>
        <v/>
      </c>
      <c r="AD838" s="440">
        <f>10^AE838</f>
        <v>0.0000000002238721139</v>
      </c>
      <c r="AE838" s="451">
        <v>-9.65</v>
      </c>
      <c r="AF838" s="440"/>
      <c r="AG838" s="445">
        <v>1.02</v>
      </c>
      <c r="AH838" s="460">
        <v>0.13</v>
      </c>
      <c r="AI838" s="446" t="str">
        <f>IF(ISNUMBER(VLOOKUP(B838,'New Masses'!A:C,2, FALSE)),VLOOKUP(B838,'New Masses'!A:C,2, FALSE),"")</f>
        <v/>
      </c>
      <c r="AJ838" s="440">
        <f>LOG10(AG838)</f>
        <v>0.008600171762</v>
      </c>
      <c r="AK838" s="460"/>
      <c r="AL838" s="460">
        <v>-2.3</v>
      </c>
      <c r="AM838" s="466">
        <v>43900.0</v>
      </c>
      <c r="AN838" s="436">
        <v>3.0</v>
      </c>
      <c r="AO838" s="440"/>
      <c r="AP838" s="440"/>
      <c r="AQ838" s="440"/>
      <c r="AR838" s="440"/>
      <c r="AS838" s="440"/>
      <c r="AT838" s="440" t="s">
        <v>5916</v>
      </c>
      <c r="AU838" s="440"/>
      <c r="AV838" s="440"/>
      <c r="AW838" s="450">
        <v>156.585190172713</v>
      </c>
    </row>
    <row r="839">
      <c r="A839" s="435" t="str">
        <f t="shared" ref="A839:C839" si="725">A304</f>
        <v>2MASS J11095215-7639128</v>
      </c>
      <c r="B839" s="485" t="str">
        <f t="shared" si="725"/>
        <v>ISO 217</v>
      </c>
      <c r="C839" s="486" t="str">
        <f t="shared" si="725"/>
        <v/>
      </c>
      <c r="D839" s="486"/>
      <c r="E839" s="486"/>
      <c r="F839" s="528"/>
      <c r="G839" s="486"/>
      <c r="H839" s="486" t="s">
        <v>5917</v>
      </c>
      <c r="I839" s="491"/>
      <c r="J839" s="491"/>
      <c r="K839" s="491"/>
      <c r="L839" s="491"/>
      <c r="M839" s="486"/>
      <c r="N839" s="422"/>
      <c r="O839" s="422"/>
      <c r="P839" s="422"/>
      <c r="Q839" s="486"/>
      <c r="R839" s="491"/>
      <c r="S839" s="491"/>
      <c r="T839" s="491"/>
      <c r="U839" s="491"/>
      <c r="V839" s="491"/>
      <c r="W839" s="493"/>
      <c r="X839" s="486"/>
      <c r="Y839" s="442"/>
      <c r="Z839" s="491"/>
      <c r="AA839" s="524" t="str">
        <f>AC304</f>
        <v/>
      </c>
      <c r="AB839" s="494"/>
      <c r="AC839" s="436"/>
      <c r="AD839" s="495"/>
      <c r="AE839" s="491"/>
      <c r="AF839" s="491"/>
      <c r="AG839" s="525" t="str">
        <f>AI304</f>
        <v/>
      </c>
      <c r="AH839" s="491"/>
      <c r="AI839" s="446"/>
      <c r="AJ839" s="491"/>
      <c r="AK839" s="500"/>
      <c r="AL839" s="436"/>
      <c r="AM839" s="438"/>
      <c r="AN839" s="531"/>
      <c r="AO839" s="491"/>
      <c r="AP839" s="438"/>
      <c r="AQ839" s="438"/>
      <c r="AR839" s="438"/>
      <c r="AS839" s="438"/>
      <c r="AT839" s="438"/>
      <c r="AU839" s="438"/>
      <c r="AV839" s="438"/>
      <c r="AW839" s="450">
        <f>AW304</f>
        <v>240.1421642</v>
      </c>
    </row>
    <row r="840">
      <c r="A840" s="419" t="s">
        <v>299</v>
      </c>
      <c r="B840" s="436" t="s">
        <v>300</v>
      </c>
      <c r="C840" s="438"/>
      <c r="D840" s="420" t="s">
        <v>301</v>
      </c>
      <c r="E840" s="420"/>
      <c r="F840" s="420" t="s">
        <v>2649</v>
      </c>
      <c r="G840" s="420" t="s">
        <v>189</v>
      </c>
      <c r="H840" s="420" t="s">
        <v>291</v>
      </c>
      <c r="I840" s="516">
        <v>40961.0</v>
      </c>
      <c r="J840" s="419">
        <v>2200.0</v>
      </c>
      <c r="K840" s="436"/>
      <c r="L840" s="420"/>
      <c r="M840" s="429"/>
      <c r="N840" s="422"/>
      <c r="O840" s="422"/>
      <c r="P840" s="422"/>
      <c r="Q840" s="420" t="s">
        <v>2439</v>
      </c>
      <c r="R840" s="420" t="s">
        <v>2176</v>
      </c>
      <c r="S840" s="420" t="s">
        <v>292</v>
      </c>
      <c r="T840" s="420" t="s">
        <v>293</v>
      </c>
      <c r="U840" s="420" t="s">
        <v>294</v>
      </c>
      <c r="V840" s="440">
        <v>7.98E-17</v>
      </c>
      <c r="W840" s="468"/>
      <c r="X840" s="436"/>
      <c r="Y840" s="442" t="str">
        <f>IF((W840/((J840/5780)^4))^0.5&gt;0,(W840/((J840/5780)^4))^0.5,"")</f>
        <v/>
      </c>
      <c r="Z840" s="469"/>
      <c r="AA840" s="470">
        <f>0.10049*1.8</f>
        <v>0.180882</v>
      </c>
      <c r="AB840" s="470">
        <f>0.5*0.10049</f>
        <v>0.050245</v>
      </c>
      <c r="AC840" s="436" t="str">
        <f>IF(ISNUMBER(VLOOKUP(B840,'New Masses'!A:C,3,FALSE)),VLOOKUP(B840,'New Masses'!A:C,3,FALSE),"")</f>
        <v/>
      </c>
      <c r="AD840" s="451">
        <f>10^(AE840)</f>
        <v>0</v>
      </c>
      <c r="AE840" s="436">
        <v>-10.8</v>
      </c>
      <c r="AF840" s="438"/>
      <c r="AG840" s="459">
        <f>0.0009543*15</f>
        <v>0.0143145</v>
      </c>
      <c r="AH840" s="436">
        <f>3/1048</f>
        <v>0.00286259542</v>
      </c>
      <c r="AI840" s="446" t="str">
        <f>IF(ISNUMBER(VLOOKUP(B840,'New Masses'!A:C,2, FALSE)),VLOOKUP(B840,'New Masses'!A:C,2, FALSE),"")</f>
        <v/>
      </c>
      <c r="AJ840" s="438"/>
      <c r="AK840" s="438"/>
      <c r="AL840" s="436">
        <v>-4.7</v>
      </c>
      <c r="AM840" s="466">
        <v>43963.0</v>
      </c>
      <c r="AN840" s="436">
        <v>11.0</v>
      </c>
      <c r="AO840" s="421" t="s">
        <v>5918</v>
      </c>
      <c r="AP840" s="517">
        <v>0.2</v>
      </c>
      <c r="AQ840" s="518"/>
      <c r="AR840" s="518" t="s">
        <v>302</v>
      </c>
      <c r="AS840" s="518"/>
      <c r="AT840" s="518"/>
      <c r="AU840" s="536" t="s">
        <v>2445</v>
      </c>
      <c r="AV840" s="438"/>
      <c r="AW840" s="515">
        <v>145.0</v>
      </c>
    </row>
    <row r="841">
      <c r="A841" s="435" t="str">
        <f t="shared" ref="A841:C841" si="726">A306</f>
        <v>2MASS J11104141-7720480</v>
      </c>
      <c r="B841" s="485" t="str">
        <f t="shared" si="726"/>
        <v>ISO 252</v>
      </c>
      <c r="C841" s="486" t="str">
        <f t="shared" si="726"/>
        <v/>
      </c>
      <c r="D841" s="486"/>
      <c r="E841" s="486"/>
      <c r="F841" s="528"/>
      <c r="G841" s="486"/>
      <c r="H841" s="486" t="s">
        <v>5917</v>
      </c>
      <c r="I841" s="491"/>
      <c r="J841" s="491"/>
      <c r="K841" s="491"/>
      <c r="L841" s="491"/>
      <c r="M841" s="486"/>
      <c r="N841" s="422"/>
      <c r="O841" s="422"/>
      <c r="P841" s="422"/>
      <c r="Q841" s="486"/>
      <c r="R841" s="491"/>
      <c r="S841" s="491"/>
      <c r="T841" s="491"/>
      <c r="U841" s="491"/>
      <c r="V841" s="491"/>
      <c r="W841" s="493"/>
      <c r="X841" s="486"/>
      <c r="Y841" s="442"/>
      <c r="Z841" s="491"/>
      <c r="AA841" s="524" t="str">
        <f>AC306</f>
        <v/>
      </c>
      <c r="AB841" s="494"/>
      <c r="AC841" s="436"/>
      <c r="AD841" s="495"/>
      <c r="AE841" s="491"/>
      <c r="AF841" s="491"/>
      <c r="AG841" s="525" t="str">
        <f>AI306</f>
        <v/>
      </c>
      <c r="AH841" s="491"/>
      <c r="AI841" s="446"/>
      <c r="AJ841" s="491"/>
      <c r="AK841" s="500"/>
      <c r="AL841" s="436"/>
      <c r="AM841" s="438"/>
      <c r="AN841" s="531"/>
      <c r="AO841" s="491"/>
      <c r="AP841" s="438"/>
      <c r="AQ841" s="438"/>
      <c r="AR841" s="438"/>
      <c r="AS841" s="438"/>
      <c r="AT841" s="438"/>
      <c r="AU841" s="438"/>
      <c r="AV841" s="438"/>
      <c r="AW841" s="450">
        <f>AW306</f>
        <v>204.2233386</v>
      </c>
    </row>
    <row r="842">
      <c r="A842" s="435" t="s">
        <v>524</v>
      </c>
      <c r="B842" s="451" t="s">
        <v>525</v>
      </c>
      <c r="C842" s="440"/>
      <c r="D842" s="440" t="s">
        <v>314</v>
      </c>
      <c r="E842" s="440"/>
      <c r="F842" s="451" t="s">
        <v>2650</v>
      </c>
      <c r="G842" s="440" t="s">
        <v>169</v>
      </c>
      <c r="H842" s="440" t="s">
        <v>476</v>
      </c>
      <c r="I842" s="436">
        <v>2015.0</v>
      </c>
      <c r="J842" s="460">
        <v>3125.0</v>
      </c>
      <c r="K842" s="460">
        <v>72.0</v>
      </c>
      <c r="L842" s="460" t="s">
        <v>371</v>
      </c>
      <c r="M842" s="461">
        <v>0.5</v>
      </c>
      <c r="N842" s="422"/>
      <c r="O842" s="422"/>
      <c r="P842" s="422">
        <v>17.71</v>
      </c>
      <c r="Q842" s="440" t="s">
        <v>2189</v>
      </c>
      <c r="R842" s="451" t="s">
        <v>2190</v>
      </c>
      <c r="S842" s="451" t="s">
        <v>2191</v>
      </c>
      <c r="T842" s="462" t="s">
        <v>162</v>
      </c>
      <c r="U842" s="451" t="s">
        <v>2192</v>
      </c>
      <c r="V842" s="440"/>
      <c r="W842" s="463"/>
      <c r="X842" s="437"/>
      <c r="Y842" s="442" t="str">
        <f>IF((W842/((J842/5780)^4))^0.5&gt;0,(W842/((J842/5780)^4))^0.5,"")</f>
        <v/>
      </c>
      <c r="Z842" s="464"/>
      <c r="AA842" s="465">
        <v>1.33</v>
      </c>
      <c r="AB842" s="465">
        <v>0.36</v>
      </c>
      <c r="AC842" s="436" t="str">
        <f>IF(ISNUMBER(VLOOKUP(B842,'New Masses'!A:C,3,FALSE)),VLOOKUP(B842,'New Masses'!A:C,3,FALSE),"")</f>
        <v/>
      </c>
      <c r="AD842" s="440">
        <f>10^AE842</f>
        <v>0.0000000003548133892</v>
      </c>
      <c r="AE842" s="460">
        <v>-9.45</v>
      </c>
      <c r="AF842" s="440"/>
      <c r="AG842" s="445">
        <v>0.19</v>
      </c>
      <c r="AH842" s="460">
        <v>0.03</v>
      </c>
      <c r="AI842" s="446" t="str">
        <f>IF(ISNUMBER(VLOOKUP(B842,'New Masses'!A:C,2, FALSE)),VLOOKUP(B842,'New Masses'!A:C,2, FALSE),"")</f>
        <v/>
      </c>
      <c r="AJ842" s="440">
        <f>LOG10(AG842)</f>
        <v>-0.721246399</v>
      </c>
      <c r="AK842" s="460"/>
      <c r="AL842" s="460">
        <v>-2.9</v>
      </c>
      <c r="AM842" s="466">
        <v>43900.0</v>
      </c>
      <c r="AN842" s="436">
        <v>3.0</v>
      </c>
      <c r="AO842" s="440"/>
      <c r="AP842" s="440"/>
      <c r="AQ842" s="440"/>
      <c r="AR842" s="440"/>
      <c r="AS842" s="440"/>
      <c r="AT842" s="440"/>
      <c r="AU842" s="440"/>
      <c r="AV842" s="440"/>
      <c r="AW842" s="450">
        <v>168.918919</v>
      </c>
    </row>
    <row r="843">
      <c r="A843" s="435" t="str">
        <f t="shared" ref="A843:C843" si="727">A308</f>
        <v>2MASS J11115400-7619311</v>
      </c>
      <c r="B843" s="485" t="str">
        <f t="shared" si="727"/>
        <v>CHXR49NE</v>
      </c>
      <c r="C843" s="486" t="str">
        <f t="shared" si="727"/>
        <v/>
      </c>
      <c r="D843" s="486"/>
      <c r="E843" s="486"/>
      <c r="F843" s="528"/>
      <c r="G843" s="486"/>
      <c r="H843" s="486" t="s">
        <v>5917</v>
      </c>
      <c r="I843" s="491"/>
      <c r="J843" s="491"/>
      <c r="K843" s="491"/>
      <c r="L843" s="491"/>
      <c r="M843" s="486"/>
      <c r="N843" s="422"/>
      <c r="O843" s="422"/>
      <c r="P843" s="422"/>
      <c r="Q843" s="486"/>
      <c r="R843" s="491"/>
      <c r="S843" s="491"/>
      <c r="T843" s="491"/>
      <c r="U843" s="491"/>
      <c r="V843" s="491"/>
      <c r="W843" s="493"/>
      <c r="X843" s="486"/>
      <c r="Y843" s="442"/>
      <c r="Z843" s="491"/>
      <c r="AA843" s="524" t="str">
        <f>AC308</f>
        <v/>
      </c>
      <c r="AB843" s="494"/>
      <c r="AC843" s="436"/>
      <c r="AD843" s="495"/>
      <c r="AE843" s="491"/>
      <c r="AF843" s="491"/>
      <c r="AG843" s="525" t="str">
        <f>AI308</f>
        <v/>
      </c>
      <c r="AH843" s="491"/>
      <c r="AI843" s="446"/>
      <c r="AJ843" s="491"/>
      <c r="AK843" s="500"/>
      <c r="AL843" s="436"/>
      <c r="AM843" s="438"/>
      <c r="AN843" s="531"/>
      <c r="AO843" s="491"/>
      <c r="AP843" s="438"/>
      <c r="AQ843" s="438"/>
      <c r="AR843" s="438"/>
      <c r="AS843" s="438"/>
      <c r="AT843" s="438"/>
      <c r="AU843" s="438"/>
      <c r="AV843" s="438"/>
      <c r="AW843" s="450" t="str">
        <f>AW308</f>
        <v/>
      </c>
    </row>
    <row r="844">
      <c r="A844" s="435" t="s">
        <v>535</v>
      </c>
      <c r="B844" s="435" t="s">
        <v>536</v>
      </c>
      <c r="C844" s="440"/>
      <c r="D844" s="440" t="s">
        <v>314</v>
      </c>
      <c r="E844" s="440"/>
      <c r="F844" s="435" t="s">
        <v>2651</v>
      </c>
      <c r="G844" s="440" t="s">
        <v>169</v>
      </c>
      <c r="H844" s="440" t="s">
        <v>476</v>
      </c>
      <c r="I844" s="436">
        <v>2015.0</v>
      </c>
      <c r="J844" s="460">
        <v>3200.0</v>
      </c>
      <c r="K844" s="460">
        <v>74.0</v>
      </c>
      <c r="L844" s="460" t="s">
        <v>402</v>
      </c>
      <c r="M844" s="461">
        <v>0.5</v>
      </c>
      <c r="N844" s="422"/>
      <c r="O844" s="422"/>
      <c r="P844" s="422"/>
      <c r="Q844" s="440" t="s">
        <v>2189</v>
      </c>
      <c r="R844" s="451" t="s">
        <v>2190</v>
      </c>
      <c r="S844" s="451" t="s">
        <v>2191</v>
      </c>
      <c r="T844" s="462" t="s">
        <v>162</v>
      </c>
      <c r="U844" s="451" t="s">
        <v>2192</v>
      </c>
      <c r="V844" s="440"/>
      <c r="W844" s="514">
        <v>0.2239</v>
      </c>
      <c r="X844" s="447">
        <v>0.1103</v>
      </c>
      <c r="Y844" s="442">
        <f>IF((W844/((J844/5780)^4))^0.5&gt;0,(W844/((J844/5780)^4))^0.5,"")</f>
        <v>1.543770604</v>
      </c>
      <c r="Z844" s="464" t="str">
        <f>0.5*((X840/W840)^2 + 16*(K840/J840)^2)^0.5</f>
        <v>#DIV/0!</v>
      </c>
      <c r="AA844" s="465">
        <v>1.54</v>
      </c>
      <c r="AB844" s="465">
        <v>0.38</v>
      </c>
      <c r="AC844" s="436" t="str">
        <f>IF(ISNUMBER(VLOOKUP(B844,'New Masses'!A:C,3,FALSE)),VLOOKUP(B844,'New Masses'!A:C,3,FALSE),"")</f>
        <v/>
      </c>
      <c r="AD844" s="440">
        <f>10^AE844</f>
        <v>0.0000000008511380382</v>
      </c>
      <c r="AE844" s="460">
        <v>-9.07</v>
      </c>
      <c r="AF844" s="440"/>
      <c r="AG844" s="445">
        <v>0.23</v>
      </c>
      <c r="AH844" s="460">
        <v>0.03</v>
      </c>
      <c r="AI844" s="446" t="str">
        <f>IF(ISNUMBER(VLOOKUP(B844,'New Masses'!A:C,2, FALSE)),VLOOKUP(B844,'New Masses'!A:C,2, FALSE),"")</f>
        <v/>
      </c>
      <c r="AJ844" s="440">
        <f>LOG10(AG844)</f>
        <v>-0.638272164</v>
      </c>
      <c r="AK844" s="460"/>
      <c r="AL844" s="460">
        <v>-2.5</v>
      </c>
      <c r="AM844" s="466">
        <v>43900.0</v>
      </c>
      <c r="AN844" s="436">
        <v>3.0</v>
      </c>
      <c r="AO844" s="440"/>
      <c r="AP844" s="440"/>
      <c r="AQ844" s="440"/>
      <c r="AR844" s="440"/>
      <c r="AS844" s="440"/>
      <c r="AT844" s="440"/>
      <c r="AU844" s="440"/>
      <c r="AV844" s="440"/>
      <c r="AW844" s="450">
        <v>159.744409</v>
      </c>
    </row>
    <row r="845">
      <c r="A845" s="435" t="str">
        <f t="shared" ref="A845:C845" si="728">A310</f>
        <v>2MASS J11173792-7646193</v>
      </c>
      <c r="B845" s="485" t="str">
        <f t="shared" si="728"/>
        <v>2MASS J11173792-7646193</v>
      </c>
      <c r="C845" s="486" t="str">
        <f t="shared" si="728"/>
        <v/>
      </c>
      <c r="D845" s="486"/>
      <c r="E845" s="486"/>
      <c r="F845" s="528"/>
      <c r="G845" s="486"/>
      <c r="H845" s="486" t="s">
        <v>5917</v>
      </c>
      <c r="I845" s="491"/>
      <c r="J845" s="491"/>
      <c r="K845" s="491"/>
      <c r="L845" s="491"/>
      <c r="M845" s="486"/>
      <c r="N845" s="422"/>
      <c r="O845" s="422"/>
      <c r="P845" s="422"/>
      <c r="Q845" s="486"/>
      <c r="R845" s="491"/>
      <c r="S845" s="491"/>
      <c r="T845" s="491"/>
      <c r="U845" s="491"/>
      <c r="V845" s="491"/>
      <c r="W845" s="493"/>
      <c r="X845" s="486"/>
      <c r="Y845" s="442"/>
      <c r="Z845" s="491"/>
      <c r="AA845" s="524" t="str">
        <f>AC310</f>
        <v/>
      </c>
      <c r="AB845" s="494"/>
      <c r="AC845" s="436"/>
      <c r="AD845" s="495"/>
      <c r="AE845" s="491"/>
      <c r="AF845" s="491"/>
      <c r="AG845" s="525" t="str">
        <f>AI310</f>
        <v/>
      </c>
      <c r="AH845" s="491"/>
      <c r="AI845" s="446"/>
      <c r="AJ845" s="491"/>
      <c r="AK845" s="500"/>
      <c r="AL845" s="436"/>
      <c r="AM845" s="438"/>
      <c r="AN845" s="531"/>
      <c r="AO845" s="491"/>
      <c r="AP845" s="438"/>
      <c r="AQ845" s="438"/>
      <c r="AR845" s="438"/>
      <c r="AS845" s="438"/>
      <c r="AT845" s="438"/>
      <c r="AU845" s="438"/>
      <c r="AV845" s="438"/>
      <c r="AW845" s="450">
        <f>AW310</f>
        <v>160.3489192</v>
      </c>
    </row>
    <row r="846">
      <c r="A846" s="435" t="s">
        <v>509</v>
      </c>
      <c r="B846" s="435" t="s">
        <v>510</v>
      </c>
      <c r="C846" s="440"/>
      <c r="D846" s="440" t="s">
        <v>314</v>
      </c>
      <c r="E846" s="440"/>
      <c r="F846" s="435" t="s">
        <v>2652</v>
      </c>
      <c r="G846" s="440" t="s">
        <v>169</v>
      </c>
      <c r="H846" s="440" t="s">
        <v>476</v>
      </c>
      <c r="I846" s="436">
        <v>2015.0</v>
      </c>
      <c r="J846" s="460">
        <v>3060.0</v>
      </c>
      <c r="K846" s="460">
        <v>71.0</v>
      </c>
      <c r="L846" s="460" t="s">
        <v>264</v>
      </c>
      <c r="M846" s="461">
        <v>0.5</v>
      </c>
      <c r="N846" s="422"/>
      <c r="O846" s="422"/>
      <c r="P846" s="422"/>
      <c r="Q846" s="440" t="s">
        <v>2189</v>
      </c>
      <c r="R846" s="451" t="s">
        <v>2190</v>
      </c>
      <c r="S846" s="451" t="s">
        <v>2191</v>
      </c>
      <c r="T846" s="462" t="s">
        <v>162</v>
      </c>
      <c r="U846" s="451" t="s">
        <v>2192</v>
      </c>
      <c r="V846" s="440"/>
      <c r="W846" s="514">
        <v>0.1096</v>
      </c>
      <c r="X846" s="447">
        <v>0.0638</v>
      </c>
      <c r="Y846" s="442">
        <f>IF((W846/((J846/5780)^4))^0.5&gt;0,(W846/((J846/5780)^4))^0.5,"")</f>
        <v>1.181185484</v>
      </c>
      <c r="Z846" s="464" t="str">
        <f>0.5*((X842/W842)^2 + 16*(K842/J842)^2)^0.5</f>
        <v>#DIV/0!</v>
      </c>
      <c r="AA846" s="465">
        <v>1.18</v>
      </c>
      <c r="AB846" s="465">
        <v>0.34</v>
      </c>
      <c r="AC846" s="436" t="str">
        <f>IF(ISNUMBER(VLOOKUP(B846,'New Masses'!A:C,3,FALSE)),VLOOKUP(B846,'New Masses'!A:C,3,FALSE),"")</f>
        <v/>
      </c>
      <c r="AD846" s="440">
        <f>10^AE846</f>
        <v>0.0000000001995262315</v>
      </c>
      <c r="AE846" s="460">
        <v>-9.7</v>
      </c>
      <c r="AF846" s="440"/>
      <c r="AG846" s="445">
        <v>0.15</v>
      </c>
      <c r="AH846" s="460">
        <v>0.03</v>
      </c>
      <c r="AI846" s="446" t="str">
        <f>IF(ISNUMBER(VLOOKUP(B846,'New Masses'!A:C,2, FALSE)),VLOOKUP(B846,'New Masses'!A:C,2, FALSE),"")</f>
        <v/>
      </c>
      <c r="AJ846" s="440">
        <f>LOG10(AG846)</f>
        <v>-0.8239087409</v>
      </c>
      <c r="AK846" s="460"/>
      <c r="AL846" s="460">
        <v>-3.2</v>
      </c>
      <c r="AM846" s="466">
        <v>43900.0</v>
      </c>
      <c r="AN846" s="436">
        <v>3.0</v>
      </c>
      <c r="AO846" s="440"/>
      <c r="AP846" s="440"/>
      <c r="AQ846" s="440"/>
      <c r="AR846" s="440"/>
      <c r="AS846" s="440"/>
      <c r="AT846" s="440"/>
      <c r="AU846" s="440"/>
      <c r="AV846" s="440"/>
      <c r="AW846" s="450">
        <v>160.0</v>
      </c>
    </row>
    <row r="847">
      <c r="A847" s="435" t="str">
        <f t="shared" ref="A847:C847" si="729">A312</f>
        <v>2MASS J12073346-3932539</v>
      </c>
      <c r="B847" s="485" t="str">
        <f t="shared" si="729"/>
        <v>2MASS J12073346-3932539</v>
      </c>
      <c r="C847" s="486" t="str">
        <f t="shared" si="729"/>
        <v>2MASS 1207-3932</v>
      </c>
      <c r="D847" s="486"/>
      <c r="E847" s="486"/>
      <c r="F847" s="528"/>
      <c r="G847" s="486"/>
      <c r="H847" s="486" t="s">
        <v>5917</v>
      </c>
      <c r="I847" s="491"/>
      <c r="J847" s="491"/>
      <c r="K847" s="491"/>
      <c r="L847" s="491"/>
      <c r="M847" s="486"/>
      <c r="N847" s="422"/>
      <c r="O847" s="422"/>
      <c r="P847" s="422"/>
      <c r="Q847" s="486"/>
      <c r="R847" s="491"/>
      <c r="S847" s="491"/>
      <c r="T847" s="491"/>
      <c r="U847" s="491"/>
      <c r="V847" s="491"/>
      <c r="W847" s="493"/>
      <c r="X847" s="486"/>
      <c r="Y847" s="442"/>
      <c r="Z847" s="491"/>
      <c r="AA847" s="524" t="str">
        <f>AC312</f>
        <v/>
      </c>
      <c r="AB847" s="494"/>
      <c r="AC847" s="436"/>
      <c r="AD847" s="495"/>
      <c r="AE847" s="491"/>
      <c r="AF847" s="491"/>
      <c r="AG847" s="525" t="str">
        <f>AI312</f>
        <v/>
      </c>
      <c r="AH847" s="491"/>
      <c r="AI847" s="446"/>
      <c r="AJ847" s="491"/>
      <c r="AK847" s="500"/>
      <c r="AL847" s="436"/>
      <c r="AM847" s="438"/>
      <c r="AN847" s="531"/>
      <c r="AO847" s="491"/>
      <c r="AP847" s="438"/>
      <c r="AQ847" s="438"/>
      <c r="AR847" s="438"/>
      <c r="AS847" s="438"/>
      <c r="AT847" s="438"/>
      <c r="AU847" s="438"/>
      <c r="AV847" s="438"/>
      <c r="AW847" s="450">
        <f>AW312</f>
        <v>64</v>
      </c>
    </row>
    <row r="848">
      <c r="A848" s="435" t="s">
        <v>553</v>
      </c>
      <c r="B848" s="451" t="s">
        <v>554</v>
      </c>
      <c r="C848" s="440"/>
      <c r="D848" s="440" t="s">
        <v>314</v>
      </c>
      <c r="E848" s="440"/>
      <c r="F848" s="451" t="s">
        <v>2653</v>
      </c>
      <c r="G848" s="440" t="s">
        <v>169</v>
      </c>
      <c r="H848" s="440" t="s">
        <v>476</v>
      </c>
      <c r="I848" s="438"/>
      <c r="J848" s="460">
        <v>3560.0</v>
      </c>
      <c r="K848" s="460">
        <v>164.0</v>
      </c>
      <c r="L848" s="460" t="s">
        <v>415</v>
      </c>
      <c r="M848" s="461">
        <v>0.5</v>
      </c>
      <c r="N848" s="422"/>
      <c r="O848" s="422"/>
      <c r="P848" s="422"/>
      <c r="Q848" s="440" t="s">
        <v>2189</v>
      </c>
      <c r="R848" s="451" t="s">
        <v>2190</v>
      </c>
      <c r="S848" s="451" t="s">
        <v>2191</v>
      </c>
      <c r="T848" s="462" t="s">
        <v>162</v>
      </c>
      <c r="U848" s="451" t="s">
        <v>2192</v>
      </c>
      <c r="V848" s="440"/>
      <c r="W848" s="463"/>
      <c r="X848" s="437"/>
      <c r="Y848" s="442" t="str">
        <f>IF((W848/((J848/5780)^4))^0.5&gt;0,(W848/((J848/5780)^4))^0.5,"")</f>
        <v/>
      </c>
      <c r="Z848" s="464"/>
      <c r="AA848" s="465">
        <v>0.58</v>
      </c>
      <c r="AB848" s="465">
        <v>0.13</v>
      </c>
      <c r="AC848" s="436" t="str">
        <f>IF(ISNUMBER(VLOOKUP(B848,'New Masses'!A:C,3,FALSE)),VLOOKUP(B848,'New Masses'!A:C,3,FALSE),"")</f>
        <v/>
      </c>
      <c r="AD848" s="440">
        <f>10^AE848</f>
        <v>0.0000000001380384265</v>
      </c>
      <c r="AE848" s="460">
        <v>-9.86</v>
      </c>
      <c r="AF848" s="440"/>
      <c r="AG848" s="445">
        <v>0.34</v>
      </c>
      <c r="AH848" s="460">
        <v>0.09</v>
      </c>
      <c r="AI848" s="446" t="str">
        <f>IF(ISNUMBER(VLOOKUP(B848,'New Masses'!A:C,2, FALSE)),VLOOKUP(B848,'New Masses'!A:C,2, FALSE),"")</f>
        <v/>
      </c>
      <c r="AJ848" s="440">
        <f>LOG10(AG848)</f>
        <v>-0.468521083</v>
      </c>
      <c r="AK848" s="460"/>
      <c r="AL848" s="460">
        <v>-2.7</v>
      </c>
      <c r="AM848" s="466">
        <v>43900.0</v>
      </c>
      <c r="AN848" s="436">
        <v>3.0</v>
      </c>
      <c r="AO848" s="440"/>
      <c r="AP848" s="440"/>
      <c r="AQ848" s="440"/>
      <c r="AR848" s="440"/>
      <c r="AS848" s="440"/>
      <c r="AT848" s="440"/>
      <c r="AU848" s="440"/>
      <c r="AV848" s="440"/>
      <c r="AW848" s="450">
        <v>162.81606668946</v>
      </c>
    </row>
    <row r="849">
      <c r="A849" s="435" t="str">
        <f t="shared" ref="A849:C849" si="730">A314</f>
        <v>2MASS J12073346-3932539</v>
      </c>
      <c r="B849" s="485" t="str">
        <f t="shared" si="730"/>
        <v>2MASS J12073346-3932539</v>
      </c>
      <c r="C849" s="486" t="str">
        <f t="shared" si="730"/>
        <v>2MASS 1207-3932</v>
      </c>
      <c r="D849" s="486"/>
      <c r="E849" s="486"/>
      <c r="F849" s="528"/>
      <c r="G849" s="486"/>
      <c r="H849" s="486" t="s">
        <v>5917</v>
      </c>
      <c r="I849" s="491"/>
      <c r="J849" s="491"/>
      <c r="K849" s="491"/>
      <c r="L849" s="491"/>
      <c r="M849" s="486"/>
      <c r="N849" s="422"/>
      <c r="O849" s="422"/>
      <c r="P849" s="422"/>
      <c r="Q849" s="486"/>
      <c r="R849" s="491"/>
      <c r="S849" s="491"/>
      <c r="T849" s="491"/>
      <c r="U849" s="491"/>
      <c r="V849" s="491"/>
      <c r="W849" s="493"/>
      <c r="X849" s="486"/>
      <c r="Y849" s="442"/>
      <c r="Z849" s="491"/>
      <c r="AA849" s="524" t="str">
        <f>AC314</f>
        <v/>
      </c>
      <c r="AB849" s="494"/>
      <c r="AC849" s="436"/>
      <c r="AD849" s="495"/>
      <c r="AE849" s="491"/>
      <c r="AF849" s="491"/>
      <c r="AG849" s="525" t="str">
        <f>AI314</f>
        <v/>
      </c>
      <c r="AH849" s="491"/>
      <c r="AI849" s="446"/>
      <c r="AJ849" s="491"/>
      <c r="AK849" s="500"/>
      <c r="AL849" s="436"/>
      <c r="AM849" s="438"/>
      <c r="AN849" s="531"/>
      <c r="AO849" s="491"/>
      <c r="AP849" s="438"/>
      <c r="AQ849" s="438"/>
      <c r="AR849" s="438"/>
      <c r="AS849" s="438"/>
      <c r="AT849" s="438"/>
      <c r="AU849" s="438"/>
      <c r="AV849" s="438"/>
      <c r="AW849" s="450">
        <f>AW314</f>
        <v>64</v>
      </c>
    </row>
    <row r="850">
      <c r="A850" s="435" t="s">
        <v>456</v>
      </c>
      <c r="B850" s="419" t="s">
        <v>455</v>
      </c>
      <c r="C850" s="436"/>
      <c r="D850" s="436" t="s">
        <v>224</v>
      </c>
      <c r="E850" s="436"/>
      <c r="F850" s="436" t="s">
        <v>2654</v>
      </c>
      <c r="G850" s="436" t="s">
        <v>169</v>
      </c>
      <c r="H850" s="436" t="s">
        <v>306</v>
      </c>
      <c r="I850" s="467">
        <v>39596.0</v>
      </c>
      <c r="J850" s="436">
        <v>4060.0</v>
      </c>
      <c r="K850" s="436"/>
      <c r="L850" s="436" t="s">
        <v>434</v>
      </c>
      <c r="M850" s="439"/>
      <c r="N850" s="422"/>
      <c r="O850" s="422"/>
      <c r="P850" s="422"/>
      <c r="Q850" s="436" t="s">
        <v>2239</v>
      </c>
      <c r="R850" s="436" t="s">
        <v>2240</v>
      </c>
      <c r="S850" s="436" t="s">
        <v>307</v>
      </c>
      <c r="T850" s="436" t="s">
        <v>293</v>
      </c>
      <c r="U850" s="436" t="s">
        <v>294</v>
      </c>
      <c r="V850" s="440"/>
      <c r="W850" s="468"/>
      <c r="X850" s="436"/>
      <c r="Y850" s="442" t="str">
        <f>IF((W850/((J850/5780)^4))^0.5&gt;0,(W850/((J850/5780)^4))^0.5,"")</f>
        <v/>
      </c>
      <c r="Z850" s="537"/>
      <c r="AA850" s="470">
        <v>0.83</v>
      </c>
      <c r="AB850" s="470"/>
      <c r="AC850" s="436" t="str">
        <f>IF(ISNUMBER(VLOOKUP(B850,'New Masses'!A:C,3,FALSE)),VLOOKUP(B850,'New Masses'!A:C,3,FALSE),"")</f>
        <v/>
      </c>
      <c r="AD850" s="451">
        <f>10^(AE850)</f>
        <v>0.0000000007943282347</v>
      </c>
      <c r="AE850" s="436">
        <v>-9.1</v>
      </c>
      <c r="AF850" s="438"/>
      <c r="AG850" s="459">
        <v>0.77</v>
      </c>
      <c r="AH850" s="436"/>
      <c r="AI850" s="446" t="str">
        <f>IF(ISNUMBER(VLOOKUP(B850,'New Masses'!A:C,2, FALSE)),VLOOKUP(B850,'New Masses'!A:C,2, FALSE),"")</f>
        <v/>
      </c>
      <c r="AJ850" s="436">
        <f>LOG10(AG850)</f>
        <v>-0.1135092748</v>
      </c>
      <c r="AK850" s="436"/>
      <c r="AL850" s="436">
        <v>-1.7</v>
      </c>
      <c r="AM850" s="438"/>
      <c r="AN850" s="436">
        <v>8.0</v>
      </c>
      <c r="AO850" s="438"/>
      <c r="AP850" s="438"/>
      <c r="AQ850" s="438"/>
      <c r="AR850" s="438"/>
      <c r="AS850" s="438"/>
      <c r="AT850" s="438"/>
      <c r="AU850" s="438"/>
      <c r="AV850" s="438"/>
      <c r="AW850" s="450">
        <v>60.0860432138822</v>
      </c>
    </row>
    <row r="851">
      <c r="A851" s="435" t="str">
        <f t="shared" ref="A851:C851" si="731">A316</f>
        <v>2MASS J12073346-3932539</v>
      </c>
      <c r="B851" s="485" t="str">
        <f t="shared" si="731"/>
        <v>2MASS 1207-3932</v>
      </c>
      <c r="C851" s="486" t="str">
        <f t="shared" si="731"/>
        <v/>
      </c>
      <c r="D851" s="486"/>
      <c r="E851" s="486"/>
      <c r="F851" s="528"/>
      <c r="G851" s="486"/>
      <c r="H851" s="486" t="s">
        <v>5917</v>
      </c>
      <c r="I851" s="491"/>
      <c r="J851" s="491"/>
      <c r="K851" s="491"/>
      <c r="L851" s="491"/>
      <c r="M851" s="486"/>
      <c r="N851" s="422"/>
      <c r="O851" s="422"/>
      <c r="P851" s="422"/>
      <c r="Q851" s="486"/>
      <c r="R851" s="491"/>
      <c r="S851" s="491"/>
      <c r="T851" s="491"/>
      <c r="U851" s="491"/>
      <c r="V851" s="491"/>
      <c r="W851" s="493"/>
      <c r="X851" s="486"/>
      <c r="Y851" s="442"/>
      <c r="Z851" s="491"/>
      <c r="AA851" s="619">
        <f>AC316</f>
        <v>0.31275</v>
      </c>
      <c r="AB851" s="494"/>
      <c r="AC851" s="436"/>
      <c r="AD851" s="495"/>
      <c r="AE851" s="491"/>
      <c r="AF851" s="491"/>
      <c r="AG851" s="525" t="str">
        <f>AI316</f>
        <v/>
      </c>
      <c r="AH851" s="491"/>
      <c r="AI851" s="446"/>
      <c r="AJ851" s="491"/>
      <c r="AK851" s="500"/>
      <c r="AL851" s="436"/>
      <c r="AM851" s="438"/>
      <c r="AN851" s="531"/>
      <c r="AO851" s="491"/>
      <c r="AP851" s="438"/>
      <c r="AQ851" s="438"/>
      <c r="AR851" s="438"/>
      <c r="AS851" s="438"/>
      <c r="AT851" s="438"/>
      <c r="AU851" s="438"/>
      <c r="AV851" s="438"/>
      <c r="AW851" s="450">
        <f>AW316</f>
        <v>64</v>
      </c>
    </row>
    <row r="852">
      <c r="A852" s="419" t="s">
        <v>1390</v>
      </c>
      <c r="B852" s="436" t="s">
        <v>1391</v>
      </c>
      <c r="C852" s="419"/>
      <c r="D852" s="436" t="s">
        <v>158</v>
      </c>
      <c r="E852" s="436"/>
      <c r="F852" s="419" t="s">
        <v>2655</v>
      </c>
      <c r="G852" s="436" t="s">
        <v>169</v>
      </c>
      <c r="H852" s="436" t="s">
        <v>160</v>
      </c>
      <c r="I852" s="436" t="s">
        <v>1963</v>
      </c>
      <c r="J852" s="436">
        <v>3388.44156</v>
      </c>
      <c r="K852" s="436"/>
      <c r="L852" s="438"/>
      <c r="M852" s="453"/>
      <c r="N852" s="422">
        <v>13.894</v>
      </c>
      <c r="O852" s="422">
        <v>9.59</v>
      </c>
      <c r="P852" s="422"/>
      <c r="Q852" s="436" t="s">
        <v>2183</v>
      </c>
      <c r="R852" s="436" t="s">
        <v>2184</v>
      </c>
      <c r="S852" s="436" t="s">
        <v>1964</v>
      </c>
      <c r="T852" s="419" t="s">
        <v>162</v>
      </c>
      <c r="U852" s="436" t="s">
        <v>2185</v>
      </c>
      <c r="V852" s="451">
        <v>6.67142E28</v>
      </c>
      <c r="W852" s="458">
        <v>0.5623413251903491</v>
      </c>
      <c r="X852" s="438"/>
      <c r="Y852" s="442">
        <f>IF((W852/((J852/5780)^4))^0.5&gt;0,(W852/((J852/5780)^4))^0.5,"")</f>
        <v>2.182004677</v>
      </c>
      <c r="Z852" s="442"/>
      <c r="AA852" s="443"/>
      <c r="AB852" s="443"/>
      <c r="AC852" s="436" t="str">
        <f>IF(ISNUMBER(VLOOKUP(B852,'New Masses'!A:C,3,FALSE)),VLOOKUP(B852,'New Masses'!A:C,3,FALSE),"")</f>
        <v/>
      </c>
      <c r="AD852" s="440">
        <f>10^AE852</f>
        <v>0.0000000007079457844</v>
      </c>
      <c r="AE852" s="436">
        <v>-9.15</v>
      </c>
      <c r="AF852" s="438"/>
      <c r="AG852" s="459">
        <f>10^AJ852</f>
        <v>0.2951209227</v>
      </c>
      <c r="AH852" s="436"/>
      <c r="AI852" s="446" t="str">
        <f>IF(ISNUMBER(VLOOKUP(B852,'New Masses'!A:C,2, FALSE)),VLOOKUP(B852,'New Masses'!A:C,2, FALSE),"")</f>
        <v/>
      </c>
      <c r="AJ852" s="436">
        <v>-0.53</v>
      </c>
      <c r="AK852" s="436"/>
      <c r="AL852" s="436">
        <v>-2.47</v>
      </c>
      <c r="AM852" s="438"/>
      <c r="AN852" s="436">
        <v>1.0</v>
      </c>
      <c r="AO852" s="419" t="s">
        <v>5918</v>
      </c>
      <c r="AP852" s="436"/>
      <c r="AQ852" s="438"/>
      <c r="AR852" s="438"/>
      <c r="AS852" s="420" t="str">
        <f>VLOOKUP(B852,natta06!A:F,6,FALSE)</f>
        <v>#REF!</v>
      </c>
      <c r="AT852" s="438" t="s">
        <v>5916</v>
      </c>
      <c r="AU852" s="438"/>
      <c r="AV852" s="438"/>
      <c r="AW852" s="450"/>
    </row>
    <row r="853">
      <c r="A853" s="435" t="str">
        <f t="shared" ref="A853:C853" si="732">A318</f>
        <v>#REF!</v>
      </c>
      <c r="B853" s="485" t="str">
        <f t="shared" si="732"/>
        <v>#REF!</v>
      </c>
      <c r="C853" s="486" t="str">
        <f t="shared" si="732"/>
        <v>#REF!</v>
      </c>
      <c r="D853" s="486"/>
      <c r="E853" s="486"/>
      <c r="F853" s="528"/>
      <c r="G853" s="486"/>
      <c r="H853" s="486" t="s">
        <v>5917</v>
      </c>
      <c r="I853" s="491"/>
      <c r="J853" s="491"/>
      <c r="K853" s="491"/>
      <c r="L853" s="491"/>
      <c r="M853" s="486"/>
      <c r="N853" s="422"/>
      <c r="O853" s="422"/>
      <c r="P853" s="422"/>
      <c r="Q853" s="486"/>
      <c r="R853" s="491"/>
      <c r="S853" s="491"/>
      <c r="T853" s="491"/>
      <c r="U853" s="491"/>
      <c r="V853" s="491"/>
      <c r="W853" s="493"/>
      <c r="X853" s="486"/>
      <c r="Y853" s="442"/>
      <c r="Z853" s="491"/>
      <c r="AA853" s="524" t="str">
        <f>AC318</f>
        <v/>
      </c>
      <c r="AB853" s="494"/>
      <c r="AC853" s="436"/>
      <c r="AD853" s="495"/>
      <c r="AE853" s="491"/>
      <c r="AF853" s="491"/>
      <c r="AG853" s="525" t="str">
        <f>AI318</f>
        <v/>
      </c>
      <c r="AH853" s="491"/>
      <c r="AI853" s="446"/>
      <c r="AJ853" s="491"/>
      <c r="AK853" s="500"/>
      <c r="AL853" s="436"/>
      <c r="AM853" s="438"/>
      <c r="AN853" s="531"/>
      <c r="AO853" s="491"/>
      <c r="AP853" s="438"/>
      <c r="AQ853" s="438"/>
      <c r="AR853" s="438"/>
      <c r="AS853" s="438"/>
      <c r="AT853" s="438"/>
      <c r="AU853" s="438"/>
      <c r="AV853" s="438"/>
      <c r="AW853" s="450" t="str">
        <f>AW318</f>
        <v>#REF!</v>
      </c>
    </row>
    <row r="854">
      <c r="A854" s="419" t="s">
        <v>2656</v>
      </c>
      <c r="B854" s="436" t="s">
        <v>339</v>
      </c>
      <c r="C854" s="454" t="s">
        <v>2657</v>
      </c>
      <c r="D854" s="420" t="s">
        <v>305</v>
      </c>
      <c r="E854" s="420"/>
      <c r="F854" s="420" t="s">
        <v>2658</v>
      </c>
      <c r="G854" s="420" t="s">
        <v>169</v>
      </c>
      <c r="H854" s="420" t="s">
        <v>306</v>
      </c>
      <c r="I854" s="467">
        <v>39596.0</v>
      </c>
      <c r="J854" s="436">
        <v>2838.0</v>
      </c>
      <c r="K854" s="420"/>
      <c r="L854" s="420" t="s">
        <v>237</v>
      </c>
      <c r="M854" s="429"/>
      <c r="N854" s="422">
        <v>14.53</v>
      </c>
      <c r="O854" s="422">
        <v>13.55</v>
      </c>
      <c r="P854" s="422"/>
      <c r="Q854" s="420" t="s">
        <v>2239</v>
      </c>
      <c r="R854" s="420" t="s">
        <v>2240</v>
      </c>
      <c r="S854" s="420" t="s">
        <v>307</v>
      </c>
      <c r="T854" s="420" t="s">
        <v>293</v>
      </c>
      <c r="U854" s="420" t="s">
        <v>294</v>
      </c>
      <c r="V854" s="440"/>
      <c r="W854" s="468"/>
      <c r="X854" s="436"/>
      <c r="Y854" s="442" t="str">
        <f>IF((W854/((J854/5780)^4))^0.5&gt;0,(W854/((J854/5780)^4))^0.5,"")</f>
        <v/>
      </c>
      <c r="Z854" s="469"/>
      <c r="AA854" s="470">
        <v>0.25</v>
      </c>
      <c r="AB854" s="426"/>
      <c r="AC854" s="469">
        <f>IF(ISNUMBER(VLOOKUP(B854,'New Masses'!A:C,3,FALSE)),VLOOKUP(B854,'New Masses'!A:C,3,FALSE),"")</f>
        <v>0.291525</v>
      </c>
      <c r="AD854" s="451">
        <f>10^(AE854)</f>
        <v>0</v>
      </c>
      <c r="AE854" s="436">
        <v>-13.3</v>
      </c>
      <c r="AF854" s="438"/>
      <c r="AG854" s="459">
        <v>0.054</v>
      </c>
      <c r="AH854" s="420"/>
      <c r="AI854" s="446">
        <f>IF(ISNUMBER(VLOOKUP(B854,'New Masses'!A:C,2, FALSE)),VLOOKUP(B854,'New Masses'!A:C,2, FALSE),"")</f>
        <v>0.03689</v>
      </c>
      <c r="AJ854" s="420"/>
      <c r="AK854" s="420"/>
      <c r="AL854" s="436">
        <v>-6.6</v>
      </c>
      <c r="AM854" s="438"/>
      <c r="AN854" s="436">
        <v>11.0</v>
      </c>
      <c r="AO854" s="438"/>
      <c r="AP854" s="436">
        <v>0.0</v>
      </c>
      <c r="AQ854" s="420"/>
      <c r="AR854" s="420" t="s">
        <v>2349</v>
      </c>
      <c r="AS854" s="420"/>
      <c r="AT854" s="420" t="s">
        <v>5916</v>
      </c>
      <c r="AU854" s="438"/>
      <c r="AV854" s="438"/>
      <c r="AW854" s="450">
        <v>136.0</v>
      </c>
    </row>
    <row r="855">
      <c r="A855" s="435" t="str">
        <f t="shared" ref="A855:C855" si="733">A320</f>
        <v>#REF!</v>
      </c>
      <c r="B855" s="485" t="str">
        <f t="shared" si="733"/>
        <v>#REF!</v>
      </c>
      <c r="C855" s="486" t="str">
        <f t="shared" si="733"/>
        <v>#REF!</v>
      </c>
      <c r="D855" s="486"/>
      <c r="E855" s="486"/>
      <c r="F855" s="528"/>
      <c r="G855" s="486"/>
      <c r="H855" s="486" t="s">
        <v>5917</v>
      </c>
      <c r="I855" s="491"/>
      <c r="J855" s="491"/>
      <c r="K855" s="491"/>
      <c r="L855" s="491"/>
      <c r="M855" s="486"/>
      <c r="N855" s="422"/>
      <c r="O855" s="422"/>
      <c r="P855" s="422"/>
      <c r="Q855" s="486"/>
      <c r="R855" s="491"/>
      <c r="S855" s="491"/>
      <c r="T855" s="491"/>
      <c r="U855" s="491"/>
      <c r="V855" s="491"/>
      <c r="W855" s="493"/>
      <c r="X855" s="486"/>
      <c r="Y855" s="442"/>
      <c r="Z855" s="491"/>
      <c r="AA855" s="524" t="str">
        <f>AC320</f>
        <v/>
      </c>
      <c r="AB855" s="494"/>
      <c r="AC855" s="436"/>
      <c r="AD855" s="495"/>
      <c r="AE855" s="491"/>
      <c r="AF855" s="491"/>
      <c r="AG855" s="525" t="str">
        <f>AI320</f>
        <v/>
      </c>
      <c r="AH855" s="491"/>
      <c r="AI855" s="446"/>
      <c r="AJ855" s="491"/>
      <c r="AK855" s="500"/>
      <c r="AL855" s="436"/>
      <c r="AM855" s="438"/>
      <c r="AN855" s="531"/>
      <c r="AO855" s="491"/>
      <c r="AP855" s="438"/>
      <c r="AQ855" s="438"/>
      <c r="AR855" s="438"/>
      <c r="AS855" s="438"/>
      <c r="AT855" s="438"/>
      <c r="AU855" s="438"/>
      <c r="AV855" s="438"/>
      <c r="AW855" s="450" t="str">
        <f>AW320</f>
        <v>#REF!</v>
      </c>
    </row>
    <row r="856">
      <c r="A856" s="419" t="s">
        <v>2659</v>
      </c>
      <c r="B856" s="419" t="s">
        <v>2660</v>
      </c>
      <c r="C856" s="454" t="s">
        <v>2661</v>
      </c>
      <c r="D856" s="420" t="s">
        <v>305</v>
      </c>
      <c r="E856" s="420"/>
      <c r="F856" s="420" t="s">
        <v>2662</v>
      </c>
      <c r="G856" s="420" t="s">
        <v>169</v>
      </c>
      <c r="H856" s="420" t="s">
        <v>306</v>
      </c>
      <c r="I856" s="467">
        <v>39596.0</v>
      </c>
      <c r="J856" s="436">
        <v>2478.0</v>
      </c>
      <c r="K856" s="420"/>
      <c r="L856" s="420" t="s">
        <v>308</v>
      </c>
      <c r="M856" s="429"/>
      <c r="N856" s="422">
        <v>15.24</v>
      </c>
      <c r="O856" s="422">
        <v>14.03</v>
      </c>
      <c r="P856" s="422"/>
      <c r="Q856" s="420" t="s">
        <v>2239</v>
      </c>
      <c r="R856" s="420" t="s">
        <v>2240</v>
      </c>
      <c r="S856" s="420" t="s">
        <v>307</v>
      </c>
      <c r="T856" s="420" t="s">
        <v>293</v>
      </c>
      <c r="U856" s="420" t="s">
        <v>294</v>
      </c>
      <c r="V856" s="440"/>
      <c r="W856" s="468"/>
      <c r="X856" s="436"/>
      <c r="Y856" s="442" t="str">
        <f>IF((W856/((J856/5780)^4))^0.5&gt;0,(W856/((J856/5780)^4))^0.5,"")</f>
        <v/>
      </c>
      <c r="Z856" s="469"/>
      <c r="AA856" s="470">
        <v>0.23</v>
      </c>
      <c r="AB856" s="426"/>
      <c r="AC856" s="469">
        <f>IF(ISNUMBER(VLOOKUP(B856,'New Masses'!A:C,3,FALSE)),VLOOKUP(B856,'New Masses'!A:C,3,FALSE),"")</f>
        <v>0.26492</v>
      </c>
      <c r="AD856" s="451">
        <f>10^(AE856)</f>
        <v>0</v>
      </c>
      <c r="AE856" s="436">
        <v>-12.6</v>
      </c>
      <c r="AF856" s="438"/>
      <c r="AG856" s="459">
        <v>0.021</v>
      </c>
      <c r="AH856" s="420"/>
      <c r="AI856" s="446">
        <f>IF(ISNUMBER(VLOOKUP(B856,'New Masses'!A:C,2, FALSE)),VLOOKUP(B856,'New Masses'!A:C,2, FALSE),"")</f>
        <v>0.023689</v>
      </c>
      <c r="AJ856" s="420"/>
      <c r="AK856" s="420"/>
      <c r="AL856" s="436">
        <v>-6.2</v>
      </c>
      <c r="AM856" s="438"/>
      <c r="AN856" s="436">
        <v>11.0</v>
      </c>
      <c r="AO856" s="438"/>
      <c r="AP856" s="436">
        <v>0.0</v>
      </c>
      <c r="AQ856" s="438"/>
      <c r="AR856" s="420" t="s">
        <v>2349</v>
      </c>
      <c r="AS856" s="420"/>
      <c r="AT856" s="438"/>
      <c r="AU856" s="438"/>
      <c r="AV856" s="438"/>
      <c r="AW856" s="450">
        <v>136.0</v>
      </c>
    </row>
    <row r="857">
      <c r="A857" s="435" t="str">
        <f t="shared" ref="A857:C857" si="734">A322</f>
        <v>2MASS J15414081-3345188</v>
      </c>
      <c r="B857" s="485" t="str">
        <f t="shared" si="734"/>
        <v>AKC2006-18</v>
      </c>
      <c r="C857" s="486" t="str">
        <f t="shared" si="734"/>
        <v/>
      </c>
      <c r="D857" s="486"/>
      <c r="E857" s="486"/>
      <c r="F857" s="528"/>
      <c r="G857" s="486"/>
      <c r="H857" s="486" t="s">
        <v>5917</v>
      </c>
      <c r="I857" s="491"/>
      <c r="J857" s="491"/>
      <c r="K857" s="491"/>
      <c r="L857" s="491"/>
      <c r="M857" s="486"/>
      <c r="N857" s="422"/>
      <c r="O857" s="422"/>
      <c r="P857" s="422"/>
      <c r="Q857" s="486"/>
      <c r="R857" s="491"/>
      <c r="S857" s="491"/>
      <c r="T857" s="491"/>
      <c r="U857" s="491"/>
      <c r="V857" s="491"/>
      <c r="W857" s="493"/>
      <c r="X857" s="486"/>
      <c r="Y857" s="442"/>
      <c r="Z857" s="491"/>
      <c r="AA857" s="619">
        <f>AC322</f>
        <v>0.524545</v>
      </c>
      <c r="AB857" s="494"/>
      <c r="AC857" s="436"/>
      <c r="AD857" s="495"/>
      <c r="AE857" s="491"/>
      <c r="AF857" s="491"/>
      <c r="AG857" s="525">
        <f>AI322</f>
        <v>0.045802</v>
      </c>
      <c r="AH857" s="491"/>
      <c r="AI857" s="446"/>
      <c r="AJ857" s="491"/>
      <c r="AK857" s="500"/>
      <c r="AL857" s="436"/>
      <c r="AM857" s="438"/>
      <c r="AN857" s="531"/>
      <c r="AO857" s="491"/>
      <c r="AP857" s="438"/>
      <c r="AQ857" s="438"/>
      <c r="AR857" s="438"/>
      <c r="AS857" s="438"/>
      <c r="AT857" s="438"/>
      <c r="AU857" s="438"/>
      <c r="AV857" s="438"/>
      <c r="AW857" s="450">
        <f>AW322</f>
        <v>149</v>
      </c>
    </row>
    <row r="858">
      <c r="A858" s="485" t="s">
        <v>600</v>
      </c>
      <c r="B858" s="485" t="s">
        <v>600</v>
      </c>
      <c r="C858" s="486"/>
      <c r="D858" s="486" t="s">
        <v>593</v>
      </c>
      <c r="E858" s="486"/>
      <c r="F858" s="528" t="s">
        <v>2663</v>
      </c>
      <c r="G858" s="486" t="s">
        <v>169</v>
      </c>
      <c r="H858" s="486" t="s">
        <v>594</v>
      </c>
      <c r="I858" s="545"/>
      <c r="J858" s="545"/>
      <c r="K858" s="545"/>
      <c r="L858" s="491"/>
      <c r="M858" s="486"/>
      <c r="N858" s="422"/>
      <c r="O858" s="422"/>
      <c r="P858" s="422"/>
      <c r="Q858" s="486" t="s">
        <v>2666</v>
      </c>
      <c r="R858" s="486" t="s">
        <v>2667</v>
      </c>
      <c r="S858" s="486" t="s">
        <v>2668</v>
      </c>
      <c r="T858" s="486" t="s">
        <v>596</v>
      </c>
      <c r="U858" s="486" t="s">
        <v>2669</v>
      </c>
      <c r="V858" s="486"/>
      <c r="W858" s="493"/>
      <c r="X858" s="495"/>
      <c r="Y858" s="442"/>
      <c r="Z858" s="495"/>
      <c r="AA858" s="524"/>
      <c r="AB858" s="546"/>
      <c r="AC858" s="436" t="str">
        <f>IF(ISNUMBER(VLOOKUP(B858,'New Masses'!A:C,3,FALSE)),VLOOKUP(B858,'New Masses'!A:C,3,FALSE),"")</f>
        <v/>
      </c>
      <c r="AD858" s="495">
        <f>2*10^(-8)/1048</f>
        <v>0</v>
      </c>
      <c r="AE858" s="495"/>
      <c r="AF858" s="547"/>
      <c r="AG858" s="548">
        <f>10.5/1048</f>
        <v>0.01001908397</v>
      </c>
      <c r="AH858" s="545"/>
      <c r="AI858" s="446" t="str">
        <f>IF(ISNUMBER(VLOOKUP(B858,'New Masses'!A:C,2, FALSE)),VLOOKUP(B858,'New Masses'!A:C,2, FALSE),"")</f>
        <v/>
      </c>
      <c r="AJ858" s="486"/>
      <c r="AK858" s="486"/>
      <c r="AL858" s="436"/>
      <c r="AM858" s="438"/>
      <c r="AN858" s="549">
        <v>5.4</v>
      </c>
      <c r="AO858" s="486" t="s">
        <v>5918</v>
      </c>
      <c r="AP858" s="438"/>
      <c r="AQ858" s="438"/>
      <c r="AR858" s="438"/>
      <c r="AS858" s="438"/>
      <c r="AT858" s="438"/>
      <c r="AU858" s="438"/>
      <c r="AV858" s="438"/>
      <c r="AW858" s="450"/>
    </row>
    <row r="859">
      <c r="A859" s="485" t="s">
        <v>600</v>
      </c>
      <c r="B859" s="485" t="s">
        <v>600</v>
      </c>
      <c r="C859" s="486"/>
      <c r="D859" s="486" t="s">
        <v>593</v>
      </c>
      <c r="E859" s="486"/>
      <c r="F859" s="528" t="s">
        <v>2663</v>
      </c>
      <c r="G859" s="486" t="s">
        <v>169</v>
      </c>
      <c r="H859" s="486" t="s">
        <v>816</v>
      </c>
      <c r="I859" s="486"/>
      <c r="J859" s="486"/>
      <c r="K859" s="486"/>
      <c r="L859" s="486" t="s">
        <v>434</v>
      </c>
      <c r="M859" s="491"/>
      <c r="N859" s="422"/>
      <c r="O859" s="422"/>
      <c r="P859" s="422"/>
      <c r="Q859" s="491"/>
      <c r="R859" s="486" t="s">
        <v>2664</v>
      </c>
      <c r="S859" s="486" t="s">
        <v>2665</v>
      </c>
      <c r="T859" s="486" t="s">
        <v>162</v>
      </c>
      <c r="U859" s="486" t="s">
        <v>2178</v>
      </c>
      <c r="V859" s="486"/>
      <c r="W859" s="529"/>
      <c r="X859" s="495"/>
      <c r="Y859" s="442"/>
      <c r="Z859" s="495"/>
      <c r="AA859" s="494">
        <f>0.10049</f>
        <v>0.10049</v>
      </c>
      <c r="AB859" s="539"/>
      <c r="AC859" s="436" t="str">
        <f>IF(ISNUMBER(VLOOKUP(B859,'New Masses'!A:C,3,FALSE)),VLOOKUP(B859,'New Masses'!A:C,3,FALSE),"")</f>
        <v/>
      </c>
      <c r="AD859" s="495">
        <f>10^(-8.7)/1048</f>
        <v>0</v>
      </c>
      <c r="AE859" s="495"/>
      <c r="AF859" s="495"/>
      <c r="AG859" s="541">
        <f>7/1048</f>
        <v>0.006679389313</v>
      </c>
      <c r="AH859" s="542"/>
      <c r="AI859" s="446" t="str">
        <f>IF(ISNUMBER(VLOOKUP(B859,'New Masses'!A:C,2, FALSE)),VLOOKUP(B859,'New Masses'!A:C,2, FALSE),"")</f>
        <v/>
      </c>
      <c r="AJ859" s="486"/>
      <c r="AK859" s="543"/>
      <c r="AL859" s="436"/>
      <c r="AM859" s="438"/>
      <c r="AN859" s="544">
        <v>5.0</v>
      </c>
      <c r="AO859" s="486" t="s">
        <v>5918</v>
      </c>
      <c r="AP859" s="454">
        <v>3.0</v>
      </c>
      <c r="AQ859" s="438"/>
      <c r="AR859" s="438"/>
      <c r="AS859" s="438"/>
      <c r="AT859" s="438"/>
      <c r="AU859" s="438"/>
      <c r="AV859" s="438"/>
      <c r="AW859" s="450"/>
    </row>
    <row r="860">
      <c r="A860" s="435" t="str">
        <f t="shared" ref="A860:C860" si="735">A325</f>
        <v>#REF!</v>
      </c>
      <c r="B860" s="485" t="str">
        <f t="shared" si="735"/>
        <v>#REF!</v>
      </c>
      <c r="C860" s="486" t="str">
        <f t="shared" si="735"/>
        <v>#REF!</v>
      </c>
      <c r="D860" s="486"/>
      <c r="E860" s="486"/>
      <c r="F860" s="528"/>
      <c r="G860" s="486"/>
      <c r="H860" s="486" t="s">
        <v>5917</v>
      </c>
      <c r="I860" s="491"/>
      <c r="J860" s="491"/>
      <c r="K860" s="491"/>
      <c r="L860" s="491"/>
      <c r="M860" s="486"/>
      <c r="N860" s="422"/>
      <c r="O860" s="422"/>
      <c r="P860" s="422"/>
      <c r="Q860" s="486"/>
      <c r="R860" s="491"/>
      <c r="S860" s="491"/>
      <c r="T860" s="491"/>
      <c r="U860" s="491"/>
      <c r="V860" s="491"/>
      <c r="W860" s="493"/>
      <c r="X860" s="486"/>
      <c r="Y860" s="442"/>
      <c r="Z860" s="491"/>
      <c r="AA860" s="524" t="str">
        <f t="shared" ref="AA860:AA861" si="737">AC325</f>
        <v/>
      </c>
      <c r="AB860" s="494"/>
      <c r="AC860" s="436"/>
      <c r="AD860" s="495"/>
      <c r="AE860" s="491"/>
      <c r="AF860" s="491"/>
      <c r="AG860" s="525" t="str">
        <f t="shared" ref="AG860:AG861" si="738">AI325</f>
        <v/>
      </c>
      <c r="AH860" s="491"/>
      <c r="AI860" s="446"/>
      <c r="AJ860" s="491"/>
      <c r="AK860" s="500"/>
      <c r="AL860" s="436"/>
      <c r="AM860" s="438"/>
      <c r="AN860" s="531"/>
      <c r="AO860" s="491"/>
      <c r="AP860" s="438"/>
      <c r="AQ860" s="438"/>
      <c r="AR860" s="438"/>
      <c r="AS860" s="438"/>
      <c r="AT860" s="438"/>
      <c r="AU860" s="438"/>
      <c r="AV860" s="438"/>
      <c r="AW860" s="450" t="str">
        <f t="shared" ref="AW860:AW861" si="739">AW325</f>
        <v>#REF!</v>
      </c>
    </row>
    <row r="861">
      <c r="A861" s="435" t="str">
        <f t="shared" ref="A861:C861" si="736">A326</f>
        <v>2MASS J15450887-3417333</v>
      </c>
      <c r="B861" s="485" t="str">
        <f t="shared" si="736"/>
        <v>SSTc2dJ154508.9-341734</v>
      </c>
      <c r="C861" s="486" t="str">
        <f t="shared" si="736"/>
        <v/>
      </c>
      <c r="D861" s="486"/>
      <c r="E861" s="486"/>
      <c r="F861" s="528"/>
      <c r="G861" s="486"/>
      <c r="H861" s="486" t="s">
        <v>5917</v>
      </c>
      <c r="I861" s="491"/>
      <c r="J861" s="491"/>
      <c r="K861" s="491"/>
      <c r="L861" s="491"/>
      <c r="M861" s="486"/>
      <c r="N861" s="422"/>
      <c r="O861" s="422"/>
      <c r="P861" s="422"/>
      <c r="Q861" s="486"/>
      <c r="R861" s="491"/>
      <c r="S861" s="491"/>
      <c r="T861" s="491"/>
      <c r="U861" s="491"/>
      <c r="V861" s="491"/>
      <c r="W861" s="493"/>
      <c r="X861" s="486"/>
      <c r="Y861" s="442"/>
      <c r="Z861" s="491"/>
      <c r="AA861" s="524" t="str">
        <f t="shared" si="737"/>
        <v/>
      </c>
      <c r="AB861" s="494"/>
      <c r="AC861" s="436"/>
      <c r="AD861" s="495"/>
      <c r="AE861" s="491"/>
      <c r="AF861" s="491"/>
      <c r="AG861" s="525" t="str">
        <f t="shared" si="738"/>
        <v/>
      </c>
      <c r="AH861" s="491"/>
      <c r="AI861" s="446"/>
      <c r="AJ861" s="491"/>
      <c r="AK861" s="500"/>
      <c r="AL861" s="436"/>
      <c r="AM861" s="438"/>
      <c r="AN861" s="531"/>
      <c r="AO861" s="491"/>
      <c r="AP861" s="438"/>
      <c r="AQ861" s="438"/>
      <c r="AR861" s="438"/>
      <c r="AS861" s="438"/>
      <c r="AT861" s="438"/>
      <c r="AU861" s="438"/>
      <c r="AV861" s="438"/>
      <c r="AW861" s="450">
        <f t="shared" si="739"/>
        <v>154.9594781</v>
      </c>
    </row>
    <row r="862">
      <c r="A862" s="485" t="s">
        <v>2670</v>
      </c>
      <c r="B862" s="485" t="s">
        <v>2670</v>
      </c>
      <c r="C862" s="486"/>
      <c r="D862" s="486" t="s">
        <v>593</v>
      </c>
      <c r="E862" s="486"/>
      <c r="F862" s="528" t="s">
        <v>2663</v>
      </c>
      <c r="G862" s="486" t="s">
        <v>169</v>
      </c>
      <c r="H862" s="486" t="s">
        <v>807</v>
      </c>
      <c r="I862" s="491"/>
      <c r="J862" s="491"/>
      <c r="K862" s="491"/>
      <c r="L862" s="491"/>
      <c r="M862" s="486"/>
      <c r="N862" s="422"/>
      <c r="O862" s="422"/>
      <c r="P862" s="422"/>
      <c r="Q862" s="486" t="s">
        <v>2671</v>
      </c>
      <c r="R862" s="491"/>
      <c r="S862" s="491"/>
      <c r="T862" s="491"/>
      <c r="U862" s="491"/>
      <c r="V862" s="491"/>
      <c r="W862" s="493"/>
      <c r="X862" s="486"/>
      <c r="Y862" s="442"/>
      <c r="Z862" s="491"/>
      <c r="AA862" s="524"/>
      <c r="AB862" s="494"/>
      <c r="AC862" s="436" t="str">
        <f>IF(ISNUMBER(VLOOKUP(B862,'New Masses'!A:C,3,FALSE)),VLOOKUP(B862,'New Masses'!A:C,3,FALSE),"")</f>
        <v/>
      </c>
      <c r="AD862" s="486">
        <f>4*(10^-8)/1048</f>
        <v>0</v>
      </c>
      <c r="AE862" s="491"/>
      <c r="AF862" s="491"/>
      <c r="AG862" s="525">
        <f>12/1048</f>
        <v>0.01145038168</v>
      </c>
      <c r="AH862" s="491"/>
      <c r="AI862" s="446" t="str">
        <f>IF(ISNUMBER(VLOOKUP(B862,'New Masses'!A:C,2, FALSE)),VLOOKUP(B862,'New Masses'!A:C,2, FALSE),"")</f>
        <v/>
      </c>
      <c r="AJ862" s="491"/>
      <c r="AK862" s="500"/>
      <c r="AL862" s="436"/>
      <c r="AM862" s="438"/>
      <c r="AN862" s="497">
        <v>5.4</v>
      </c>
      <c r="AO862" s="486" t="s">
        <v>5918</v>
      </c>
      <c r="AP862" s="438"/>
      <c r="AQ862" s="438"/>
      <c r="AR862" s="438"/>
      <c r="AS862" s="438"/>
      <c r="AT862" s="438"/>
      <c r="AU862" s="438"/>
      <c r="AV862" s="438"/>
      <c r="AW862" s="450"/>
    </row>
    <row r="863">
      <c r="A863" s="435" t="str">
        <f t="shared" ref="A863:C863" si="740">A328</f>
        <v>2MASS J15591135-2338002</v>
      </c>
      <c r="B863" s="485" t="str">
        <f t="shared" si="740"/>
        <v>UScoCTIO 128</v>
      </c>
      <c r="C863" s="486" t="str">
        <f t="shared" si="740"/>
        <v/>
      </c>
      <c r="D863" s="486"/>
      <c r="E863" s="486"/>
      <c r="F863" s="528"/>
      <c r="G863" s="486"/>
      <c r="H863" s="486" t="s">
        <v>5917</v>
      </c>
      <c r="I863" s="491"/>
      <c r="J863" s="491"/>
      <c r="K863" s="491"/>
      <c r="L863" s="491"/>
      <c r="M863" s="486"/>
      <c r="N863" s="422"/>
      <c r="O863" s="422"/>
      <c r="P863" s="422"/>
      <c r="Q863" s="486"/>
      <c r="R863" s="491"/>
      <c r="S863" s="491"/>
      <c r="T863" s="491"/>
      <c r="U863" s="491"/>
      <c r="V863" s="491"/>
      <c r="W863" s="493"/>
      <c r="X863" s="486"/>
      <c r="Y863" s="442"/>
      <c r="Z863" s="491"/>
      <c r="AA863" s="619">
        <f>AC328</f>
        <v>0.29591</v>
      </c>
      <c r="AB863" s="494"/>
      <c r="AC863" s="436"/>
      <c r="AD863" s="495"/>
      <c r="AE863" s="491"/>
      <c r="AF863" s="491"/>
      <c r="AG863" s="525">
        <f>AI328</f>
        <v>0.039758</v>
      </c>
      <c r="AH863" s="491"/>
      <c r="AI863" s="446"/>
      <c r="AJ863" s="491"/>
      <c r="AK863" s="500"/>
      <c r="AL863" s="436"/>
      <c r="AM863" s="438"/>
      <c r="AN863" s="531"/>
      <c r="AO863" s="491"/>
      <c r="AP863" s="438"/>
      <c r="AQ863" s="438"/>
      <c r="AR863" s="438"/>
      <c r="AS863" s="438"/>
      <c r="AT863" s="438"/>
      <c r="AU863" s="438"/>
      <c r="AV863" s="438"/>
      <c r="AW863" s="450">
        <f>AW328</f>
        <v>139.9403854</v>
      </c>
    </row>
    <row r="864">
      <c r="A864" s="485" t="s">
        <v>592</v>
      </c>
      <c r="B864" s="485" t="s">
        <v>592</v>
      </c>
      <c r="C864" s="486"/>
      <c r="D864" s="486" t="s">
        <v>593</v>
      </c>
      <c r="E864" s="486"/>
      <c r="F864" s="528" t="s">
        <v>2663</v>
      </c>
      <c r="G864" s="486" t="s">
        <v>169</v>
      </c>
      <c r="H864" s="486" t="s">
        <v>594</v>
      </c>
      <c r="I864" s="545"/>
      <c r="J864" s="545"/>
      <c r="K864" s="545"/>
      <c r="L864" s="491"/>
      <c r="M864" s="486"/>
      <c r="N864" s="422"/>
      <c r="O864" s="422"/>
      <c r="P864" s="422"/>
      <c r="Q864" s="486" t="s">
        <v>2666</v>
      </c>
      <c r="R864" s="486" t="s">
        <v>2667</v>
      </c>
      <c r="S864" s="486" t="s">
        <v>2668</v>
      </c>
      <c r="T864" s="486" t="s">
        <v>596</v>
      </c>
      <c r="U864" s="486" t="s">
        <v>2669</v>
      </c>
      <c r="V864" s="486"/>
      <c r="W864" s="493"/>
      <c r="X864" s="495"/>
      <c r="Y864" s="442"/>
      <c r="Z864" s="495"/>
      <c r="AA864" s="524"/>
      <c r="AB864" s="546"/>
      <c r="AC864" s="436" t="str">
        <f>IF(ISNUMBER(VLOOKUP(B864,'New Masses'!A:C,3,FALSE)),VLOOKUP(B864,'New Masses'!A:C,3,FALSE),"")</f>
        <v/>
      </c>
      <c r="AD864" s="495">
        <f> 1* 10^(-8)/1048</f>
        <v>0</v>
      </c>
      <c r="AE864" s="495"/>
      <c r="AF864" s="550"/>
      <c r="AG864" s="548">
        <f>4.4/1048</f>
        <v>0.004198473282</v>
      </c>
      <c r="AH864" s="545"/>
      <c r="AI864" s="446" t="str">
        <f>IF(ISNUMBER(VLOOKUP(B864,'New Masses'!A:C,2, FALSE)),VLOOKUP(B864,'New Masses'!A:C,2, FALSE),"")</f>
        <v/>
      </c>
      <c r="AJ864" s="486"/>
      <c r="AK864" s="500"/>
      <c r="AL864" s="436"/>
      <c r="AM864" s="438"/>
      <c r="AN864" s="549">
        <v>5.4</v>
      </c>
      <c r="AO864" s="486" t="s">
        <v>5918</v>
      </c>
      <c r="AP864" s="438"/>
      <c r="AQ864" s="438"/>
      <c r="AR864" s="438"/>
      <c r="AS864" s="438"/>
      <c r="AT864" s="438"/>
      <c r="AU864" s="438"/>
      <c r="AV864" s="438"/>
      <c r="AW864" s="450"/>
    </row>
    <row r="865">
      <c r="A865" s="485" t="s">
        <v>592</v>
      </c>
      <c r="B865" s="485" t="s">
        <v>592</v>
      </c>
      <c r="C865" s="486"/>
      <c r="D865" s="486" t="s">
        <v>593</v>
      </c>
      <c r="E865" s="486"/>
      <c r="F865" s="528" t="s">
        <v>2663</v>
      </c>
      <c r="G865" s="486" t="s">
        <v>169</v>
      </c>
      <c r="H865" s="486" t="s">
        <v>807</v>
      </c>
      <c r="I865" s="491"/>
      <c r="J865" s="491"/>
      <c r="K865" s="491"/>
      <c r="L865" s="491"/>
      <c r="M865" s="486"/>
      <c r="N865" s="422"/>
      <c r="O865" s="422"/>
      <c r="P865" s="422"/>
      <c r="Q865" s="486" t="s">
        <v>2671</v>
      </c>
      <c r="R865" s="491"/>
      <c r="S865" s="491"/>
      <c r="T865" s="491"/>
      <c r="U865" s="491"/>
      <c r="V865" s="491"/>
      <c r="W865" s="493"/>
      <c r="X865" s="486"/>
      <c r="Y865" s="442"/>
      <c r="Z865" s="491"/>
      <c r="AA865" s="524"/>
      <c r="AB865" s="494"/>
      <c r="AC865" s="436" t="str">
        <f>IF(ISNUMBER(VLOOKUP(B865,'New Masses'!A:C,3,FALSE)),VLOOKUP(B865,'New Masses'!A:C,3,FALSE),"")</f>
        <v/>
      </c>
      <c r="AD865" s="495">
        <f>10^(-8)/1048</f>
        <v>0</v>
      </c>
      <c r="AE865" s="491"/>
      <c r="AF865" s="491"/>
      <c r="AG865" s="525">
        <f>10/1048</f>
        <v>0.009541984733</v>
      </c>
      <c r="AH865" s="491"/>
      <c r="AI865" s="446" t="str">
        <f>IF(ISNUMBER(VLOOKUP(B865,'New Masses'!A:C,2, FALSE)),VLOOKUP(B865,'New Masses'!A:C,2, FALSE),"")</f>
        <v/>
      </c>
      <c r="AJ865" s="491"/>
      <c r="AK865" s="500"/>
      <c r="AL865" s="436"/>
      <c r="AM865" s="438"/>
      <c r="AN865" s="497">
        <v>5.4</v>
      </c>
      <c r="AO865" s="486" t="s">
        <v>5918</v>
      </c>
      <c r="AP865" s="438"/>
      <c r="AQ865" s="438"/>
      <c r="AR865" s="438"/>
      <c r="AS865" s="438"/>
      <c r="AT865" s="438"/>
      <c r="AU865" s="438"/>
      <c r="AV865" s="438"/>
      <c r="AW865" s="450"/>
    </row>
    <row r="866">
      <c r="A866" s="435" t="str">
        <f t="shared" ref="A866:C866" si="741">A331</f>
        <v>#REF!</v>
      </c>
      <c r="B866" s="485" t="str">
        <f t="shared" si="741"/>
        <v>#REF!</v>
      </c>
      <c r="C866" s="486" t="str">
        <f t="shared" si="741"/>
        <v>#REF!</v>
      </c>
      <c r="D866" s="486"/>
      <c r="E866" s="486"/>
      <c r="F866" s="528"/>
      <c r="G866" s="486"/>
      <c r="H866" s="486" t="s">
        <v>5917</v>
      </c>
      <c r="I866" s="491"/>
      <c r="J866" s="491"/>
      <c r="K866" s="491"/>
      <c r="L866" s="491"/>
      <c r="M866" s="486"/>
      <c r="N866" s="422"/>
      <c r="O866" s="422"/>
      <c r="P866" s="422"/>
      <c r="Q866" s="486"/>
      <c r="R866" s="491"/>
      <c r="S866" s="491"/>
      <c r="T866" s="491"/>
      <c r="U866" s="491"/>
      <c r="V866" s="491"/>
      <c r="W866" s="493"/>
      <c r="X866" s="486"/>
      <c r="Y866" s="442"/>
      <c r="Z866" s="491"/>
      <c r="AA866" s="524" t="str">
        <f t="shared" ref="AA866:AA867" si="743">AC331</f>
        <v/>
      </c>
      <c r="AB866" s="494"/>
      <c r="AC866" s="436"/>
      <c r="AD866" s="495"/>
      <c r="AE866" s="491"/>
      <c r="AF866" s="491"/>
      <c r="AG866" s="525" t="str">
        <f t="shared" ref="AG866:AG867" si="744">AI331</f>
        <v/>
      </c>
      <c r="AH866" s="491"/>
      <c r="AI866" s="446"/>
      <c r="AJ866" s="491"/>
      <c r="AK866" s="500"/>
      <c r="AL866" s="436"/>
      <c r="AM866" s="438"/>
      <c r="AN866" s="531"/>
      <c r="AO866" s="491"/>
      <c r="AP866" s="438"/>
      <c r="AQ866" s="438"/>
      <c r="AR866" s="438"/>
      <c r="AS866" s="438"/>
      <c r="AT866" s="438"/>
      <c r="AU866" s="438"/>
      <c r="AV866" s="438"/>
      <c r="AW866" s="450" t="str">
        <f t="shared" ref="AW866:AW867" si="745">AW331</f>
        <v>#REF!</v>
      </c>
    </row>
    <row r="867">
      <c r="A867" s="435" t="str">
        <f t="shared" ref="A867:C867" si="742">A332</f>
        <v>2MASS J16060374-2219298</v>
      </c>
      <c r="B867" s="485" t="str">
        <f t="shared" si="742"/>
        <v>Usco J160603.75-221930.0</v>
      </c>
      <c r="C867" s="486" t="str">
        <f t="shared" si="742"/>
        <v/>
      </c>
      <c r="D867" s="486"/>
      <c r="E867" s="486"/>
      <c r="F867" s="528"/>
      <c r="G867" s="486"/>
      <c r="H867" s="486" t="s">
        <v>5917</v>
      </c>
      <c r="I867" s="491"/>
      <c r="J867" s="491"/>
      <c r="K867" s="491"/>
      <c r="L867" s="491"/>
      <c r="M867" s="486"/>
      <c r="N867" s="422"/>
      <c r="O867" s="422"/>
      <c r="P867" s="422"/>
      <c r="Q867" s="486"/>
      <c r="R867" s="491"/>
      <c r="S867" s="491"/>
      <c r="T867" s="491"/>
      <c r="U867" s="491"/>
      <c r="V867" s="491"/>
      <c r="W867" s="493"/>
      <c r="X867" s="486"/>
      <c r="Y867" s="442"/>
      <c r="Z867" s="491"/>
      <c r="AA867" s="619">
        <f t="shared" si="743"/>
        <v>0.26492</v>
      </c>
      <c r="AB867" s="494"/>
      <c r="AC867" s="436"/>
      <c r="AD867" s="495"/>
      <c r="AE867" s="491"/>
      <c r="AF867" s="491"/>
      <c r="AG867" s="525">
        <f t="shared" si="744"/>
        <v>0.023689</v>
      </c>
      <c r="AH867" s="491"/>
      <c r="AI867" s="446"/>
      <c r="AJ867" s="491"/>
      <c r="AK867" s="500"/>
      <c r="AL867" s="436"/>
      <c r="AM867" s="438"/>
      <c r="AN867" s="531"/>
      <c r="AO867" s="491"/>
      <c r="AP867" s="438"/>
      <c r="AQ867" s="438"/>
      <c r="AR867" s="438"/>
      <c r="AS867" s="438"/>
      <c r="AT867" s="438"/>
      <c r="AU867" s="438"/>
      <c r="AV867" s="438"/>
      <c r="AW867" s="450" t="str">
        <f t="shared" si="745"/>
        <v/>
      </c>
    </row>
    <row r="868">
      <c r="A868" s="451" t="s">
        <v>560</v>
      </c>
      <c r="B868" s="451" t="s">
        <v>560</v>
      </c>
      <c r="C868" s="440"/>
      <c r="D868" s="440" t="s">
        <v>314</v>
      </c>
      <c r="E868" s="440"/>
      <c r="F868" s="451" t="s">
        <v>2672</v>
      </c>
      <c r="G868" s="440" t="s">
        <v>169</v>
      </c>
      <c r="H868" s="440" t="s">
        <v>476</v>
      </c>
      <c r="I868" s="436">
        <v>2010.0</v>
      </c>
      <c r="J868" s="460">
        <v>3705.0</v>
      </c>
      <c r="K868" s="460">
        <v>171.0</v>
      </c>
      <c r="L868" s="460" t="s">
        <v>419</v>
      </c>
      <c r="M868" s="461">
        <v>0.5</v>
      </c>
      <c r="N868" s="422">
        <v>10.396</v>
      </c>
      <c r="O868" s="422">
        <v>9.303</v>
      </c>
      <c r="P868" s="422">
        <v>12.91</v>
      </c>
      <c r="Q868" s="440" t="s">
        <v>2189</v>
      </c>
      <c r="R868" s="451" t="s">
        <v>2190</v>
      </c>
      <c r="S868" s="451" t="s">
        <v>2191</v>
      </c>
      <c r="T868" s="462" t="s">
        <v>162</v>
      </c>
      <c r="U868" s="451" t="s">
        <v>2192</v>
      </c>
      <c r="V868" s="440"/>
      <c r="W868" s="463"/>
      <c r="X868" s="437"/>
      <c r="Y868" s="442" t="str">
        <f>IF((W868/((J868/5780)^4))^0.5&gt;0,(W868/((J868/5780)^4))^0.5,"")</f>
        <v/>
      </c>
      <c r="Z868" s="464"/>
      <c r="AA868" s="465">
        <v>1.17</v>
      </c>
      <c r="AB868" s="465">
        <v>0.27</v>
      </c>
      <c r="AC868" s="436" t="str">
        <f>IF(ISNUMBER(VLOOKUP(B868,'New Masses'!A:C,3,FALSE)),VLOOKUP(B868,'New Masses'!A:C,3,FALSE),"")</f>
        <v/>
      </c>
      <c r="AD868" s="440">
        <f>10^AE868</f>
        <v>0.00000001288249552</v>
      </c>
      <c r="AE868" s="460">
        <v>-7.89</v>
      </c>
      <c r="AF868" s="440"/>
      <c r="AG868" s="445">
        <v>0.46</v>
      </c>
      <c r="AH868" s="460">
        <v>0.12</v>
      </c>
      <c r="AI868" s="446" t="str">
        <f>IF(ISNUMBER(VLOOKUP(B868,'New Masses'!A:C,2, FALSE)),VLOOKUP(B868,'New Masses'!A:C,2, FALSE),"")</f>
        <v/>
      </c>
      <c r="AJ868" s="440">
        <f>LOG10(AG868)</f>
        <v>-0.3372421683</v>
      </c>
      <c r="AK868" s="460"/>
      <c r="AL868" s="460">
        <v>-0.9</v>
      </c>
      <c r="AM868" s="466">
        <v>43900.0</v>
      </c>
      <c r="AN868" s="436">
        <v>3.0</v>
      </c>
      <c r="AO868" s="440"/>
      <c r="AP868" s="440"/>
      <c r="AQ868" s="440"/>
      <c r="AR868" s="440"/>
      <c r="AS868" s="440"/>
      <c r="AT868" s="440"/>
      <c r="AU868" s="440"/>
      <c r="AV868" s="440"/>
      <c r="AW868" s="450">
        <v>158.010333875835</v>
      </c>
    </row>
    <row r="869">
      <c r="A869" s="435" t="str">
        <f t="shared" ref="A869:C869" si="746">A334</f>
        <v>2MASS J16072382-2211018</v>
      </c>
      <c r="B869" s="485" t="str">
        <f t="shared" si="746"/>
        <v>USco J160723.82221102.0</v>
      </c>
      <c r="C869" s="486" t="str">
        <f t="shared" si="746"/>
        <v/>
      </c>
      <c r="D869" s="486"/>
      <c r="E869" s="486"/>
      <c r="F869" s="528"/>
      <c r="G869" s="486"/>
      <c r="H869" s="486" t="s">
        <v>5917</v>
      </c>
      <c r="I869" s="491"/>
      <c r="J869" s="491"/>
      <c r="K869" s="491"/>
      <c r="L869" s="491"/>
      <c r="M869" s="486"/>
      <c r="N869" s="422"/>
      <c r="O869" s="422"/>
      <c r="P869" s="422"/>
      <c r="Q869" s="486"/>
      <c r="R869" s="491"/>
      <c r="S869" s="491"/>
      <c r="T869" s="491"/>
      <c r="U869" s="491"/>
      <c r="V869" s="491"/>
      <c r="W869" s="493"/>
      <c r="X869" s="486"/>
      <c r="Y869" s="442"/>
      <c r="Z869" s="491"/>
      <c r="AA869" s="619">
        <f>AC334</f>
        <v>0.270086</v>
      </c>
      <c r="AB869" s="494"/>
      <c r="AC869" s="436"/>
      <c r="AD869" s="495"/>
      <c r="AE869" s="491"/>
      <c r="AF869" s="491"/>
      <c r="AG869" s="525">
        <f>AI334</f>
        <v>0.025279</v>
      </c>
      <c r="AH869" s="491"/>
      <c r="AI869" s="446"/>
      <c r="AJ869" s="491"/>
      <c r="AK869" s="500"/>
      <c r="AL869" s="436"/>
      <c r="AM869" s="438"/>
      <c r="AN869" s="531"/>
      <c r="AO869" s="491"/>
      <c r="AP869" s="438"/>
      <c r="AQ869" s="438"/>
      <c r="AR869" s="438"/>
      <c r="AS869" s="438"/>
      <c r="AT869" s="438"/>
      <c r="AU869" s="438"/>
      <c r="AV869" s="438"/>
      <c r="AW869" s="450">
        <f>AW334</f>
        <v>119.3061156</v>
      </c>
    </row>
    <row r="870">
      <c r="A870" s="435" t="s">
        <v>588</v>
      </c>
      <c r="B870" s="435" t="s">
        <v>588</v>
      </c>
      <c r="C870" s="440"/>
      <c r="D870" s="440" t="s">
        <v>314</v>
      </c>
      <c r="E870" s="440"/>
      <c r="F870" s="451" t="s">
        <v>2673</v>
      </c>
      <c r="G870" s="440" t="s">
        <v>159</v>
      </c>
      <c r="H870" s="440" t="s">
        <v>476</v>
      </c>
      <c r="I870" s="436">
        <v>2015.0</v>
      </c>
      <c r="J870" s="460">
        <v>4900.0</v>
      </c>
      <c r="K870" s="460">
        <v>226.0</v>
      </c>
      <c r="L870" s="460" t="s">
        <v>589</v>
      </c>
      <c r="M870" s="461">
        <v>1.0</v>
      </c>
      <c r="N870" s="422">
        <v>8.546</v>
      </c>
      <c r="O870" s="422">
        <v>6.976</v>
      </c>
      <c r="P870" s="422"/>
      <c r="Q870" s="440" t="s">
        <v>2189</v>
      </c>
      <c r="R870" s="451" t="s">
        <v>2190</v>
      </c>
      <c r="S870" s="451" t="s">
        <v>2191</v>
      </c>
      <c r="T870" s="462" t="s">
        <v>162</v>
      </c>
      <c r="U870" s="451" t="s">
        <v>2192</v>
      </c>
      <c r="V870" s="440"/>
      <c r="W870" s="463"/>
      <c r="X870" s="437"/>
      <c r="Y870" s="442" t="str">
        <f>IF((W870/((J870/5780)^4))^0.5&gt;0,(W870/((J870/5780)^4))^0.5,"")</f>
        <v/>
      </c>
      <c r="Z870" s="464"/>
      <c r="AA870" s="465">
        <v>1.79</v>
      </c>
      <c r="AB870" s="465">
        <v>0.38</v>
      </c>
      <c r="AC870" s="436" t="str">
        <f>IF(ISNUMBER(VLOOKUP(B870,'New Masses'!A:C,3,FALSE)),VLOOKUP(B870,'New Masses'!A:C,3,FALSE),"")</f>
        <v/>
      </c>
      <c r="AD870" s="440">
        <f>10^AE870</f>
        <v>0.000000006165950019</v>
      </c>
      <c r="AE870" s="460">
        <v>-8.21</v>
      </c>
      <c r="AF870" s="440"/>
      <c r="AG870" s="445">
        <v>1.47</v>
      </c>
      <c r="AH870" s="460">
        <v>0.22</v>
      </c>
      <c r="AI870" s="446" t="str">
        <f>IF(ISNUMBER(VLOOKUP(B870,'New Masses'!A:C,2, FALSE)),VLOOKUP(B870,'New Masses'!A:C,2, FALSE),"")</f>
        <v/>
      </c>
      <c r="AJ870" s="440">
        <f>LOG10(AG870)</f>
        <v>0.1673173347</v>
      </c>
      <c r="AK870" s="460"/>
      <c r="AL870" s="460">
        <v>-0.9</v>
      </c>
      <c r="AM870" s="466">
        <v>43900.0</v>
      </c>
      <c r="AN870" s="436">
        <v>3.0</v>
      </c>
      <c r="AO870" s="440"/>
      <c r="AP870" s="440"/>
      <c r="AQ870" s="440"/>
      <c r="AR870" s="440"/>
      <c r="AS870" s="440"/>
      <c r="AT870" s="440"/>
      <c r="AU870" s="440"/>
      <c r="AV870" s="440"/>
      <c r="AW870" s="450">
        <v>159.09886403411</v>
      </c>
    </row>
    <row r="871">
      <c r="A871" s="435" t="str">
        <f t="shared" ref="A871:C871" si="747">A336</f>
        <v>2MASS J16073773-3921388</v>
      </c>
      <c r="B871" s="485" t="str">
        <f t="shared" si="747"/>
        <v>Lup713</v>
      </c>
      <c r="C871" s="486" t="str">
        <f t="shared" si="747"/>
        <v/>
      </c>
      <c r="D871" s="486"/>
      <c r="E871" s="486"/>
      <c r="F871" s="528"/>
      <c r="G871" s="486"/>
      <c r="H871" s="486" t="s">
        <v>5917</v>
      </c>
      <c r="I871" s="491"/>
      <c r="J871" s="491"/>
      <c r="K871" s="491"/>
      <c r="L871" s="491"/>
      <c r="M871" s="486"/>
      <c r="N871" s="422"/>
      <c r="O871" s="422"/>
      <c r="P871" s="422"/>
      <c r="Q871" s="486"/>
      <c r="R871" s="491"/>
      <c r="S871" s="491"/>
      <c r="T871" s="491"/>
      <c r="U871" s="491"/>
      <c r="V871" s="491"/>
      <c r="W871" s="493"/>
      <c r="X871" s="486"/>
      <c r="Y871" s="442"/>
      <c r="Z871" s="491"/>
      <c r="AA871" s="524" t="str">
        <f>AC336</f>
        <v/>
      </c>
      <c r="AB871" s="494"/>
      <c r="AC871" s="436"/>
      <c r="AD871" s="495"/>
      <c r="AE871" s="491"/>
      <c r="AF871" s="491"/>
      <c r="AG871" s="525" t="str">
        <f>AI336</f>
        <v/>
      </c>
      <c r="AH871" s="491"/>
      <c r="AI871" s="446"/>
      <c r="AJ871" s="491"/>
      <c r="AK871" s="500"/>
      <c r="AL871" s="436"/>
      <c r="AM871" s="438"/>
      <c r="AN871" s="531"/>
      <c r="AO871" s="491"/>
      <c r="AP871" s="438"/>
      <c r="AQ871" s="438"/>
      <c r="AR871" s="438"/>
      <c r="AS871" s="438"/>
      <c r="AT871" s="438"/>
      <c r="AU871" s="438"/>
      <c r="AV871" s="438"/>
      <c r="AW871" s="450">
        <f>AW336</f>
        <v>174.3952844</v>
      </c>
    </row>
    <row r="872">
      <c r="A872" s="451" t="s">
        <v>487</v>
      </c>
      <c r="B872" s="451" t="s">
        <v>487</v>
      </c>
      <c r="C872" s="451"/>
      <c r="D872" s="440" t="s">
        <v>314</v>
      </c>
      <c r="E872" s="440"/>
      <c r="F872" s="451" t="s">
        <v>2674</v>
      </c>
      <c r="G872" s="440" t="s">
        <v>169</v>
      </c>
      <c r="H872" s="440" t="s">
        <v>476</v>
      </c>
      <c r="I872" s="436">
        <v>2015.0</v>
      </c>
      <c r="J872" s="460">
        <v>2935.0</v>
      </c>
      <c r="K872" s="460">
        <v>68.0</v>
      </c>
      <c r="L872" s="460" t="s">
        <v>217</v>
      </c>
      <c r="M872" s="461">
        <v>0.5</v>
      </c>
      <c r="N872" s="422">
        <v>11.644</v>
      </c>
      <c r="O872" s="422">
        <v>10.482</v>
      </c>
      <c r="P872" s="422">
        <v>17.35</v>
      </c>
      <c r="Q872" s="440" t="s">
        <v>2189</v>
      </c>
      <c r="R872" s="451" t="s">
        <v>2190</v>
      </c>
      <c r="S872" s="451" t="s">
        <v>2191</v>
      </c>
      <c r="T872" s="462" t="s">
        <v>162</v>
      </c>
      <c r="U872" s="451" t="s">
        <v>2192</v>
      </c>
      <c r="V872" s="440"/>
      <c r="W872" s="463"/>
      <c r="X872" s="437"/>
      <c r="Y872" s="442" t="str">
        <f>IF((W872/((J872/5780)^4))^0.5&gt;0,(W872/((J872/5780)^4))^0.5,"")</f>
        <v/>
      </c>
      <c r="Z872" s="464"/>
      <c r="AA872" s="465">
        <v>0.78</v>
      </c>
      <c r="AB872" s="465">
        <v>0.17</v>
      </c>
      <c r="AC872" s="436" t="str">
        <f>IF(ISNUMBER(VLOOKUP(B872,'New Masses'!A:C,3,FALSE)),VLOOKUP(B872,'New Masses'!A:C,3,FALSE),"")</f>
        <v/>
      </c>
      <c r="AD872" s="440">
        <f>10^AE872</f>
        <v>0</v>
      </c>
      <c r="AE872" s="460">
        <v>-10.8</v>
      </c>
      <c r="AF872" s="440"/>
      <c r="AG872" s="445">
        <v>0.1</v>
      </c>
      <c r="AH872" s="460">
        <v>0.01</v>
      </c>
      <c r="AI872" s="446" t="str">
        <f>IF(ISNUMBER(VLOOKUP(B872,'New Masses'!A:C,2, FALSE)),VLOOKUP(B872,'New Masses'!A:C,2, FALSE),"")</f>
        <v/>
      </c>
      <c r="AJ872" s="440">
        <f>LOG10(AG872)</f>
        <v>-1</v>
      </c>
      <c r="AK872" s="460"/>
      <c r="AL872" s="460">
        <v>-4.3</v>
      </c>
      <c r="AM872" s="466">
        <v>43900.0</v>
      </c>
      <c r="AN872" s="436">
        <v>3.0</v>
      </c>
      <c r="AO872" s="440"/>
      <c r="AP872" s="440"/>
      <c r="AQ872" s="440"/>
      <c r="AR872" s="440"/>
      <c r="AS872" s="440"/>
      <c r="AT872" s="440"/>
      <c r="AU872" s="440"/>
      <c r="AV872" s="440"/>
      <c r="AW872" s="450">
        <v>151.765795025117</v>
      </c>
    </row>
    <row r="873">
      <c r="A873" s="435" t="str">
        <f t="shared" ref="A873:C873" si="748">A338</f>
        <v>2MASS J16081497-3857145</v>
      </c>
      <c r="B873" s="485" t="str">
        <f t="shared" si="748"/>
        <v>2MASS J16081497-3857145</v>
      </c>
      <c r="C873" s="486" t="str">
        <f t="shared" si="748"/>
        <v/>
      </c>
      <c r="D873" s="486"/>
      <c r="E873" s="486"/>
      <c r="F873" s="528"/>
      <c r="G873" s="486"/>
      <c r="H873" s="486" t="s">
        <v>5917</v>
      </c>
      <c r="I873" s="491"/>
      <c r="J873" s="491"/>
      <c r="K873" s="491"/>
      <c r="L873" s="491"/>
      <c r="M873" s="486"/>
      <c r="N873" s="422"/>
      <c r="O873" s="422"/>
      <c r="P873" s="422"/>
      <c r="Q873" s="486"/>
      <c r="R873" s="491"/>
      <c r="S873" s="491"/>
      <c r="T873" s="491"/>
      <c r="U873" s="491"/>
      <c r="V873" s="491"/>
      <c r="W873" s="493"/>
      <c r="X873" s="486"/>
      <c r="Y873" s="442"/>
      <c r="Z873" s="491"/>
      <c r="AA873" s="524" t="str">
        <f>AC338</f>
        <v/>
      </c>
      <c r="AB873" s="494"/>
      <c r="AC873" s="436"/>
      <c r="AD873" s="495"/>
      <c r="AE873" s="491"/>
      <c r="AF873" s="491"/>
      <c r="AG873" s="525" t="str">
        <f>AI338</f>
        <v/>
      </c>
      <c r="AH873" s="491"/>
      <c r="AI873" s="446"/>
      <c r="AJ873" s="491"/>
      <c r="AK873" s="500"/>
      <c r="AL873" s="436"/>
      <c r="AM873" s="438"/>
      <c r="AN873" s="531"/>
      <c r="AO873" s="491"/>
      <c r="AP873" s="438"/>
      <c r="AQ873" s="438"/>
      <c r="AR873" s="438"/>
      <c r="AS873" s="438"/>
      <c r="AT873" s="438"/>
      <c r="AU873" s="438"/>
      <c r="AV873" s="438"/>
      <c r="AW873" s="450">
        <f>AW338</f>
        <v>145.6897682</v>
      </c>
    </row>
    <row r="874">
      <c r="A874" s="451" t="s">
        <v>499</v>
      </c>
      <c r="B874" s="451" t="s">
        <v>499</v>
      </c>
      <c r="C874" s="451"/>
      <c r="D874" s="440" t="s">
        <v>314</v>
      </c>
      <c r="E874" s="440"/>
      <c r="F874" s="451" t="s">
        <v>2675</v>
      </c>
      <c r="G874" s="440" t="s">
        <v>169</v>
      </c>
      <c r="H874" s="440" t="s">
        <v>476</v>
      </c>
      <c r="I874" s="436">
        <v>2015.0</v>
      </c>
      <c r="J874" s="460">
        <v>3125.0</v>
      </c>
      <c r="K874" s="460">
        <v>72.0</v>
      </c>
      <c r="L874" s="460" t="s">
        <v>371</v>
      </c>
      <c r="M874" s="461">
        <v>0.5</v>
      </c>
      <c r="N874" s="422">
        <v>13.175</v>
      </c>
      <c r="O874" s="422">
        <v>12.26</v>
      </c>
      <c r="P874" s="422"/>
      <c r="Q874" s="440" t="s">
        <v>2189</v>
      </c>
      <c r="R874" s="451" t="s">
        <v>2190</v>
      </c>
      <c r="S874" s="451" t="s">
        <v>2191</v>
      </c>
      <c r="T874" s="462" t="s">
        <v>162</v>
      </c>
      <c r="U874" s="451" t="s">
        <v>2192</v>
      </c>
      <c r="V874" s="440"/>
      <c r="W874" s="463"/>
      <c r="X874" s="437"/>
      <c r="Y874" s="442" t="str">
        <f>IF((W874/((J874/5780)^4))^0.5&gt;0,(W874/((J874/5780)^4))^0.5,"")</f>
        <v/>
      </c>
      <c r="Z874" s="464"/>
      <c r="AA874" s="465">
        <v>0.48</v>
      </c>
      <c r="AB874" s="465">
        <v>0.11</v>
      </c>
      <c r="AC874" s="436" t="str">
        <f>IF(ISNUMBER(VLOOKUP(B874,'New Masses'!A:C,3,FALSE)),VLOOKUP(B874,'New Masses'!A:C,3,FALSE),"")</f>
        <v/>
      </c>
      <c r="AD874" s="440">
        <f>10^AE874</f>
        <v>0</v>
      </c>
      <c r="AE874" s="460">
        <v>-11.2</v>
      </c>
      <c r="AF874" s="440"/>
      <c r="AG874" s="445">
        <v>0.12</v>
      </c>
      <c r="AH874" s="460">
        <v>0.02</v>
      </c>
      <c r="AI874" s="446" t="str">
        <f>IF(ISNUMBER(VLOOKUP(B874,'New Masses'!A:C,2, FALSE)),VLOOKUP(B874,'New Masses'!A:C,2, FALSE),"")</f>
        <v/>
      </c>
      <c r="AJ874" s="440">
        <f>LOG10(AG874)</f>
        <v>-0.920818754</v>
      </c>
      <c r="AK874" s="460"/>
      <c r="AL874" s="460">
        <v>-4.4</v>
      </c>
      <c r="AM874" s="466">
        <v>43900.0</v>
      </c>
      <c r="AN874" s="436">
        <v>3.0</v>
      </c>
      <c r="AO874" s="440"/>
      <c r="AP874" s="440"/>
      <c r="AQ874" s="440"/>
      <c r="AR874" s="440"/>
      <c r="AS874" s="440"/>
      <c r="AT874" s="440"/>
      <c r="AU874" s="440"/>
      <c r="AV874" s="440"/>
      <c r="AW874" s="450">
        <v>147.219032476518</v>
      </c>
    </row>
    <row r="875">
      <c r="A875" s="435" t="str">
        <f t="shared" ref="A875:C875" si="749">A340</f>
        <v>2MASS J16082847-2315103</v>
      </c>
      <c r="B875" s="485" t="str">
        <f t="shared" si="749"/>
        <v>USCO J1608-2315</v>
      </c>
      <c r="C875" s="486" t="str">
        <f t="shared" si="749"/>
        <v/>
      </c>
      <c r="D875" s="486"/>
      <c r="E875" s="486"/>
      <c r="F875" s="528"/>
      <c r="G875" s="486"/>
      <c r="H875" s="486" t="s">
        <v>5917</v>
      </c>
      <c r="I875" s="491"/>
      <c r="J875" s="491"/>
      <c r="K875" s="491"/>
      <c r="L875" s="491"/>
      <c r="M875" s="486"/>
      <c r="N875" s="422"/>
      <c r="O875" s="422"/>
      <c r="P875" s="422"/>
      <c r="Q875" s="486"/>
      <c r="R875" s="491"/>
      <c r="S875" s="491"/>
      <c r="T875" s="491"/>
      <c r="U875" s="491"/>
      <c r="V875" s="491"/>
      <c r="W875" s="493"/>
      <c r="X875" s="486"/>
      <c r="Y875" s="442"/>
      <c r="Z875" s="491"/>
      <c r="AA875" s="524" t="str">
        <f>AC340</f>
        <v/>
      </c>
      <c r="AB875" s="494"/>
      <c r="AC875" s="436"/>
      <c r="AD875" s="495"/>
      <c r="AE875" s="491"/>
      <c r="AF875" s="491"/>
      <c r="AG875" s="525" t="str">
        <f>AI340</f>
        <v/>
      </c>
      <c r="AH875" s="491"/>
      <c r="AI875" s="446"/>
      <c r="AJ875" s="491"/>
      <c r="AK875" s="500"/>
      <c r="AL875" s="436"/>
      <c r="AM875" s="438"/>
      <c r="AN875" s="531"/>
      <c r="AO875" s="491"/>
      <c r="AP875" s="438"/>
      <c r="AQ875" s="438"/>
      <c r="AR875" s="438"/>
      <c r="AS875" s="438"/>
      <c r="AT875" s="438"/>
      <c r="AU875" s="438"/>
      <c r="AV875" s="438"/>
      <c r="AW875" s="450" t="str">
        <f>AW340</f>
        <v/>
      </c>
    </row>
    <row r="876">
      <c r="A876" s="451" t="s">
        <v>522</v>
      </c>
      <c r="B876" s="451" t="s">
        <v>522</v>
      </c>
      <c r="C876" s="451"/>
      <c r="D876" s="440" t="s">
        <v>314</v>
      </c>
      <c r="E876" s="440"/>
      <c r="F876" s="451" t="s">
        <v>2676</v>
      </c>
      <c r="G876" s="440" t="s">
        <v>169</v>
      </c>
      <c r="H876" s="440" t="s">
        <v>476</v>
      </c>
      <c r="I876" s="436">
        <v>2015.0</v>
      </c>
      <c r="J876" s="460">
        <v>3200.0</v>
      </c>
      <c r="K876" s="460">
        <v>74.0</v>
      </c>
      <c r="L876" s="460" t="s">
        <v>402</v>
      </c>
      <c r="M876" s="461">
        <v>0.5</v>
      </c>
      <c r="N876" s="422">
        <v>11.631</v>
      </c>
      <c r="O876" s="422">
        <v>10.656</v>
      </c>
      <c r="P876" s="422">
        <v>15.25</v>
      </c>
      <c r="Q876" s="440" t="s">
        <v>2189</v>
      </c>
      <c r="R876" s="451" t="s">
        <v>2190</v>
      </c>
      <c r="S876" s="451" t="s">
        <v>2191</v>
      </c>
      <c r="T876" s="462" t="s">
        <v>162</v>
      </c>
      <c r="U876" s="451" t="s">
        <v>2192</v>
      </c>
      <c r="V876" s="440"/>
      <c r="W876" s="463"/>
      <c r="X876" s="437"/>
      <c r="Y876" s="442" t="str">
        <f>IF((W876/((J876/5780)^4))^0.5&gt;0,(W876/((J876/5780)^4))^0.5,"")</f>
        <v/>
      </c>
      <c r="Z876" s="464"/>
      <c r="AA876" s="465">
        <v>0.96</v>
      </c>
      <c r="AB876" s="465">
        <v>0.23</v>
      </c>
      <c r="AC876" s="436" t="str">
        <f>IF(ISNUMBER(VLOOKUP(B876,'New Masses'!A:C,3,FALSE)),VLOOKUP(B876,'New Masses'!A:C,3,FALSE),"")</f>
        <v/>
      </c>
      <c r="AD876" s="440">
        <f>10^AE876</f>
        <v>0.0000000001621810097</v>
      </c>
      <c r="AE876" s="460">
        <v>-9.79</v>
      </c>
      <c r="AF876" s="440"/>
      <c r="AG876" s="445">
        <v>0.19</v>
      </c>
      <c r="AH876" s="460">
        <v>0.03</v>
      </c>
      <c r="AI876" s="446" t="str">
        <f>IF(ISNUMBER(VLOOKUP(B876,'New Masses'!A:C,2, FALSE)),VLOOKUP(B876,'New Masses'!A:C,2, FALSE),"")</f>
        <v/>
      </c>
      <c r="AJ876" s="440">
        <f>LOG10(AG876)</f>
        <v>-0.721246399</v>
      </c>
      <c r="AK876" s="460"/>
      <c r="AL876" s="460">
        <v>-3.1</v>
      </c>
      <c r="AM876" s="466">
        <v>43900.0</v>
      </c>
      <c r="AN876" s="436">
        <v>3.0</v>
      </c>
      <c r="AO876" s="440"/>
      <c r="AP876" s="440"/>
      <c r="AQ876" s="440"/>
      <c r="AR876" s="440"/>
      <c r="AS876" s="440"/>
      <c r="AT876" s="440"/>
      <c r="AU876" s="440"/>
      <c r="AV876" s="440"/>
      <c r="AW876" s="450">
        <v>161.204520174745</v>
      </c>
    </row>
    <row r="877">
      <c r="A877" s="435" t="str">
        <f t="shared" ref="A877:C877" si="750">A342</f>
        <v>2MASS J16083733-3923109</v>
      </c>
      <c r="B877" s="485" t="str">
        <f t="shared" si="750"/>
        <v>Lup706</v>
      </c>
      <c r="C877" s="486" t="str">
        <f t="shared" si="750"/>
        <v/>
      </c>
      <c r="D877" s="486"/>
      <c r="E877" s="486"/>
      <c r="F877" s="528"/>
      <c r="G877" s="486"/>
      <c r="H877" s="486" t="s">
        <v>5917</v>
      </c>
      <c r="I877" s="491"/>
      <c r="J877" s="491"/>
      <c r="K877" s="491"/>
      <c r="L877" s="491"/>
      <c r="M877" s="486"/>
      <c r="N877" s="422"/>
      <c r="O877" s="422"/>
      <c r="P877" s="422"/>
      <c r="Q877" s="486"/>
      <c r="R877" s="491"/>
      <c r="S877" s="491"/>
      <c r="T877" s="491"/>
      <c r="U877" s="491"/>
      <c r="V877" s="491"/>
      <c r="W877" s="493"/>
      <c r="X877" s="486"/>
      <c r="Y877" s="442"/>
      <c r="Z877" s="491"/>
      <c r="AA877" s="619">
        <f>AC342</f>
        <v>0.39352</v>
      </c>
      <c r="AB877" s="494"/>
      <c r="AC877" s="436"/>
      <c r="AD877" s="495"/>
      <c r="AE877" s="491"/>
      <c r="AF877" s="491"/>
      <c r="AG877" s="525">
        <f>AI342</f>
        <v>0.031801</v>
      </c>
      <c r="AH877" s="491"/>
      <c r="AI877" s="446"/>
      <c r="AJ877" s="491"/>
      <c r="AK877" s="500"/>
      <c r="AL877" s="436"/>
      <c r="AM877" s="438"/>
      <c r="AN877" s="531"/>
      <c r="AO877" s="491"/>
      <c r="AP877" s="438"/>
      <c r="AQ877" s="438"/>
      <c r="AR877" s="438"/>
      <c r="AS877" s="438"/>
      <c r="AT877" s="438"/>
      <c r="AU877" s="438"/>
      <c r="AV877" s="438"/>
      <c r="AW877" s="450">
        <f>AW342</f>
        <v>187</v>
      </c>
    </row>
    <row r="878">
      <c r="A878" s="451" t="s">
        <v>537</v>
      </c>
      <c r="B878" s="451" t="s">
        <v>537</v>
      </c>
      <c r="C878" s="451"/>
      <c r="D878" s="440" t="s">
        <v>314</v>
      </c>
      <c r="E878" s="440"/>
      <c r="F878" s="451" t="s">
        <v>2677</v>
      </c>
      <c r="G878" s="440" t="s">
        <v>169</v>
      </c>
      <c r="H878" s="440" t="s">
        <v>476</v>
      </c>
      <c r="I878" s="436">
        <v>2015.0</v>
      </c>
      <c r="J878" s="460">
        <v>3270.0</v>
      </c>
      <c r="K878" s="460">
        <v>75.0</v>
      </c>
      <c r="L878" s="460" t="s">
        <v>395</v>
      </c>
      <c r="M878" s="461">
        <v>0.5</v>
      </c>
      <c r="N878" s="422">
        <v>11.449</v>
      </c>
      <c r="O878" s="422">
        <v>10.142</v>
      </c>
      <c r="P878" s="422">
        <v>14.98</v>
      </c>
      <c r="Q878" s="440" t="s">
        <v>2189</v>
      </c>
      <c r="R878" s="451" t="s">
        <v>2190</v>
      </c>
      <c r="S878" s="451" t="s">
        <v>2191</v>
      </c>
      <c r="T878" s="462" t="s">
        <v>162</v>
      </c>
      <c r="U878" s="451" t="s">
        <v>2192</v>
      </c>
      <c r="V878" s="440"/>
      <c r="W878" s="463"/>
      <c r="X878" s="437"/>
      <c r="Y878" s="442" t="str">
        <f>IF((W878/((J878/5780)^4))^0.5&gt;0,(W878/((J878/5780)^4))^0.5,"")</f>
        <v/>
      </c>
      <c r="Z878" s="464"/>
      <c r="AA878" s="465">
        <v>1.2</v>
      </c>
      <c r="AB878" s="465">
        <v>0.27</v>
      </c>
      <c r="AC878" s="436" t="str">
        <f>IF(ISNUMBER(VLOOKUP(B878,'New Masses'!A:C,3,FALSE)),VLOOKUP(B878,'New Masses'!A:C,3,FALSE),"")</f>
        <v/>
      </c>
      <c r="AD878" s="440">
        <f>10^AE878</f>
        <v>0.0000000002041737945</v>
      </c>
      <c r="AE878" s="460">
        <v>-9.69</v>
      </c>
      <c r="AF878" s="440"/>
      <c r="AG878" s="445">
        <v>0.24</v>
      </c>
      <c r="AH878" s="460">
        <v>0.04</v>
      </c>
      <c r="AI878" s="446" t="str">
        <f>IF(ISNUMBER(VLOOKUP(B878,'New Masses'!A:C,2, FALSE)),VLOOKUP(B878,'New Masses'!A:C,2, FALSE),"")</f>
        <v/>
      </c>
      <c r="AJ878" s="440">
        <f>LOG10(AG878)</f>
        <v>-0.6197887583</v>
      </c>
      <c r="AK878" s="460"/>
      <c r="AL878" s="460">
        <v>-3.0</v>
      </c>
      <c r="AM878" s="466">
        <v>43900.0</v>
      </c>
      <c r="AN878" s="436">
        <v>3.0</v>
      </c>
      <c r="AO878" s="440"/>
      <c r="AP878" s="440"/>
      <c r="AQ878" s="440"/>
      <c r="AR878" s="440"/>
      <c r="AS878" s="440"/>
      <c r="AT878" s="440"/>
      <c r="AU878" s="440"/>
      <c r="AV878" s="440"/>
      <c r="AW878" s="450">
        <v>164.171263462043</v>
      </c>
    </row>
    <row r="879">
      <c r="A879" s="435" t="str">
        <f t="shared" ref="A879:C879" si="751">A344</f>
        <v>2MASS J16085324-3914401</v>
      </c>
      <c r="B879" s="485" t="str">
        <f t="shared" si="751"/>
        <v>2MASS J16085324-3914401</v>
      </c>
      <c r="C879" s="486" t="str">
        <f t="shared" si="751"/>
        <v/>
      </c>
      <c r="D879" s="486"/>
      <c r="E879" s="486"/>
      <c r="F879" s="528"/>
      <c r="G879" s="486"/>
      <c r="H879" s="486" t="s">
        <v>5917</v>
      </c>
      <c r="I879" s="491"/>
      <c r="J879" s="491"/>
      <c r="K879" s="491"/>
      <c r="L879" s="491"/>
      <c r="M879" s="486"/>
      <c r="N879" s="422"/>
      <c r="O879" s="422"/>
      <c r="P879" s="422"/>
      <c r="Q879" s="486"/>
      <c r="R879" s="491"/>
      <c r="S879" s="491"/>
      <c r="T879" s="491"/>
      <c r="U879" s="491"/>
      <c r="V879" s="491"/>
      <c r="W879" s="493"/>
      <c r="X879" s="486"/>
      <c r="Y879" s="442"/>
      <c r="Z879" s="491"/>
      <c r="AA879" s="524" t="str">
        <f>AC344</f>
        <v/>
      </c>
      <c r="AB879" s="494"/>
      <c r="AC879" s="436"/>
      <c r="AD879" s="495"/>
      <c r="AE879" s="491"/>
      <c r="AF879" s="491"/>
      <c r="AG879" s="525" t="str">
        <f>AI344</f>
        <v/>
      </c>
      <c r="AH879" s="491"/>
      <c r="AI879" s="446"/>
      <c r="AJ879" s="491"/>
      <c r="AK879" s="500"/>
      <c r="AL879" s="436"/>
      <c r="AM879" s="438"/>
      <c r="AN879" s="531"/>
      <c r="AO879" s="491"/>
      <c r="AP879" s="438"/>
      <c r="AQ879" s="438"/>
      <c r="AR879" s="438"/>
      <c r="AS879" s="438"/>
      <c r="AT879" s="438"/>
      <c r="AU879" s="438"/>
      <c r="AV879" s="438"/>
      <c r="AW879" s="450">
        <f>AW344</f>
        <v>167.7064466</v>
      </c>
    </row>
    <row r="880">
      <c r="A880" s="451" t="s">
        <v>502</v>
      </c>
      <c r="B880" s="451" t="s">
        <v>502</v>
      </c>
      <c r="C880" s="451"/>
      <c r="D880" s="440" t="s">
        <v>314</v>
      </c>
      <c r="E880" s="440"/>
      <c r="F880" s="451" t="s">
        <v>2678</v>
      </c>
      <c r="G880" s="440" t="s">
        <v>169</v>
      </c>
      <c r="H880" s="440" t="s">
        <v>476</v>
      </c>
      <c r="I880" s="436">
        <v>2015.0</v>
      </c>
      <c r="J880" s="460">
        <v>3060.0</v>
      </c>
      <c r="K880" s="460">
        <v>71.0</v>
      </c>
      <c r="L880" s="460" t="s">
        <v>264</v>
      </c>
      <c r="M880" s="461">
        <v>0.5</v>
      </c>
      <c r="N880" s="422">
        <v>11.824</v>
      </c>
      <c r="O880" s="422">
        <v>10.779</v>
      </c>
      <c r="P880" s="422">
        <v>15.7</v>
      </c>
      <c r="Q880" s="440" t="s">
        <v>2189</v>
      </c>
      <c r="R880" s="451" t="s">
        <v>2190</v>
      </c>
      <c r="S880" s="451" t="s">
        <v>2191</v>
      </c>
      <c r="T880" s="462" t="s">
        <v>162</v>
      </c>
      <c r="U880" s="451" t="s">
        <v>2192</v>
      </c>
      <c r="V880" s="440"/>
      <c r="W880" s="463"/>
      <c r="X880" s="437"/>
      <c r="Y880" s="442" t="str">
        <f>IF((W880/((J880/5780)^4))^0.5&gt;0,(W880/((J880/5780)^4))^0.5,"")</f>
        <v/>
      </c>
      <c r="Z880" s="464"/>
      <c r="AA880" s="465">
        <v>0.91</v>
      </c>
      <c r="AB880" s="465">
        <v>0.27</v>
      </c>
      <c r="AC880" s="436" t="str">
        <f>IF(ISNUMBER(VLOOKUP(B880,'New Masses'!A:C,3,FALSE)),VLOOKUP(B880,'New Masses'!A:C,3,FALSE),"")</f>
        <v/>
      </c>
      <c r="AD880" s="440">
        <f>10^AE880</f>
        <v>0.0000000001318256739</v>
      </c>
      <c r="AE880" s="460">
        <v>-9.88</v>
      </c>
      <c r="AF880" s="440"/>
      <c r="AG880" s="445">
        <v>0.14</v>
      </c>
      <c r="AH880" s="460">
        <v>0.03</v>
      </c>
      <c r="AI880" s="446" t="str">
        <f>IF(ISNUMBER(VLOOKUP(B880,'New Masses'!A:C,2, FALSE)),VLOOKUP(B880,'New Masses'!A:C,2, FALSE),"")</f>
        <v/>
      </c>
      <c r="AJ880" s="440">
        <f>LOG10(AG880)</f>
        <v>-0.8538719643</v>
      </c>
      <c r="AK880" s="460"/>
      <c r="AL880" s="460">
        <v>-3.3</v>
      </c>
      <c r="AM880" s="466">
        <v>43900.0</v>
      </c>
      <c r="AN880" s="436">
        <v>3.0</v>
      </c>
      <c r="AO880" s="440"/>
      <c r="AP880" s="440"/>
      <c r="AQ880" s="440"/>
      <c r="AR880" s="440"/>
      <c r="AS880" s="440"/>
      <c r="AT880" s="440"/>
      <c r="AU880" s="440"/>
      <c r="AV880" s="440"/>
      <c r="AW880" s="450">
        <v>164.333136133569</v>
      </c>
    </row>
    <row r="881">
      <c r="A881" s="435" t="str">
        <f t="shared" ref="A881:C881" si="752">A346</f>
        <v>2MASS J16085373-3914367</v>
      </c>
      <c r="B881" s="485" t="str">
        <f t="shared" si="752"/>
        <v>2MASS J16085373-3914367</v>
      </c>
      <c r="C881" s="486" t="str">
        <f t="shared" si="752"/>
        <v/>
      </c>
      <c r="D881" s="486"/>
      <c r="E881" s="486"/>
      <c r="F881" s="528"/>
      <c r="G881" s="486"/>
      <c r="H881" s="486" t="s">
        <v>5917</v>
      </c>
      <c r="I881" s="491"/>
      <c r="J881" s="491"/>
      <c r="K881" s="491"/>
      <c r="L881" s="491"/>
      <c r="M881" s="486"/>
      <c r="N881" s="422"/>
      <c r="O881" s="422"/>
      <c r="P881" s="422"/>
      <c r="Q881" s="486"/>
      <c r="R881" s="491"/>
      <c r="S881" s="491"/>
      <c r="T881" s="491"/>
      <c r="U881" s="491"/>
      <c r="V881" s="491"/>
      <c r="W881" s="493"/>
      <c r="X881" s="486"/>
      <c r="Y881" s="442"/>
      <c r="Z881" s="491"/>
      <c r="AA881" s="524" t="str">
        <f>AC346</f>
        <v/>
      </c>
      <c r="AB881" s="494"/>
      <c r="AC881" s="436"/>
      <c r="AD881" s="495"/>
      <c r="AE881" s="491"/>
      <c r="AF881" s="491"/>
      <c r="AG881" s="525" t="str">
        <f>AI346</f>
        <v/>
      </c>
      <c r="AH881" s="491"/>
      <c r="AI881" s="446"/>
      <c r="AJ881" s="491"/>
      <c r="AK881" s="500"/>
      <c r="AL881" s="436"/>
      <c r="AM881" s="438"/>
      <c r="AN881" s="531"/>
      <c r="AO881" s="491"/>
      <c r="AP881" s="438"/>
      <c r="AQ881" s="438"/>
      <c r="AR881" s="438"/>
      <c r="AS881" s="438"/>
      <c r="AT881" s="438"/>
      <c r="AU881" s="438"/>
      <c r="AV881" s="438"/>
      <c r="AW881" s="450">
        <f>AW346</f>
        <v>133.6916269</v>
      </c>
    </row>
    <row r="882">
      <c r="A882" s="451" t="s">
        <v>514</v>
      </c>
      <c r="B882" s="451" t="s">
        <v>514</v>
      </c>
      <c r="C882" s="451"/>
      <c r="D882" s="440" t="s">
        <v>314</v>
      </c>
      <c r="E882" s="440"/>
      <c r="F882" s="451" t="s">
        <v>2679</v>
      </c>
      <c r="G882" s="451" t="s">
        <v>515</v>
      </c>
      <c r="H882" s="440" t="s">
        <v>476</v>
      </c>
      <c r="I882" s="436">
        <v>2015.0</v>
      </c>
      <c r="J882" s="460">
        <v>3200.0</v>
      </c>
      <c r="K882" s="460">
        <v>74.0</v>
      </c>
      <c r="L882" s="460" t="s">
        <v>402</v>
      </c>
      <c r="M882" s="461">
        <v>0.5</v>
      </c>
      <c r="N882" s="422">
        <v>14.68</v>
      </c>
      <c r="O882" s="422">
        <v>13.113</v>
      </c>
      <c r="P882" s="422">
        <v>18.79</v>
      </c>
      <c r="Q882" s="440" t="s">
        <v>2189</v>
      </c>
      <c r="R882" s="451" t="s">
        <v>2190</v>
      </c>
      <c r="S882" s="451" t="s">
        <v>2191</v>
      </c>
      <c r="T882" s="462" t="s">
        <v>162</v>
      </c>
      <c r="U882" s="451" t="s">
        <v>2192</v>
      </c>
      <c r="V882" s="440"/>
      <c r="W882" s="463"/>
      <c r="X882" s="437"/>
      <c r="Y882" s="442" t="str">
        <f>IF((W882/((J882/5780)^4))^0.5&gt;0,(W882/((J882/5780)^4))^0.5,"")</f>
        <v/>
      </c>
      <c r="Z882" s="464"/>
      <c r="AA882" s="465">
        <v>0.23</v>
      </c>
      <c r="AB882" s="465">
        <v>0.06</v>
      </c>
      <c r="AC882" s="436" t="str">
        <f>IF(ISNUMBER(VLOOKUP(B882,'New Masses'!A:C,3,FALSE)),VLOOKUP(B882,'New Masses'!A:C,3,FALSE),"")</f>
        <v/>
      </c>
      <c r="AD882" s="440">
        <f>10^AE882</f>
        <v>0</v>
      </c>
      <c r="AE882" s="460">
        <v>-12.5</v>
      </c>
      <c r="AF882" s="440"/>
      <c r="AG882" s="445">
        <v>0.17</v>
      </c>
      <c r="AH882" s="460">
        <v>0.03</v>
      </c>
      <c r="AI882" s="446" t="str">
        <f>IF(ISNUMBER(VLOOKUP(B882,'New Masses'!A:C,2, FALSE)),VLOOKUP(B882,'New Masses'!A:C,2, FALSE),"")</f>
        <v/>
      </c>
      <c r="AJ882" s="440">
        <f>LOG10(AG882)</f>
        <v>-0.7695510786</v>
      </c>
      <c r="AK882" s="460"/>
      <c r="AL882" s="460">
        <v>-5.2</v>
      </c>
      <c r="AM882" s="466">
        <v>43900.0</v>
      </c>
      <c r="AN882" s="436">
        <v>3.0</v>
      </c>
      <c r="AO882" s="440"/>
      <c r="AP882" s="440"/>
      <c r="AQ882" s="440"/>
      <c r="AR882" s="440"/>
      <c r="AS882" s="440"/>
      <c r="AT882" s="440"/>
      <c r="AU882" s="440"/>
      <c r="AV882" s="440"/>
      <c r="AW882" s="450"/>
    </row>
    <row r="883">
      <c r="A883" s="435" t="str">
        <f t="shared" ref="A883:C883" si="753">A348</f>
        <v>2MASS J16085529-3848481</v>
      </c>
      <c r="B883" s="485" t="str">
        <f t="shared" si="753"/>
        <v>2MASS J16085529-3848481</v>
      </c>
      <c r="C883" s="486" t="str">
        <f t="shared" si="753"/>
        <v/>
      </c>
      <c r="D883" s="486"/>
      <c r="E883" s="486"/>
      <c r="F883" s="528"/>
      <c r="G883" s="486"/>
      <c r="H883" s="486" t="s">
        <v>5917</v>
      </c>
      <c r="I883" s="491"/>
      <c r="J883" s="491"/>
      <c r="K883" s="491"/>
      <c r="L883" s="491"/>
      <c r="M883" s="486"/>
      <c r="N883" s="422"/>
      <c r="O883" s="422"/>
      <c r="P883" s="422"/>
      <c r="Q883" s="486"/>
      <c r="R883" s="491"/>
      <c r="S883" s="491"/>
      <c r="T883" s="491"/>
      <c r="U883" s="491"/>
      <c r="V883" s="491"/>
      <c r="W883" s="493"/>
      <c r="X883" s="486"/>
      <c r="Y883" s="442"/>
      <c r="Z883" s="491"/>
      <c r="AA883" s="524" t="str">
        <f>AC348</f>
        <v/>
      </c>
      <c r="AB883" s="494"/>
      <c r="AC883" s="436"/>
      <c r="AD883" s="495"/>
      <c r="AE883" s="491"/>
      <c r="AF883" s="491"/>
      <c r="AG883" s="525" t="str">
        <f>AI348</f>
        <v/>
      </c>
      <c r="AH883" s="491"/>
      <c r="AI883" s="446"/>
      <c r="AJ883" s="491"/>
      <c r="AK883" s="500"/>
      <c r="AL883" s="436"/>
      <c r="AM883" s="438"/>
      <c r="AN883" s="531"/>
      <c r="AO883" s="491"/>
      <c r="AP883" s="438"/>
      <c r="AQ883" s="438"/>
      <c r="AR883" s="438"/>
      <c r="AS883" s="438"/>
      <c r="AT883" s="438"/>
      <c r="AU883" s="438"/>
      <c r="AV883" s="438"/>
      <c r="AW883" s="450">
        <f>AW348</f>
        <v>157.5150427</v>
      </c>
    </row>
    <row r="884">
      <c r="A884" s="451" t="s">
        <v>590</v>
      </c>
      <c r="B884" s="451" t="s">
        <v>590</v>
      </c>
      <c r="C884" s="440"/>
      <c r="D884" s="440" t="s">
        <v>314</v>
      </c>
      <c r="E884" s="440"/>
      <c r="F884" s="451" t="s">
        <v>2680</v>
      </c>
      <c r="G884" s="440" t="s">
        <v>159</v>
      </c>
      <c r="H884" s="440" t="s">
        <v>476</v>
      </c>
      <c r="I884" s="436">
        <v>2015.0</v>
      </c>
      <c r="J884" s="460">
        <v>4900.0</v>
      </c>
      <c r="K884" s="460">
        <v>226.0</v>
      </c>
      <c r="L884" s="460" t="s">
        <v>589</v>
      </c>
      <c r="M884" s="461">
        <v>1.0</v>
      </c>
      <c r="N884" s="422">
        <v>8.974</v>
      </c>
      <c r="O884" s="422">
        <v>8.225</v>
      </c>
      <c r="P884" s="422">
        <v>10.67</v>
      </c>
      <c r="Q884" s="440" t="s">
        <v>2189</v>
      </c>
      <c r="R884" s="451" t="s">
        <v>2190</v>
      </c>
      <c r="S884" s="451" t="s">
        <v>2191</v>
      </c>
      <c r="T884" s="462" t="s">
        <v>162</v>
      </c>
      <c r="U884" s="451" t="s">
        <v>2192</v>
      </c>
      <c r="V884" s="440"/>
      <c r="W884" s="463"/>
      <c r="X884" s="437"/>
      <c r="Y884" s="442" t="str">
        <f>IF((W884/((J884/5780)^4))^0.5&gt;0,(W884/((J884/5780)^4))^0.5,"")</f>
        <v/>
      </c>
      <c r="Z884" s="464"/>
      <c r="AA884" s="465">
        <v>2.41</v>
      </c>
      <c r="AB884" s="465">
        <v>0.52</v>
      </c>
      <c r="AC884" s="436" t="str">
        <f>IF(ISNUMBER(VLOOKUP(B884,'New Masses'!A:C,3,FALSE)),VLOOKUP(B884,'New Masses'!A:C,3,FALSE),"")</f>
        <v/>
      </c>
      <c r="AD884" s="440">
        <f>10^AE884</f>
        <v>0.0000000008511380382</v>
      </c>
      <c r="AE884" s="451">
        <v>-9.07</v>
      </c>
      <c r="AF884" s="440"/>
      <c r="AG884" s="445">
        <v>1.81</v>
      </c>
      <c r="AH884" s="460">
        <v>0.28</v>
      </c>
      <c r="AI884" s="446" t="str">
        <f>IF(ISNUMBER(VLOOKUP(B884,'New Masses'!A:C,2, FALSE)),VLOOKUP(B884,'New Masses'!A:C,2, FALSE),"")</f>
        <v/>
      </c>
      <c r="AJ884" s="440">
        <f>LOG10(AG884)</f>
        <v>0.2576785749</v>
      </c>
      <c r="AK884" s="460"/>
      <c r="AL884" s="460">
        <v>-1.8</v>
      </c>
      <c r="AM884" s="466">
        <v>43900.0</v>
      </c>
      <c r="AN884" s="436">
        <v>3.0</v>
      </c>
      <c r="AO884" s="440"/>
      <c r="AP884" s="440"/>
      <c r="AQ884" s="440"/>
      <c r="AR884" s="440"/>
      <c r="AS884" s="440"/>
      <c r="AT884" s="440" t="s">
        <v>5916</v>
      </c>
      <c r="AU884" s="440"/>
      <c r="AV884" s="440"/>
      <c r="AW884" s="450">
        <v>156.11583795176</v>
      </c>
    </row>
    <row r="885">
      <c r="A885" s="435" t="str">
        <f t="shared" ref="A885:C885" si="754">A350</f>
        <v>2MASS J16085953-3856275</v>
      </c>
      <c r="B885" s="485" t="str">
        <f t="shared" si="754"/>
        <v>2MASS J16085953-3856275</v>
      </c>
      <c r="C885" s="486" t="str">
        <f t="shared" si="754"/>
        <v/>
      </c>
      <c r="D885" s="486"/>
      <c r="E885" s="486"/>
      <c r="F885" s="528"/>
      <c r="G885" s="486"/>
      <c r="H885" s="486" t="s">
        <v>5917</v>
      </c>
      <c r="I885" s="491"/>
      <c r="J885" s="491"/>
      <c r="K885" s="491"/>
      <c r="L885" s="491"/>
      <c r="M885" s="486"/>
      <c r="N885" s="422"/>
      <c r="O885" s="422"/>
      <c r="P885" s="422"/>
      <c r="Q885" s="486"/>
      <c r="R885" s="491"/>
      <c r="S885" s="491"/>
      <c r="T885" s="491"/>
      <c r="U885" s="491"/>
      <c r="V885" s="491"/>
      <c r="W885" s="493"/>
      <c r="X885" s="486"/>
      <c r="Y885" s="442"/>
      <c r="Z885" s="491"/>
      <c r="AA885" s="524" t="str">
        <f>AC350</f>
        <v/>
      </c>
      <c r="AB885" s="494"/>
      <c r="AC885" s="436"/>
      <c r="AD885" s="495"/>
      <c r="AE885" s="491"/>
      <c r="AF885" s="491"/>
      <c r="AG885" s="525" t="str">
        <f>AI350</f>
        <v/>
      </c>
      <c r="AH885" s="491"/>
      <c r="AI885" s="446"/>
      <c r="AJ885" s="491"/>
      <c r="AK885" s="500"/>
      <c r="AL885" s="436"/>
      <c r="AM885" s="438"/>
      <c r="AN885" s="531"/>
      <c r="AO885" s="491"/>
      <c r="AP885" s="438"/>
      <c r="AQ885" s="438"/>
      <c r="AR885" s="438"/>
      <c r="AS885" s="438"/>
      <c r="AT885" s="438"/>
      <c r="AU885" s="438"/>
      <c r="AV885" s="438"/>
      <c r="AW885" s="450">
        <f>AW350</f>
        <v>150</v>
      </c>
    </row>
    <row r="886">
      <c r="A886" s="451" t="s">
        <v>564</v>
      </c>
      <c r="B886" s="451" t="s">
        <v>564</v>
      </c>
      <c r="C886" s="440"/>
      <c r="D886" s="440" t="s">
        <v>314</v>
      </c>
      <c r="E886" s="440"/>
      <c r="F886" s="451" t="s">
        <v>2681</v>
      </c>
      <c r="G886" s="451" t="s">
        <v>515</v>
      </c>
      <c r="H886" s="440" t="s">
        <v>476</v>
      </c>
      <c r="I886" s="436">
        <v>2015.0</v>
      </c>
      <c r="J886" s="460">
        <v>4205.0</v>
      </c>
      <c r="K886" s="460">
        <v>193.0</v>
      </c>
      <c r="L886" s="460" t="s">
        <v>453</v>
      </c>
      <c r="M886" s="461">
        <v>1.0</v>
      </c>
      <c r="N886" s="422">
        <v>9.884</v>
      </c>
      <c r="O886" s="422">
        <v>8.658</v>
      </c>
      <c r="P886" s="422">
        <v>12.47</v>
      </c>
      <c r="Q886" s="440" t="s">
        <v>2189</v>
      </c>
      <c r="R886" s="451" t="s">
        <v>2190</v>
      </c>
      <c r="S886" s="451" t="s">
        <v>2191</v>
      </c>
      <c r="T886" s="462" t="s">
        <v>162</v>
      </c>
      <c r="U886" s="451" t="s">
        <v>2192</v>
      </c>
      <c r="V886" s="440"/>
      <c r="W886" s="463"/>
      <c r="X886" s="437"/>
      <c r="Y886" s="442" t="str">
        <f>IF((W886/((J886/5780)^4))^0.5&gt;0,(W886/((J886/5780)^4))^0.5,"")</f>
        <v/>
      </c>
      <c r="Z886" s="464"/>
      <c r="AA886" s="465">
        <v>2.63</v>
      </c>
      <c r="AB886" s="465">
        <v>0.63</v>
      </c>
      <c r="AC886" s="436" t="str">
        <f>IF(ISNUMBER(VLOOKUP(B886,'New Masses'!A:C,3,FALSE)),VLOOKUP(B886,'New Masses'!A:C,3,FALSE),"")</f>
        <v/>
      </c>
      <c r="AD886" s="440">
        <f>10^AE886</f>
        <v>0.00000001905460718</v>
      </c>
      <c r="AE886" s="460">
        <v>-7.72</v>
      </c>
      <c r="AF886" s="440"/>
      <c r="AG886" s="445">
        <v>0.47</v>
      </c>
      <c r="AH886" s="460">
        <v>0.14</v>
      </c>
      <c r="AI886" s="446" t="str">
        <f>IF(ISNUMBER(VLOOKUP(B886,'New Masses'!A:C,2, FALSE)),VLOOKUP(B886,'New Masses'!A:C,2, FALSE),"")</f>
        <v/>
      </c>
      <c r="AJ886" s="440">
        <f>LOG10(AG886)</f>
        <v>-0.3279021421</v>
      </c>
      <c r="AK886" s="460"/>
      <c r="AL886" s="460">
        <v>-0.8</v>
      </c>
      <c r="AM886" s="466">
        <v>43900.0</v>
      </c>
      <c r="AN886" s="436">
        <v>3.0</v>
      </c>
      <c r="AO886" s="440"/>
      <c r="AP886" s="440"/>
      <c r="AQ886" s="440"/>
      <c r="AR886" s="440"/>
      <c r="AS886" s="440"/>
      <c r="AT886" s="440"/>
      <c r="AU886" s="440"/>
      <c r="AV886" s="440"/>
      <c r="AW886" s="450">
        <v>153.642872507144</v>
      </c>
    </row>
    <row r="887">
      <c r="A887" s="435" t="str">
        <f t="shared" ref="A887:C887" si="755">A352</f>
        <v>2MASS J16090141-3925119</v>
      </c>
      <c r="B887" s="485" t="str">
        <f t="shared" si="755"/>
        <v>SSTc2d160901.4-392512</v>
      </c>
      <c r="C887" s="486" t="str">
        <f t="shared" si="755"/>
        <v/>
      </c>
      <c r="D887" s="486"/>
      <c r="E887" s="486"/>
      <c r="F887" s="528"/>
      <c r="G887" s="486"/>
      <c r="H887" s="486" t="s">
        <v>5917</v>
      </c>
      <c r="I887" s="491"/>
      <c r="J887" s="491"/>
      <c r="K887" s="491"/>
      <c r="L887" s="491"/>
      <c r="M887" s="486"/>
      <c r="N887" s="422"/>
      <c r="O887" s="422"/>
      <c r="P887" s="422"/>
      <c r="Q887" s="486"/>
      <c r="R887" s="491"/>
      <c r="S887" s="491"/>
      <c r="T887" s="491"/>
      <c r="U887" s="491"/>
      <c r="V887" s="491"/>
      <c r="W887" s="493"/>
      <c r="X887" s="486"/>
      <c r="Y887" s="442"/>
      <c r="Z887" s="491"/>
      <c r="AA887" s="524" t="str">
        <f>AC352</f>
        <v/>
      </c>
      <c r="AB887" s="494"/>
      <c r="AC887" s="436"/>
      <c r="AD887" s="495"/>
      <c r="AE887" s="491"/>
      <c r="AF887" s="491"/>
      <c r="AG887" s="525" t="str">
        <f>AI352</f>
        <v/>
      </c>
      <c r="AH887" s="491"/>
      <c r="AI887" s="446"/>
      <c r="AJ887" s="491"/>
      <c r="AK887" s="500"/>
      <c r="AL887" s="436"/>
      <c r="AM887" s="438"/>
      <c r="AN887" s="531"/>
      <c r="AO887" s="491"/>
      <c r="AP887" s="438"/>
      <c r="AQ887" s="438"/>
      <c r="AR887" s="438"/>
      <c r="AS887" s="438"/>
      <c r="AT887" s="438"/>
      <c r="AU887" s="438"/>
      <c r="AV887" s="438"/>
      <c r="AW887" s="450">
        <f>AW352</f>
        <v>164.3088349</v>
      </c>
    </row>
    <row r="888">
      <c r="A888" s="451" t="s">
        <v>527</v>
      </c>
      <c r="B888" s="451" t="s">
        <v>527</v>
      </c>
      <c r="C888" s="440"/>
      <c r="D888" s="440" t="s">
        <v>314</v>
      </c>
      <c r="E888" s="440"/>
      <c r="F888" s="451" t="s">
        <v>2682</v>
      </c>
      <c r="G888" s="440" t="s">
        <v>169</v>
      </c>
      <c r="H888" s="440" t="s">
        <v>476</v>
      </c>
      <c r="I888" s="436">
        <v>2015.0</v>
      </c>
      <c r="J888" s="460">
        <v>3200.0</v>
      </c>
      <c r="K888" s="460">
        <v>74.0</v>
      </c>
      <c r="L888" s="460" t="s">
        <v>402</v>
      </c>
      <c r="M888" s="461">
        <v>0.5</v>
      </c>
      <c r="N888" s="422">
        <v>12.552</v>
      </c>
      <c r="O888" s="422">
        <v>10.947</v>
      </c>
      <c r="P888" s="422">
        <v>16.31</v>
      </c>
      <c r="Q888" s="440" t="s">
        <v>2189</v>
      </c>
      <c r="R888" s="451" t="s">
        <v>2190</v>
      </c>
      <c r="S888" s="451" t="s">
        <v>2191</v>
      </c>
      <c r="T888" s="462" t="s">
        <v>162</v>
      </c>
      <c r="U888" s="451" t="s">
        <v>2192</v>
      </c>
      <c r="V888" s="440"/>
      <c r="W888" s="463"/>
      <c r="X888" s="437"/>
      <c r="Y888" s="442" t="str">
        <f>IF((W888/((J888/5780)^4))^0.5&gt;0,(W888/((J888/5780)^4))^0.5,"")</f>
        <v/>
      </c>
      <c r="Z888" s="464"/>
      <c r="AA888" s="465">
        <v>1.1</v>
      </c>
      <c r="AB888" s="465">
        <v>0.24</v>
      </c>
      <c r="AC888" s="436" t="str">
        <f>IF(ISNUMBER(VLOOKUP(B888,'New Masses'!A:C,3,FALSE)),VLOOKUP(B888,'New Masses'!A:C,3,FALSE),"")</f>
        <v/>
      </c>
      <c r="AD888" s="440">
        <f>10^AE888</f>
        <v>0.00000001122018454</v>
      </c>
      <c r="AE888" s="460">
        <v>-7.95</v>
      </c>
      <c r="AF888" s="440"/>
      <c r="AG888" s="445">
        <v>0.2</v>
      </c>
      <c r="AH888" s="460">
        <v>0.03</v>
      </c>
      <c r="AI888" s="446" t="str">
        <f>IF(ISNUMBER(VLOOKUP(B888,'New Masses'!A:C,2, FALSE)),VLOOKUP(B888,'New Masses'!A:C,2, FALSE),"")</f>
        <v/>
      </c>
      <c r="AJ888" s="440">
        <f>LOG10(AG888)</f>
        <v>-0.6989700043</v>
      </c>
      <c r="AK888" s="460"/>
      <c r="AL888" s="460">
        <v>-1.3</v>
      </c>
      <c r="AM888" s="466">
        <v>43900.0</v>
      </c>
      <c r="AN888" s="436">
        <v>3.0</v>
      </c>
      <c r="AO888" s="440"/>
      <c r="AP888" s="440"/>
      <c r="AQ888" s="440"/>
      <c r="AR888" s="440"/>
      <c r="AS888" s="440"/>
      <c r="AT888" s="440"/>
      <c r="AU888" s="440"/>
      <c r="AV888" s="440"/>
      <c r="AW888" s="450">
        <v>159.354931238347</v>
      </c>
    </row>
    <row r="889">
      <c r="A889" s="435" t="str">
        <f t="shared" ref="A889:C889" si="756">A354</f>
        <v>2MASS J16095628-3859518</v>
      </c>
      <c r="B889" s="485" t="str">
        <f t="shared" si="756"/>
        <v>Lup818s</v>
      </c>
      <c r="C889" s="486" t="str">
        <f t="shared" si="756"/>
        <v/>
      </c>
      <c r="D889" s="486"/>
      <c r="E889" s="486"/>
      <c r="F889" s="528"/>
      <c r="G889" s="486"/>
      <c r="H889" s="486" t="s">
        <v>5917</v>
      </c>
      <c r="I889" s="491"/>
      <c r="J889" s="491"/>
      <c r="K889" s="491"/>
      <c r="L889" s="491"/>
      <c r="M889" s="486"/>
      <c r="N889" s="422"/>
      <c r="O889" s="422"/>
      <c r="P889" s="422"/>
      <c r="Q889" s="486"/>
      <c r="R889" s="491"/>
      <c r="S889" s="491"/>
      <c r="T889" s="491"/>
      <c r="U889" s="491"/>
      <c r="V889" s="491"/>
      <c r="W889" s="493"/>
      <c r="X889" s="486"/>
      <c r="Y889" s="442"/>
      <c r="Z889" s="491"/>
      <c r="AA889" s="524" t="str">
        <f>AC354</f>
        <v/>
      </c>
      <c r="AB889" s="494"/>
      <c r="AC889" s="436"/>
      <c r="AD889" s="495"/>
      <c r="AE889" s="491"/>
      <c r="AF889" s="491"/>
      <c r="AG889" s="525" t="str">
        <f>AI354</f>
        <v/>
      </c>
      <c r="AH889" s="491"/>
      <c r="AI889" s="446"/>
      <c r="AJ889" s="491"/>
      <c r="AK889" s="500"/>
      <c r="AL889" s="436"/>
      <c r="AM889" s="438"/>
      <c r="AN889" s="531"/>
      <c r="AO889" s="491"/>
      <c r="AP889" s="438"/>
      <c r="AQ889" s="438"/>
      <c r="AR889" s="438"/>
      <c r="AS889" s="438"/>
      <c r="AT889" s="438"/>
      <c r="AU889" s="438"/>
      <c r="AV889" s="438"/>
      <c r="AW889" s="450">
        <f>AW354</f>
        <v>2201.188642</v>
      </c>
    </row>
    <row r="890">
      <c r="A890" s="451" t="s">
        <v>508</v>
      </c>
      <c r="B890" s="451" t="s">
        <v>508</v>
      </c>
      <c r="C890" s="440"/>
      <c r="D890" s="440" t="s">
        <v>314</v>
      </c>
      <c r="E890" s="440"/>
      <c r="F890" s="451" t="s">
        <v>2683</v>
      </c>
      <c r="G890" s="440" t="s">
        <v>169</v>
      </c>
      <c r="H890" s="440" t="s">
        <v>476</v>
      </c>
      <c r="I890" s="436">
        <v>2015.0</v>
      </c>
      <c r="J890" s="460">
        <v>3125.0</v>
      </c>
      <c r="K890" s="460">
        <v>72.0</v>
      </c>
      <c r="L890" s="460" t="s">
        <v>371</v>
      </c>
      <c r="M890" s="461">
        <v>0.5</v>
      </c>
      <c r="N890" s="422">
        <v>12.655</v>
      </c>
      <c r="O890" s="422">
        <v>11.761</v>
      </c>
      <c r="P890" s="422">
        <v>16.67</v>
      </c>
      <c r="Q890" s="440" t="s">
        <v>2189</v>
      </c>
      <c r="R890" s="451" t="s">
        <v>2190</v>
      </c>
      <c r="S890" s="451" t="s">
        <v>2191</v>
      </c>
      <c r="T890" s="462" t="s">
        <v>162</v>
      </c>
      <c r="U890" s="451" t="s">
        <v>2192</v>
      </c>
      <c r="V890" s="440"/>
      <c r="W890" s="463"/>
      <c r="X890" s="437"/>
      <c r="Y890" s="442" t="str">
        <f>IF((W890/((J890/5780)^4))^0.5&gt;0,(W890/((J890/5780)^4))^0.5,"")</f>
        <v/>
      </c>
      <c r="Z890" s="464"/>
      <c r="AA890" s="465">
        <v>0.84</v>
      </c>
      <c r="AB890" s="465">
        <v>0.22</v>
      </c>
      <c r="AC890" s="436" t="str">
        <f>IF(ISNUMBER(VLOOKUP(B890,'New Masses'!A:C,3,FALSE)),VLOOKUP(B890,'New Masses'!A:C,3,FALSE),"")</f>
        <v/>
      </c>
      <c r="AD890" s="440">
        <f>10^AE890</f>
        <v>0</v>
      </c>
      <c r="AE890" s="460">
        <v>-10.4</v>
      </c>
      <c r="AF890" s="440"/>
      <c r="AG890" s="445">
        <v>0.15</v>
      </c>
      <c r="AH890" s="460">
        <v>0.03</v>
      </c>
      <c r="AI890" s="446" t="str">
        <f>IF(ISNUMBER(VLOOKUP(B890,'New Masses'!A:C,2, FALSE)),VLOOKUP(B890,'New Masses'!A:C,2, FALSE),"")</f>
        <v/>
      </c>
      <c r="AJ890" s="440">
        <f>LOG10(AG890)</f>
        <v>-0.8239087409</v>
      </c>
      <c r="AK890" s="460"/>
      <c r="AL890" s="460">
        <v>-3.8</v>
      </c>
      <c r="AM890" s="466">
        <v>43900.0</v>
      </c>
      <c r="AN890" s="436">
        <v>3.0</v>
      </c>
      <c r="AO890" s="440"/>
      <c r="AP890" s="440"/>
      <c r="AQ890" s="440"/>
      <c r="AR890" s="440"/>
      <c r="AS890" s="440"/>
      <c r="AT890" s="440"/>
      <c r="AU890" s="440"/>
      <c r="AV890" s="440"/>
      <c r="AW890" s="450">
        <v>158.800736835418</v>
      </c>
    </row>
    <row r="891">
      <c r="A891" s="435" t="str">
        <f t="shared" ref="A891:C891" si="757">A356</f>
        <v>2MASS J16100133-3906449</v>
      </c>
      <c r="B891" s="485" t="str">
        <f t="shared" si="757"/>
        <v>2MASS J16100133-3906449</v>
      </c>
      <c r="C891" s="486" t="str">
        <f t="shared" si="757"/>
        <v/>
      </c>
      <c r="D891" s="486"/>
      <c r="E891" s="486"/>
      <c r="F891" s="528"/>
      <c r="G891" s="486"/>
      <c r="H891" s="486" t="s">
        <v>5917</v>
      </c>
      <c r="I891" s="491"/>
      <c r="J891" s="491"/>
      <c r="K891" s="491"/>
      <c r="L891" s="491"/>
      <c r="M891" s="486"/>
      <c r="N891" s="422"/>
      <c r="O891" s="422"/>
      <c r="P891" s="422"/>
      <c r="Q891" s="486"/>
      <c r="R891" s="491"/>
      <c r="S891" s="491"/>
      <c r="T891" s="491"/>
      <c r="U891" s="491"/>
      <c r="V891" s="491"/>
      <c r="W891" s="493"/>
      <c r="X891" s="486"/>
      <c r="Y891" s="442"/>
      <c r="Z891" s="491"/>
      <c r="AA891" s="524" t="str">
        <f>AC356</f>
        <v/>
      </c>
      <c r="AB891" s="494"/>
      <c r="AC891" s="436"/>
      <c r="AD891" s="495"/>
      <c r="AE891" s="491"/>
      <c r="AF891" s="491"/>
      <c r="AG891" s="525" t="str">
        <f>AI356</f>
        <v/>
      </c>
      <c r="AH891" s="491"/>
      <c r="AI891" s="446"/>
      <c r="AJ891" s="491"/>
      <c r="AK891" s="500"/>
      <c r="AL891" s="436"/>
      <c r="AM891" s="438"/>
      <c r="AN891" s="531"/>
      <c r="AO891" s="491"/>
      <c r="AP891" s="438"/>
      <c r="AQ891" s="438"/>
      <c r="AR891" s="438"/>
      <c r="AS891" s="438"/>
      <c r="AT891" s="438"/>
      <c r="AU891" s="438"/>
      <c r="AV891" s="438"/>
      <c r="AW891" s="450">
        <f>AW356</f>
        <v>192.5595009</v>
      </c>
    </row>
    <row r="892">
      <c r="A892" s="451" t="s">
        <v>489</v>
      </c>
      <c r="B892" s="451" t="s">
        <v>489</v>
      </c>
      <c r="C892" s="440"/>
      <c r="D892" s="440" t="s">
        <v>314</v>
      </c>
      <c r="E892" s="440"/>
      <c r="F892" s="451" t="s">
        <v>2684</v>
      </c>
      <c r="G892" s="440" t="s">
        <v>169</v>
      </c>
      <c r="H892" s="440" t="s">
        <v>476</v>
      </c>
      <c r="I892" s="436">
        <v>2015.0</v>
      </c>
      <c r="J892" s="460">
        <v>2935.0</v>
      </c>
      <c r="K892" s="460">
        <v>68.0</v>
      </c>
      <c r="L892" s="460" t="s">
        <v>217</v>
      </c>
      <c r="M892" s="461">
        <v>0.5</v>
      </c>
      <c r="N892" s="422">
        <v>13.28</v>
      </c>
      <c r="O892" s="422">
        <v>12.317</v>
      </c>
      <c r="P892" s="422">
        <v>16.76</v>
      </c>
      <c r="Q892" s="440" t="s">
        <v>2189</v>
      </c>
      <c r="R892" s="451" t="s">
        <v>2190</v>
      </c>
      <c r="S892" s="451" t="s">
        <v>2191</v>
      </c>
      <c r="T892" s="462" t="s">
        <v>162</v>
      </c>
      <c r="U892" s="451" t="s">
        <v>2192</v>
      </c>
      <c r="V892" s="440"/>
      <c r="W892" s="463"/>
      <c r="X892" s="437"/>
      <c r="Y892" s="442" t="str">
        <f>IF((W892/((J892/5780)^4))^0.5&gt;0,(W892/((J892/5780)^4))^0.5,"")</f>
        <v/>
      </c>
      <c r="Z892" s="464"/>
      <c r="AA892" s="465">
        <v>1.03</v>
      </c>
      <c r="AB892" s="465">
        <v>0.27</v>
      </c>
      <c r="AC892" s="436" t="str">
        <f>IF(ISNUMBER(VLOOKUP(B892,'New Masses'!A:C,3,FALSE)),VLOOKUP(B892,'New Masses'!A:C,3,FALSE),"")</f>
        <v/>
      </c>
      <c r="AD892" s="440">
        <f>10^AE892</f>
        <v>0</v>
      </c>
      <c r="AE892" s="460">
        <v>-10.3</v>
      </c>
      <c r="AF892" s="440"/>
      <c r="AG892" s="445">
        <v>0.1</v>
      </c>
      <c r="AH892" s="460">
        <v>0.02</v>
      </c>
      <c r="AI892" s="446" t="str">
        <f>IF(ISNUMBER(VLOOKUP(B892,'New Masses'!A:C,2, FALSE)),VLOOKUP(B892,'New Masses'!A:C,2, FALSE),"")</f>
        <v/>
      </c>
      <c r="AJ892" s="440">
        <f>LOG10(AG892)</f>
        <v>-1</v>
      </c>
      <c r="AK892" s="460"/>
      <c r="AL892" s="460">
        <v>-3.9</v>
      </c>
      <c r="AM892" s="466">
        <v>43900.0</v>
      </c>
      <c r="AN892" s="436">
        <v>3.0</v>
      </c>
      <c r="AO892" s="440"/>
      <c r="AP892" s="440"/>
      <c r="AQ892" s="440"/>
      <c r="AR892" s="440"/>
      <c r="AS892" s="440"/>
      <c r="AT892" s="440"/>
      <c r="AU892" s="440"/>
      <c r="AV892" s="440"/>
      <c r="AW892" s="450">
        <v>158.576616292161</v>
      </c>
    </row>
    <row r="893">
      <c r="A893" s="435" t="str">
        <f t="shared" ref="A893:C893" si="758">A358</f>
        <v>2MASS J16115979-3823383</v>
      </c>
      <c r="B893" s="485" t="str">
        <f t="shared" si="758"/>
        <v>SST-Lup3-1</v>
      </c>
      <c r="C893" s="486" t="str">
        <f t="shared" si="758"/>
        <v/>
      </c>
      <c r="D893" s="486"/>
      <c r="E893" s="486"/>
      <c r="F893" s="528"/>
      <c r="G893" s="486"/>
      <c r="H893" s="486" t="s">
        <v>5917</v>
      </c>
      <c r="I893" s="491"/>
      <c r="J893" s="491"/>
      <c r="K893" s="491"/>
      <c r="L893" s="491"/>
      <c r="M893" s="486"/>
      <c r="N893" s="422"/>
      <c r="O893" s="422"/>
      <c r="P893" s="422"/>
      <c r="Q893" s="486"/>
      <c r="R893" s="491"/>
      <c r="S893" s="491"/>
      <c r="T893" s="491"/>
      <c r="U893" s="491"/>
      <c r="V893" s="491"/>
      <c r="W893" s="493"/>
      <c r="X893" s="486"/>
      <c r="Y893" s="442"/>
      <c r="Z893" s="491"/>
      <c r="AA893" s="524" t="str">
        <f>AC358</f>
        <v/>
      </c>
      <c r="AB893" s="494"/>
      <c r="AC893" s="436"/>
      <c r="AD893" s="495"/>
      <c r="AE893" s="491"/>
      <c r="AF893" s="491"/>
      <c r="AG893" s="525" t="str">
        <f>AI358</f>
        <v/>
      </c>
      <c r="AH893" s="491"/>
      <c r="AI893" s="446"/>
      <c r="AJ893" s="491"/>
      <c r="AK893" s="500"/>
      <c r="AL893" s="436"/>
      <c r="AM893" s="438"/>
      <c r="AN893" s="531"/>
      <c r="AO893" s="491"/>
      <c r="AP893" s="438"/>
      <c r="AQ893" s="438"/>
      <c r="AR893" s="438"/>
      <c r="AS893" s="438"/>
      <c r="AT893" s="438"/>
      <c r="AU893" s="438"/>
      <c r="AV893" s="438"/>
      <c r="AW893" s="450">
        <f>AW358</f>
        <v>164.5359264</v>
      </c>
    </row>
    <row r="894">
      <c r="A894" s="451" t="s">
        <v>532</v>
      </c>
      <c r="B894" s="451" t="s">
        <v>532</v>
      </c>
      <c r="C894" s="440"/>
      <c r="D894" s="440" t="s">
        <v>314</v>
      </c>
      <c r="E894" s="440"/>
      <c r="F894" s="451" t="s">
        <v>2685</v>
      </c>
      <c r="G894" s="440" t="s">
        <v>159</v>
      </c>
      <c r="H894" s="440" t="s">
        <v>476</v>
      </c>
      <c r="I894" s="436">
        <v>2015.0</v>
      </c>
      <c r="J894" s="460">
        <v>3200.0</v>
      </c>
      <c r="K894" s="460">
        <v>74.0</v>
      </c>
      <c r="L894" s="460" t="s">
        <v>402</v>
      </c>
      <c r="M894" s="461">
        <v>0.5</v>
      </c>
      <c r="N894" s="422">
        <v>11.946</v>
      </c>
      <c r="O894" s="422">
        <v>10.913</v>
      </c>
      <c r="P894" s="422">
        <v>15.79</v>
      </c>
      <c r="Q894" s="440" t="s">
        <v>2189</v>
      </c>
      <c r="R894" s="451" t="s">
        <v>2190</v>
      </c>
      <c r="S894" s="451" t="s">
        <v>2191</v>
      </c>
      <c r="T894" s="462" t="s">
        <v>162</v>
      </c>
      <c r="U894" s="451" t="s">
        <v>2192</v>
      </c>
      <c r="V894" s="440"/>
      <c r="W894" s="463"/>
      <c r="X894" s="437"/>
      <c r="Y894" s="442" t="str">
        <f>IF((W894/((J894/5780)^4))^0.5&gt;0,(W894/((J894/5780)^4))^0.5,"")</f>
        <v/>
      </c>
      <c r="Z894" s="464"/>
      <c r="AA894" s="465">
        <v>1.29</v>
      </c>
      <c r="AB894" s="465">
        <v>0.29</v>
      </c>
      <c r="AC894" s="436" t="str">
        <f>IF(ISNUMBER(VLOOKUP(B894,'New Masses'!A:C,3,FALSE)),VLOOKUP(B894,'New Masses'!A:C,3,FALSE),"")</f>
        <v/>
      </c>
      <c r="AD894" s="440">
        <f>10^AE894</f>
        <v>0.0000000001513561248</v>
      </c>
      <c r="AE894" s="460">
        <v>-9.82</v>
      </c>
      <c r="AF894" s="440"/>
      <c r="AG894" s="445">
        <v>0.22</v>
      </c>
      <c r="AH894" s="460">
        <v>0.03</v>
      </c>
      <c r="AI894" s="446" t="str">
        <f>IF(ISNUMBER(VLOOKUP(B894,'New Masses'!A:C,2, FALSE)),VLOOKUP(B894,'New Masses'!A:C,2, FALSE),"")</f>
        <v/>
      </c>
      <c r="AJ894" s="440">
        <f>LOG10(AG894)</f>
        <v>-0.6575773192</v>
      </c>
      <c r="AK894" s="460"/>
      <c r="AL894" s="460">
        <v>-3.2</v>
      </c>
      <c r="AM894" s="466">
        <v>43900.0</v>
      </c>
      <c r="AN894" s="436">
        <v>3.0</v>
      </c>
      <c r="AO894" s="440"/>
      <c r="AP894" s="440"/>
      <c r="AQ894" s="440"/>
      <c r="AR894" s="440"/>
      <c r="AS894" s="440"/>
      <c r="AT894" s="440"/>
      <c r="AU894" s="440"/>
      <c r="AV894" s="440"/>
      <c r="AW894" s="450">
        <v>163.233325715778</v>
      </c>
    </row>
    <row r="895">
      <c r="A895" s="435" t="str">
        <f t="shared" ref="A895:C895" si="759">A360</f>
        <v>2MASS J16253673-2415424</v>
      </c>
      <c r="B895" s="485" t="str">
        <f t="shared" si="759"/>
        <v>ISO-Oph 001</v>
      </c>
      <c r="C895" s="486" t="str">
        <f t="shared" si="759"/>
        <v/>
      </c>
      <c r="D895" s="486"/>
      <c r="E895" s="486"/>
      <c r="F895" s="528"/>
      <c r="G895" s="486"/>
      <c r="H895" s="486" t="s">
        <v>5917</v>
      </c>
      <c r="I895" s="491"/>
      <c r="J895" s="491"/>
      <c r="K895" s="491"/>
      <c r="L895" s="491"/>
      <c r="M895" s="486"/>
      <c r="N895" s="422"/>
      <c r="O895" s="422"/>
      <c r="P895" s="422"/>
      <c r="Q895" s="486"/>
      <c r="R895" s="491"/>
      <c r="S895" s="491"/>
      <c r="T895" s="491"/>
      <c r="U895" s="491"/>
      <c r="V895" s="491"/>
      <c r="W895" s="493"/>
      <c r="X895" s="486"/>
      <c r="Y895" s="442"/>
      <c r="Z895" s="491"/>
      <c r="AA895" s="524" t="str">
        <f>AC360</f>
        <v/>
      </c>
      <c r="AB895" s="494"/>
      <c r="AC895" s="436"/>
      <c r="AD895" s="495"/>
      <c r="AE895" s="491"/>
      <c r="AF895" s="491"/>
      <c r="AG895" s="525" t="str">
        <f>AI360</f>
        <v/>
      </c>
      <c r="AH895" s="491"/>
      <c r="AI895" s="446"/>
      <c r="AJ895" s="491"/>
      <c r="AK895" s="500"/>
      <c r="AL895" s="436"/>
      <c r="AM895" s="438"/>
      <c r="AN895" s="531"/>
      <c r="AO895" s="491"/>
      <c r="AP895" s="438"/>
      <c r="AQ895" s="438"/>
      <c r="AR895" s="438"/>
      <c r="AS895" s="438"/>
      <c r="AT895" s="438"/>
      <c r="AU895" s="438"/>
      <c r="AV895" s="438"/>
      <c r="AW895" s="450">
        <f>AW360</f>
        <v>142.8693888</v>
      </c>
    </row>
    <row r="896">
      <c r="A896" s="451" t="s">
        <v>565</v>
      </c>
      <c r="B896" s="451" t="s">
        <v>565</v>
      </c>
      <c r="C896" s="440"/>
      <c r="D896" s="440" t="s">
        <v>314</v>
      </c>
      <c r="E896" s="440"/>
      <c r="F896" s="451" t="s">
        <v>2686</v>
      </c>
      <c r="G896" s="440" t="s">
        <v>169</v>
      </c>
      <c r="H896" s="440" t="s">
        <v>476</v>
      </c>
      <c r="I896" s="436">
        <v>2015.0</v>
      </c>
      <c r="J896" s="460">
        <v>3705.0</v>
      </c>
      <c r="K896" s="460">
        <v>171.0</v>
      </c>
      <c r="L896" s="460" t="s">
        <v>419</v>
      </c>
      <c r="M896" s="461">
        <v>0.5</v>
      </c>
      <c r="N896" s="422">
        <v>10.544</v>
      </c>
      <c r="O896" s="422">
        <v>9.539</v>
      </c>
      <c r="P896" s="422">
        <v>13.39</v>
      </c>
      <c r="Q896" s="440" t="s">
        <v>2189</v>
      </c>
      <c r="R896" s="451" t="s">
        <v>2190</v>
      </c>
      <c r="S896" s="451" t="s">
        <v>2191</v>
      </c>
      <c r="T896" s="462" t="s">
        <v>162</v>
      </c>
      <c r="U896" s="451" t="s">
        <v>2192</v>
      </c>
      <c r="V896" s="440"/>
      <c r="W896" s="463"/>
      <c r="X896" s="437"/>
      <c r="Y896" s="442" t="str">
        <f>IF((W896/((J896/5780)^4))^0.5&gt;0,(W896/((J896/5780)^4))^0.5,"")</f>
        <v/>
      </c>
      <c r="Z896" s="464"/>
      <c r="AA896" s="465">
        <v>1.91</v>
      </c>
      <c r="AB896" s="465">
        <v>0.42</v>
      </c>
      <c r="AC896" s="436" t="str">
        <f>IF(ISNUMBER(VLOOKUP(B896,'New Masses'!A:C,3,FALSE)),VLOOKUP(B896,'New Masses'!A:C,3,FALSE),"")</f>
        <v/>
      </c>
      <c r="AD896" s="440">
        <f>10^AE896</f>
        <v>0.000000001659586907</v>
      </c>
      <c r="AE896" s="460">
        <v>-8.78</v>
      </c>
      <c r="AF896" s="440"/>
      <c r="AG896" s="445">
        <v>0.47</v>
      </c>
      <c r="AH896" s="460">
        <v>0.11</v>
      </c>
      <c r="AI896" s="446" t="str">
        <f>IF(ISNUMBER(VLOOKUP(B896,'New Masses'!A:C,2, FALSE)),VLOOKUP(B896,'New Masses'!A:C,2, FALSE),"")</f>
        <v/>
      </c>
      <c r="AJ896" s="440">
        <f>LOG10(AG896)</f>
        <v>-0.3279021421</v>
      </c>
      <c r="AK896" s="460"/>
      <c r="AL896" s="460">
        <v>-2.0</v>
      </c>
      <c r="AM896" s="466">
        <v>43900.0</v>
      </c>
      <c r="AN896" s="436">
        <v>3.0</v>
      </c>
      <c r="AO896" s="440"/>
      <c r="AP896" s="440"/>
      <c r="AQ896" s="440"/>
      <c r="AR896" s="440"/>
      <c r="AS896" s="440"/>
      <c r="AT896" s="440"/>
      <c r="AU896" s="440"/>
      <c r="AV896" s="440"/>
      <c r="AW896" s="450">
        <v>159.813338021191</v>
      </c>
    </row>
    <row r="897">
      <c r="A897" s="435" t="str">
        <f t="shared" ref="A897:C897" si="760">A362</f>
        <v>2MASS J16253958-2426349</v>
      </c>
      <c r="B897" s="485" t="str">
        <f t="shared" si="760"/>
        <v>ISO-Oph 003</v>
      </c>
      <c r="C897" s="486" t="str">
        <f t="shared" si="760"/>
        <v/>
      </c>
      <c r="D897" s="486"/>
      <c r="E897" s="486"/>
      <c r="F897" s="528"/>
      <c r="G897" s="486"/>
      <c r="H897" s="486" t="s">
        <v>5917</v>
      </c>
      <c r="I897" s="491"/>
      <c r="J897" s="491"/>
      <c r="K897" s="491"/>
      <c r="L897" s="491"/>
      <c r="M897" s="486"/>
      <c r="N897" s="422"/>
      <c r="O897" s="422"/>
      <c r="P897" s="422"/>
      <c r="Q897" s="486"/>
      <c r="R897" s="491"/>
      <c r="S897" s="491"/>
      <c r="T897" s="491"/>
      <c r="U897" s="491"/>
      <c r="V897" s="491"/>
      <c r="W897" s="493"/>
      <c r="X897" s="486"/>
      <c r="Y897" s="442"/>
      <c r="Z897" s="491"/>
      <c r="AA897" s="524" t="str">
        <f>AC362</f>
        <v/>
      </c>
      <c r="AB897" s="494"/>
      <c r="AC897" s="436"/>
      <c r="AD897" s="495"/>
      <c r="AE897" s="491"/>
      <c r="AF897" s="491"/>
      <c r="AG897" s="525" t="str">
        <f>AI362</f>
        <v/>
      </c>
      <c r="AH897" s="491"/>
      <c r="AI897" s="446"/>
      <c r="AJ897" s="491"/>
      <c r="AK897" s="500"/>
      <c r="AL897" s="436"/>
      <c r="AM897" s="438"/>
      <c r="AN897" s="531"/>
      <c r="AO897" s="491"/>
      <c r="AP897" s="438"/>
      <c r="AQ897" s="438"/>
      <c r="AR897" s="438"/>
      <c r="AS897" s="438"/>
      <c r="AT897" s="438"/>
      <c r="AU897" s="438"/>
      <c r="AV897" s="438"/>
      <c r="AW897" s="450" t="str">
        <f>AW362</f>
        <v/>
      </c>
    </row>
    <row r="898">
      <c r="A898" s="451" t="s">
        <v>513</v>
      </c>
      <c r="B898" s="451" t="s">
        <v>513</v>
      </c>
      <c r="C898" s="440"/>
      <c r="D898" s="440" t="s">
        <v>314</v>
      </c>
      <c r="E898" s="440"/>
      <c r="F898" s="451" t="s">
        <v>2687</v>
      </c>
      <c r="G898" s="440" t="s">
        <v>169</v>
      </c>
      <c r="H898" s="440" t="s">
        <v>476</v>
      </c>
      <c r="I898" s="436">
        <v>2015.0</v>
      </c>
      <c r="J898" s="460">
        <v>3125.0</v>
      </c>
      <c r="K898" s="460">
        <v>72.0</v>
      </c>
      <c r="L898" s="460" t="s">
        <v>371</v>
      </c>
      <c r="M898" s="461">
        <v>0.5</v>
      </c>
      <c r="N898" s="422">
        <v>12.76</v>
      </c>
      <c r="O898" s="422">
        <v>11.613</v>
      </c>
      <c r="P898" s="422">
        <v>16.37</v>
      </c>
      <c r="Q898" s="440" t="s">
        <v>2189</v>
      </c>
      <c r="R898" s="451" t="s">
        <v>2190</v>
      </c>
      <c r="S898" s="451" t="s">
        <v>2191</v>
      </c>
      <c r="T898" s="462" t="s">
        <v>162</v>
      </c>
      <c r="U898" s="451" t="s">
        <v>2192</v>
      </c>
      <c r="V898" s="440"/>
      <c r="W898" s="463"/>
      <c r="X898" s="437"/>
      <c r="Y898" s="442" t="str">
        <f>IF((W898/((J898/5780)^4))^0.5&gt;0,(W898/((J898/5780)^4))^0.5,"")</f>
        <v/>
      </c>
      <c r="Z898" s="464"/>
      <c r="AA898" s="465">
        <v>0.9</v>
      </c>
      <c r="AB898" s="465">
        <v>0.2</v>
      </c>
      <c r="AC898" s="436" t="str">
        <f>IF(ISNUMBER(VLOOKUP(B898,'New Masses'!A:C,3,FALSE)),VLOOKUP(B898,'New Masses'!A:C,3,FALSE),"")</f>
        <v/>
      </c>
      <c r="AD898" s="440">
        <f>10^AE898</f>
        <v>0.000000001148153621</v>
      </c>
      <c r="AE898" s="460">
        <v>-8.94</v>
      </c>
      <c r="AF898" s="440"/>
      <c r="AG898" s="445">
        <v>0.16</v>
      </c>
      <c r="AH898" s="460">
        <v>0.03</v>
      </c>
      <c r="AI898" s="446" t="str">
        <f>IF(ISNUMBER(VLOOKUP(B898,'New Masses'!A:C,2, FALSE)),VLOOKUP(B898,'New Masses'!A:C,2, FALSE),"")</f>
        <v/>
      </c>
      <c r="AJ898" s="440">
        <f>LOG10(AG898)</f>
        <v>-0.7958800173</v>
      </c>
      <c r="AK898" s="460"/>
      <c r="AL898" s="460">
        <v>-2.3</v>
      </c>
      <c r="AM898" s="466">
        <v>43900.0</v>
      </c>
      <c r="AN898" s="436">
        <v>3.0</v>
      </c>
      <c r="AO898" s="440"/>
      <c r="AP898" s="440"/>
      <c r="AQ898" s="440"/>
      <c r="AR898" s="440"/>
      <c r="AS898" s="440"/>
      <c r="AT898" s="440"/>
      <c r="AU898" s="440"/>
      <c r="AV898" s="440"/>
      <c r="AW898" s="450">
        <v>160.0</v>
      </c>
    </row>
    <row r="899">
      <c r="A899" s="435" t="str">
        <f t="shared" ref="A899:C899" si="761">A364</f>
        <v>2MASS J16255052-2439145</v>
      </c>
      <c r="B899" s="485" t="str">
        <f t="shared" si="761"/>
        <v>ISO-Oph 005</v>
      </c>
      <c r="C899" s="486" t="str">
        <f t="shared" si="761"/>
        <v/>
      </c>
      <c r="D899" s="486"/>
      <c r="E899" s="486"/>
      <c r="F899" s="528"/>
      <c r="G899" s="486"/>
      <c r="H899" s="486" t="s">
        <v>5917</v>
      </c>
      <c r="I899" s="491"/>
      <c r="J899" s="491"/>
      <c r="K899" s="491"/>
      <c r="L899" s="491"/>
      <c r="M899" s="486"/>
      <c r="N899" s="422"/>
      <c r="O899" s="422"/>
      <c r="P899" s="422"/>
      <c r="Q899" s="486"/>
      <c r="R899" s="491"/>
      <c r="S899" s="491"/>
      <c r="T899" s="491"/>
      <c r="U899" s="491"/>
      <c r="V899" s="491"/>
      <c r="W899" s="493"/>
      <c r="X899" s="486"/>
      <c r="Y899" s="442"/>
      <c r="Z899" s="491"/>
      <c r="AA899" s="524" t="str">
        <f>AC364</f>
        <v/>
      </c>
      <c r="AB899" s="494"/>
      <c r="AC899" s="436"/>
      <c r="AD899" s="495"/>
      <c r="AE899" s="491"/>
      <c r="AF899" s="491"/>
      <c r="AG899" s="525" t="str">
        <f>AI364</f>
        <v/>
      </c>
      <c r="AH899" s="491"/>
      <c r="AI899" s="446"/>
      <c r="AJ899" s="491"/>
      <c r="AK899" s="500"/>
      <c r="AL899" s="436"/>
      <c r="AM899" s="438"/>
      <c r="AN899" s="531"/>
      <c r="AO899" s="491"/>
      <c r="AP899" s="438"/>
      <c r="AQ899" s="438"/>
      <c r="AR899" s="438"/>
      <c r="AS899" s="438"/>
      <c r="AT899" s="438"/>
      <c r="AU899" s="438"/>
      <c r="AV899" s="438"/>
      <c r="AW899" s="450">
        <f>AW364</f>
        <v>142.1161089</v>
      </c>
    </row>
    <row r="900">
      <c r="A900" s="435" t="s">
        <v>517</v>
      </c>
      <c r="B900" s="451" t="s">
        <v>518</v>
      </c>
      <c r="C900" s="440"/>
      <c r="D900" s="440" t="s">
        <v>314</v>
      </c>
      <c r="E900" s="440"/>
      <c r="F900" s="451" t="s">
        <v>2688</v>
      </c>
      <c r="G900" s="440" t="s">
        <v>159</v>
      </c>
      <c r="H900" s="440" t="s">
        <v>476</v>
      </c>
      <c r="I900" s="438"/>
      <c r="J900" s="460">
        <v>3057.0</v>
      </c>
      <c r="K900" s="460">
        <v>70.0</v>
      </c>
      <c r="L900" s="460" t="s">
        <v>264</v>
      </c>
      <c r="M900" s="461">
        <v>0.5</v>
      </c>
      <c r="N900" s="422">
        <v>10.982</v>
      </c>
      <c r="O900" s="422">
        <v>9.908</v>
      </c>
      <c r="P900" s="422">
        <v>14.97</v>
      </c>
      <c r="Q900" s="440" t="s">
        <v>2189</v>
      </c>
      <c r="R900" s="451" t="s">
        <v>2190</v>
      </c>
      <c r="S900" s="451" t="s">
        <v>2191</v>
      </c>
      <c r="T900" s="462" t="s">
        <v>162</v>
      </c>
      <c r="U900" s="451" t="s">
        <v>2192</v>
      </c>
      <c r="V900" s="440"/>
      <c r="W900" s="463"/>
      <c r="X900" s="437"/>
      <c r="Y900" s="442" t="str">
        <f>IF((W900/((J900/5780)^4))^0.5&gt;0,(W900/((J900/5780)^4))^0.5,"")</f>
        <v/>
      </c>
      <c r="Z900" s="464"/>
      <c r="AA900" s="465">
        <v>1.43</v>
      </c>
      <c r="AB900" s="465">
        <v>0.33</v>
      </c>
      <c r="AC900" s="436" t="str">
        <f>IF(ISNUMBER(VLOOKUP(B900,'New Masses'!A:C,3,FALSE)),VLOOKUP(B900,'New Masses'!A:C,3,FALSE),"")</f>
        <v/>
      </c>
      <c r="AD900" s="440">
        <f>10^AE900</f>
        <v>0.0000000003235936569</v>
      </c>
      <c r="AE900" s="460">
        <v>-9.49</v>
      </c>
      <c r="AF900" s="440"/>
      <c r="AG900" s="445">
        <v>0.18</v>
      </c>
      <c r="AH900" s="460">
        <v>0.03</v>
      </c>
      <c r="AI900" s="446" t="str">
        <f>IF(ISNUMBER(VLOOKUP(B900,'New Masses'!A:C,2, FALSE)),VLOOKUP(B900,'New Masses'!A:C,2, FALSE),"")</f>
        <v/>
      </c>
      <c r="AJ900" s="440">
        <f>LOG10(AG900)</f>
        <v>-0.7447274949</v>
      </c>
      <c r="AK900" s="460"/>
      <c r="AL900" s="460">
        <v>-3.0</v>
      </c>
      <c r="AM900" s="466">
        <v>43900.0</v>
      </c>
      <c r="AN900" s="436">
        <v>3.0</v>
      </c>
      <c r="AO900" s="440"/>
      <c r="AP900" s="440"/>
      <c r="AQ900" s="440"/>
      <c r="AR900" s="440"/>
      <c r="AS900" s="440"/>
      <c r="AT900" s="440"/>
      <c r="AU900" s="440"/>
      <c r="AV900" s="440"/>
      <c r="AW900" s="450">
        <v>136.939404313591</v>
      </c>
    </row>
    <row r="901">
      <c r="A901" s="435" t="str">
        <f t="shared" ref="A901:C901" si="762">A366</f>
        <v>2MASS J16255615-2420481</v>
      </c>
      <c r="B901" s="485" t="str">
        <f t="shared" si="762"/>
        <v>ISO-Oph 006</v>
      </c>
      <c r="C901" s="486" t="str">
        <f t="shared" si="762"/>
        <v/>
      </c>
      <c r="D901" s="486"/>
      <c r="E901" s="486"/>
      <c r="F901" s="528"/>
      <c r="G901" s="486"/>
      <c r="H901" s="486" t="s">
        <v>5917</v>
      </c>
      <c r="I901" s="491"/>
      <c r="J901" s="491"/>
      <c r="K901" s="491"/>
      <c r="L901" s="491"/>
      <c r="M901" s="486"/>
      <c r="N901" s="422"/>
      <c r="O901" s="422"/>
      <c r="P901" s="422"/>
      <c r="Q901" s="486"/>
      <c r="R901" s="491"/>
      <c r="S901" s="491"/>
      <c r="T901" s="491"/>
      <c r="U901" s="491"/>
      <c r="V901" s="491"/>
      <c r="W901" s="493"/>
      <c r="X901" s="486"/>
      <c r="Y901" s="442"/>
      <c r="Z901" s="491"/>
      <c r="AA901" s="524" t="str">
        <f>AC366</f>
        <v/>
      </c>
      <c r="AB901" s="494"/>
      <c r="AC901" s="436"/>
      <c r="AD901" s="495"/>
      <c r="AE901" s="491"/>
      <c r="AF901" s="491"/>
      <c r="AG901" s="525" t="str">
        <f>AI366</f>
        <v/>
      </c>
      <c r="AH901" s="491"/>
      <c r="AI901" s="446"/>
      <c r="AJ901" s="491"/>
      <c r="AK901" s="500"/>
      <c r="AL901" s="436"/>
      <c r="AM901" s="438"/>
      <c r="AN901" s="531"/>
      <c r="AO901" s="491"/>
      <c r="AP901" s="438"/>
      <c r="AQ901" s="438"/>
      <c r="AR901" s="438"/>
      <c r="AS901" s="438"/>
      <c r="AT901" s="438"/>
      <c r="AU901" s="438"/>
      <c r="AV901" s="438"/>
      <c r="AW901" s="450">
        <f>AW366</f>
        <v>134.5967481</v>
      </c>
    </row>
    <row r="902">
      <c r="A902" s="435" t="s">
        <v>542</v>
      </c>
      <c r="B902" s="451" t="s">
        <v>543</v>
      </c>
      <c r="C902" s="440"/>
      <c r="D902" s="440" t="s">
        <v>314</v>
      </c>
      <c r="E902" s="440"/>
      <c r="F902" s="451" t="s">
        <v>2689</v>
      </c>
      <c r="G902" s="440" t="s">
        <v>169</v>
      </c>
      <c r="H902" s="440" t="s">
        <v>476</v>
      </c>
      <c r="I902" s="438"/>
      <c r="J902" s="460">
        <v>3270.0</v>
      </c>
      <c r="K902" s="460">
        <v>75.0</v>
      </c>
      <c r="L902" s="460" t="s">
        <v>395</v>
      </c>
      <c r="M902" s="461">
        <v>0.5</v>
      </c>
      <c r="N902" s="422">
        <v>11.383</v>
      </c>
      <c r="O902" s="422">
        <v>10.23</v>
      </c>
      <c r="P902" s="422">
        <v>15.18</v>
      </c>
      <c r="Q902" s="440" t="s">
        <v>2189</v>
      </c>
      <c r="R902" s="451" t="s">
        <v>2190</v>
      </c>
      <c r="S902" s="451" t="s">
        <v>2191</v>
      </c>
      <c r="T902" s="462" t="s">
        <v>162</v>
      </c>
      <c r="U902" s="451" t="s">
        <v>2192</v>
      </c>
      <c r="V902" s="440"/>
      <c r="W902" s="463"/>
      <c r="X902" s="437"/>
      <c r="Y902" s="442" t="str">
        <f>IF((W902/((J902/5780)^4))^0.5&gt;0,(W902/((J902/5780)^4))^0.5,"")</f>
        <v/>
      </c>
      <c r="Z902" s="464"/>
      <c r="AA902" s="465">
        <v>1.41</v>
      </c>
      <c r="AB902" s="465">
        <v>0.3</v>
      </c>
      <c r="AC902" s="436" t="str">
        <f>IF(ISNUMBER(VLOOKUP(B902,'New Masses'!A:C,3,FALSE)),VLOOKUP(B902,'New Masses'!A:C,3,FALSE),"")</f>
        <v/>
      </c>
      <c r="AD902" s="440">
        <f>10^AE902</f>
        <v>0.0000000009120108394</v>
      </c>
      <c r="AE902" s="460">
        <v>-9.04</v>
      </c>
      <c r="AF902" s="440"/>
      <c r="AG902" s="445">
        <v>0.25</v>
      </c>
      <c r="AH902" s="460">
        <v>0.03</v>
      </c>
      <c r="AI902" s="446" t="str">
        <f>IF(ISNUMBER(VLOOKUP(B902,'New Masses'!A:C,2, FALSE)),VLOOKUP(B902,'New Masses'!A:C,2, FALSE),"")</f>
        <v/>
      </c>
      <c r="AJ902" s="440">
        <f>LOG10(AG902)</f>
        <v>-0.6020599913</v>
      </c>
      <c r="AK902" s="460"/>
      <c r="AL902" s="460">
        <v>-2.4</v>
      </c>
      <c r="AM902" s="466">
        <v>43900.0</v>
      </c>
      <c r="AN902" s="436">
        <v>3.0</v>
      </c>
      <c r="AO902" s="440"/>
      <c r="AP902" s="440"/>
      <c r="AQ902" s="440"/>
      <c r="AR902" s="440"/>
      <c r="AS902" s="440"/>
      <c r="AT902" s="440"/>
      <c r="AU902" s="440"/>
      <c r="AV902" s="440"/>
      <c r="AW902" s="450">
        <v>159.499808600229</v>
      </c>
    </row>
    <row r="903">
      <c r="A903" s="435" t="str">
        <f t="shared" ref="A903:C903" si="763">A368</f>
        <v>2MASS J16260137-2425203</v>
      </c>
      <c r="B903" s="485" t="str">
        <f t="shared" si="763"/>
        <v>ISO-Oph 009</v>
      </c>
      <c r="C903" s="486" t="str">
        <f t="shared" si="763"/>
        <v/>
      </c>
      <c r="D903" s="486"/>
      <c r="E903" s="486"/>
      <c r="F903" s="528"/>
      <c r="G903" s="486"/>
      <c r="H903" s="486" t="s">
        <v>5917</v>
      </c>
      <c r="I903" s="491"/>
      <c r="J903" s="491"/>
      <c r="K903" s="491"/>
      <c r="L903" s="491"/>
      <c r="M903" s="486"/>
      <c r="N903" s="422"/>
      <c r="O903" s="422"/>
      <c r="P903" s="422"/>
      <c r="Q903" s="486"/>
      <c r="R903" s="491"/>
      <c r="S903" s="491"/>
      <c r="T903" s="491"/>
      <c r="U903" s="491"/>
      <c r="V903" s="491"/>
      <c r="W903" s="493"/>
      <c r="X903" s="486"/>
      <c r="Y903" s="442"/>
      <c r="Z903" s="491"/>
      <c r="AA903" s="524" t="str">
        <f>AC368</f>
        <v/>
      </c>
      <c r="AB903" s="494"/>
      <c r="AC903" s="436"/>
      <c r="AD903" s="495"/>
      <c r="AE903" s="491"/>
      <c r="AF903" s="491"/>
      <c r="AG903" s="525" t="str">
        <f>AI368</f>
        <v/>
      </c>
      <c r="AH903" s="491"/>
      <c r="AI903" s="446"/>
      <c r="AJ903" s="491"/>
      <c r="AK903" s="500"/>
      <c r="AL903" s="436"/>
      <c r="AM903" s="438"/>
      <c r="AN903" s="531"/>
      <c r="AO903" s="491"/>
      <c r="AP903" s="438"/>
      <c r="AQ903" s="438"/>
      <c r="AR903" s="438"/>
      <c r="AS903" s="438"/>
      <c r="AT903" s="438"/>
      <c r="AU903" s="438"/>
      <c r="AV903" s="438"/>
      <c r="AW903" s="450" t="str">
        <f>AW368</f>
        <v/>
      </c>
    </row>
    <row r="904">
      <c r="A904" s="435" t="s">
        <v>519</v>
      </c>
      <c r="B904" s="451" t="s">
        <v>520</v>
      </c>
      <c r="C904" s="440"/>
      <c r="D904" s="440" t="s">
        <v>314</v>
      </c>
      <c r="E904" s="440"/>
      <c r="F904" s="451" t="s">
        <v>2690</v>
      </c>
      <c r="G904" s="440" t="s">
        <v>169</v>
      </c>
      <c r="H904" s="440" t="s">
        <v>476</v>
      </c>
      <c r="I904" s="438"/>
      <c r="J904" s="460">
        <v>3125.0</v>
      </c>
      <c r="K904" s="460">
        <v>72.0</v>
      </c>
      <c r="L904" s="460" t="s">
        <v>371</v>
      </c>
      <c r="M904" s="461">
        <v>0.5</v>
      </c>
      <c r="N904" s="422">
        <v>11.665</v>
      </c>
      <c r="O904" s="422">
        <v>10.654</v>
      </c>
      <c r="P904" s="422">
        <v>13.96</v>
      </c>
      <c r="Q904" s="440" t="s">
        <v>2189</v>
      </c>
      <c r="R904" s="451" t="s">
        <v>2190</v>
      </c>
      <c r="S904" s="451" t="s">
        <v>2191</v>
      </c>
      <c r="T904" s="462" t="s">
        <v>162</v>
      </c>
      <c r="U904" s="451" t="s">
        <v>2192</v>
      </c>
      <c r="V904" s="440"/>
      <c r="W904" s="463"/>
      <c r="X904" s="437"/>
      <c r="Y904" s="442" t="str">
        <f>IF((W904/((J904/5780)^4))^0.5&gt;0,(W904/((J904/5780)^4))^0.5,"")</f>
        <v/>
      </c>
      <c r="Z904" s="464"/>
      <c r="AA904" s="465">
        <v>1.11</v>
      </c>
      <c r="AB904" s="465">
        <v>0.26</v>
      </c>
      <c r="AC904" s="436" t="str">
        <f>IF(ISNUMBER(VLOOKUP(B904,'New Masses'!A:C,3,FALSE)),VLOOKUP(B904,'New Masses'!A:C,3,FALSE),"")</f>
        <v/>
      </c>
      <c r="AD904" s="440">
        <f>10^AE904</f>
        <v>0.0000000001584893192</v>
      </c>
      <c r="AE904" s="460">
        <v>-9.8</v>
      </c>
      <c r="AF904" s="440"/>
      <c r="AG904" s="445">
        <v>0.18</v>
      </c>
      <c r="AH904" s="460">
        <v>0.03</v>
      </c>
      <c r="AI904" s="446" t="str">
        <f>IF(ISNUMBER(VLOOKUP(B904,'New Masses'!A:C,2, FALSE)),VLOOKUP(B904,'New Masses'!A:C,2, FALSE),"")</f>
        <v/>
      </c>
      <c r="AJ904" s="440">
        <f>LOG10(AG904)</f>
        <v>-0.7447274949</v>
      </c>
      <c r="AK904" s="460"/>
      <c r="AL904" s="460">
        <v>-3.2</v>
      </c>
      <c r="AM904" s="466">
        <v>43900.0</v>
      </c>
      <c r="AN904" s="436">
        <v>3.0</v>
      </c>
      <c r="AO904" s="440"/>
      <c r="AP904" s="440"/>
      <c r="AQ904" s="440"/>
      <c r="AR904" s="440"/>
      <c r="AS904" s="440"/>
      <c r="AT904" s="440"/>
      <c r="AU904" s="440"/>
      <c r="AV904" s="440"/>
      <c r="AW904" s="450">
        <v>165.461555007693</v>
      </c>
    </row>
    <row r="905">
      <c r="A905" s="435" t="str">
        <f t="shared" ref="A905:C905" si="764">A370</f>
        <v>2MASS J16260329-2417464</v>
      </c>
      <c r="B905" s="485" t="str">
        <f t="shared" si="764"/>
        <v>ISO-Oph 011</v>
      </c>
      <c r="C905" s="486" t="str">
        <f t="shared" si="764"/>
        <v/>
      </c>
      <c r="D905" s="486"/>
      <c r="E905" s="486"/>
      <c r="F905" s="528"/>
      <c r="G905" s="486"/>
      <c r="H905" s="486" t="s">
        <v>5917</v>
      </c>
      <c r="I905" s="491"/>
      <c r="J905" s="491"/>
      <c r="K905" s="491"/>
      <c r="L905" s="491"/>
      <c r="M905" s="486"/>
      <c r="N905" s="422"/>
      <c r="O905" s="422"/>
      <c r="P905" s="422"/>
      <c r="Q905" s="486"/>
      <c r="R905" s="491"/>
      <c r="S905" s="491"/>
      <c r="T905" s="491"/>
      <c r="U905" s="491"/>
      <c r="V905" s="491"/>
      <c r="W905" s="493"/>
      <c r="X905" s="486"/>
      <c r="Y905" s="442"/>
      <c r="Z905" s="491"/>
      <c r="AA905" s="524" t="str">
        <f>AC370</f>
        <v/>
      </c>
      <c r="AB905" s="494"/>
      <c r="AC905" s="436"/>
      <c r="AD905" s="495"/>
      <c r="AE905" s="491"/>
      <c r="AF905" s="491"/>
      <c r="AG905" s="525" t="str">
        <f>AI370</f>
        <v/>
      </c>
      <c r="AH905" s="491"/>
      <c r="AI905" s="446"/>
      <c r="AJ905" s="491"/>
      <c r="AK905" s="500"/>
      <c r="AL905" s="436"/>
      <c r="AM905" s="438"/>
      <c r="AN905" s="531"/>
      <c r="AO905" s="491"/>
      <c r="AP905" s="438"/>
      <c r="AQ905" s="438"/>
      <c r="AR905" s="438"/>
      <c r="AS905" s="438"/>
      <c r="AT905" s="438"/>
      <c r="AU905" s="438"/>
      <c r="AV905" s="438"/>
      <c r="AW905" s="450" t="str">
        <f>AW370</f>
        <v/>
      </c>
    </row>
    <row r="906">
      <c r="A906" s="435" t="s">
        <v>569</v>
      </c>
      <c r="B906" s="451" t="s">
        <v>570</v>
      </c>
      <c r="C906" s="440"/>
      <c r="D906" s="440" t="s">
        <v>314</v>
      </c>
      <c r="E906" s="440"/>
      <c r="F906" s="451" t="s">
        <v>2691</v>
      </c>
      <c r="G906" s="440" t="s">
        <v>169</v>
      </c>
      <c r="H906" s="440" t="s">
        <v>476</v>
      </c>
      <c r="I906" s="438"/>
      <c r="J906" s="460">
        <v>3777.0</v>
      </c>
      <c r="K906" s="460">
        <v>174.0</v>
      </c>
      <c r="L906" s="460" t="s">
        <v>571</v>
      </c>
      <c r="M906" s="461">
        <v>0.5</v>
      </c>
      <c r="N906" s="422">
        <v>11.65</v>
      </c>
      <c r="O906" s="422">
        <v>10.149</v>
      </c>
      <c r="P906" s="422">
        <v>15.0</v>
      </c>
      <c r="Q906" s="440" t="s">
        <v>2189</v>
      </c>
      <c r="R906" s="451" t="s">
        <v>2190</v>
      </c>
      <c r="S906" s="451" t="s">
        <v>2191</v>
      </c>
      <c r="T906" s="462" t="s">
        <v>162</v>
      </c>
      <c r="U906" s="451" t="s">
        <v>2192</v>
      </c>
      <c r="V906" s="440"/>
      <c r="W906" s="463"/>
      <c r="X906" s="437"/>
      <c r="Y906" s="442" t="str">
        <f>IF((W906/((J906/5780)^4))^0.5&gt;0,(W906/((J906/5780)^4))^0.5,"")</f>
        <v/>
      </c>
      <c r="Z906" s="464"/>
      <c r="AA906" s="465">
        <v>0.72</v>
      </c>
      <c r="AB906" s="465">
        <v>0.17</v>
      </c>
      <c r="AC906" s="436" t="str">
        <f>IF(ISNUMBER(VLOOKUP(B906,'New Masses'!A:C,3,FALSE)),VLOOKUP(B906,'New Masses'!A:C,3,FALSE),"")</f>
        <v/>
      </c>
      <c r="AD906" s="440">
        <f>10^AE906</f>
        <v>0.0000000001819700859</v>
      </c>
      <c r="AE906" s="460">
        <v>-9.74</v>
      </c>
      <c r="AF906" s="440"/>
      <c r="AG906" s="445">
        <v>0.51</v>
      </c>
      <c r="AH906" s="460">
        <v>0.11</v>
      </c>
      <c r="AI906" s="446" t="str">
        <f>IF(ISNUMBER(VLOOKUP(B906,'New Masses'!A:C,2, FALSE)),VLOOKUP(B906,'New Masses'!A:C,2, FALSE),"")</f>
        <v/>
      </c>
      <c r="AJ906" s="440">
        <f>LOG10(AG906)</f>
        <v>-0.2924298239</v>
      </c>
      <c r="AK906" s="460"/>
      <c r="AL906" s="460">
        <v>-2.5</v>
      </c>
      <c r="AM906" s="466">
        <v>43900.0</v>
      </c>
      <c r="AN906" s="436">
        <v>3.0</v>
      </c>
      <c r="AO906" s="440"/>
      <c r="AP906" s="440"/>
      <c r="AQ906" s="440"/>
      <c r="AR906" s="440"/>
      <c r="AS906" s="440"/>
      <c r="AT906" s="440"/>
      <c r="AU906" s="440"/>
      <c r="AV906" s="440"/>
      <c r="AW906" s="450">
        <v>161.668418074529</v>
      </c>
    </row>
    <row r="907">
      <c r="A907" s="435" t="str">
        <f t="shared" ref="A907:C907" si="765">A372</f>
        <v>2MASS J16260457-2417514</v>
      </c>
      <c r="B907" s="485" t="str">
        <f t="shared" si="765"/>
        <v>ISO-Oph 012</v>
      </c>
      <c r="C907" s="486" t="str">
        <f t="shared" si="765"/>
        <v/>
      </c>
      <c r="D907" s="486"/>
      <c r="E907" s="486"/>
      <c r="F907" s="528"/>
      <c r="G907" s="486"/>
      <c r="H907" s="486" t="s">
        <v>5917</v>
      </c>
      <c r="I907" s="491"/>
      <c r="J907" s="491"/>
      <c r="K907" s="491"/>
      <c r="L907" s="491"/>
      <c r="M907" s="486"/>
      <c r="N907" s="422"/>
      <c r="O907" s="422"/>
      <c r="P907" s="422"/>
      <c r="Q907" s="486"/>
      <c r="R907" s="491"/>
      <c r="S907" s="491"/>
      <c r="T907" s="491"/>
      <c r="U907" s="491"/>
      <c r="V907" s="491"/>
      <c r="W907" s="493"/>
      <c r="X907" s="486"/>
      <c r="Y907" s="442"/>
      <c r="Z907" s="491"/>
      <c r="AA907" s="524" t="str">
        <f>AC372</f>
        <v/>
      </c>
      <c r="AB907" s="494"/>
      <c r="AC907" s="436"/>
      <c r="AD907" s="495"/>
      <c r="AE907" s="491"/>
      <c r="AF907" s="491"/>
      <c r="AG907" s="525" t="str">
        <f>AI372</f>
        <v/>
      </c>
      <c r="AH907" s="491"/>
      <c r="AI907" s="446"/>
      <c r="AJ907" s="491"/>
      <c r="AK907" s="500"/>
      <c r="AL907" s="436"/>
      <c r="AM907" s="438"/>
      <c r="AN907" s="531"/>
      <c r="AO907" s="491"/>
      <c r="AP907" s="438"/>
      <c r="AQ907" s="438"/>
      <c r="AR907" s="438"/>
      <c r="AS907" s="438"/>
      <c r="AT907" s="438"/>
      <c r="AU907" s="438"/>
      <c r="AV907" s="438"/>
      <c r="AW907" s="450" t="str">
        <f>AW372</f>
        <v/>
      </c>
    </row>
    <row r="908">
      <c r="A908" s="451" t="s">
        <v>544</v>
      </c>
      <c r="B908" s="451" t="s">
        <v>544</v>
      </c>
      <c r="C908" s="440"/>
      <c r="D908" s="440" t="s">
        <v>314</v>
      </c>
      <c r="E908" s="440"/>
      <c r="F908" s="451" t="s">
        <v>2692</v>
      </c>
      <c r="G908" s="440" t="s">
        <v>169</v>
      </c>
      <c r="H908" s="440" t="s">
        <v>476</v>
      </c>
      <c r="I908" s="438"/>
      <c r="J908" s="460">
        <v>3270.0</v>
      </c>
      <c r="K908" s="460">
        <v>75.0</v>
      </c>
      <c r="L908" s="460" t="s">
        <v>395</v>
      </c>
      <c r="M908" s="461">
        <v>0.5</v>
      </c>
      <c r="N908" s="422">
        <v>10.967</v>
      </c>
      <c r="O908" s="422">
        <v>9.746</v>
      </c>
      <c r="P908" s="422">
        <v>13.72</v>
      </c>
      <c r="Q908" s="440" t="s">
        <v>2189</v>
      </c>
      <c r="R908" s="451" t="s">
        <v>2190</v>
      </c>
      <c r="S908" s="451" t="s">
        <v>2191</v>
      </c>
      <c r="T908" s="462" t="s">
        <v>162</v>
      </c>
      <c r="U908" s="451" t="s">
        <v>2192</v>
      </c>
      <c r="V908" s="440"/>
      <c r="W908" s="463"/>
      <c r="X908" s="437"/>
      <c r="Y908" s="442" t="str">
        <f>IF((W908/((J908/5780)^4))^0.5&gt;0,(W908/((J908/5780)^4))^0.5,"")</f>
        <v/>
      </c>
      <c r="Z908" s="464"/>
      <c r="AA908" s="465">
        <v>1.61</v>
      </c>
      <c r="AB908" s="465">
        <v>0.37</v>
      </c>
      <c r="AC908" s="436" t="str">
        <f>IF(ISNUMBER(VLOOKUP(B908,'New Masses'!A:C,3,FALSE)),VLOOKUP(B908,'New Masses'!A:C,3,FALSE),"")</f>
        <v/>
      </c>
      <c r="AD908" s="440">
        <f>10^AE908</f>
        <v>0.000000002511886432</v>
      </c>
      <c r="AE908" s="460">
        <v>-8.6</v>
      </c>
      <c r="AF908" s="440"/>
      <c r="AG908" s="445">
        <v>0.26</v>
      </c>
      <c r="AH908" s="460">
        <v>0.03</v>
      </c>
      <c r="AI908" s="446" t="str">
        <f>IF(ISNUMBER(VLOOKUP(B908,'New Masses'!A:C,2, FALSE)),VLOOKUP(B908,'New Masses'!A:C,2, FALSE),"")</f>
        <v/>
      </c>
      <c r="AJ908" s="440">
        <f>LOG10(AG908)</f>
        <v>-0.585026652</v>
      </c>
      <c r="AK908" s="460"/>
      <c r="AL908" s="460">
        <v>-2.0</v>
      </c>
      <c r="AM908" s="466">
        <v>43900.0</v>
      </c>
      <c r="AN908" s="436">
        <v>3.0</v>
      </c>
      <c r="AO908" s="440"/>
      <c r="AP908" s="440"/>
      <c r="AQ908" s="440"/>
      <c r="AR908" s="440"/>
      <c r="AS908" s="440"/>
      <c r="AT908" s="440"/>
      <c r="AU908" s="440"/>
      <c r="AV908" s="440"/>
      <c r="AW908" s="450">
        <v>159.507441022123</v>
      </c>
    </row>
    <row r="909">
      <c r="A909" s="435" t="str">
        <f t="shared" ref="A909:C909" si="766">A374</f>
        <v>2MASS J16260704-2427241</v>
      </c>
      <c r="B909" s="485" t="str">
        <f t="shared" si="766"/>
        <v>ISO-Oph 013</v>
      </c>
      <c r="C909" s="486" t="str">
        <f t="shared" si="766"/>
        <v/>
      </c>
      <c r="D909" s="486"/>
      <c r="E909" s="486"/>
      <c r="F909" s="528"/>
      <c r="G909" s="486"/>
      <c r="H909" s="486" t="s">
        <v>5917</v>
      </c>
      <c r="I909" s="491"/>
      <c r="J909" s="491"/>
      <c r="K909" s="491"/>
      <c r="L909" s="491"/>
      <c r="M909" s="486"/>
      <c r="N909" s="422"/>
      <c r="O909" s="422"/>
      <c r="P909" s="422"/>
      <c r="Q909" s="486"/>
      <c r="R909" s="491"/>
      <c r="S909" s="491"/>
      <c r="T909" s="491"/>
      <c r="U909" s="491"/>
      <c r="V909" s="491"/>
      <c r="W909" s="493"/>
      <c r="X909" s="486"/>
      <c r="Y909" s="442"/>
      <c r="Z909" s="491"/>
      <c r="AA909" s="524" t="str">
        <f>AC374</f>
        <v/>
      </c>
      <c r="AB909" s="494"/>
      <c r="AC909" s="436"/>
      <c r="AD909" s="495"/>
      <c r="AE909" s="491"/>
      <c r="AF909" s="491"/>
      <c r="AG909" s="525" t="str">
        <f>AI374</f>
        <v/>
      </c>
      <c r="AH909" s="491"/>
      <c r="AI909" s="446"/>
      <c r="AJ909" s="491"/>
      <c r="AK909" s="500"/>
      <c r="AL909" s="436"/>
      <c r="AM909" s="438"/>
      <c r="AN909" s="531"/>
      <c r="AO909" s="491"/>
      <c r="AP909" s="438"/>
      <c r="AQ909" s="438"/>
      <c r="AR909" s="438"/>
      <c r="AS909" s="438"/>
      <c r="AT909" s="438"/>
      <c r="AU909" s="438"/>
      <c r="AV909" s="438"/>
      <c r="AW909" s="450" t="str">
        <f>AW374</f>
        <v/>
      </c>
    </row>
    <row r="910">
      <c r="A910" s="451" t="s">
        <v>561</v>
      </c>
      <c r="B910" s="451" t="s">
        <v>561</v>
      </c>
      <c r="C910" s="440"/>
      <c r="D910" s="440" t="s">
        <v>314</v>
      </c>
      <c r="E910" s="440"/>
      <c r="F910" s="451" t="s">
        <v>2693</v>
      </c>
      <c r="G910" s="440" t="s">
        <v>169</v>
      </c>
      <c r="H910" s="440" t="s">
        <v>476</v>
      </c>
      <c r="I910" s="438"/>
      <c r="J910" s="460">
        <v>3705.0</v>
      </c>
      <c r="K910" s="460">
        <v>171.0</v>
      </c>
      <c r="L910" s="460" t="s">
        <v>419</v>
      </c>
      <c r="M910" s="461">
        <v>0.5</v>
      </c>
      <c r="N910" s="422">
        <v>10.62</v>
      </c>
      <c r="O910" s="422">
        <v>9.539</v>
      </c>
      <c r="P910" s="422">
        <v>13.29</v>
      </c>
      <c r="Q910" s="440" t="s">
        <v>2189</v>
      </c>
      <c r="R910" s="451" t="s">
        <v>2190</v>
      </c>
      <c r="S910" s="451" t="s">
        <v>2191</v>
      </c>
      <c r="T910" s="462" t="s">
        <v>162</v>
      </c>
      <c r="U910" s="451" t="s">
        <v>2192</v>
      </c>
      <c r="V910" s="440"/>
      <c r="W910" s="463"/>
      <c r="X910" s="437"/>
      <c r="Y910" s="442" t="str">
        <f>IF((W910/((J910/5780)^4))^0.5&gt;0,(W910/((J910/5780)^4))^0.5,"")</f>
        <v/>
      </c>
      <c r="Z910" s="464"/>
      <c r="AA910" s="465">
        <v>1.4</v>
      </c>
      <c r="AB910" s="465">
        <v>0.32</v>
      </c>
      <c r="AC910" s="436" t="str">
        <f>IF(ISNUMBER(VLOOKUP(B910,'New Masses'!A:C,3,FALSE)),VLOOKUP(B910,'New Masses'!A:C,3,FALSE),"")</f>
        <v/>
      </c>
      <c r="AD910" s="440">
        <f>10^AE910</f>
        <v>0.0000000007762471166</v>
      </c>
      <c r="AE910" s="460">
        <v>-9.11</v>
      </c>
      <c r="AF910" s="440"/>
      <c r="AG910" s="445">
        <v>0.46</v>
      </c>
      <c r="AH910" s="460">
        <v>0.12</v>
      </c>
      <c r="AI910" s="446" t="str">
        <f>IF(ISNUMBER(VLOOKUP(B910,'New Masses'!A:C,2, FALSE)),VLOOKUP(B910,'New Masses'!A:C,2, FALSE),"")</f>
        <v/>
      </c>
      <c r="AJ910" s="440">
        <f>LOG10(AG910)</f>
        <v>-0.3372421683</v>
      </c>
      <c r="AK910" s="460"/>
      <c r="AL910" s="460">
        <v>-2.2</v>
      </c>
      <c r="AM910" s="466">
        <v>43900.0</v>
      </c>
      <c r="AN910" s="436">
        <v>3.0</v>
      </c>
      <c r="AO910" s="440"/>
      <c r="AP910" s="440"/>
      <c r="AQ910" s="440"/>
      <c r="AR910" s="440"/>
      <c r="AS910" s="440"/>
      <c r="AT910" s="440"/>
      <c r="AU910" s="440"/>
      <c r="AV910" s="440"/>
      <c r="AW910" s="450">
        <v>158.330562548488</v>
      </c>
    </row>
    <row r="911">
      <c r="A911" s="435" t="str">
        <f t="shared" ref="A911:C911" si="767">A376</f>
        <v>2MASS J16260763-2427413</v>
      </c>
      <c r="B911" s="485" t="str">
        <f t="shared" si="767"/>
        <v>ISO-Oph 014</v>
      </c>
      <c r="C911" s="486" t="str">
        <f t="shared" si="767"/>
        <v/>
      </c>
      <c r="D911" s="486"/>
      <c r="E911" s="486"/>
      <c r="F911" s="528"/>
      <c r="G911" s="486"/>
      <c r="H911" s="486" t="s">
        <v>5917</v>
      </c>
      <c r="I911" s="491"/>
      <c r="J911" s="491"/>
      <c r="K911" s="491"/>
      <c r="L911" s="491"/>
      <c r="M911" s="486"/>
      <c r="N911" s="422"/>
      <c r="O911" s="422"/>
      <c r="P911" s="422"/>
      <c r="Q911" s="486"/>
      <c r="R911" s="491"/>
      <c r="S911" s="491"/>
      <c r="T911" s="491"/>
      <c r="U911" s="491"/>
      <c r="V911" s="491"/>
      <c r="W911" s="493"/>
      <c r="X911" s="486"/>
      <c r="Y911" s="442"/>
      <c r="Z911" s="491"/>
      <c r="AA911" s="524" t="str">
        <f>AC376</f>
        <v/>
      </c>
      <c r="AB911" s="494"/>
      <c r="AC911" s="436"/>
      <c r="AD911" s="495"/>
      <c r="AE911" s="491"/>
      <c r="AF911" s="491"/>
      <c r="AG911" s="525" t="str">
        <f>AI376</f>
        <v/>
      </c>
      <c r="AH911" s="491"/>
      <c r="AI911" s="446"/>
      <c r="AJ911" s="491"/>
      <c r="AK911" s="500"/>
      <c r="AL911" s="436"/>
      <c r="AM911" s="438"/>
      <c r="AN911" s="531"/>
      <c r="AO911" s="491"/>
      <c r="AP911" s="438"/>
      <c r="AQ911" s="438"/>
      <c r="AR911" s="438"/>
      <c r="AS911" s="438"/>
      <c r="AT911" s="438"/>
      <c r="AU911" s="438"/>
      <c r="AV911" s="438"/>
      <c r="AW911" s="450" t="str">
        <f>AW376</f>
        <v/>
      </c>
    </row>
    <row r="912">
      <c r="A912" s="451" t="s">
        <v>526</v>
      </c>
      <c r="B912" s="451" t="s">
        <v>526</v>
      </c>
      <c r="C912" s="440"/>
      <c r="D912" s="440" t="s">
        <v>314</v>
      </c>
      <c r="E912" s="440"/>
      <c r="F912" s="451" t="s">
        <v>2694</v>
      </c>
      <c r="G912" s="440" t="s">
        <v>169</v>
      </c>
      <c r="H912" s="440" t="s">
        <v>476</v>
      </c>
      <c r="I912" s="438"/>
      <c r="J912" s="460">
        <v>3125.0</v>
      </c>
      <c r="K912" s="460">
        <v>72.0</v>
      </c>
      <c r="L912" s="460" t="s">
        <v>371</v>
      </c>
      <c r="M912" s="461">
        <v>0.5</v>
      </c>
      <c r="N912" s="422">
        <v>11.004</v>
      </c>
      <c r="O912" s="422">
        <v>9.962</v>
      </c>
      <c r="P912" s="422">
        <v>14.78</v>
      </c>
      <c r="Q912" s="440" t="s">
        <v>2189</v>
      </c>
      <c r="R912" s="451" t="s">
        <v>2190</v>
      </c>
      <c r="S912" s="451" t="s">
        <v>2191</v>
      </c>
      <c r="T912" s="462" t="s">
        <v>162</v>
      </c>
      <c r="U912" s="451" t="s">
        <v>2192</v>
      </c>
      <c r="V912" s="440"/>
      <c r="W912" s="463"/>
      <c r="X912" s="437"/>
      <c r="Y912" s="442" t="str">
        <f>IF((W912/((J912/5780)^4))^0.5&gt;0,(W912/((J912/5780)^4))^0.5,"")</f>
        <v/>
      </c>
      <c r="Z912" s="464"/>
      <c r="AA912" s="465">
        <v>1.52</v>
      </c>
      <c r="AB912" s="465">
        <v>0.35</v>
      </c>
      <c r="AC912" s="436" t="str">
        <f>IF(ISNUMBER(VLOOKUP(B912,'New Masses'!A:C,3,FALSE)),VLOOKUP(B912,'New Masses'!A:C,3,FALSE),"")</f>
        <v/>
      </c>
      <c r="AD912" s="440">
        <f>10^AE912</f>
        <v>0.00000000019498446</v>
      </c>
      <c r="AE912" s="460">
        <v>-9.71</v>
      </c>
      <c r="AF912" s="440"/>
      <c r="AG912" s="445">
        <v>0.2</v>
      </c>
      <c r="AH912" s="460">
        <v>0.03</v>
      </c>
      <c r="AI912" s="446" t="str">
        <f>IF(ISNUMBER(VLOOKUP(B912,'New Masses'!A:C,2, FALSE)),VLOOKUP(B912,'New Masses'!A:C,2, FALSE),"")</f>
        <v/>
      </c>
      <c r="AJ912" s="440">
        <f>LOG10(AG912)</f>
        <v>-0.6989700043</v>
      </c>
      <c r="AK912" s="460"/>
      <c r="AL912" s="460">
        <v>-3.2</v>
      </c>
      <c r="AM912" s="466">
        <v>43900.0</v>
      </c>
      <c r="AN912" s="436">
        <v>3.0</v>
      </c>
      <c r="AO912" s="440"/>
      <c r="AP912" s="440"/>
      <c r="AQ912" s="440"/>
      <c r="AR912" s="440"/>
      <c r="AS912" s="440"/>
      <c r="AT912" s="440"/>
      <c r="AU912" s="440"/>
      <c r="AV912" s="440"/>
      <c r="AW912" s="450">
        <v>160.274389755261</v>
      </c>
    </row>
    <row r="913">
      <c r="A913" s="435" t="str">
        <f t="shared" ref="A913:C913" si="768">A378</f>
        <v>2MASS J16260931-2434121</v>
      </c>
      <c r="B913" s="485" t="str">
        <f t="shared" si="768"/>
        <v>ISO-Oph 016</v>
      </c>
      <c r="C913" s="486" t="str">
        <f t="shared" si="768"/>
        <v/>
      </c>
      <c r="D913" s="486"/>
      <c r="E913" s="486"/>
      <c r="F913" s="528"/>
      <c r="G913" s="486"/>
      <c r="H913" s="486" t="s">
        <v>5917</v>
      </c>
      <c r="I913" s="491"/>
      <c r="J913" s="491"/>
      <c r="K913" s="491"/>
      <c r="L913" s="491"/>
      <c r="M913" s="486"/>
      <c r="N913" s="422"/>
      <c r="O913" s="422"/>
      <c r="P913" s="422"/>
      <c r="Q913" s="486"/>
      <c r="R913" s="491"/>
      <c r="S913" s="491"/>
      <c r="T913" s="491"/>
      <c r="U913" s="491"/>
      <c r="V913" s="491"/>
      <c r="W913" s="493"/>
      <c r="X913" s="486"/>
      <c r="Y913" s="442"/>
      <c r="Z913" s="491"/>
      <c r="AA913" s="524" t="str">
        <f>AC378</f>
        <v/>
      </c>
      <c r="AB913" s="494"/>
      <c r="AC913" s="436"/>
      <c r="AD913" s="495"/>
      <c r="AE913" s="491"/>
      <c r="AF913" s="491"/>
      <c r="AG913" s="525" t="str">
        <f>AI378</f>
        <v/>
      </c>
      <c r="AH913" s="491"/>
      <c r="AI913" s="446"/>
      <c r="AJ913" s="491"/>
      <c r="AK913" s="500"/>
      <c r="AL913" s="436"/>
      <c r="AM913" s="438"/>
      <c r="AN913" s="531"/>
      <c r="AO913" s="491"/>
      <c r="AP913" s="438"/>
      <c r="AQ913" s="438"/>
      <c r="AR913" s="438"/>
      <c r="AS913" s="438"/>
      <c r="AT913" s="438"/>
      <c r="AU913" s="438"/>
      <c r="AV913" s="438"/>
      <c r="AW913" s="450">
        <f>AW378</f>
        <v>141.681189</v>
      </c>
    </row>
    <row r="914">
      <c r="A914" s="451" t="s">
        <v>523</v>
      </c>
      <c r="B914" s="451" t="s">
        <v>523</v>
      </c>
      <c r="C914" s="440"/>
      <c r="D914" s="440" t="s">
        <v>314</v>
      </c>
      <c r="E914" s="440"/>
      <c r="F914" s="451" t="s">
        <v>2695</v>
      </c>
      <c r="G914" s="440" t="s">
        <v>169</v>
      </c>
      <c r="H914" s="440" t="s">
        <v>476</v>
      </c>
      <c r="I914" s="438"/>
      <c r="J914" s="460">
        <v>3197.0</v>
      </c>
      <c r="K914" s="460">
        <v>74.0</v>
      </c>
      <c r="L914" s="460" t="s">
        <v>402</v>
      </c>
      <c r="M914" s="461">
        <v>0.5</v>
      </c>
      <c r="N914" s="422">
        <v>12.465</v>
      </c>
      <c r="O914" s="422">
        <v>11.257</v>
      </c>
      <c r="P914" s="422">
        <v>16.64</v>
      </c>
      <c r="Q914" s="440" t="s">
        <v>2189</v>
      </c>
      <c r="R914" s="451" t="s">
        <v>2190</v>
      </c>
      <c r="S914" s="451" t="s">
        <v>2191</v>
      </c>
      <c r="T914" s="462" t="s">
        <v>162</v>
      </c>
      <c r="U914" s="451" t="s">
        <v>2192</v>
      </c>
      <c r="V914" s="440"/>
      <c r="W914" s="463"/>
      <c r="X914" s="437"/>
      <c r="Y914" s="442" t="str">
        <f>IF((W914/((J914/5780)^4))^0.5&gt;0,(W914/((J914/5780)^4))^0.5,"")</f>
        <v/>
      </c>
      <c r="Z914" s="464"/>
      <c r="AA914" s="465">
        <v>0.83</v>
      </c>
      <c r="AB914" s="465">
        <v>0.19</v>
      </c>
      <c r="AC914" s="436" t="str">
        <f>IF(ISNUMBER(VLOOKUP(B914,'New Masses'!A:C,3,FALSE)),VLOOKUP(B914,'New Masses'!A:C,3,FALSE),"")</f>
        <v/>
      </c>
      <c r="AD914" s="440">
        <f>10^AE914</f>
        <v>0.000000001412537545</v>
      </c>
      <c r="AE914" s="460">
        <v>-8.85</v>
      </c>
      <c r="AF914" s="440"/>
      <c r="AG914" s="445">
        <v>0.19</v>
      </c>
      <c r="AH914" s="460">
        <v>0.03</v>
      </c>
      <c r="AI914" s="446" t="str">
        <f>IF(ISNUMBER(VLOOKUP(B914,'New Masses'!A:C,2, FALSE)),VLOOKUP(B914,'New Masses'!A:C,2, FALSE),"")</f>
        <v/>
      </c>
      <c r="AJ914" s="440">
        <f>LOG10(AG914)</f>
        <v>-0.721246399</v>
      </c>
      <c r="AK914" s="460"/>
      <c r="AL914" s="460">
        <v>-2.1</v>
      </c>
      <c r="AM914" s="466">
        <v>43900.0</v>
      </c>
      <c r="AN914" s="436">
        <v>3.0</v>
      </c>
      <c r="AO914" s="440"/>
      <c r="AP914" s="440"/>
      <c r="AQ914" s="440"/>
      <c r="AR914" s="440"/>
      <c r="AS914" s="440"/>
      <c r="AT914" s="440"/>
      <c r="AU914" s="440"/>
      <c r="AV914" s="440"/>
      <c r="AW914" s="450">
        <v>163.235990271134</v>
      </c>
    </row>
    <row r="915">
      <c r="A915" s="435" t="str">
        <f t="shared" ref="A915:C915" si="769">A380</f>
        <v>2MASS J16261033-2420548</v>
      </c>
      <c r="B915" s="485" t="str">
        <f t="shared" si="769"/>
        <v>ISO-Oph 017</v>
      </c>
      <c r="C915" s="486" t="str">
        <f t="shared" si="769"/>
        <v/>
      </c>
      <c r="D915" s="486"/>
      <c r="E915" s="486"/>
      <c r="F915" s="528"/>
      <c r="G915" s="486"/>
      <c r="H915" s="486" t="s">
        <v>5917</v>
      </c>
      <c r="I915" s="491"/>
      <c r="J915" s="491"/>
      <c r="K915" s="491"/>
      <c r="L915" s="491"/>
      <c r="M915" s="486"/>
      <c r="N915" s="422"/>
      <c r="O915" s="422"/>
      <c r="P915" s="422"/>
      <c r="Q915" s="486"/>
      <c r="R915" s="491"/>
      <c r="S915" s="491"/>
      <c r="T915" s="491"/>
      <c r="U915" s="491"/>
      <c r="V915" s="491"/>
      <c r="W915" s="493"/>
      <c r="X915" s="486"/>
      <c r="Y915" s="442"/>
      <c r="Z915" s="491"/>
      <c r="AA915" s="524" t="str">
        <f>AC380</f>
        <v/>
      </c>
      <c r="AB915" s="494"/>
      <c r="AC915" s="436"/>
      <c r="AD915" s="495"/>
      <c r="AE915" s="491"/>
      <c r="AF915" s="491"/>
      <c r="AG915" s="525" t="str">
        <f>AI380</f>
        <v/>
      </c>
      <c r="AH915" s="491"/>
      <c r="AI915" s="446"/>
      <c r="AJ915" s="491"/>
      <c r="AK915" s="500"/>
      <c r="AL915" s="436"/>
      <c r="AM915" s="438"/>
      <c r="AN915" s="531"/>
      <c r="AO915" s="491"/>
      <c r="AP915" s="438"/>
      <c r="AQ915" s="438"/>
      <c r="AR915" s="438"/>
      <c r="AS915" s="438"/>
      <c r="AT915" s="438"/>
      <c r="AU915" s="438"/>
      <c r="AV915" s="438"/>
      <c r="AW915" s="450" t="str">
        <f>AW380</f>
        <v/>
      </c>
    </row>
    <row r="916">
      <c r="A916" s="451" t="s">
        <v>533</v>
      </c>
      <c r="B916" s="451" t="s">
        <v>533</v>
      </c>
      <c r="C916" s="440"/>
      <c r="D916" s="440" t="s">
        <v>314</v>
      </c>
      <c r="E916" s="440"/>
      <c r="F916" s="451" t="s">
        <v>2696</v>
      </c>
      <c r="G916" s="440" t="s">
        <v>169</v>
      </c>
      <c r="H916" s="440" t="s">
        <v>476</v>
      </c>
      <c r="I916" s="438"/>
      <c r="J916" s="460">
        <v>3175.0</v>
      </c>
      <c r="K916" s="460">
        <v>73.0</v>
      </c>
      <c r="L916" s="460" t="s">
        <v>534</v>
      </c>
      <c r="M916" s="461">
        <v>0.5</v>
      </c>
      <c r="N916" s="422">
        <v>10.414</v>
      </c>
      <c r="O916" s="422">
        <v>9.319</v>
      </c>
      <c r="P916" s="422">
        <v>14.35</v>
      </c>
      <c r="Q916" s="440" t="s">
        <v>2189</v>
      </c>
      <c r="R916" s="451" t="s">
        <v>2190</v>
      </c>
      <c r="S916" s="451" t="s">
        <v>2191</v>
      </c>
      <c r="T916" s="462" t="s">
        <v>162</v>
      </c>
      <c r="U916" s="451" t="s">
        <v>2192</v>
      </c>
      <c r="V916" s="440"/>
      <c r="W916" s="463"/>
      <c r="X916" s="437"/>
      <c r="Y916" s="442" t="str">
        <f>IF((W916/((J916/5780)^4))^0.5&gt;0,(W916/((J916/5780)^4))^0.5,"")</f>
        <v/>
      </c>
      <c r="Z916" s="464"/>
      <c r="AA916" s="465">
        <v>1.82</v>
      </c>
      <c r="AB916" s="465">
        <v>0.42</v>
      </c>
      <c r="AC916" s="436" t="str">
        <f>IF(ISNUMBER(VLOOKUP(B916,'New Masses'!A:C,3,FALSE)),VLOOKUP(B916,'New Masses'!A:C,3,FALSE),"")</f>
        <v/>
      </c>
      <c r="AD916" s="440">
        <f>10^AE916</f>
        <v>0.000000001023292992</v>
      </c>
      <c r="AE916" s="460">
        <v>-8.99</v>
      </c>
      <c r="AF916" s="440"/>
      <c r="AG916" s="445">
        <v>0.23</v>
      </c>
      <c r="AH916" s="460">
        <v>0.03</v>
      </c>
      <c r="AI916" s="446" t="str">
        <f>IF(ISNUMBER(VLOOKUP(B916,'New Masses'!A:C,2, FALSE)),VLOOKUP(B916,'New Masses'!A:C,2, FALSE),"")</f>
        <v/>
      </c>
      <c r="AJ916" s="440">
        <f>LOG10(AG916)</f>
        <v>-0.638272164</v>
      </c>
      <c r="AK916" s="460"/>
      <c r="AL916" s="460">
        <v>-2.5</v>
      </c>
      <c r="AM916" s="466">
        <v>43900.0</v>
      </c>
      <c r="AN916" s="436">
        <v>3.0</v>
      </c>
      <c r="AO916" s="440"/>
      <c r="AP916" s="440"/>
      <c r="AQ916" s="440"/>
      <c r="AR916" s="440"/>
      <c r="AS916" s="440"/>
      <c r="AT916" s="440"/>
      <c r="AU916" s="440"/>
      <c r="AV916" s="440"/>
      <c r="AW916" s="450">
        <v>162.250742297146</v>
      </c>
    </row>
    <row r="917">
      <c r="A917" s="435" t="str">
        <f t="shared" ref="A917:C917" si="770">A382</f>
        <v>2MASS J16261581-2419221</v>
      </c>
      <c r="B917" s="485" t="str">
        <f t="shared" si="770"/>
        <v>ISO-Oph 018</v>
      </c>
      <c r="C917" s="486" t="str">
        <f t="shared" si="770"/>
        <v/>
      </c>
      <c r="D917" s="486"/>
      <c r="E917" s="486"/>
      <c r="F917" s="528"/>
      <c r="G917" s="486"/>
      <c r="H917" s="486" t="s">
        <v>5917</v>
      </c>
      <c r="I917" s="491"/>
      <c r="J917" s="491"/>
      <c r="K917" s="491"/>
      <c r="L917" s="491"/>
      <c r="M917" s="486"/>
      <c r="N917" s="422"/>
      <c r="O917" s="422"/>
      <c r="P917" s="422"/>
      <c r="Q917" s="486"/>
      <c r="R917" s="491"/>
      <c r="S917" s="491"/>
      <c r="T917" s="491"/>
      <c r="U917" s="491"/>
      <c r="V917" s="491"/>
      <c r="W917" s="493"/>
      <c r="X917" s="486"/>
      <c r="Y917" s="442"/>
      <c r="Z917" s="491"/>
      <c r="AA917" s="524" t="str">
        <f>AC382</f>
        <v/>
      </c>
      <c r="AB917" s="494"/>
      <c r="AC917" s="436"/>
      <c r="AD917" s="495"/>
      <c r="AE917" s="491"/>
      <c r="AF917" s="491"/>
      <c r="AG917" s="525" t="str">
        <f>AI382</f>
        <v/>
      </c>
      <c r="AH917" s="491"/>
      <c r="AI917" s="446"/>
      <c r="AJ917" s="491"/>
      <c r="AK917" s="500"/>
      <c r="AL917" s="436"/>
      <c r="AM917" s="438"/>
      <c r="AN917" s="531"/>
      <c r="AO917" s="491"/>
      <c r="AP917" s="438"/>
      <c r="AQ917" s="438"/>
      <c r="AR917" s="438"/>
      <c r="AS917" s="438"/>
      <c r="AT917" s="438"/>
      <c r="AU917" s="438"/>
      <c r="AV917" s="438"/>
      <c r="AW917" s="450" t="str">
        <f>AW382</f>
        <v/>
      </c>
    </row>
    <row r="918">
      <c r="A918" s="451" t="s">
        <v>530</v>
      </c>
      <c r="B918" s="451" t="s">
        <v>530</v>
      </c>
      <c r="C918" s="448"/>
      <c r="D918" s="440" t="s">
        <v>314</v>
      </c>
      <c r="E918" s="440"/>
      <c r="F918" s="451" t="s">
        <v>2697</v>
      </c>
      <c r="G918" s="440" t="s">
        <v>169</v>
      </c>
      <c r="H918" s="440" t="s">
        <v>476</v>
      </c>
      <c r="I918" s="438"/>
      <c r="J918" s="460">
        <v>3197.0</v>
      </c>
      <c r="K918" s="460">
        <v>74.0</v>
      </c>
      <c r="L918" s="460" t="s">
        <v>402</v>
      </c>
      <c r="M918" s="461">
        <v>0.5</v>
      </c>
      <c r="N918" s="422">
        <v>11.334</v>
      </c>
      <c r="O918" s="422">
        <v>10.447</v>
      </c>
      <c r="P918" s="422">
        <v>15.09</v>
      </c>
      <c r="Q918" s="440" t="s">
        <v>2189</v>
      </c>
      <c r="R918" s="451" t="s">
        <v>2190</v>
      </c>
      <c r="S918" s="451" t="s">
        <v>2191</v>
      </c>
      <c r="T918" s="462" t="s">
        <v>162</v>
      </c>
      <c r="U918" s="451" t="s">
        <v>2192</v>
      </c>
      <c r="V918" s="440"/>
      <c r="W918" s="463"/>
      <c r="X918" s="437"/>
      <c r="Y918" s="442" t="str">
        <f>IF((W918/((J918/5780)^4))^0.5&gt;0,(W918/((J918/5780)^4))^0.5,"")</f>
        <v/>
      </c>
      <c r="Z918" s="464"/>
      <c r="AA918" s="465">
        <v>1.36</v>
      </c>
      <c r="AB918" s="465">
        <v>0.31</v>
      </c>
      <c r="AC918" s="436" t="str">
        <f>IF(ISNUMBER(VLOOKUP(B918,'New Masses'!A:C,3,FALSE)),VLOOKUP(B918,'New Masses'!A:C,3,FALSE),"")</f>
        <v/>
      </c>
      <c r="AD918" s="440">
        <f>10^AE918</f>
        <v>0.0000000005011872336</v>
      </c>
      <c r="AE918" s="460">
        <v>-9.3</v>
      </c>
      <c r="AF918" s="440"/>
      <c r="AG918" s="445">
        <v>0.22</v>
      </c>
      <c r="AH918" s="460">
        <v>0.03</v>
      </c>
      <c r="AI918" s="446" t="str">
        <f>IF(ISNUMBER(VLOOKUP(B918,'New Masses'!A:C,2, FALSE)),VLOOKUP(B918,'New Masses'!A:C,2, FALSE),"")</f>
        <v/>
      </c>
      <c r="AJ918" s="440">
        <f>LOG10(AG918)</f>
        <v>-0.6575773192</v>
      </c>
      <c r="AK918" s="460"/>
      <c r="AL918" s="460">
        <v>-2.7</v>
      </c>
      <c r="AM918" s="466">
        <v>43900.0</v>
      </c>
      <c r="AN918" s="436">
        <v>3.0</v>
      </c>
      <c r="AO918" s="440"/>
      <c r="AP918" s="440"/>
      <c r="AQ918" s="440"/>
      <c r="AR918" s="440"/>
      <c r="AS918" s="440"/>
      <c r="AT918" s="440"/>
      <c r="AU918" s="440"/>
      <c r="AV918" s="440"/>
      <c r="AW918" s="450">
        <v>157.90554090543</v>
      </c>
    </row>
    <row r="919">
      <c r="A919" s="435" t="str">
        <f t="shared" ref="A919:C919" si="771">A384</f>
        <v>2MASS J16261684-2422231</v>
      </c>
      <c r="B919" s="485" t="str">
        <f t="shared" si="771"/>
        <v>ISO-Oph 019</v>
      </c>
      <c r="C919" s="486" t="str">
        <f t="shared" si="771"/>
        <v/>
      </c>
      <c r="D919" s="486"/>
      <c r="E919" s="486"/>
      <c r="F919" s="528"/>
      <c r="G919" s="486"/>
      <c r="H919" s="486" t="s">
        <v>5917</v>
      </c>
      <c r="I919" s="491"/>
      <c r="J919" s="491"/>
      <c r="K919" s="491"/>
      <c r="L919" s="491"/>
      <c r="M919" s="486"/>
      <c r="N919" s="422"/>
      <c r="O919" s="422"/>
      <c r="P919" s="422"/>
      <c r="Q919" s="486"/>
      <c r="R919" s="491"/>
      <c r="S919" s="491"/>
      <c r="T919" s="491"/>
      <c r="U919" s="491"/>
      <c r="V919" s="491"/>
      <c r="W919" s="493"/>
      <c r="X919" s="486"/>
      <c r="Y919" s="442"/>
      <c r="Z919" s="491"/>
      <c r="AA919" s="524" t="str">
        <f>AC384</f>
        <v/>
      </c>
      <c r="AB919" s="494"/>
      <c r="AC919" s="436"/>
      <c r="AD919" s="495"/>
      <c r="AE919" s="491"/>
      <c r="AF919" s="491"/>
      <c r="AG919" s="525" t="str">
        <f>AI384</f>
        <v/>
      </c>
      <c r="AH919" s="491"/>
      <c r="AI919" s="446"/>
      <c r="AJ919" s="491"/>
      <c r="AK919" s="500"/>
      <c r="AL919" s="436"/>
      <c r="AM919" s="438"/>
      <c r="AN919" s="531"/>
      <c r="AO919" s="491"/>
      <c r="AP919" s="438"/>
      <c r="AQ919" s="438"/>
      <c r="AR919" s="438"/>
      <c r="AS919" s="438"/>
      <c r="AT919" s="438"/>
      <c r="AU919" s="438"/>
      <c r="AV919" s="438"/>
      <c r="AW919" s="450">
        <f>AW384</f>
        <v>138.1788034</v>
      </c>
    </row>
    <row r="920">
      <c r="A920" s="451" t="s">
        <v>548</v>
      </c>
      <c r="B920" s="451" t="s">
        <v>548</v>
      </c>
      <c r="C920" s="440"/>
      <c r="D920" s="440" t="s">
        <v>314</v>
      </c>
      <c r="E920" s="440"/>
      <c r="F920" s="451" t="s">
        <v>2698</v>
      </c>
      <c r="G920" s="440" t="s">
        <v>169</v>
      </c>
      <c r="H920" s="440" t="s">
        <v>476</v>
      </c>
      <c r="I920" s="436">
        <v>2015.0</v>
      </c>
      <c r="J920" s="460">
        <v>3340.0</v>
      </c>
      <c r="K920" s="460">
        <v>77.0</v>
      </c>
      <c r="L920" s="460" t="s">
        <v>422</v>
      </c>
      <c r="M920" s="461">
        <v>0.5</v>
      </c>
      <c r="N920" s="422">
        <v>10.675</v>
      </c>
      <c r="O920" s="422">
        <v>9.423</v>
      </c>
      <c r="P920" s="422">
        <v>14.2</v>
      </c>
      <c r="Q920" s="440" t="s">
        <v>2189</v>
      </c>
      <c r="R920" s="451" t="s">
        <v>2190</v>
      </c>
      <c r="S920" s="451" t="s">
        <v>2191</v>
      </c>
      <c r="T920" s="462" t="s">
        <v>162</v>
      </c>
      <c r="U920" s="451" t="s">
        <v>2192</v>
      </c>
      <c r="V920" s="440"/>
      <c r="W920" s="463"/>
      <c r="X920" s="437"/>
      <c r="Y920" s="442" t="str">
        <f>IF((W920/((J920/5780)^4))^0.5&gt;0,(W920/((J920/5780)^4))^0.5,"")</f>
        <v/>
      </c>
      <c r="Z920" s="464"/>
      <c r="AA920" s="465">
        <v>2.0</v>
      </c>
      <c r="AB920" s="465">
        <v>0.43</v>
      </c>
      <c r="AC920" s="436" t="str">
        <f>IF(ISNUMBER(VLOOKUP(B920,'New Masses'!A:C,3,FALSE)),VLOOKUP(B920,'New Masses'!A:C,3,FALSE),"")</f>
        <v/>
      </c>
      <c r="AD920" s="440">
        <f>10^AE920</f>
        <v>0.000000002238721139</v>
      </c>
      <c r="AE920" s="460">
        <v>-8.65</v>
      </c>
      <c r="AF920" s="440"/>
      <c r="AG920" s="445">
        <v>0.29</v>
      </c>
      <c r="AH920" s="460">
        <v>0.03</v>
      </c>
      <c r="AI920" s="446" t="str">
        <f>IF(ISNUMBER(VLOOKUP(B920,'New Masses'!A:C,2, FALSE)),VLOOKUP(B920,'New Masses'!A:C,2, FALSE),"")</f>
        <v/>
      </c>
      <c r="AJ920" s="440">
        <f>LOG10(AG920)</f>
        <v>-0.5376020021</v>
      </c>
      <c r="AK920" s="460"/>
      <c r="AL920" s="460">
        <v>-2.1</v>
      </c>
      <c r="AM920" s="466">
        <v>43900.0</v>
      </c>
      <c r="AN920" s="436">
        <v>3.0</v>
      </c>
      <c r="AO920" s="440"/>
      <c r="AP920" s="440"/>
      <c r="AQ920" s="440"/>
      <c r="AR920" s="440"/>
      <c r="AS920" s="440"/>
      <c r="AT920" s="440"/>
      <c r="AU920" s="440"/>
      <c r="AV920" s="440"/>
      <c r="AW920" s="450">
        <v>158.561529801639</v>
      </c>
    </row>
    <row r="921">
      <c r="A921" s="435" t="str">
        <f t="shared" ref="A921:C921" si="772">A386</f>
        <v>2MASS J16261706-2420216</v>
      </c>
      <c r="B921" s="485" t="str">
        <f t="shared" si="772"/>
        <v>ISO-Oph 020</v>
      </c>
      <c r="C921" s="486" t="str">
        <f t="shared" si="772"/>
        <v/>
      </c>
      <c r="D921" s="486"/>
      <c r="E921" s="486"/>
      <c r="F921" s="528"/>
      <c r="G921" s="486"/>
      <c r="H921" s="486" t="s">
        <v>5917</v>
      </c>
      <c r="I921" s="491"/>
      <c r="J921" s="491"/>
      <c r="K921" s="491"/>
      <c r="L921" s="491"/>
      <c r="M921" s="486"/>
      <c r="N921" s="422"/>
      <c r="O921" s="422"/>
      <c r="P921" s="422"/>
      <c r="Q921" s="486"/>
      <c r="R921" s="491"/>
      <c r="S921" s="491"/>
      <c r="T921" s="491"/>
      <c r="U921" s="491"/>
      <c r="V921" s="491"/>
      <c r="W921" s="493"/>
      <c r="X921" s="486"/>
      <c r="Y921" s="442"/>
      <c r="Z921" s="491"/>
      <c r="AA921" s="524" t="str">
        <f>AC386</f>
        <v/>
      </c>
      <c r="AB921" s="494"/>
      <c r="AC921" s="436"/>
      <c r="AD921" s="495"/>
      <c r="AE921" s="491"/>
      <c r="AF921" s="491"/>
      <c r="AG921" s="525" t="str">
        <f>AI386</f>
        <v/>
      </c>
      <c r="AH921" s="491"/>
      <c r="AI921" s="446"/>
      <c r="AJ921" s="491"/>
      <c r="AK921" s="500"/>
      <c r="AL921" s="436"/>
      <c r="AM921" s="438"/>
      <c r="AN921" s="531"/>
      <c r="AO921" s="491"/>
      <c r="AP921" s="438"/>
      <c r="AQ921" s="438"/>
      <c r="AR921" s="438"/>
      <c r="AS921" s="438"/>
      <c r="AT921" s="438"/>
      <c r="AU921" s="438"/>
      <c r="AV921" s="438"/>
      <c r="AW921" s="450">
        <f>AW386</f>
        <v>134.2732461</v>
      </c>
    </row>
    <row r="922">
      <c r="A922" s="451" t="s">
        <v>585</v>
      </c>
      <c r="B922" s="451" t="s">
        <v>585</v>
      </c>
      <c r="C922" s="440"/>
      <c r="D922" s="440" t="s">
        <v>314</v>
      </c>
      <c r="E922" s="440"/>
      <c r="F922" s="451" t="s">
        <v>2699</v>
      </c>
      <c r="G922" s="440" t="s">
        <v>169</v>
      </c>
      <c r="H922" s="440" t="s">
        <v>476</v>
      </c>
      <c r="I922" s="436">
        <v>2015.0</v>
      </c>
      <c r="J922" s="460">
        <v>4350.0</v>
      </c>
      <c r="K922" s="460">
        <v>200.0</v>
      </c>
      <c r="L922" s="460" t="s">
        <v>459</v>
      </c>
      <c r="M922" s="461">
        <v>1.0</v>
      </c>
      <c r="N922" s="422">
        <v>10.456</v>
      </c>
      <c r="O922" s="422">
        <v>8.685</v>
      </c>
      <c r="P922" s="422">
        <v>16.61</v>
      </c>
      <c r="Q922" s="440" t="s">
        <v>2189</v>
      </c>
      <c r="R922" s="451" t="s">
        <v>2190</v>
      </c>
      <c r="S922" s="451" t="s">
        <v>2191</v>
      </c>
      <c r="T922" s="462" t="s">
        <v>162</v>
      </c>
      <c r="U922" s="451" t="s">
        <v>2192</v>
      </c>
      <c r="V922" s="440"/>
      <c r="W922" s="463"/>
      <c r="X922" s="437"/>
      <c r="Y922" s="442" t="str">
        <f>IF((W922/((J922/5780)^4))^0.5&gt;0,(W922/((J922/5780)^4))^0.5,"")</f>
        <v/>
      </c>
      <c r="Z922" s="464"/>
      <c r="AA922" s="465">
        <v>1.82</v>
      </c>
      <c r="AB922" s="465">
        <v>0.4</v>
      </c>
      <c r="AC922" s="436" t="str">
        <f>IF(ISNUMBER(VLOOKUP(B922,'New Masses'!A:C,3,FALSE)),VLOOKUP(B922,'New Masses'!A:C,3,FALSE),"")</f>
        <v/>
      </c>
      <c r="AD922" s="440">
        <f>10^AE922</f>
        <v>0.000000001071519305</v>
      </c>
      <c r="AE922" s="460">
        <v>-8.97</v>
      </c>
      <c r="AF922" s="440"/>
      <c r="AG922" s="445">
        <v>1.09</v>
      </c>
      <c r="AH922" s="460">
        <v>0.2</v>
      </c>
      <c r="AI922" s="446" t="str">
        <f>IF(ISNUMBER(VLOOKUP(B922,'New Masses'!A:C,2, FALSE)),VLOOKUP(B922,'New Masses'!A:C,2, FALSE),"")</f>
        <v/>
      </c>
      <c r="AJ922" s="440">
        <f>LOG10(AG922)</f>
        <v>0.03742649794</v>
      </c>
      <c r="AK922" s="460"/>
      <c r="AL922" s="460">
        <v>-1.8</v>
      </c>
      <c r="AM922" s="466">
        <v>43900.0</v>
      </c>
      <c r="AN922" s="436">
        <v>3.0</v>
      </c>
      <c r="AO922" s="440"/>
      <c r="AP922" s="440"/>
      <c r="AQ922" s="440"/>
      <c r="AR922" s="440"/>
      <c r="AS922" s="440"/>
      <c r="AT922" s="440"/>
      <c r="AU922" s="440"/>
      <c r="AV922" s="440"/>
      <c r="AW922" s="450">
        <v>163.904869613676</v>
      </c>
    </row>
    <row r="923">
      <c r="A923" s="435" t="str">
        <f t="shared" ref="A923:C923" si="773">A388</f>
        <v>2MASS J16261886-2428196</v>
      </c>
      <c r="B923" s="485" t="str">
        <f t="shared" si="773"/>
        <v>ISO-Oph 024</v>
      </c>
      <c r="C923" s="486" t="str">
        <f t="shared" si="773"/>
        <v/>
      </c>
      <c r="D923" s="486"/>
      <c r="E923" s="486"/>
      <c r="F923" s="528"/>
      <c r="G923" s="486"/>
      <c r="H923" s="486" t="s">
        <v>5917</v>
      </c>
      <c r="I923" s="491"/>
      <c r="J923" s="491"/>
      <c r="K923" s="491"/>
      <c r="L923" s="491"/>
      <c r="M923" s="486"/>
      <c r="N923" s="422"/>
      <c r="O923" s="422"/>
      <c r="P923" s="422"/>
      <c r="Q923" s="486"/>
      <c r="R923" s="491"/>
      <c r="S923" s="491"/>
      <c r="T923" s="491"/>
      <c r="U923" s="491"/>
      <c r="V923" s="491"/>
      <c r="W923" s="493"/>
      <c r="X923" s="486"/>
      <c r="Y923" s="442"/>
      <c r="Z923" s="491"/>
      <c r="AA923" s="524" t="str">
        <f>AC388</f>
        <v/>
      </c>
      <c r="AB923" s="494"/>
      <c r="AC923" s="436"/>
      <c r="AD923" s="495"/>
      <c r="AE923" s="491"/>
      <c r="AF923" s="491"/>
      <c r="AG923" s="525" t="str">
        <f>AI388</f>
        <v/>
      </c>
      <c r="AH923" s="491"/>
      <c r="AI923" s="446"/>
      <c r="AJ923" s="491"/>
      <c r="AK923" s="500"/>
      <c r="AL923" s="436"/>
      <c r="AM923" s="438"/>
      <c r="AN923" s="531"/>
      <c r="AO923" s="491"/>
      <c r="AP923" s="438"/>
      <c r="AQ923" s="438"/>
      <c r="AR923" s="438"/>
      <c r="AS923" s="438"/>
      <c r="AT923" s="438"/>
      <c r="AU923" s="438"/>
      <c r="AV923" s="438"/>
      <c r="AW923" s="450">
        <f>AW388</f>
        <v>138.4217156</v>
      </c>
    </row>
    <row r="924">
      <c r="A924" s="451" t="s">
        <v>581</v>
      </c>
      <c r="B924" s="451" t="s">
        <v>581</v>
      </c>
      <c r="C924" s="440"/>
      <c r="D924" s="440" t="s">
        <v>314</v>
      </c>
      <c r="E924" s="440"/>
      <c r="F924" s="451" t="s">
        <v>2700</v>
      </c>
      <c r="G924" s="440" t="s">
        <v>169</v>
      </c>
      <c r="H924" s="440" t="s">
        <v>476</v>
      </c>
      <c r="I924" s="436">
        <v>2015.0</v>
      </c>
      <c r="J924" s="460">
        <v>4060.0</v>
      </c>
      <c r="K924" s="460">
        <v>187.0</v>
      </c>
      <c r="L924" s="460" t="s">
        <v>434</v>
      </c>
      <c r="M924" s="461">
        <v>1.0</v>
      </c>
      <c r="N924" s="422">
        <v>9.933</v>
      </c>
      <c r="O924" s="422">
        <v>8.608</v>
      </c>
      <c r="P924" s="422"/>
      <c r="Q924" s="440" t="s">
        <v>2189</v>
      </c>
      <c r="R924" s="451" t="s">
        <v>2190</v>
      </c>
      <c r="S924" s="451" t="s">
        <v>2191</v>
      </c>
      <c r="T924" s="462" t="s">
        <v>162</v>
      </c>
      <c r="U924" s="451" t="s">
        <v>2192</v>
      </c>
      <c r="V924" s="440"/>
      <c r="W924" s="463"/>
      <c r="X924" s="437"/>
      <c r="Y924" s="442" t="str">
        <f>IF((W924/((J924/5780)^4))^0.5&gt;0,(W924/((J924/5780)^4))^0.5,"")</f>
        <v/>
      </c>
      <c r="Z924" s="464"/>
      <c r="AA924" s="465">
        <v>1.23</v>
      </c>
      <c r="AB924" s="465">
        <v>0.27</v>
      </c>
      <c r="AC924" s="436" t="str">
        <f>IF(ISNUMBER(VLOOKUP(B924,'New Masses'!A:C,3,FALSE)),VLOOKUP(B924,'New Masses'!A:C,3,FALSE),"")</f>
        <v/>
      </c>
      <c r="AD924" s="440">
        <f>10^AE924</f>
        <v>0.00000000389045145</v>
      </c>
      <c r="AE924" s="460">
        <v>-8.41</v>
      </c>
      <c r="AF924" s="440"/>
      <c r="AG924" s="445">
        <v>0.8</v>
      </c>
      <c r="AH924" s="460">
        <v>0.16</v>
      </c>
      <c r="AI924" s="446" t="str">
        <f>IF(ISNUMBER(VLOOKUP(B924,'New Masses'!A:C,2, FALSE)),VLOOKUP(B924,'New Masses'!A:C,2, FALSE),"")</f>
        <v/>
      </c>
      <c r="AJ924" s="440">
        <f>LOG10(AG924)</f>
        <v>-0.09691001301</v>
      </c>
      <c r="AK924" s="460"/>
      <c r="AL924" s="460">
        <v>-1.2</v>
      </c>
      <c r="AM924" s="466">
        <v>43900.0</v>
      </c>
      <c r="AN924" s="436">
        <v>3.0</v>
      </c>
      <c r="AO924" s="440"/>
      <c r="AP924" s="440"/>
      <c r="AQ924" s="440"/>
      <c r="AR924" s="440"/>
      <c r="AS924" s="440"/>
      <c r="AT924" s="440"/>
      <c r="AU924" s="440"/>
      <c r="AV924" s="440"/>
      <c r="AW924" s="450">
        <v>161.681487469684</v>
      </c>
    </row>
    <row r="925">
      <c r="A925" s="435" t="str">
        <f t="shared" ref="A925:C925" si="774">A390</f>
        <v>2MASS J16261898-2424142</v>
      </c>
      <c r="B925" s="485" t="str">
        <f t="shared" si="774"/>
        <v>ISO-Oph 026</v>
      </c>
      <c r="C925" s="486" t="str">
        <f t="shared" si="774"/>
        <v/>
      </c>
      <c r="D925" s="486"/>
      <c r="E925" s="486"/>
      <c r="F925" s="528"/>
      <c r="G925" s="486"/>
      <c r="H925" s="486" t="s">
        <v>5917</v>
      </c>
      <c r="I925" s="491"/>
      <c r="J925" s="491"/>
      <c r="K925" s="491"/>
      <c r="L925" s="491"/>
      <c r="M925" s="486"/>
      <c r="N925" s="422"/>
      <c r="O925" s="422"/>
      <c r="P925" s="422"/>
      <c r="Q925" s="486"/>
      <c r="R925" s="491"/>
      <c r="S925" s="491"/>
      <c r="T925" s="491"/>
      <c r="U925" s="491"/>
      <c r="V925" s="491"/>
      <c r="W925" s="493"/>
      <c r="X925" s="486"/>
      <c r="Y925" s="442"/>
      <c r="Z925" s="491"/>
      <c r="AA925" s="524" t="str">
        <f>AC390</f>
        <v/>
      </c>
      <c r="AB925" s="494"/>
      <c r="AC925" s="436"/>
      <c r="AD925" s="495"/>
      <c r="AE925" s="491"/>
      <c r="AF925" s="491"/>
      <c r="AG925" s="525" t="str">
        <f>AI390</f>
        <v/>
      </c>
      <c r="AH925" s="491"/>
      <c r="AI925" s="446"/>
      <c r="AJ925" s="491"/>
      <c r="AK925" s="500"/>
      <c r="AL925" s="436"/>
      <c r="AM925" s="438"/>
      <c r="AN925" s="531"/>
      <c r="AO925" s="491"/>
      <c r="AP925" s="438"/>
      <c r="AQ925" s="438"/>
      <c r="AR925" s="438"/>
      <c r="AS925" s="438"/>
      <c r="AT925" s="438"/>
      <c r="AU925" s="438"/>
      <c r="AV925" s="438"/>
      <c r="AW925" s="450" t="str">
        <f>AW390</f>
        <v/>
      </c>
    </row>
    <row r="926">
      <c r="A926" s="451" t="s">
        <v>555</v>
      </c>
      <c r="B926" s="451" t="s">
        <v>555</v>
      </c>
      <c r="C926" s="440"/>
      <c r="D926" s="440" t="s">
        <v>314</v>
      </c>
      <c r="E926" s="440"/>
      <c r="F926" s="451" t="s">
        <v>2701</v>
      </c>
      <c r="G926" s="440" t="s">
        <v>169</v>
      </c>
      <c r="H926" s="440" t="s">
        <v>476</v>
      </c>
      <c r="I926" s="438"/>
      <c r="J926" s="460">
        <v>3560.0</v>
      </c>
      <c r="K926" s="460">
        <v>164.0</v>
      </c>
      <c r="L926" s="460" t="s">
        <v>415</v>
      </c>
      <c r="M926" s="461">
        <v>0.5</v>
      </c>
      <c r="N926" s="422">
        <v>10.73</v>
      </c>
      <c r="O926" s="422">
        <v>9.617</v>
      </c>
      <c r="P926" s="422">
        <v>13.56</v>
      </c>
      <c r="Q926" s="440" t="s">
        <v>2189</v>
      </c>
      <c r="R926" s="451" t="s">
        <v>2190</v>
      </c>
      <c r="S926" s="451" t="s">
        <v>2191</v>
      </c>
      <c r="T926" s="462" t="s">
        <v>162</v>
      </c>
      <c r="U926" s="451" t="s">
        <v>2192</v>
      </c>
      <c r="V926" s="440"/>
      <c r="W926" s="463"/>
      <c r="X926" s="437"/>
      <c r="Y926" s="442" t="str">
        <f>IF((W926/((J926/5780)^4))^0.5&gt;0,(W926/((J926/5780)^4))^0.5,"")</f>
        <v/>
      </c>
      <c r="Z926" s="464"/>
      <c r="AA926" s="465">
        <v>1.03</v>
      </c>
      <c r="AB926" s="465">
        <v>0.24</v>
      </c>
      <c r="AC926" s="436" t="str">
        <f>IF(ISNUMBER(VLOOKUP(B926,'New Masses'!A:C,3,FALSE)),VLOOKUP(B926,'New Masses'!A:C,3,FALSE),"")</f>
        <v/>
      </c>
      <c r="AD926" s="440">
        <f>10^AE926</f>
        <v>0.0000000007079457844</v>
      </c>
      <c r="AE926" s="460">
        <v>-9.15</v>
      </c>
      <c r="AF926" s="440"/>
      <c r="AG926" s="445">
        <v>0.37</v>
      </c>
      <c r="AH926" s="460">
        <v>0.09</v>
      </c>
      <c r="AI926" s="446" t="str">
        <f>IF(ISNUMBER(VLOOKUP(B926,'New Masses'!A:C,2, FALSE)),VLOOKUP(B926,'New Masses'!A:C,2, FALSE),"")</f>
        <v/>
      </c>
      <c r="AJ926" s="440">
        <f>LOG10(AG926)</f>
        <v>-0.4317982759</v>
      </c>
      <c r="AK926" s="460"/>
      <c r="AL926" s="460">
        <v>-2.2</v>
      </c>
      <c r="AM926" s="466">
        <v>43900.0</v>
      </c>
      <c r="AN926" s="436">
        <v>3.0</v>
      </c>
      <c r="AO926" s="440"/>
      <c r="AP926" s="440"/>
      <c r="AQ926" s="440"/>
      <c r="AR926" s="440"/>
      <c r="AS926" s="440"/>
      <c r="AT926" s="440"/>
      <c r="AU926" s="440"/>
      <c r="AV926" s="440"/>
      <c r="AW926" s="450">
        <v>160.269252343937</v>
      </c>
    </row>
    <row r="927">
      <c r="A927" s="435" t="str">
        <f t="shared" ref="A927:C927" si="775">A392</f>
        <v>2MASS J16262101-2415414</v>
      </c>
      <c r="B927" s="485" t="str">
        <f t="shared" si="775"/>
        <v>ISO-Oph 028</v>
      </c>
      <c r="C927" s="486" t="str">
        <f t="shared" si="775"/>
        <v/>
      </c>
      <c r="D927" s="486"/>
      <c r="E927" s="486"/>
      <c r="F927" s="528"/>
      <c r="G927" s="486"/>
      <c r="H927" s="486" t="s">
        <v>5917</v>
      </c>
      <c r="I927" s="491"/>
      <c r="J927" s="491"/>
      <c r="K927" s="491"/>
      <c r="L927" s="491"/>
      <c r="M927" s="486"/>
      <c r="N927" s="422"/>
      <c r="O927" s="422"/>
      <c r="P927" s="422"/>
      <c r="Q927" s="486"/>
      <c r="R927" s="491"/>
      <c r="S927" s="491"/>
      <c r="T927" s="491"/>
      <c r="U927" s="491"/>
      <c r="V927" s="491"/>
      <c r="W927" s="493"/>
      <c r="X927" s="486"/>
      <c r="Y927" s="442"/>
      <c r="Z927" s="491"/>
      <c r="AA927" s="524" t="str">
        <f>AC392</f>
        <v/>
      </c>
      <c r="AB927" s="494"/>
      <c r="AC927" s="436"/>
      <c r="AD927" s="495"/>
      <c r="AE927" s="491"/>
      <c r="AF927" s="491"/>
      <c r="AG927" s="525" t="str">
        <f>AI392</f>
        <v/>
      </c>
      <c r="AH927" s="491"/>
      <c r="AI927" s="446"/>
      <c r="AJ927" s="491"/>
      <c r="AK927" s="500"/>
      <c r="AL927" s="436"/>
      <c r="AM927" s="438"/>
      <c r="AN927" s="531"/>
      <c r="AO927" s="491"/>
      <c r="AP927" s="438"/>
      <c r="AQ927" s="438"/>
      <c r="AR927" s="438"/>
      <c r="AS927" s="438"/>
      <c r="AT927" s="438"/>
      <c r="AU927" s="438"/>
      <c r="AV927" s="438"/>
      <c r="AW927" s="450">
        <f>AW392</f>
        <v>1357.404642</v>
      </c>
    </row>
    <row r="928">
      <c r="A928" s="451" t="s">
        <v>549</v>
      </c>
      <c r="B928" s="451" t="s">
        <v>549</v>
      </c>
      <c r="C928" s="440"/>
      <c r="D928" s="440" t="s">
        <v>314</v>
      </c>
      <c r="E928" s="440"/>
      <c r="F928" s="451" t="s">
        <v>2702</v>
      </c>
      <c r="G928" s="440" t="s">
        <v>169</v>
      </c>
      <c r="H928" s="440" t="s">
        <v>476</v>
      </c>
      <c r="I928" s="436">
        <v>2015.0</v>
      </c>
      <c r="J928" s="460">
        <v>3415.0</v>
      </c>
      <c r="K928" s="460">
        <v>79.0</v>
      </c>
      <c r="L928" s="460" t="s">
        <v>430</v>
      </c>
      <c r="M928" s="461">
        <v>0.5</v>
      </c>
      <c r="N928" s="422">
        <v>11.466</v>
      </c>
      <c r="O928" s="422">
        <v>10.1</v>
      </c>
      <c r="P928" s="422">
        <v>14.6</v>
      </c>
      <c r="Q928" s="440" t="s">
        <v>2189</v>
      </c>
      <c r="R928" s="451" t="s">
        <v>2190</v>
      </c>
      <c r="S928" s="451" t="s">
        <v>2191</v>
      </c>
      <c r="T928" s="462" t="s">
        <v>162</v>
      </c>
      <c r="U928" s="451" t="s">
        <v>2192</v>
      </c>
      <c r="V928" s="440"/>
      <c r="W928" s="463"/>
      <c r="X928" s="437"/>
      <c r="Y928" s="442" t="str">
        <f>IF((W928/((J928/5780)^4))^0.5&gt;0,(W928/((J928/5780)^4))^0.5,"")</f>
        <v/>
      </c>
      <c r="Z928" s="464"/>
      <c r="AA928" s="465">
        <v>1.04</v>
      </c>
      <c r="AB928" s="465">
        <v>0.23</v>
      </c>
      <c r="AC928" s="436" t="str">
        <f>IF(ISNUMBER(VLOOKUP(B928,'New Masses'!A:C,3,FALSE)),VLOOKUP(B928,'New Masses'!A:C,3,FALSE),"")</f>
        <v/>
      </c>
      <c r="AD928" s="440">
        <f>10^AE928</f>
        <v>0.0000000005623413252</v>
      </c>
      <c r="AE928" s="460">
        <v>-9.25</v>
      </c>
      <c r="AF928" s="440"/>
      <c r="AG928" s="445">
        <v>0.3</v>
      </c>
      <c r="AH928" s="460">
        <v>0.04</v>
      </c>
      <c r="AI928" s="446" t="str">
        <f>IF(ISNUMBER(VLOOKUP(B928,'New Masses'!A:C,2, FALSE)),VLOOKUP(B928,'New Masses'!A:C,2, FALSE),"")</f>
        <v/>
      </c>
      <c r="AJ928" s="440">
        <f>LOG10(AG928)</f>
        <v>-0.5228787453</v>
      </c>
      <c r="AK928" s="460"/>
      <c r="AL928" s="460">
        <v>-2.4</v>
      </c>
      <c r="AM928" s="466">
        <v>43900.0</v>
      </c>
      <c r="AN928" s="436">
        <v>3.0</v>
      </c>
      <c r="AO928" s="440"/>
      <c r="AP928" s="440"/>
      <c r="AQ928" s="440"/>
      <c r="AR928" s="440"/>
      <c r="AS928" s="440"/>
      <c r="AT928" s="440"/>
      <c r="AU928" s="440"/>
      <c r="AV928" s="440"/>
      <c r="AW928" s="450">
        <v>160.30779095864</v>
      </c>
    </row>
    <row r="929">
      <c r="A929" s="435" t="str">
        <f t="shared" ref="A929:C929" si="776">A394</f>
        <v>2MASS J16262152-2426009</v>
      </c>
      <c r="B929" s="485" t="str">
        <f t="shared" si="776"/>
        <v>ISO-Oph 030</v>
      </c>
      <c r="C929" s="486" t="str">
        <f t="shared" si="776"/>
        <v>GY 5</v>
      </c>
      <c r="D929" s="486"/>
      <c r="E929" s="486"/>
      <c r="F929" s="528"/>
      <c r="G929" s="486"/>
      <c r="H929" s="486" t="s">
        <v>5917</v>
      </c>
      <c r="I929" s="491"/>
      <c r="J929" s="491"/>
      <c r="K929" s="491"/>
      <c r="L929" s="491"/>
      <c r="M929" s="486"/>
      <c r="N929" s="422"/>
      <c r="O929" s="422"/>
      <c r="P929" s="422"/>
      <c r="Q929" s="486"/>
      <c r="R929" s="491"/>
      <c r="S929" s="491"/>
      <c r="T929" s="491"/>
      <c r="U929" s="491"/>
      <c r="V929" s="491"/>
      <c r="W929" s="493"/>
      <c r="X929" s="486"/>
      <c r="Y929" s="442"/>
      <c r="Z929" s="491"/>
      <c r="AA929" s="619">
        <f>AC394</f>
        <v>0.690178</v>
      </c>
      <c r="AB929" s="494"/>
      <c r="AC929" s="436"/>
      <c r="AD929" s="495"/>
      <c r="AE929" s="491"/>
      <c r="AF929" s="491"/>
      <c r="AG929" s="525">
        <f>AI394</f>
        <v>0.058417</v>
      </c>
      <c r="AH929" s="491"/>
      <c r="AI929" s="446"/>
      <c r="AJ929" s="491"/>
      <c r="AK929" s="500"/>
      <c r="AL929" s="436"/>
      <c r="AM929" s="438"/>
      <c r="AN929" s="531"/>
      <c r="AO929" s="491"/>
      <c r="AP929" s="438"/>
      <c r="AQ929" s="438"/>
      <c r="AR929" s="438"/>
      <c r="AS929" s="438"/>
      <c r="AT929" s="438"/>
      <c r="AU929" s="438"/>
      <c r="AV929" s="438"/>
      <c r="AW929" s="450">
        <f>AW394</f>
        <v>137</v>
      </c>
    </row>
    <row r="930">
      <c r="A930" s="451" t="s">
        <v>578</v>
      </c>
      <c r="B930" s="451" t="s">
        <v>578</v>
      </c>
      <c r="C930" s="440"/>
      <c r="D930" s="440" t="s">
        <v>314</v>
      </c>
      <c r="E930" s="440"/>
      <c r="F930" s="451" t="s">
        <v>2703</v>
      </c>
      <c r="G930" s="440" t="s">
        <v>169</v>
      </c>
      <c r="H930" s="440" t="s">
        <v>476</v>
      </c>
      <c r="I930" s="436">
        <v>2015.0</v>
      </c>
      <c r="J930" s="460">
        <v>4060.0</v>
      </c>
      <c r="K930" s="460">
        <v>187.0</v>
      </c>
      <c r="L930" s="460" t="s">
        <v>434</v>
      </c>
      <c r="M930" s="461">
        <v>1.0</v>
      </c>
      <c r="N930" s="422">
        <v>9.189</v>
      </c>
      <c r="O930" s="422">
        <v>7.982</v>
      </c>
      <c r="P930" s="422">
        <v>11.33</v>
      </c>
      <c r="Q930" s="440" t="s">
        <v>2189</v>
      </c>
      <c r="R930" s="451" t="s">
        <v>2190</v>
      </c>
      <c r="S930" s="451" t="s">
        <v>2191</v>
      </c>
      <c r="T930" s="462" t="s">
        <v>162</v>
      </c>
      <c r="U930" s="451" t="s">
        <v>2192</v>
      </c>
      <c r="V930" s="440"/>
      <c r="W930" s="514">
        <v>0.8318</v>
      </c>
      <c r="X930" s="447">
        <v>0.3623</v>
      </c>
      <c r="Y930" s="442">
        <f>IF((W930/((J930/5780)^4))^0.5&gt;0,(W930/((J930/5780)^4))^0.5,"")</f>
        <v>1.848472814</v>
      </c>
      <c r="Z930" s="464">
        <f>0.5*((X930/W930)^2 + 16*(K930/J930)^2)^0.5</f>
        <v>0.2364618535</v>
      </c>
      <c r="AA930" s="465">
        <v>1.84</v>
      </c>
      <c r="AB930" s="465">
        <v>0.4</v>
      </c>
      <c r="AC930" s="436" t="str">
        <f>IF(ISNUMBER(VLOOKUP(B930,'New Masses'!A:C,3,FALSE)),VLOOKUP(B930,'New Masses'!A:C,3,FALSE),"")</f>
        <v/>
      </c>
      <c r="AD930" s="440">
        <f>10^AE930</f>
        <v>0.0000000002454708916</v>
      </c>
      <c r="AE930" s="451">
        <v>-9.61</v>
      </c>
      <c r="AF930" s="440"/>
      <c r="AG930" s="445">
        <v>0.76</v>
      </c>
      <c r="AH930" s="460">
        <v>0.18</v>
      </c>
      <c r="AI930" s="446" t="str">
        <f>IF(ISNUMBER(VLOOKUP(B930,'New Masses'!A:C,2, FALSE)),VLOOKUP(B930,'New Masses'!A:C,2, FALSE),"")</f>
        <v/>
      </c>
      <c r="AJ930" s="440">
        <f>LOG10(AG930)</f>
        <v>-0.1191864077</v>
      </c>
      <c r="AK930" s="460"/>
      <c r="AL930" s="460">
        <v>-2.6</v>
      </c>
      <c r="AM930" s="466">
        <v>43900.0</v>
      </c>
      <c r="AN930" s="436">
        <v>3.0</v>
      </c>
      <c r="AO930" s="440"/>
      <c r="AP930" s="440"/>
      <c r="AQ930" s="440"/>
      <c r="AR930" s="440"/>
      <c r="AS930" s="440"/>
      <c r="AT930" s="440" t="s">
        <v>5916</v>
      </c>
      <c r="AU930" s="440"/>
      <c r="AV930" s="440"/>
      <c r="AW930" s="450">
        <v>155.293971488026</v>
      </c>
    </row>
    <row r="931">
      <c r="A931" s="435" t="str">
        <f t="shared" ref="A931:C931" si="777">A396</f>
        <v>2MASS J16262152-2426009</v>
      </c>
      <c r="B931" s="485" t="str">
        <f t="shared" si="777"/>
        <v>ISO-Oph 030</v>
      </c>
      <c r="C931" s="486" t="str">
        <f t="shared" si="777"/>
        <v>GY 5</v>
      </c>
      <c r="D931" s="486"/>
      <c r="E931" s="486"/>
      <c r="F931" s="528"/>
      <c r="G931" s="486"/>
      <c r="H931" s="486" t="s">
        <v>5917</v>
      </c>
      <c r="I931" s="491"/>
      <c r="J931" s="491"/>
      <c r="K931" s="491"/>
      <c r="L931" s="491"/>
      <c r="M931" s="486"/>
      <c r="N931" s="422"/>
      <c r="O931" s="422"/>
      <c r="P931" s="422"/>
      <c r="Q931" s="486"/>
      <c r="R931" s="491"/>
      <c r="S931" s="491"/>
      <c r="T931" s="491"/>
      <c r="U931" s="491"/>
      <c r="V931" s="491"/>
      <c r="W931" s="493"/>
      <c r="X931" s="486"/>
      <c r="Y931" s="442"/>
      <c r="Z931" s="491"/>
      <c r="AA931" s="619">
        <f>AC396</f>
        <v>0.690178</v>
      </c>
      <c r="AB931" s="494"/>
      <c r="AC931" s="436"/>
      <c r="AD931" s="495"/>
      <c r="AE931" s="491"/>
      <c r="AF931" s="491"/>
      <c r="AG931" s="525">
        <f>AI396</f>
        <v>0.058417</v>
      </c>
      <c r="AH931" s="491"/>
      <c r="AI931" s="446"/>
      <c r="AJ931" s="491"/>
      <c r="AK931" s="500"/>
      <c r="AL931" s="436"/>
      <c r="AM931" s="438"/>
      <c r="AN931" s="531"/>
      <c r="AO931" s="491"/>
      <c r="AP931" s="438"/>
      <c r="AQ931" s="438"/>
      <c r="AR931" s="438"/>
      <c r="AS931" s="438"/>
      <c r="AT931" s="438"/>
      <c r="AU931" s="438"/>
      <c r="AV931" s="438"/>
      <c r="AW931" s="450">
        <f>AW396</f>
        <v>137</v>
      </c>
    </row>
    <row r="932">
      <c r="A932" s="451" t="s">
        <v>550</v>
      </c>
      <c r="B932" s="451" t="s">
        <v>550</v>
      </c>
      <c r="C932" s="440"/>
      <c r="D932" s="440" t="s">
        <v>314</v>
      </c>
      <c r="E932" s="440"/>
      <c r="F932" s="451" t="s">
        <v>2704</v>
      </c>
      <c r="G932" s="440" t="s">
        <v>169</v>
      </c>
      <c r="H932" s="440" t="s">
        <v>476</v>
      </c>
      <c r="I932" s="438"/>
      <c r="J932" s="460">
        <v>3415.0</v>
      </c>
      <c r="K932" s="460">
        <v>79.0</v>
      </c>
      <c r="L932" s="460" t="s">
        <v>430</v>
      </c>
      <c r="M932" s="461">
        <v>0.5</v>
      </c>
      <c r="N932" s="422">
        <v>10.893</v>
      </c>
      <c r="O932" s="422">
        <v>9.288</v>
      </c>
      <c r="P932" s="422">
        <v>14.51</v>
      </c>
      <c r="Q932" s="440" t="s">
        <v>2189</v>
      </c>
      <c r="R932" s="451" t="s">
        <v>2190</v>
      </c>
      <c r="S932" s="451" t="s">
        <v>2191</v>
      </c>
      <c r="T932" s="462" t="s">
        <v>162</v>
      </c>
      <c r="U932" s="451" t="s">
        <v>2192</v>
      </c>
      <c r="V932" s="440"/>
      <c r="W932" s="514">
        <v>0.2</v>
      </c>
      <c r="X932" s="447">
        <v>0.092</v>
      </c>
      <c r="Y932" s="442">
        <f>IF((W932/((J932/5780)^4))^0.5&gt;0,(W932/((J932/5780)^4))^0.5,"")</f>
        <v>1.28111837</v>
      </c>
      <c r="Z932" s="464">
        <f>0.5*((X932/W932)^2 + 16*(K932/J932)^2)^0.5</f>
        <v>0.2346073025</v>
      </c>
      <c r="AA932" s="465">
        <v>1.29</v>
      </c>
      <c r="AB932" s="465">
        <v>0.3</v>
      </c>
      <c r="AC932" s="436" t="str">
        <f>IF(ISNUMBER(VLOOKUP(B932,'New Masses'!A:C,3,FALSE)),VLOOKUP(B932,'New Masses'!A:C,3,FALSE),"")</f>
        <v/>
      </c>
      <c r="AD932" s="440">
        <f>10^AE932</f>
        <v>0.000000002691534804</v>
      </c>
      <c r="AE932" s="460">
        <v>-8.57</v>
      </c>
      <c r="AF932" s="440"/>
      <c r="AG932" s="445">
        <v>0.31</v>
      </c>
      <c r="AH932" s="460">
        <v>0.04</v>
      </c>
      <c r="AI932" s="446" t="str">
        <f>IF(ISNUMBER(VLOOKUP(B932,'New Masses'!A:C,2, FALSE)),VLOOKUP(B932,'New Masses'!A:C,2, FALSE),"")</f>
        <v/>
      </c>
      <c r="AJ932" s="440">
        <f>LOG10(AG932)</f>
        <v>-0.5086383062</v>
      </c>
      <c r="AK932" s="460"/>
      <c r="AL932" s="460">
        <v>-1.8</v>
      </c>
      <c r="AM932" s="466">
        <v>43900.0</v>
      </c>
      <c r="AN932" s="436">
        <v>3.0</v>
      </c>
      <c r="AO932" s="440"/>
      <c r="AP932" s="440"/>
      <c r="AQ932" s="440"/>
      <c r="AR932" s="440"/>
      <c r="AS932" s="440"/>
      <c r="AT932" s="440"/>
      <c r="AU932" s="440"/>
      <c r="AV932" s="440"/>
      <c r="AW932" s="450">
        <v>157.339081454442</v>
      </c>
    </row>
    <row r="933">
      <c r="A933" s="435" t="str">
        <f t="shared" ref="A933:C933" si="778">A398</f>
        <v>2MASS J16262152-2426009</v>
      </c>
      <c r="B933" s="485" t="str">
        <f t="shared" si="778"/>
        <v>GY 5</v>
      </c>
      <c r="C933" s="486" t="str">
        <f t="shared" si="778"/>
        <v>ISO-Oph 030</v>
      </c>
      <c r="D933" s="486"/>
      <c r="E933" s="486"/>
      <c r="F933" s="528"/>
      <c r="G933" s="486"/>
      <c r="H933" s="486" t="s">
        <v>5917</v>
      </c>
      <c r="I933" s="491"/>
      <c r="J933" s="491"/>
      <c r="K933" s="491"/>
      <c r="L933" s="491"/>
      <c r="M933" s="486"/>
      <c r="N933" s="422"/>
      <c r="O933" s="422"/>
      <c r="P933" s="422"/>
      <c r="Q933" s="486"/>
      <c r="R933" s="491"/>
      <c r="S933" s="491"/>
      <c r="T933" s="491"/>
      <c r="U933" s="491"/>
      <c r="V933" s="491"/>
      <c r="W933" s="493"/>
      <c r="X933" s="486"/>
      <c r="Y933" s="442"/>
      <c r="Z933" s="491"/>
      <c r="AA933" s="524" t="str">
        <f>AC398</f>
        <v/>
      </c>
      <c r="AB933" s="494"/>
      <c r="AC933" s="436"/>
      <c r="AD933" s="495"/>
      <c r="AE933" s="491"/>
      <c r="AF933" s="491"/>
      <c r="AG933" s="525" t="str">
        <f>AI398</f>
        <v/>
      </c>
      <c r="AH933" s="491"/>
      <c r="AI933" s="446"/>
      <c r="AJ933" s="491"/>
      <c r="AK933" s="500"/>
      <c r="AL933" s="436"/>
      <c r="AM933" s="438"/>
      <c r="AN933" s="531"/>
      <c r="AO933" s="491"/>
      <c r="AP933" s="438"/>
      <c r="AQ933" s="438"/>
      <c r="AR933" s="438"/>
      <c r="AS933" s="438"/>
      <c r="AT933" s="438"/>
      <c r="AU933" s="438"/>
      <c r="AV933" s="438"/>
      <c r="AW933" s="450">
        <f>AW398</f>
        <v>137</v>
      </c>
    </row>
    <row r="934">
      <c r="A934" s="451" t="s">
        <v>591</v>
      </c>
      <c r="B934" s="451" t="s">
        <v>591</v>
      </c>
      <c r="C934" s="462"/>
      <c r="D934" s="440" t="s">
        <v>314</v>
      </c>
      <c r="E934" s="440"/>
      <c r="F934" s="451" t="s">
        <v>2705</v>
      </c>
      <c r="G934" s="440" t="s">
        <v>169</v>
      </c>
      <c r="H934" s="440" t="s">
        <v>476</v>
      </c>
      <c r="I934" s="436">
        <v>2015.0</v>
      </c>
      <c r="J934" s="460">
        <v>4900.0</v>
      </c>
      <c r="K934" s="460">
        <v>226.0</v>
      </c>
      <c r="L934" s="460" t="s">
        <v>589</v>
      </c>
      <c r="M934" s="461">
        <v>1.0</v>
      </c>
      <c r="N934" s="422">
        <v>7.573</v>
      </c>
      <c r="O934" s="422">
        <v>6.48</v>
      </c>
      <c r="P934" s="422">
        <v>9.6</v>
      </c>
      <c r="Q934" s="440" t="s">
        <v>2189</v>
      </c>
      <c r="R934" s="451" t="s">
        <v>2190</v>
      </c>
      <c r="S934" s="451" t="s">
        <v>2191</v>
      </c>
      <c r="T934" s="462" t="s">
        <v>162</v>
      </c>
      <c r="U934" s="451" t="s">
        <v>2192</v>
      </c>
      <c r="V934" s="440"/>
      <c r="W934" s="514">
        <v>5.1826</v>
      </c>
      <c r="X934" s="447">
        <v>2.1919</v>
      </c>
      <c r="Y934" s="442">
        <f>IF((W934/((J934/5780)^4))^0.5&gt;0,(W934/((J934/5780)^4))^0.5,"")</f>
        <v>3.167651259</v>
      </c>
      <c r="Z934" s="464">
        <f>0.5*((X934/W934)^2 + 16*(K934/J934)^2)^0.5</f>
        <v>0.2307108692</v>
      </c>
      <c r="AA934" s="465">
        <v>3.14</v>
      </c>
      <c r="AB934" s="465">
        <v>0.67</v>
      </c>
      <c r="AC934" s="436" t="str">
        <f>IF(ISNUMBER(VLOOKUP(B934,'New Masses'!A:C,3,FALSE)),VLOOKUP(B934,'New Masses'!A:C,3,FALSE),"")</f>
        <v/>
      </c>
      <c r="AD934" s="440">
        <f>10^AE934</f>
        <v>0.000000003801893963</v>
      </c>
      <c r="AE934" s="460">
        <v>-8.42</v>
      </c>
      <c r="AF934" s="440"/>
      <c r="AG934" s="445">
        <v>2.13</v>
      </c>
      <c r="AH934" s="460">
        <v>0.33</v>
      </c>
      <c r="AI934" s="446" t="str">
        <f>IF(ISNUMBER(VLOOKUP(B934,'New Masses'!A:C,2, FALSE)),VLOOKUP(B934,'New Masses'!A:C,2, FALSE),"")</f>
        <v/>
      </c>
      <c r="AJ934" s="440">
        <f>LOG10(AG934)</f>
        <v>0.3283796034</v>
      </c>
      <c r="AK934" s="460"/>
      <c r="AL934" s="460">
        <v>-1.2</v>
      </c>
      <c r="AM934" s="466">
        <v>43900.0</v>
      </c>
      <c r="AN934" s="436">
        <v>3.0</v>
      </c>
      <c r="AO934" s="440"/>
      <c r="AP934" s="440"/>
      <c r="AQ934" s="440"/>
      <c r="AR934" s="440"/>
      <c r="AS934" s="440"/>
      <c r="AT934" s="440" t="s">
        <v>5916</v>
      </c>
      <c r="AU934" s="440"/>
      <c r="AV934" s="440"/>
      <c r="AW934" s="450">
        <v>154.194871478574</v>
      </c>
    </row>
    <row r="935">
      <c r="A935" s="435" t="str">
        <f t="shared" ref="A935:C935" si="779">A400</f>
        <v>#REF!</v>
      </c>
      <c r="B935" s="485" t="str">
        <f t="shared" si="779"/>
        <v>#REF!</v>
      </c>
      <c r="C935" s="486" t="str">
        <f t="shared" si="779"/>
        <v>#REF!</v>
      </c>
      <c r="D935" s="486"/>
      <c r="E935" s="486"/>
      <c r="F935" s="528"/>
      <c r="G935" s="486"/>
      <c r="H935" s="486" t="s">
        <v>5917</v>
      </c>
      <c r="I935" s="491"/>
      <c r="J935" s="491"/>
      <c r="K935" s="491"/>
      <c r="L935" s="491"/>
      <c r="M935" s="486"/>
      <c r="N935" s="422"/>
      <c r="O935" s="422"/>
      <c r="P935" s="422"/>
      <c r="Q935" s="486"/>
      <c r="R935" s="491"/>
      <c r="S935" s="491"/>
      <c r="T935" s="491"/>
      <c r="U935" s="491"/>
      <c r="V935" s="491"/>
      <c r="W935" s="493"/>
      <c r="X935" s="486"/>
      <c r="Y935" s="442"/>
      <c r="Z935" s="491"/>
      <c r="AA935" s="524" t="str">
        <f>AC400</f>
        <v/>
      </c>
      <c r="AB935" s="494"/>
      <c r="AC935" s="436"/>
      <c r="AD935" s="495"/>
      <c r="AE935" s="491"/>
      <c r="AF935" s="491"/>
      <c r="AG935" s="525" t="str">
        <f>AI400</f>
        <v/>
      </c>
      <c r="AH935" s="491"/>
      <c r="AI935" s="446"/>
      <c r="AJ935" s="491"/>
      <c r="AK935" s="500"/>
      <c r="AL935" s="436"/>
      <c r="AM935" s="438"/>
      <c r="AN935" s="531"/>
      <c r="AO935" s="491"/>
      <c r="AP935" s="438"/>
      <c r="AQ935" s="438"/>
      <c r="AR935" s="438"/>
      <c r="AS935" s="438"/>
      <c r="AT935" s="438"/>
      <c r="AU935" s="438"/>
      <c r="AV935" s="438"/>
      <c r="AW935" s="450" t="str">
        <f>AW400</f>
        <v>#REF!</v>
      </c>
    </row>
    <row r="936">
      <c r="A936" s="451" t="s">
        <v>521</v>
      </c>
      <c r="B936" s="451" t="s">
        <v>521</v>
      </c>
      <c r="C936" s="440"/>
      <c r="D936" s="440" t="s">
        <v>314</v>
      </c>
      <c r="E936" s="440"/>
      <c r="F936" s="451" t="s">
        <v>2706</v>
      </c>
      <c r="G936" s="440" t="s">
        <v>169</v>
      </c>
      <c r="H936" s="440" t="s">
        <v>476</v>
      </c>
      <c r="I936" s="438"/>
      <c r="J936" s="460">
        <v>3197.0</v>
      </c>
      <c r="K936" s="460">
        <v>74.0</v>
      </c>
      <c r="L936" s="460" t="s">
        <v>402</v>
      </c>
      <c r="M936" s="461">
        <v>0.5</v>
      </c>
      <c r="N936" s="422">
        <v>11.176</v>
      </c>
      <c r="O936" s="422">
        <v>9.41</v>
      </c>
      <c r="P936" s="422"/>
      <c r="Q936" s="440" t="s">
        <v>2189</v>
      </c>
      <c r="R936" s="451" t="s">
        <v>2190</v>
      </c>
      <c r="S936" s="451" t="s">
        <v>2191</v>
      </c>
      <c r="T936" s="462" t="s">
        <v>162</v>
      </c>
      <c r="U936" s="451" t="s">
        <v>2192</v>
      </c>
      <c r="V936" s="440"/>
      <c r="W936" s="514">
        <v>0.088</v>
      </c>
      <c r="X936" s="447">
        <v>0.041</v>
      </c>
      <c r="Y936" s="442">
        <f>IF((W936/((J936/5780)^4))^0.5&gt;0,(W936/((J936/5780)^4))^0.5,"")</f>
        <v>0.9696427182</v>
      </c>
      <c r="Z936" s="551"/>
      <c r="AA936" s="465">
        <v>0.97</v>
      </c>
      <c r="AB936" s="465">
        <v>0.22</v>
      </c>
      <c r="AC936" s="436" t="str">
        <f>IF(ISNUMBER(VLOOKUP(B936,'New Masses'!A:C,3,FALSE)),VLOOKUP(B936,'New Masses'!A:C,3,FALSE),"")</f>
        <v/>
      </c>
      <c r="AD936" s="440">
        <f>10^AE936</f>
        <v>0.0000000003311311215</v>
      </c>
      <c r="AE936" s="460">
        <v>-9.48</v>
      </c>
      <c r="AF936" s="440"/>
      <c r="AG936" s="445">
        <v>0.19</v>
      </c>
      <c r="AH936" s="460">
        <v>0.03</v>
      </c>
      <c r="AI936" s="446" t="str">
        <f>IF(ISNUMBER(VLOOKUP(B936,'New Masses'!A:C,2, FALSE)),VLOOKUP(B936,'New Masses'!A:C,2, FALSE),"")</f>
        <v/>
      </c>
      <c r="AJ936" s="440">
        <f>LOG10(AG936)</f>
        <v>-0.721246399</v>
      </c>
      <c r="AK936" s="460"/>
      <c r="AL936" s="460">
        <v>-2.8</v>
      </c>
      <c r="AM936" s="466">
        <v>43900.0</v>
      </c>
      <c r="AN936" s="436">
        <v>3.0</v>
      </c>
      <c r="AO936" s="440"/>
      <c r="AP936" s="440"/>
      <c r="AQ936" s="440"/>
      <c r="AR936" s="440"/>
      <c r="AS936" s="440"/>
      <c r="AT936" s="440"/>
      <c r="AU936" s="440"/>
      <c r="AV936" s="440"/>
      <c r="AW936" s="450">
        <v>154.547562012209</v>
      </c>
    </row>
    <row r="937">
      <c r="A937" s="435" t="str">
        <f t="shared" ref="A937:C937" si="780">A402</f>
        <v>#REF!</v>
      </c>
      <c r="B937" s="485" t="str">
        <f t="shared" si="780"/>
        <v>#REF!</v>
      </c>
      <c r="C937" s="486" t="str">
        <f t="shared" si="780"/>
        <v>#REF!</v>
      </c>
      <c r="D937" s="486"/>
      <c r="E937" s="486"/>
      <c r="F937" s="528"/>
      <c r="G937" s="486"/>
      <c r="H937" s="486" t="s">
        <v>5917</v>
      </c>
      <c r="I937" s="491"/>
      <c r="J937" s="491"/>
      <c r="K937" s="491"/>
      <c r="L937" s="491"/>
      <c r="M937" s="486"/>
      <c r="N937" s="422"/>
      <c r="O937" s="422"/>
      <c r="P937" s="422"/>
      <c r="Q937" s="486"/>
      <c r="R937" s="491"/>
      <c r="S937" s="491"/>
      <c r="T937" s="491"/>
      <c r="U937" s="491"/>
      <c r="V937" s="491"/>
      <c r="W937" s="493"/>
      <c r="X937" s="486"/>
      <c r="Y937" s="442"/>
      <c r="Z937" s="491"/>
      <c r="AA937" s="524" t="str">
        <f>AC402</f>
        <v/>
      </c>
      <c r="AB937" s="494"/>
      <c r="AC937" s="436"/>
      <c r="AD937" s="495"/>
      <c r="AE937" s="491"/>
      <c r="AF937" s="491"/>
      <c r="AG937" s="525" t="str">
        <f>AI402</f>
        <v/>
      </c>
      <c r="AH937" s="491"/>
      <c r="AI937" s="446"/>
      <c r="AJ937" s="491"/>
      <c r="AK937" s="500"/>
      <c r="AL937" s="436"/>
      <c r="AM937" s="438"/>
      <c r="AN937" s="531"/>
      <c r="AO937" s="491"/>
      <c r="AP937" s="438"/>
      <c r="AQ937" s="438"/>
      <c r="AR937" s="438"/>
      <c r="AS937" s="438"/>
      <c r="AT937" s="438"/>
      <c r="AU937" s="438"/>
      <c r="AV937" s="438"/>
      <c r="AW937" s="450" t="str">
        <f>AW402</f>
        <v>#REF!</v>
      </c>
    </row>
    <row r="938">
      <c r="A938" s="451" t="s">
        <v>557</v>
      </c>
      <c r="B938" s="451" t="s">
        <v>557</v>
      </c>
      <c r="C938" s="440"/>
      <c r="D938" s="440" t="s">
        <v>314</v>
      </c>
      <c r="E938" s="440"/>
      <c r="F938" s="451" t="s">
        <v>2707</v>
      </c>
      <c r="G938" s="440" t="s">
        <v>169</v>
      </c>
      <c r="H938" s="440" t="s">
        <v>476</v>
      </c>
      <c r="I938" s="438"/>
      <c r="J938" s="460">
        <v>3632.0</v>
      </c>
      <c r="K938" s="460">
        <v>167.0</v>
      </c>
      <c r="L938" s="460" t="s">
        <v>558</v>
      </c>
      <c r="M938" s="461">
        <v>0.5</v>
      </c>
      <c r="N938" s="422">
        <v>10.073</v>
      </c>
      <c r="O938" s="422">
        <v>8.63</v>
      </c>
      <c r="P938" s="422"/>
      <c r="Q938" s="440" t="s">
        <v>2189</v>
      </c>
      <c r="R938" s="451" t="s">
        <v>2190</v>
      </c>
      <c r="S938" s="451" t="s">
        <v>2191</v>
      </c>
      <c r="T938" s="462" t="s">
        <v>162</v>
      </c>
      <c r="U938" s="451" t="s">
        <v>2192</v>
      </c>
      <c r="V938" s="440"/>
      <c r="W938" s="514">
        <v>0.309</v>
      </c>
      <c r="X938" s="447">
        <v>0.142</v>
      </c>
      <c r="Y938" s="442">
        <f>IF((W938/((J938/5780)^4))^0.5&gt;0,(W938/((J938/5780)^4))^0.5,"")</f>
        <v>1.407807378</v>
      </c>
      <c r="Z938" s="551"/>
      <c r="AA938" s="465">
        <v>1.43</v>
      </c>
      <c r="AB938" s="465">
        <v>0.33</v>
      </c>
      <c r="AC938" s="436" t="str">
        <f>IF(ISNUMBER(VLOOKUP(B938,'New Masses'!A:C,3,FALSE)),VLOOKUP(B938,'New Masses'!A:C,3,FALSE),"")</f>
        <v/>
      </c>
      <c r="AD938" s="440">
        <f>10^AE938</f>
        <v>0.00000000087096359</v>
      </c>
      <c r="AE938" s="460">
        <v>-9.06</v>
      </c>
      <c r="AF938" s="440"/>
      <c r="AG938" s="445">
        <v>0.42</v>
      </c>
      <c r="AH938" s="460">
        <v>0.11</v>
      </c>
      <c r="AI938" s="446" t="str">
        <f>IF(ISNUMBER(VLOOKUP(B938,'New Masses'!A:C,2, FALSE)),VLOOKUP(B938,'New Masses'!A:C,2, FALSE),"")</f>
        <v/>
      </c>
      <c r="AJ938" s="440">
        <f>LOG10(AG938)</f>
        <v>-0.3767507096</v>
      </c>
      <c r="AK938" s="460"/>
      <c r="AL938" s="460">
        <v>-2.2</v>
      </c>
      <c r="AM938" s="466">
        <v>43900.0</v>
      </c>
      <c r="AN938" s="436">
        <v>3.0</v>
      </c>
      <c r="AO938" s="440"/>
      <c r="AP938" s="440"/>
      <c r="AQ938" s="440"/>
      <c r="AR938" s="440"/>
      <c r="AS938" s="440"/>
      <c r="AT938" s="440"/>
      <c r="AU938" s="440"/>
      <c r="AV938" s="440"/>
      <c r="AW938" s="450">
        <v>155.891935710165</v>
      </c>
    </row>
    <row r="939">
      <c r="A939" s="435" t="str">
        <f t="shared" ref="A939:C939" si="781">A404</f>
        <v>#REF!</v>
      </c>
      <c r="B939" s="485" t="str">
        <f t="shared" si="781"/>
        <v>#REF!</v>
      </c>
      <c r="C939" s="486" t="str">
        <f t="shared" si="781"/>
        <v>#REF!</v>
      </c>
      <c r="D939" s="486"/>
      <c r="E939" s="486"/>
      <c r="F939" s="528"/>
      <c r="G939" s="486"/>
      <c r="H939" s="486" t="s">
        <v>5917</v>
      </c>
      <c r="I939" s="491"/>
      <c r="J939" s="491"/>
      <c r="K939" s="491"/>
      <c r="L939" s="491"/>
      <c r="M939" s="486"/>
      <c r="N939" s="422"/>
      <c r="O939" s="422"/>
      <c r="P939" s="422"/>
      <c r="Q939" s="486"/>
      <c r="R939" s="491"/>
      <c r="S939" s="491"/>
      <c r="T939" s="491"/>
      <c r="U939" s="491"/>
      <c r="V939" s="491"/>
      <c r="W939" s="493"/>
      <c r="X939" s="486"/>
      <c r="Y939" s="442"/>
      <c r="Z939" s="491"/>
      <c r="AA939" s="524" t="str">
        <f>AC404</f>
        <v/>
      </c>
      <c r="AB939" s="494"/>
      <c r="AC939" s="436"/>
      <c r="AD939" s="495"/>
      <c r="AE939" s="491"/>
      <c r="AF939" s="491"/>
      <c r="AG939" s="525" t="str">
        <f>AI404</f>
        <v/>
      </c>
      <c r="AH939" s="491"/>
      <c r="AI939" s="446"/>
      <c r="AJ939" s="491"/>
      <c r="AK939" s="500"/>
      <c r="AL939" s="436"/>
      <c r="AM939" s="438"/>
      <c r="AN939" s="531"/>
      <c r="AO939" s="491"/>
      <c r="AP939" s="438"/>
      <c r="AQ939" s="438"/>
      <c r="AR939" s="438"/>
      <c r="AS939" s="438"/>
      <c r="AT939" s="438"/>
      <c r="AU939" s="438"/>
      <c r="AV939" s="438"/>
      <c r="AW939" s="450" t="str">
        <f>AW404</f>
        <v>#REF!</v>
      </c>
    </row>
    <row r="940">
      <c r="A940" s="451" t="s">
        <v>556</v>
      </c>
      <c r="B940" s="451" t="s">
        <v>556</v>
      </c>
      <c r="C940" s="440"/>
      <c r="D940" s="440" t="s">
        <v>314</v>
      </c>
      <c r="E940" s="440"/>
      <c r="F940" s="451" t="s">
        <v>2708</v>
      </c>
      <c r="G940" s="440" t="s">
        <v>169</v>
      </c>
      <c r="H940" s="440" t="s">
        <v>476</v>
      </c>
      <c r="I940" s="438"/>
      <c r="J940" s="460">
        <v>3560.0</v>
      </c>
      <c r="K940" s="460">
        <v>164.0</v>
      </c>
      <c r="L940" s="460" t="s">
        <v>415</v>
      </c>
      <c r="M940" s="461">
        <v>0.5</v>
      </c>
      <c r="N940" s="422">
        <v>10.574</v>
      </c>
      <c r="O940" s="422">
        <v>9.325</v>
      </c>
      <c r="P940" s="422"/>
      <c r="Q940" s="440" t="s">
        <v>2189</v>
      </c>
      <c r="R940" s="451" t="s">
        <v>2190</v>
      </c>
      <c r="S940" s="451" t="s">
        <v>2191</v>
      </c>
      <c r="T940" s="462" t="s">
        <v>162</v>
      </c>
      <c r="U940" s="451" t="s">
        <v>2192</v>
      </c>
      <c r="V940" s="440"/>
      <c r="W940" s="514">
        <v>0.252</v>
      </c>
      <c r="X940" s="447">
        <v>0.116</v>
      </c>
      <c r="Y940" s="442">
        <f>IF((W940/((J940/5780)^4))^0.5&gt;0,(W940/((J940/5780)^4))^0.5,"")</f>
        <v>1.323292805</v>
      </c>
      <c r="Z940" s="551"/>
      <c r="AA940" s="465">
        <v>1.29</v>
      </c>
      <c r="AB940" s="465">
        <v>0.3</v>
      </c>
      <c r="AC940" s="436" t="str">
        <f>IF(ISNUMBER(VLOOKUP(B940,'New Masses'!A:C,3,FALSE)),VLOOKUP(B940,'New Masses'!A:C,3,FALSE),"")</f>
        <v/>
      </c>
      <c r="AD940" s="440">
        <f>10^AE940</f>
        <v>0.000000002187761624</v>
      </c>
      <c r="AE940" s="460">
        <v>-8.66</v>
      </c>
      <c r="AF940" s="440"/>
      <c r="AG940" s="445">
        <v>0.38</v>
      </c>
      <c r="AH940" s="460">
        <v>0.09</v>
      </c>
      <c r="AI940" s="446" t="str">
        <f>IF(ISNUMBER(VLOOKUP(B940,'New Masses'!A:C,2, FALSE)),VLOOKUP(B940,'New Masses'!A:C,2, FALSE),"")</f>
        <v/>
      </c>
      <c r="AJ940" s="440">
        <f>LOG10(AG940)</f>
        <v>-0.4202164034</v>
      </c>
      <c r="AK940" s="460"/>
      <c r="AL940" s="460">
        <v>-1.8</v>
      </c>
      <c r="AM940" s="466">
        <v>43900.0</v>
      </c>
      <c r="AN940" s="436">
        <v>3.0</v>
      </c>
      <c r="AO940" s="440"/>
      <c r="AP940" s="440"/>
      <c r="AQ940" s="440"/>
      <c r="AR940" s="440"/>
      <c r="AS940" s="440"/>
      <c r="AT940" s="440"/>
      <c r="AU940" s="440"/>
      <c r="AV940" s="440"/>
      <c r="AW940" s="450">
        <v>155.889505518488</v>
      </c>
    </row>
    <row r="941">
      <c r="A941" s="435" t="str">
        <f t="shared" ref="A941:C941" si="782">A406</f>
        <v>2MASS J16264848-2428389</v>
      </c>
      <c r="B941" s="485" t="str">
        <f t="shared" si="782"/>
        <v>ISO-Oph 070</v>
      </c>
      <c r="C941" s="486" t="str">
        <f t="shared" si="782"/>
        <v/>
      </c>
      <c r="D941" s="486"/>
      <c r="E941" s="486"/>
      <c r="F941" s="528"/>
      <c r="G941" s="486"/>
      <c r="H941" s="486" t="s">
        <v>5917</v>
      </c>
      <c r="I941" s="491"/>
      <c r="J941" s="491"/>
      <c r="K941" s="491"/>
      <c r="L941" s="491"/>
      <c r="M941" s="486"/>
      <c r="N941" s="422"/>
      <c r="O941" s="422"/>
      <c r="P941" s="422"/>
      <c r="Q941" s="486"/>
      <c r="R941" s="491"/>
      <c r="S941" s="491"/>
      <c r="T941" s="491"/>
      <c r="U941" s="491"/>
      <c r="V941" s="491"/>
      <c r="W941" s="493"/>
      <c r="X941" s="486"/>
      <c r="Y941" s="442"/>
      <c r="Z941" s="491"/>
      <c r="AA941" s="524" t="str">
        <f>AC406</f>
        <v/>
      </c>
      <c r="AB941" s="494"/>
      <c r="AC941" s="436"/>
      <c r="AD941" s="495"/>
      <c r="AE941" s="491"/>
      <c r="AF941" s="491"/>
      <c r="AG941" s="525" t="str">
        <f>AI406</f>
        <v/>
      </c>
      <c r="AH941" s="491"/>
      <c r="AI941" s="446"/>
      <c r="AJ941" s="491"/>
      <c r="AK941" s="500"/>
      <c r="AL941" s="436"/>
      <c r="AM941" s="438"/>
      <c r="AN941" s="531"/>
      <c r="AO941" s="491"/>
      <c r="AP941" s="438"/>
      <c r="AQ941" s="438"/>
      <c r="AR941" s="438"/>
      <c r="AS941" s="438"/>
      <c r="AT941" s="438"/>
      <c r="AU941" s="438"/>
      <c r="AV941" s="438"/>
      <c r="AW941" s="450" t="str">
        <f>AW406</f>
        <v/>
      </c>
    </row>
    <row r="942">
      <c r="A942" s="451" t="s">
        <v>582</v>
      </c>
      <c r="B942" s="451" t="s">
        <v>582</v>
      </c>
      <c r="C942" s="440"/>
      <c r="D942" s="440" t="s">
        <v>314</v>
      </c>
      <c r="E942" s="440"/>
      <c r="F942" s="451" t="s">
        <v>2709</v>
      </c>
      <c r="G942" s="440" t="s">
        <v>169</v>
      </c>
      <c r="H942" s="440" t="s">
        <v>476</v>
      </c>
      <c r="I942" s="438"/>
      <c r="J942" s="460">
        <v>4060.0</v>
      </c>
      <c r="K942" s="460">
        <v>187.0</v>
      </c>
      <c r="L942" s="460" t="s">
        <v>434</v>
      </c>
      <c r="M942" s="461">
        <v>1.0</v>
      </c>
      <c r="N942" s="422">
        <v>10.739</v>
      </c>
      <c r="O942" s="422">
        <v>8.826</v>
      </c>
      <c r="P942" s="422"/>
      <c r="Q942" s="440" t="s">
        <v>2189</v>
      </c>
      <c r="R942" s="451" t="s">
        <v>2190</v>
      </c>
      <c r="S942" s="451" t="s">
        <v>2191</v>
      </c>
      <c r="T942" s="462" t="s">
        <v>162</v>
      </c>
      <c r="U942" s="451" t="s">
        <v>2192</v>
      </c>
      <c r="V942" s="440"/>
      <c r="W942" s="514">
        <v>0.419</v>
      </c>
      <c r="X942" s="447">
        <v>0.193</v>
      </c>
      <c r="Y942" s="442">
        <f>IF((W942/((J942/5780)^4))^0.5&gt;0,(W942/((J942/5780)^4))^0.5,"")</f>
        <v>1.311929873</v>
      </c>
      <c r="Z942" s="551"/>
      <c r="AA942" s="465">
        <v>1.35</v>
      </c>
      <c r="AB942" s="465">
        <v>0.31</v>
      </c>
      <c r="AC942" s="436" t="str">
        <f>IF(ISNUMBER(VLOOKUP(B942,'New Masses'!A:C,3,FALSE)),VLOOKUP(B942,'New Masses'!A:C,3,FALSE),"")</f>
        <v/>
      </c>
      <c r="AD942" s="440">
        <f>10^AE942</f>
        <v>0.00000000660693448</v>
      </c>
      <c r="AE942" s="460">
        <v>-8.18</v>
      </c>
      <c r="AF942" s="440"/>
      <c r="AG942" s="445">
        <v>0.82</v>
      </c>
      <c r="AH942" s="460">
        <v>0.16</v>
      </c>
      <c r="AI942" s="446" t="str">
        <f>IF(ISNUMBER(VLOOKUP(B942,'New Masses'!A:C,2, FALSE)),VLOOKUP(B942,'New Masses'!A:C,2, FALSE),"")</f>
        <v/>
      </c>
      <c r="AJ942" s="440">
        <f>LOG10(AG942)</f>
        <v>-0.08618614762</v>
      </c>
      <c r="AK942" s="460"/>
      <c r="AL942" s="460">
        <v>-1.0</v>
      </c>
      <c r="AM942" s="466">
        <v>43900.0</v>
      </c>
      <c r="AN942" s="436">
        <v>3.0</v>
      </c>
      <c r="AO942" s="440"/>
      <c r="AP942" s="440"/>
      <c r="AQ942" s="440"/>
      <c r="AR942" s="440"/>
      <c r="AS942" s="440"/>
      <c r="AT942" s="440"/>
      <c r="AU942" s="440"/>
      <c r="AV942" s="440"/>
      <c r="AW942" s="450">
        <v>156.779129562272</v>
      </c>
    </row>
    <row r="943">
      <c r="A943" s="435" t="str">
        <f t="shared" ref="A943:C943" si="783">A408</f>
        <v>2MASS J16265477-2427022</v>
      </c>
      <c r="B943" s="485" t="str">
        <f t="shared" si="783"/>
        <v>ISO-Oph 079</v>
      </c>
      <c r="C943" s="486" t="str">
        <f t="shared" si="783"/>
        <v/>
      </c>
      <c r="D943" s="486"/>
      <c r="E943" s="486"/>
      <c r="F943" s="528"/>
      <c r="G943" s="486"/>
      <c r="H943" s="486" t="s">
        <v>5917</v>
      </c>
      <c r="I943" s="491"/>
      <c r="J943" s="491"/>
      <c r="K943" s="491"/>
      <c r="L943" s="491"/>
      <c r="M943" s="486"/>
      <c r="N943" s="422"/>
      <c r="O943" s="422"/>
      <c r="P943" s="422"/>
      <c r="Q943" s="486"/>
      <c r="R943" s="491"/>
      <c r="S943" s="491"/>
      <c r="T943" s="491"/>
      <c r="U943" s="491"/>
      <c r="V943" s="491"/>
      <c r="W943" s="493"/>
      <c r="X943" s="486"/>
      <c r="Y943" s="442"/>
      <c r="Z943" s="491"/>
      <c r="AA943" s="524" t="str">
        <f>AC408</f>
        <v/>
      </c>
      <c r="AB943" s="494"/>
      <c r="AC943" s="436"/>
      <c r="AD943" s="495"/>
      <c r="AE943" s="491"/>
      <c r="AF943" s="491"/>
      <c r="AG943" s="525" t="str">
        <f>AI408</f>
        <v/>
      </c>
      <c r="AH943" s="491"/>
      <c r="AI943" s="446"/>
      <c r="AJ943" s="491"/>
      <c r="AK943" s="500"/>
      <c r="AL943" s="436"/>
      <c r="AM943" s="438"/>
      <c r="AN943" s="531"/>
      <c r="AO943" s="491"/>
      <c r="AP943" s="438"/>
      <c r="AQ943" s="438"/>
      <c r="AR943" s="438"/>
      <c r="AS943" s="438"/>
      <c r="AT943" s="438"/>
      <c r="AU943" s="438"/>
      <c r="AV943" s="438"/>
      <c r="AW943" s="450" t="str">
        <f>AW408</f>
        <v/>
      </c>
    </row>
    <row r="944">
      <c r="A944" s="451" t="s">
        <v>547</v>
      </c>
      <c r="B944" s="451" t="s">
        <v>547</v>
      </c>
      <c r="C944" s="440"/>
      <c r="D944" s="440" t="s">
        <v>314</v>
      </c>
      <c r="E944" s="440"/>
      <c r="F944" s="451" t="s">
        <v>2710</v>
      </c>
      <c r="G944" s="440" t="s">
        <v>169</v>
      </c>
      <c r="H944" s="440" t="s">
        <v>476</v>
      </c>
      <c r="I944" s="438"/>
      <c r="J944" s="460">
        <v>3342.0</v>
      </c>
      <c r="K944" s="460">
        <v>77.0</v>
      </c>
      <c r="L944" s="460" t="s">
        <v>422</v>
      </c>
      <c r="M944" s="461">
        <v>0.5</v>
      </c>
      <c r="N944" s="422">
        <v>9.225</v>
      </c>
      <c r="O944" s="422">
        <v>7.432</v>
      </c>
      <c r="P944" s="422"/>
      <c r="Q944" s="440" t="s">
        <v>2189</v>
      </c>
      <c r="R944" s="451" t="s">
        <v>2190</v>
      </c>
      <c r="S944" s="451" t="s">
        <v>2191</v>
      </c>
      <c r="T944" s="462" t="s">
        <v>162</v>
      </c>
      <c r="U944" s="451" t="s">
        <v>2192</v>
      </c>
      <c r="V944" s="440"/>
      <c r="W944" s="514">
        <v>1.043</v>
      </c>
      <c r="X944" s="447">
        <v>0.48</v>
      </c>
      <c r="Y944" s="442">
        <f>IF((W944/((J944/5780)^4))^0.5&gt;0,(W944/((J944/5780)^4))^0.5,"")</f>
        <v>3.054815179</v>
      </c>
      <c r="Z944" s="464">
        <f>0.5*((X940/W940)^2 + 16*(K940/J940)^2)^0.5</f>
        <v>0.2479150424</v>
      </c>
      <c r="AA944" s="465">
        <v>3.13</v>
      </c>
      <c r="AB944" s="465">
        <v>0.72</v>
      </c>
      <c r="AC944" s="436" t="str">
        <f>IF(ISNUMBER(VLOOKUP(B944,'New Masses'!A:C,3,FALSE)),VLOOKUP(B944,'New Masses'!A:C,3,FALSE),"")</f>
        <v/>
      </c>
      <c r="AD944" s="440">
        <f>10^AE944</f>
        <v>0.00000001380384265</v>
      </c>
      <c r="AE944" s="460">
        <v>-7.86</v>
      </c>
      <c r="AF944" s="440"/>
      <c r="AG944" s="445">
        <v>0.29</v>
      </c>
      <c r="AH944" s="460">
        <v>0.03</v>
      </c>
      <c r="AI944" s="446" t="str">
        <f>IF(ISNUMBER(VLOOKUP(B944,'New Masses'!A:C,2, FALSE)),VLOOKUP(B944,'New Masses'!A:C,2, FALSE),"")</f>
        <v/>
      </c>
      <c r="AJ944" s="440">
        <f>LOG10(AG944)</f>
        <v>-0.5376020021</v>
      </c>
      <c r="AK944" s="460"/>
      <c r="AL944" s="460">
        <v>-1.5</v>
      </c>
      <c r="AM944" s="466">
        <v>43900.0</v>
      </c>
      <c r="AN944" s="436">
        <v>3.0</v>
      </c>
      <c r="AO944" s="440"/>
      <c r="AP944" s="440"/>
      <c r="AQ944" s="440"/>
      <c r="AR944" s="440"/>
      <c r="AS944" s="440"/>
      <c r="AT944" s="440"/>
      <c r="AU944" s="440"/>
      <c r="AV944" s="440"/>
      <c r="AW944" s="552"/>
    </row>
    <row r="945">
      <c r="A945" s="435" t="str">
        <f t="shared" ref="A945:C945" si="784">A410</f>
        <v>2MASS J16273863-2438391</v>
      </c>
      <c r="B945" s="485" t="str">
        <f t="shared" si="784"/>
        <v>ISO-Oph 164</v>
      </c>
      <c r="C945" s="486" t="str">
        <f t="shared" si="784"/>
        <v>GY 310</v>
      </c>
      <c r="D945" s="486"/>
      <c r="E945" s="486"/>
      <c r="F945" s="528"/>
      <c r="G945" s="486"/>
      <c r="H945" s="486" t="s">
        <v>5917</v>
      </c>
      <c r="I945" s="491"/>
      <c r="J945" s="491"/>
      <c r="K945" s="491"/>
      <c r="L945" s="491"/>
      <c r="M945" s="486"/>
      <c r="N945" s="422"/>
      <c r="O945" s="422"/>
      <c r="P945" s="422"/>
      <c r="Q945" s="486"/>
      <c r="R945" s="491"/>
      <c r="S945" s="491"/>
      <c r="T945" s="491"/>
      <c r="U945" s="491"/>
      <c r="V945" s="491"/>
      <c r="W945" s="493"/>
      <c r="X945" s="486"/>
      <c r="Y945" s="442"/>
      <c r="Z945" s="491"/>
      <c r="AA945" s="619">
        <f>AC410</f>
        <v>0.690178</v>
      </c>
      <c r="AB945" s="494"/>
      <c r="AC945" s="436"/>
      <c r="AD945" s="495"/>
      <c r="AE945" s="491"/>
      <c r="AF945" s="491"/>
      <c r="AG945" s="525">
        <f>AI410</f>
        <v>0.058417</v>
      </c>
      <c r="AH945" s="491"/>
      <c r="AI945" s="446"/>
      <c r="AJ945" s="491"/>
      <c r="AK945" s="500"/>
      <c r="AL945" s="436"/>
      <c r="AM945" s="438"/>
      <c r="AN945" s="531"/>
      <c r="AO945" s="491"/>
      <c r="AP945" s="438"/>
      <c r="AQ945" s="438"/>
      <c r="AR945" s="438"/>
      <c r="AS945" s="438"/>
      <c r="AT945" s="438"/>
      <c r="AU945" s="438"/>
      <c r="AV945" s="438"/>
      <c r="AW945" s="450">
        <f>AW410</f>
        <v>143</v>
      </c>
    </row>
    <row r="946">
      <c r="A946" s="451" t="s">
        <v>540</v>
      </c>
      <c r="B946" s="451" t="s">
        <v>540</v>
      </c>
      <c r="C946" s="440"/>
      <c r="D946" s="440" t="s">
        <v>314</v>
      </c>
      <c r="E946" s="440"/>
      <c r="F946" s="451" t="s">
        <v>2711</v>
      </c>
      <c r="G946" s="440" t="s">
        <v>159</v>
      </c>
      <c r="H946" s="440" t="s">
        <v>476</v>
      </c>
      <c r="I946" s="436">
        <v>2010.0</v>
      </c>
      <c r="J946" s="460">
        <v>3270.0</v>
      </c>
      <c r="K946" s="460">
        <v>75.0</v>
      </c>
      <c r="L946" s="460" t="s">
        <v>395</v>
      </c>
      <c r="M946" s="461">
        <v>0.5</v>
      </c>
      <c r="N946" s="422">
        <v>10.96</v>
      </c>
      <c r="O946" s="422">
        <v>10.022</v>
      </c>
      <c r="P946" s="422"/>
      <c r="Q946" s="440" t="s">
        <v>2189</v>
      </c>
      <c r="R946" s="451" t="s">
        <v>2190</v>
      </c>
      <c r="S946" s="451" t="s">
        <v>2191</v>
      </c>
      <c r="T946" s="462" t="s">
        <v>162</v>
      </c>
      <c r="U946" s="451" t="s">
        <v>2192</v>
      </c>
      <c r="V946" s="440"/>
      <c r="W946" s="514">
        <v>0.1585</v>
      </c>
      <c r="X946" s="447">
        <v>0.0704</v>
      </c>
      <c r="Y946" s="442">
        <f>IF((W946/((J946/5780)^4))^0.5&gt;0,(W946/((J946/5780)^4))^0.5,"")</f>
        <v>1.24386946</v>
      </c>
      <c r="Z946" s="464">
        <f>0.5*((X942/W942)^2 + 16*(K942/J942)^2)^0.5</f>
        <v>0.248049561</v>
      </c>
      <c r="AA946" s="465">
        <v>1.24</v>
      </c>
      <c r="AB946" s="465">
        <v>0.28</v>
      </c>
      <c r="AC946" s="436" t="str">
        <f>IF(ISNUMBER(VLOOKUP(B946,'New Masses'!A:C,3,FALSE)),VLOOKUP(B946,'New Masses'!A:C,3,FALSE),"")</f>
        <v/>
      </c>
      <c r="AD946" s="440">
        <f>10^AE946</f>
        <v>0.0000000005011872336</v>
      </c>
      <c r="AE946" s="460">
        <v>-9.3</v>
      </c>
      <c r="AF946" s="440"/>
      <c r="AG946" s="445">
        <v>0.25</v>
      </c>
      <c r="AH946" s="460">
        <v>0.03</v>
      </c>
      <c r="AI946" s="446" t="str">
        <f>IF(ISNUMBER(VLOOKUP(B946,'New Masses'!A:C,2, FALSE)),VLOOKUP(B946,'New Masses'!A:C,2, FALSE),"")</f>
        <v/>
      </c>
      <c r="AJ946" s="440">
        <f>LOG10(AG946)</f>
        <v>-0.6020599913</v>
      </c>
      <c r="AK946" s="460"/>
      <c r="AL946" s="460">
        <v>-2.6</v>
      </c>
      <c r="AM946" s="466">
        <v>43900.0</v>
      </c>
      <c r="AN946" s="436">
        <v>3.0</v>
      </c>
      <c r="AO946" s="440"/>
      <c r="AP946" s="440"/>
      <c r="AQ946" s="440"/>
      <c r="AR946" s="440"/>
      <c r="AS946" s="440"/>
      <c r="AT946" s="440"/>
      <c r="AU946" s="440"/>
      <c r="AV946" s="440"/>
      <c r="AW946" s="450">
        <v>159.537978015666</v>
      </c>
    </row>
    <row r="947">
      <c r="A947" s="435" t="str">
        <f t="shared" ref="A947:C947" si="785">A412</f>
        <v>2MASS J16273863-2438391</v>
      </c>
      <c r="B947" s="485" t="str">
        <f t="shared" si="785"/>
        <v>GY 310</v>
      </c>
      <c r="C947" s="486" t="str">
        <f t="shared" si="785"/>
        <v>ISO-Oph 164</v>
      </c>
      <c r="D947" s="486"/>
      <c r="E947" s="486"/>
      <c r="F947" s="528"/>
      <c r="G947" s="486"/>
      <c r="H947" s="486" t="s">
        <v>5917</v>
      </c>
      <c r="I947" s="491"/>
      <c r="J947" s="491"/>
      <c r="K947" s="491"/>
      <c r="L947" s="491"/>
      <c r="M947" s="486"/>
      <c r="N947" s="422"/>
      <c r="O947" s="422"/>
      <c r="P947" s="422"/>
      <c r="Q947" s="486"/>
      <c r="R947" s="491"/>
      <c r="S947" s="491"/>
      <c r="T947" s="491"/>
      <c r="U947" s="491"/>
      <c r="V947" s="491"/>
      <c r="W947" s="493"/>
      <c r="X947" s="486"/>
      <c r="Y947" s="442"/>
      <c r="Z947" s="491"/>
      <c r="AA947" s="619">
        <f>AC412</f>
        <v>0.53496</v>
      </c>
      <c r="AB947" s="494"/>
      <c r="AC947" s="436"/>
      <c r="AD947" s="495"/>
      <c r="AE947" s="491"/>
      <c r="AF947" s="491"/>
      <c r="AG947" s="525">
        <f>AI412</f>
        <v>0.058417</v>
      </c>
      <c r="AH947" s="491"/>
      <c r="AI947" s="446"/>
      <c r="AJ947" s="491"/>
      <c r="AK947" s="500"/>
      <c r="AL947" s="436"/>
      <c r="AM947" s="438"/>
      <c r="AN947" s="531"/>
      <c r="AO947" s="491"/>
      <c r="AP947" s="438"/>
      <c r="AQ947" s="438"/>
      <c r="AR947" s="438"/>
      <c r="AS947" s="438"/>
      <c r="AT947" s="438"/>
      <c r="AU947" s="438"/>
      <c r="AV947" s="438"/>
      <c r="AW947" s="450">
        <f>AW412</f>
        <v>143</v>
      </c>
    </row>
    <row r="948">
      <c r="A948" s="451" t="s">
        <v>579</v>
      </c>
      <c r="B948" s="451" t="s">
        <v>579</v>
      </c>
      <c r="C948" s="440"/>
      <c r="D948" s="440" t="s">
        <v>314</v>
      </c>
      <c r="E948" s="440"/>
      <c r="F948" s="451" t="s">
        <v>2712</v>
      </c>
      <c r="G948" s="440" t="s">
        <v>169</v>
      </c>
      <c r="H948" s="440" t="s">
        <v>476</v>
      </c>
      <c r="I948" s="436">
        <v>2010.0</v>
      </c>
      <c r="J948" s="460">
        <v>4060.0</v>
      </c>
      <c r="K948" s="460">
        <v>187.0</v>
      </c>
      <c r="L948" s="460" t="s">
        <v>434</v>
      </c>
      <c r="M948" s="461">
        <v>1.0</v>
      </c>
      <c r="N948" s="422">
        <v>9.444</v>
      </c>
      <c r="O948" s="422">
        <v>8.271</v>
      </c>
      <c r="P948" s="422"/>
      <c r="Q948" s="440" t="s">
        <v>2189</v>
      </c>
      <c r="R948" s="451" t="s">
        <v>2190</v>
      </c>
      <c r="S948" s="451" t="s">
        <v>2191</v>
      </c>
      <c r="T948" s="462" t="s">
        <v>162</v>
      </c>
      <c r="U948" s="451" t="s">
        <v>2192</v>
      </c>
      <c r="V948" s="440"/>
      <c r="W948" s="514">
        <v>0.5495</v>
      </c>
      <c r="X948" s="447">
        <v>0.2428</v>
      </c>
      <c r="Y948" s="442">
        <f>IF((W948/((J948/5780)^4))^0.5&gt;0,(W948/((J948/5780)^4))^0.5,"")</f>
        <v>1.502406515</v>
      </c>
      <c r="Z948" s="464">
        <f>0.5*((X944/W944)^2 + 16*(K944/J944)^2)^0.5</f>
        <v>0.2346740486</v>
      </c>
      <c r="AA948" s="465">
        <v>1.5</v>
      </c>
      <c r="AB948" s="465">
        <v>0.36</v>
      </c>
      <c r="AC948" s="436" t="str">
        <f>IF(ISNUMBER(VLOOKUP(B948,'New Masses'!A:C,3,FALSE)),VLOOKUP(B948,'New Masses'!A:C,3,FALSE),"")</f>
        <v/>
      </c>
      <c r="AD948" s="440">
        <f>10^AE948</f>
        <v>0.000000001548816619</v>
      </c>
      <c r="AE948" s="460">
        <v>-8.81</v>
      </c>
      <c r="AF948" s="440"/>
      <c r="AG948" s="445">
        <v>0.79</v>
      </c>
      <c r="AH948" s="460">
        <v>0.17</v>
      </c>
      <c r="AI948" s="446" t="str">
        <f>IF(ISNUMBER(VLOOKUP(B948,'New Masses'!A:C,2, FALSE)),VLOOKUP(B948,'New Masses'!A:C,2, FALSE),"")</f>
        <v/>
      </c>
      <c r="AJ948" s="440">
        <f>LOG10(AG948)</f>
        <v>-0.1023729087</v>
      </c>
      <c r="AK948" s="460"/>
      <c r="AL948" s="460">
        <v>-1.7</v>
      </c>
      <c r="AM948" s="466">
        <v>43900.0</v>
      </c>
      <c r="AN948" s="436">
        <v>3.0</v>
      </c>
      <c r="AO948" s="440"/>
      <c r="AP948" s="440"/>
      <c r="AQ948" s="440"/>
      <c r="AR948" s="440"/>
      <c r="AS948" s="440"/>
      <c r="AT948" s="440"/>
      <c r="AU948" s="440"/>
      <c r="AV948" s="440"/>
      <c r="AW948" s="450">
        <v>154.822727976466</v>
      </c>
    </row>
    <row r="949">
      <c r="A949" s="435" t="str">
        <f t="shared" ref="A949:C949" si="786">A414</f>
        <v>2MASS J16273863-2438391</v>
      </c>
      <c r="B949" s="485" t="str">
        <f t="shared" si="786"/>
        <v>ISO-Oph 164</v>
      </c>
      <c r="C949" s="486" t="str">
        <f t="shared" si="786"/>
        <v>GY 310</v>
      </c>
      <c r="D949" s="486"/>
      <c r="E949" s="486"/>
      <c r="F949" s="528"/>
      <c r="G949" s="486"/>
      <c r="H949" s="486" t="s">
        <v>5917</v>
      </c>
      <c r="I949" s="491"/>
      <c r="J949" s="491"/>
      <c r="K949" s="491"/>
      <c r="L949" s="491"/>
      <c r="M949" s="486"/>
      <c r="N949" s="422"/>
      <c r="O949" s="422"/>
      <c r="P949" s="422"/>
      <c r="Q949" s="486"/>
      <c r="R949" s="491"/>
      <c r="S949" s="491"/>
      <c r="T949" s="491"/>
      <c r="U949" s="491"/>
      <c r="V949" s="491"/>
      <c r="W949" s="493"/>
      <c r="X949" s="486"/>
      <c r="Y949" s="442"/>
      <c r="Z949" s="491"/>
      <c r="AA949" s="619">
        <f>AC414</f>
        <v>0.690178</v>
      </c>
      <c r="AB949" s="494"/>
      <c r="AC949" s="436"/>
      <c r="AD949" s="495"/>
      <c r="AE949" s="491"/>
      <c r="AF949" s="491"/>
      <c r="AG949" s="525">
        <f>AI414</f>
        <v>0.058417</v>
      </c>
      <c r="AH949" s="491"/>
      <c r="AI949" s="446"/>
      <c r="AJ949" s="491"/>
      <c r="AK949" s="500"/>
      <c r="AL949" s="436"/>
      <c r="AM949" s="438"/>
      <c r="AN949" s="531"/>
      <c r="AO949" s="491"/>
      <c r="AP949" s="438"/>
      <c r="AQ949" s="438"/>
      <c r="AR949" s="438"/>
      <c r="AS949" s="438"/>
      <c r="AT949" s="438"/>
      <c r="AU949" s="438"/>
      <c r="AV949" s="438"/>
      <c r="AW949" s="450">
        <f>AW414</f>
        <v>143</v>
      </c>
    </row>
    <row r="950">
      <c r="A950" s="451" t="s">
        <v>577</v>
      </c>
      <c r="B950" s="451" t="s">
        <v>577</v>
      </c>
      <c r="C950" s="440"/>
      <c r="D950" s="440" t="s">
        <v>314</v>
      </c>
      <c r="E950" s="440"/>
      <c r="F950" s="451" t="s">
        <v>2713</v>
      </c>
      <c r="G950" s="440" t="s">
        <v>169</v>
      </c>
      <c r="H950" s="440" t="s">
        <v>476</v>
      </c>
      <c r="I950" s="438"/>
      <c r="J950" s="460">
        <v>4060.0</v>
      </c>
      <c r="K950" s="460">
        <v>187.0</v>
      </c>
      <c r="L950" s="460" t="s">
        <v>434</v>
      </c>
      <c r="M950" s="461">
        <v>1.0</v>
      </c>
      <c r="N950" s="422">
        <v>8.732</v>
      </c>
      <c r="O950" s="422">
        <v>7.138</v>
      </c>
      <c r="P950" s="422"/>
      <c r="Q950" s="440" t="s">
        <v>2189</v>
      </c>
      <c r="R950" s="451" t="s">
        <v>2190</v>
      </c>
      <c r="S950" s="451" t="s">
        <v>2191</v>
      </c>
      <c r="T950" s="462" t="s">
        <v>162</v>
      </c>
      <c r="U950" s="451" t="s">
        <v>2192</v>
      </c>
      <c r="V950" s="440"/>
      <c r="W950" s="514">
        <v>1.313</v>
      </c>
      <c r="X950" s="447">
        <v>0.605</v>
      </c>
      <c r="Y950" s="442">
        <f>IF((W950/((J950/5780)^4))^0.5&gt;0,(W950/((J950/5780)^4))^0.5,"")</f>
        <v>2.322394385</v>
      </c>
      <c r="Z950" s="464">
        <f>0.5*((X946/W946)^2 + 16*(K946/J946)^2)^0.5</f>
        <v>0.2267699784</v>
      </c>
      <c r="AA950" s="465">
        <v>2.39</v>
      </c>
      <c r="AB950" s="465">
        <v>0.55</v>
      </c>
      <c r="AC950" s="436" t="str">
        <f>IF(ISNUMBER(VLOOKUP(B950,'New Masses'!A:C,3,FALSE)),VLOOKUP(B950,'New Masses'!A:C,3,FALSE),"")</f>
        <v/>
      </c>
      <c r="AD950" s="440">
        <f>10^AE950</f>
        <v>0.0000000645654229</v>
      </c>
      <c r="AE950" s="460">
        <v>-7.19</v>
      </c>
      <c r="AF950" s="440"/>
      <c r="AG950" s="445">
        <v>0.75</v>
      </c>
      <c r="AH950" s="460">
        <v>0.19</v>
      </c>
      <c r="AI950" s="446" t="str">
        <f>IF(ISNUMBER(VLOOKUP(B950,'New Masses'!A:C,2, FALSE)),VLOOKUP(B950,'New Masses'!A:C,2, FALSE),"")</f>
        <v/>
      </c>
      <c r="AJ950" s="440">
        <f>LOG10(AG950)</f>
        <v>-0.1249387366</v>
      </c>
      <c r="AK950" s="460"/>
      <c r="AL950" s="460">
        <v>-0.3</v>
      </c>
      <c r="AM950" s="466">
        <v>43900.0</v>
      </c>
      <c r="AN950" s="436">
        <v>3.0</v>
      </c>
      <c r="AO950" s="440"/>
      <c r="AP950" s="440"/>
      <c r="AQ950" s="440"/>
      <c r="AR950" s="440"/>
      <c r="AS950" s="440"/>
      <c r="AT950" s="440"/>
      <c r="AU950" s="440"/>
      <c r="AV950" s="440"/>
      <c r="AW950" s="450">
        <v>159.573619289259</v>
      </c>
    </row>
    <row r="951">
      <c r="A951" s="435" t="str">
        <f t="shared" ref="A951:C951" si="787">A416</f>
        <v>#REF!</v>
      </c>
      <c r="B951" s="485" t="str">
        <f t="shared" si="787"/>
        <v>#REF!</v>
      </c>
      <c r="C951" s="486" t="str">
        <f t="shared" si="787"/>
        <v>#REF!</v>
      </c>
      <c r="D951" s="486"/>
      <c r="E951" s="486"/>
      <c r="F951" s="528"/>
      <c r="G951" s="486"/>
      <c r="H951" s="486" t="s">
        <v>5917</v>
      </c>
      <c r="I951" s="491"/>
      <c r="J951" s="491"/>
      <c r="K951" s="491"/>
      <c r="L951" s="491"/>
      <c r="M951" s="486"/>
      <c r="N951" s="422"/>
      <c r="O951" s="422"/>
      <c r="P951" s="422"/>
      <c r="Q951" s="486"/>
      <c r="R951" s="491"/>
      <c r="S951" s="491"/>
      <c r="T951" s="491"/>
      <c r="U951" s="491"/>
      <c r="V951" s="491"/>
      <c r="W951" s="493"/>
      <c r="X951" s="486"/>
      <c r="Y951" s="442"/>
      <c r="Z951" s="491"/>
      <c r="AA951" s="524" t="str">
        <f>AC416</f>
        <v/>
      </c>
      <c r="AB951" s="494"/>
      <c r="AC951" s="436"/>
      <c r="AD951" s="495"/>
      <c r="AE951" s="491"/>
      <c r="AF951" s="491"/>
      <c r="AG951" s="525" t="str">
        <f>AI416</f>
        <v/>
      </c>
      <c r="AH951" s="491"/>
      <c r="AI951" s="446"/>
      <c r="AJ951" s="491"/>
      <c r="AK951" s="500"/>
      <c r="AL951" s="436"/>
      <c r="AM951" s="438"/>
      <c r="AN951" s="531"/>
      <c r="AO951" s="491"/>
      <c r="AP951" s="438"/>
      <c r="AQ951" s="438"/>
      <c r="AR951" s="438"/>
      <c r="AS951" s="438"/>
      <c r="AT951" s="438"/>
      <c r="AU951" s="438"/>
      <c r="AV951" s="438"/>
      <c r="AW951" s="450" t="str">
        <f>AW416</f>
        <v>#REF!</v>
      </c>
    </row>
    <row r="952">
      <c r="A952" s="451" t="s">
        <v>516</v>
      </c>
      <c r="B952" s="451" t="s">
        <v>516</v>
      </c>
      <c r="C952" s="440"/>
      <c r="D952" s="440" t="s">
        <v>314</v>
      </c>
      <c r="E952" s="440"/>
      <c r="F952" s="451" t="s">
        <v>2714</v>
      </c>
      <c r="G952" s="440" t="s">
        <v>159</v>
      </c>
      <c r="H952" s="440" t="s">
        <v>476</v>
      </c>
      <c r="I952" s="438"/>
      <c r="J952" s="460">
        <v>3125.0</v>
      </c>
      <c r="K952" s="460">
        <v>72.0</v>
      </c>
      <c r="L952" s="460" t="s">
        <v>371</v>
      </c>
      <c r="M952" s="461">
        <v>0.5</v>
      </c>
      <c r="N952" s="422">
        <v>10.931</v>
      </c>
      <c r="O952" s="422">
        <v>9.853</v>
      </c>
      <c r="P952" s="422"/>
      <c r="Q952" s="440" t="s">
        <v>2189</v>
      </c>
      <c r="R952" s="451" t="s">
        <v>2190</v>
      </c>
      <c r="S952" s="451" t="s">
        <v>2191</v>
      </c>
      <c r="T952" s="462" t="s">
        <v>162</v>
      </c>
      <c r="U952" s="451" t="s">
        <v>2192</v>
      </c>
      <c r="V952" s="440"/>
      <c r="W952" s="514">
        <v>0.122</v>
      </c>
      <c r="X952" s="447">
        <v>0.056</v>
      </c>
      <c r="Y952" s="442">
        <f>IF((W952/((J952/5780)^4))^0.5&gt;0,(W952/((J952/5780)^4))^0.5,"")</f>
        <v>1.194910972</v>
      </c>
      <c r="Z952" s="464">
        <f>0.5*((X948/W948)^2 + 16*(K948/J948)^2)^0.5</f>
        <v>0.2393637406</v>
      </c>
      <c r="AA952" s="465">
        <v>1.21</v>
      </c>
      <c r="AB952" s="465">
        <v>0.28</v>
      </c>
      <c r="AC952" s="436" t="str">
        <f>IF(ISNUMBER(VLOOKUP(B952,'New Masses'!A:C,3,FALSE)),VLOOKUP(B952,'New Masses'!A:C,3,FALSE),"")</f>
        <v/>
      </c>
      <c r="AD952" s="440">
        <f>10^AE952</f>
        <v>0.0000000005370317964</v>
      </c>
      <c r="AE952" s="460">
        <v>-9.27</v>
      </c>
      <c r="AF952" s="440"/>
      <c r="AG952" s="445">
        <v>0.18</v>
      </c>
      <c r="AH952" s="460">
        <v>0.03</v>
      </c>
      <c r="AI952" s="446" t="str">
        <f>IF(ISNUMBER(VLOOKUP(B952,'New Masses'!A:C,2, FALSE)),VLOOKUP(B952,'New Masses'!A:C,2, FALSE),"")</f>
        <v/>
      </c>
      <c r="AJ952" s="440">
        <f>LOG10(AG952)</f>
        <v>-0.7447274949</v>
      </c>
      <c r="AK952" s="460"/>
      <c r="AL952" s="460">
        <v>-2.7</v>
      </c>
      <c r="AM952" s="466">
        <v>43900.0</v>
      </c>
      <c r="AN952" s="436">
        <v>3.0</v>
      </c>
      <c r="AO952" s="440"/>
      <c r="AP952" s="440"/>
      <c r="AQ952" s="440"/>
      <c r="AR952" s="440"/>
      <c r="AS952" s="440"/>
      <c r="AT952" s="440"/>
      <c r="AU952" s="440"/>
      <c r="AV952" s="440"/>
      <c r="AW952" s="450">
        <v>152.643790450604</v>
      </c>
    </row>
    <row r="953">
      <c r="A953" s="435" t="str">
        <f t="shared" ref="A953:C953" si="788">A418</f>
        <v>#REF!</v>
      </c>
      <c r="B953" s="485" t="str">
        <f t="shared" si="788"/>
        <v>#REF!</v>
      </c>
      <c r="C953" s="486" t="str">
        <f t="shared" si="788"/>
        <v>#REF!</v>
      </c>
      <c r="D953" s="486"/>
      <c r="E953" s="486"/>
      <c r="F953" s="528"/>
      <c r="G953" s="486"/>
      <c r="H953" s="486" t="s">
        <v>5917</v>
      </c>
      <c r="I953" s="491"/>
      <c r="J953" s="491"/>
      <c r="K953" s="491"/>
      <c r="L953" s="491"/>
      <c r="M953" s="486"/>
      <c r="N953" s="422"/>
      <c r="O953" s="422"/>
      <c r="P953" s="422"/>
      <c r="Q953" s="486"/>
      <c r="R953" s="491"/>
      <c r="S953" s="491"/>
      <c r="T953" s="491"/>
      <c r="U953" s="491"/>
      <c r="V953" s="491"/>
      <c r="W953" s="493"/>
      <c r="X953" s="486"/>
      <c r="Y953" s="442"/>
      <c r="Z953" s="491"/>
      <c r="AA953" s="524" t="str">
        <f>AC418</f>
        <v/>
      </c>
      <c r="AB953" s="494"/>
      <c r="AC953" s="436"/>
      <c r="AD953" s="495"/>
      <c r="AE953" s="491"/>
      <c r="AF953" s="491"/>
      <c r="AG953" s="525" t="str">
        <f>AI418</f>
        <v/>
      </c>
      <c r="AH953" s="491"/>
      <c r="AI953" s="446"/>
      <c r="AJ953" s="491"/>
      <c r="AK953" s="500"/>
      <c r="AL953" s="436"/>
      <c r="AM953" s="438"/>
      <c r="AN953" s="531"/>
      <c r="AO953" s="491"/>
      <c r="AP953" s="438"/>
      <c r="AQ953" s="438"/>
      <c r="AR953" s="438"/>
      <c r="AS953" s="438"/>
      <c r="AT953" s="438"/>
      <c r="AU953" s="438"/>
      <c r="AV953" s="438"/>
      <c r="AW953" s="450" t="str">
        <f>AW418</f>
        <v>#REF!</v>
      </c>
    </row>
    <row r="954">
      <c r="A954" s="483" t="s">
        <v>580</v>
      </c>
      <c r="B954" s="451" t="s">
        <v>580</v>
      </c>
      <c r="C954" s="440"/>
      <c r="D954" s="440" t="s">
        <v>314</v>
      </c>
      <c r="E954" s="440"/>
      <c r="F954" s="451" t="s">
        <v>2715</v>
      </c>
      <c r="G954" s="440" t="s">
        <v>169</v>
      </c>
      <c r="H954" s="440" t="s">
        <v>476</v>
      </c>
      <c r="I954" s="436">
        <v>2015.0</v>
      </c>
      <c r="J954" s="460">
        <v>4060.0</v>
      </c>
      <c r="K954" s="460">
        <v>187.0</v>
      </c>
      <c r="L954" s="460" t="s">
        <v>434</v>
      </c>
      <c r="M954" s="461">
        <v>1.0</v>
      </c>
      <c r="N954" s="422">
        <v>10.356</v>
      </c>
      <c r="O954" s="422">
        <v>8.724</v>
      </c>
      <c r="P954" s="422">
        <v>13.7</v>
      </c>
      <c r="Q954" s="440" t="s">
        <v>2189</v>
      </c>
      <c r="R954" s="451" t="s">
        <v>2190</v>
      </c>
      <c r="S954" s="451" t="s">
        <v>2191</v>
      </c>
      <c r="T954" s="462" t="s">
        <v>162</v>
      </c>
      <c r="U954" s="451" t="s">
        <v>2192</v>
      </c>
      <c r="V954" s="440"/>
      <c r="W954" s="463"/>
      <c r="X954" s="437"/>
      <c r="Y954" s="442" t="str">
        <f>IF((W954/((J954/5780)^4))^0.5&gt;0,(W954/((J954/5780)^4))^0.5,"")</f>
        <v/>
      </c>
      <c r="Z954" s="464"/>
      <c r="AA954" s="465">
        <v>1.64</v>
      </c>
      <c r="AB954" s="465">
        <v>0.36</v>
      </c>
      <c r="AC954" s="436" t="str">
        <f>IF(ISNUMBER(VLOOKUP(B954,'New Masses'!A:C,3,FALSE)),VLOOKUP(B954,'New Masses'!A:C,3,FALSE),"")</f>
        <v/>
      </c>
      <c r="AD954" s="440">
        <f>10^AE954</f>
        <v>0.000000002089296131</v>
      </c>
      <c r="AE954" s="460">
        <v>-8.68</v>
      </c>
      <c r="AF954" s="440"/>
      <c r="AG954" s="445">
        <v>0.79</v>
      </c>
      <c r="AH954" s="460">
        <v>0.17</v>
      </c>
      <c r="AI954" s="446" t="str">
        <f>IF(ISNUMBER(VLOOKUP(B954,'New Masses'!A:C,2, FALSE)),VLOOKUP(B954,'New Masses'!A:C,2, FALSE),"")</f>
        <v/>
      </c>
      <c r="AJ954" s="440">
        <f>LOG10(AG954)</f>
        <v>-0.1023729087</v>
      </c>
      <c r="AK954" s="460"/>
      <c r="AL954" s="460">
        <v>-1.6</v>
      </c>
      <c r="AM954" s="466">
        <v>43900.0</v>
      </c>
      <c r="AN954" s="436">
        <v>3.0</v>
      </c>
      <c r="AO954" s="440"/>
      <c r="AP954" s="440"/>
      <c r="AQ954" s="440"/>
      <c r="AR954" s="440"/>
      <c r="AS954" s="440"/>
      <c r="AT954" s="440"/>
      <c r="AU954" s="440"/>
      <c r="AV954" s="440"/>
      <c r="AW954" s="450">
        <v>160.400359296804</v>
      </c>
    </row>
    <row r="955">
      <c r="A955" s="435" t="str">
        <f t="shared" ref="A955:C955" si="789">A420</f>
        <v>2MASS J16491530-1422087</v>
      </c>
      <c r="B955" s="485" t="str">
        <f t="shared" si="789"/>
        <v>AS209</v>
      </c>
      <c r="C955" s="486" t="str">
        <f t="shared" si="789"/>
        <v/>
      </c>
      <c r="D955" s="486"/>
      <c r="E955" s="486"/>
      <c r="F955" s="528"/>
      <c r="G955" s="486"/>
      <c r="H955" s="486" t="s">
        <v>5917</v>
      </c>
      <c r="I955" s="491"/>
      <c r="J955" s="491"/>
      <c r="K955" s="491"/>
      <c r="L955" s="491"/>
      <c r="M955" s="486"/>
      <c r="N955" s="422"/>
      <c r="O955" s="422"/>
      <c r="P955" s="422"/>
      <c r="Q955" s="486"/>
      <c r="R955" s="491"/>
      <c r="S955" s="491"/>
      <c r="T955" s="491"/>
      <c r="U955" s="491"/>
      <c r="V955" s="491"/>
      <c r="W955" s="493"/>
      <c r="X955" s="486"/>
      <c r="Y955" s="442"/>
      <c r="Z955" s="491"/>
      <c r="AA955" s="524" t="str">
        <f>AC420</f>
        <v/>
      </c>
      <c r="AB955" s="494"/>
      <c r="AC955" s="436"/>
      <c r="AD955" s="495"/>
      <c r="AE955" s="491"/>
      <c r="AF955" s="491"/>
      <c r="AG955" s="525" t="str">
        <f>AI420</f>
        <v/>
      </c>
      <c r="AH955" s="491"/>
      <c r="AI955" s="446"/>
      <c r="AJ955" s="491"/>
      <c r="AK955" s="500"/>
      <c r="AL955" s="436"/>
      <c r="AM955" s="438"/>
      <c r="AN955" s="531"/>
      <c r="AO955" s="491"/>
      <c r="AP955" s="438"/>
      <c r="AQ955" s="438"/>
      <c r="AR955" s="438"/>
      <c r="AS955" s="438"/>
      <c r="AT955" s="438"/>
      <c r="AU955" s="438"/>
      <c r="AV955" s="438"/>
      <c r="AW955" s="450">
        <f>AW420</f>
        <v>120.9848164</v>
      </c>
    </row>
    <row r="956">
      <c r="A956" s="553" t="s">
        <v>566</v>
      </c>
      <c r="B956" s="451" t="s">
        <v>566</v>
      </c>
      <c r="C956" s="440"/>
      <c r="D956" s="440" t="s">
        <v>314</v>
      </c>
      <c r="E956" s="440"/>
      <c r="F956" s="451" t="s">
        <v>2716</v>
      </c>
      <c r="G956" s="440" t="s">
        <v>159</v>
      </c>
      <c r="H956" s="440" t="s">
        <v>476</v>
      </c>
      <c r="I956" s="438"/>
      <c r="J956" s="460">
        <v>3705.0</v>
      </c>
      <c r="K956" s="460">
        <v>171.0</v>
      </c>
      <c r="L956" s="460" t="s">
        <v>419</v>
      </c>
      <c r="M956" s="461">
        <v>0.5</v>
      </c>
      <c r="N956" s="422">
        <v>11.055</v>
      </c>
      <c r="O956" s="422">
        <v>9.848</v>
      </c>
      <c r="P956" s="422">
        <v>14.11</v>
      </c>
      <c r="Q956" s="440" t="s">
        <v>2189</v>
      </c>
      <c r="R956" s="451" t="s">
        <v>2190</v>
      </c>
      <c r="S956" s="451" t="s">
        <v>2191</v>
      </c>
      <c r="T956" s="462" t="s">
        <v>162</v>
      </c>
      <c r="U956" s="451" t="s">
        <v>2192</v>
      </c>
      <c r="V956" s="440"/>
      <c r="W956" s="463"/>
      <c r="X956" s="437"/>
      <c r="Y956" s="442" t="str">
        <f>IF((W956/((J956/5780)^4))^0.5&gt;0,(W956/((J956/5780)^4))^0.5,"")</f>
        <v/>
      </c>
      <c r="Z956" s="464"/>
      <c r="AA956" s="465">
        <v>1.36</v>
      </c>
      <c r="AB956" s="465">
        <v>0.31</v>
      </c>
      <c r="AC956" s="436" t="str">
        <f>IF(ISNUMBER(VLOOKUP(B956,'New Masses'!A:C,3,FALSE)),VLOOKUP(B956,'New Masses'!A:C,3,FALSE),"")</f>
        <v/>
      </c>
      <c r="AD956" s="440">
        <f>10^AE956</f>
        <v>0.000000001862087137</v>
      </c>
      <c r="AE956" s="460">
        <v>-8.73</v>
      </c>
      <c r="AF956" s="440"/>
      <c r="AG956" s="445">
        <v>0.47</v>
      </c>
      <c r="AH956" s="460">
        <v>0.12</v>
      </c>
      <c r="AI956" s="446" t="str">
        <f>IF(ISNUMBER(VLOOKUP(B956,'New Masses'!A:C,2, FALSE)),VLOOKUP(B956,'New Masses'!A:C,2, FALSE),"")</f>
        <v/>
      </c>
      <c r="AJ956" s="440">
        <f>LOG10(AG956)</f>
        <v>-0.3279021421</v>
      </c>
      <c r="AK956" s="460"/>
      <c r="AL956" s="460">
        <v>-1.8</v>
      </c>
      <c r="AM956" s="466">
        <v>43900.0</v>
      </c>
      <c r="AN956" s="436">
        <v>3.0</v>
      </c>
      <c r="AO956" s="440"/>
      <c r="AP956" s="440"/>
      <c r="AQ956" s="440"/>
      <c r="AR956" s="440"/>
      <c r="AS956" s="440"/>
      <c r="AT956" s="440"/>
      <c r="AU956" s="440"/>
      <c r="AV956" s="440"/>
      <c r="AW956" s="450">
        <v>159.060904420302</v>
      </c>
    </row>
    <row r="957">
      <c r="A957" s="435" t="str">
        <f t="shared" ref="A957:C957" si="790">A422</f>
        <v>2MASS J19013357-3700304</v>
      </c>
      <c r="B957" s="485" t="str">
        <f t="shared" si="790"/>
        <v>LS-RCrA 1</v>
      </c>
      <c r="C957" s="486" t="str">
        <f t="shared" si="790"/>
        <v/>
      </c>
      <c r="D957" s="486"/>
      <c r="E957" s="486"/>
      <c r="F957" s="528"/>
      <c r="G957" s="486"/>
      <c r="H957" s="486" t="s">
        <v>5917</v>
      </c>
      <c r="I957" s="491"/>
      <c r="J957" s="491"/>
      <c r="K957" s="491"/>
      <c r="L957" s="491"/>
      <c r="M957" s="486"/>
      <c r="N957" s="422"/>
      <c r="O957" s="422"/>
      <c r="P957" s="422"/>
      <c r="Q957" s="486"/>
      <c r="R957" s="491"/>
      <c r="S957" s="491"/>
      <c r="T957" s="491"/>
      <c r="U957" s="491"/>
      <c r="V957" s="491"/>
      <c r="W957" s="493"/>
      <c r="X957" s="486"/>
      <c r="Y957" s="442"/>
      <c r="Z957" s="491"/>
      <c r="AA957" s="524" t="str">
        <f>AC422</f>
        <v/>
      </c>
      <c r="AB957" s="494"/>
      <c r="AC957" s="436"/>
      <c r="AD957" s="495"/>
      <c r="AE957" s="491"/>
      <c r="AF957" s="491"/>
      <c r="AG957" s="525" t="str">
        <f>AI422</f>
        <v/>
      </c>
      <c r="AH957" s="491"/>
      <c r="AI957" s="446"/>
      <c r="AJ957" s="491"/>
      <c r="AK957" s="500"/>
      <c r="AL957" s="436"/>
      <c r="AM957" s="438"/>
      <c r="AN957" s="531"/>
      <c r="AO957" s="491"/>
      <c r="AP957" s="438"/>
      <c r="AQ957" s="438"/>
      <c r="AR957" s="438"/>
      <c r="AS957" s="438"/>
      <c r="AT957" s="438"/>
      <c r="AU957" s="438"/>
      <c r="AV957" s="438"/>
      <c r="AW957" s="450">
        <f>AW422</f>
        <v>147.5448536</v>
      </c>
    </row>
    <row r="958">
      <c r="A958" s="483" t="s">
        <v>552</v>
      </c>
      <c r="B958" s="451" t="s">
        <v>552</v>
      </c>
      <c r="C958" s="440"/>
      <c r="D958" s="440" t="s">
        <v>314</v>
      </c>
      <c r="E958" s="440"/>
      <c r="F958" s="451" t="s">
        <v>2717</v>
      </c>
      <c r="G958" s="440" t="s">
        <v>169</v>
      </c>
      <c r="H958" s="440" t="s">
        <v>476</v>
      </c>
      <c r="I958" s="436">
        <v>2015.0</v>
      </c>
      <c r="J958" s="460">
        <v>3415.0</v>
      </c>
      <c r="K958" s="460">
        <v>79.0</v>
      </c>
      <c r="L958" s="460" t="s">
        <v>430</v>
      </c>
      <c r="M958" s="461">
        <v>0.5</v>
      </c>
      <c r="N958" s="422">
        <v>11.012</v>
      </c>
      <c r="O958" s="422">
        <v>10.009</v>
      </c>
      <c r="P958" s="422">
        <v>14.25</v>
      </c>
      <c r="Q958" s="440" t="s">
        <v>2189</v>
      </c>
      <c r="R958" s="451" t="s">
        <v>2190</v>
      </c>
      <c r="S958" s="451" t="s">
        <v>2191</v>
      </c>
      <c r="T958" s="462" t="s">
        <v>162</v>
      </c>
      <c r="U958" s="451" t="s">
        <v>2192</v>
      </c>
      <c r="V958" s="440"/>
      <c r="W958" s="463"/>
      <c r="X958" s="437"/>
      <c r="Y958" s="442" t="str">
        <f>IF((W958/((J958/5780)^4))^0.5&gt;0,(W958/((J958/5780)^4))^0.5,"")</f>
        <v/>
      </c>
      <c r="Z958" s="537"/>
      <c r="AA958" s="465">
        <v>1.84</v>
      </c>
      <c r="AB958" s="465">
        <v>0.41</v>
      </c>
      <c r="AC958" s="436" t="str">
        <f>IF(ISNUMBER(VLOOKUP(B958,'New Masses'!A:C,3,FALSE)),VLOOKUP(B958,'New Masses'!A:C,3,FALSE),"")</f>
        <v/>
      </c>
      <c r="AD958" s="440">
        <f>10^AE958</f>
        <v>0.0000000007079457844</v>
      </c>
      <c r="AE958" s="460">
        <v>-9.15</v>
      </c>
      <c r="AF958" s="440"/>
      <c r="AG958" s="445">
        <v>0.33</v>
      </c>
      <c r="AH958" s="460">
        <v>0.04</v>
      </c>
      <c r="AI958" s="446" t="str">
        <f>IF(ISNUMBER(VLOOKUP(B958,'New Masses'!A:C,2, FALSE)),VLOOKUP(B958,'New Masses'!A:C,2, FALSE),"")</f>
        <v/>
      </c>
      <c r="AJ958" s="440">
        <f>LOG10(AG958)</f>
        <v>-0.4814860601</v>
      </c>
      <c r="AK958" s="460"/>
      <c r="AL958" s="460">
        <v>-2.5</v>
      </c>
      <c r="AM958" s="466">
        <v>43900.0</v>
      </c>
      <c r="AN958" s="436">
        <v>3.0</v>
      </c>
      <c r="AO958" s="440"/>
      <c r="AP958" s="440"/>
      <c r="AQ958" s="440"/>
      <c r="AR958" s="440"/>
      <c r="AS958" s="440"/>
      <c r="AT958" s="440"/>
      <c r="AU958" s="440"/>
      <c r="AV958" s="440"/>
      <c r="AW958" s="450">
        <v>158.17278795356</v>
      </c>
    </row>
    <row r="959">
      <c r="A959" s="435" t="str">
        <f t="shared" ref="A959:C959" si="791">A424</f>
        <v>#REF!</v>
      </c>
      <c r="B959" s="485" t="str">
        <f t="shared" si="791"/>
        <v>#REF!</v>
      </c>
      <c r="C959" s="486" t="str">
        <f t="shared" si="791"/>
        <v>#REF!</v>
      </c>
      <c r="D959" s="486"/>
      <c r="E959" s="486"/>
      <c r="F959" s="528"/>
      <c r="G959" s="486"/>
      <c r="H959" s="486" t="s">
        <v>5917</v>
      </c>
      <c r="I959" s="491"/>
      <c r="J959" s="491"/>
      <c r="K959" s="491"/>
      <c r="L959" s="491"/>
      <c r="M959" s="486"/>
      <c r="N959" s="422"/>
      <c r="O959" s="422"/>
      <c r="P959" s="422"/>
      <c r="Q959" s="486"/>
      <c r="R959" s="491"/>
      <c r="S959" s="491"/>
      <c r="T959" s="491"/>
      <c r="U959" s="491"/>
      <c r="V959" s="491"/>
      <c r="W959" s="493"/>
      <c r="X959" s="486"/>
      <c r="Y959" s="442"/>
      <c r="Z959" s="491"/>
      <c r="AA959" s="524" t="str">
        <f>AC424</f>
        <v/>
      </c>
      <c r="AB959" s="494"/>
      <c r="AC959" s="436"/>
      <c r="AD959" s="495"/>
      <c r="AE959" s="491"/>
      <c r="AF959" s="491"/>
      <c r="AG959" s="525" t="str">
        <f>AI424</f>
        <v/>
      </c>
      <c r="AH959" s="491"/>
      <c r="AI959" s="446"/>
      <c r="AJ959" s="491"/>
      <c r="AK959" s="500"/>
      <c r="AL959" s="436"/>
      <c r="AM959" s="438"/>
      <c r="AN959" s="531"/>
      <c r="AO959" s="491"/>
      <c r="AP959" s="438"/>
      <c r="AQ959" s="438"/>
      <c r="AR959" s="438"/>
      <c r="AS959" s="438"/>
      <c r="AT959" s="438"/>
      <c r="AU959" s="438"/>
      <c r="AV959" s="438"/>
      <c r="AW959" s="450" t="str">
        <f>AW424</f>
        <v>#REF!</v>
      </c>
    </row>
    <row r="960">
      <c r="A960" s="553" t="s">
        <v>559</v>
      </c>
      <c r="B960" s="451" t="s">
        <v>559</v>
      </c>
      <c r="C960" s="440"/>
      <c r="D960" s="440" t="s">
        <v>314</v>
      </c>
      <c r="E960" s="440"/>
      <c r="F960" s="451" t="s">
        <v>2718</v>
      </c>
      <c r="G960" s="440" t="s">
        <v>169</v>
      </c>
      <c r="H960" s="440" t="s">
        <v>476</v>
      </c>
      <c r="I960" s="436">
        <v>2015.0</v>
      </c>
      <c r="J960" s="460">
        <v>3705.0</v>
      </c>
      <c r="K960" s="460">
        <v>171.0</v>
      </c>
      <c r="L960" s="460" t="s">
        <v>419</v>
      </c>
      <c r="M960" s="461">
        <v>0.5</v>
      </c>
      <c r="N960" s="422">
        <v>10.128</v>
      </c>
      <c r="O960" s="422">
        <v>8.957</v>
      </c>
      <c r="P960" s="422">
        <v>13.69</v>
      </c>
      <c r="Q960" s="440" t="s">
        <v>2189</v>
      </c>
      <c r="R960" s="451" t="s">
        <v>2190</v>
      </c>
      <c r="S960" s="451" t="s">
        <v>2191</v>
      </c>
      <c r="T960" s="462" t="s">
        <v>162</v>
      </c>
      <c r="U960" s="451" t="s">
        <v>2192</v>
      </c>
      <c r="V960" s="440"/>
      <c r="W960" s="463"/>
      <c r="X960" s="437"/>
      <c r="Y960" s="442" t="str">
        <f>IF((W960/((J960/5780)^4))^0.5&gt;0,(W960/((J960/5780)^4))^0.5,"")</f>
        <v/>
      </c>
      <c r="Z960" s="537"/>
      <c r="AA960" s="465">
        <v>2.02</v>
      </c>
      <c r="AB960" s="465">
        <v>0.47</v>
      </c>
      <c r="AC960" s="436" t="str">
        <f>IF(ISNUMBER(VLOOKUP(B960,'New Masses'!A:C,3,FALSE)),VLOOKUP(B960,'New Masses'!A:C,3,FALSE),"")</f>
        <v/>
      </c>
      <c r="AD960" s="440">
        <f>10^AE960</f>
        <v>0.0000000008912509381</v>
      </c>
      <c r="AE960" s="460">
        <v>-9.05</v>
      </c>
      <c r="AF960" s="440"/>
      <c r="AG960" s="445">
        <v>0.46</v>
      </c>
      <c r="AH960" s="460">
        <v>0.11</v>
      </c>
      <c r="AI960" s="446" t="str">
        <f>IF(ISNUMBER(VLOOKUP(B960,'New Masses'!A:C,2, FALSE)),VLOOKUP(B960,'New Masses'!A:C,2, FALSE),"")</f>
        <v/>
      </c>
      <c r="AJ960" s="440">
        <f>LOG10(AG960)</f>
        <v>-0.3372421683</v>
      </c>
      <c r="AK960" s="460"/>
      <c r="AL960" s="460">
        <v>-2.3</v>
      </c>
      <c r="AM960" s="466">
        <v>43900.0</v>
      </c>
      <c r="AN960" s="436">
        <v>3.0</v>
      </c>
      <c r="AO960" s="440"/>
      <c r="AP960" s="440"/>
      <c r="AQ960" s="440"/>
      <c r="AR960" s="440"/>
      <c r="AS960" s="440"/>
      <c r="AT960" s="440"/>
      <c r="AU960" s="440"/>
      <c r="AV960" s="440"/>
      <c r="AW960" s="450">
        <v>156.550871205598</v>
      </c>
    </row>
    <row r="961">
      <c r="A961" s="435" t="str">
        <f t="shared" ref="A961:C961" si="792">A426</f>
        <v>2MASS J19014156-3658312</v>
      </c>
      <c r="B961" s="485" t="str">
        <f t="shared" si="792"/>
        <v>CrAIRS2</v>
      </c>
      <c r="C961" s="486" t="str">
        <f t="shared" si="792"/>
        <v/>
      </c>
      <c r="D961" s="486"/>
      <c r="E961" s="486"/>
      <c r="F961" s="528"/>
      <c r="G961" s="486"/>
      <c r="H961" s="486" t="s">
        <v>5917</v>
      </c>
      <c r="I961" s="491"/>
      <c r="J961" s="491"/>
      <c r="K961" s="491"/>
      <c r="L961" s="491"/>
      <c r="M961" s="486"/>
      <c r="N961" s="422"/>
      <c r="O961" s="422"/>
      <c r="P961" s="422"/>
      <c r="Q961" s="486"/>
      <c r="R961" s="491"/>
      <c r="S961" s="491"/>
      <c r="T961" s="491"/>
      <c r="U961" s="491"/>
      <c r="V961" s="491"/>
      <c r="W961" s="493"/>
      <c r="X961" s="486"/>
      <c r="Y961" s="442"/>
      <c r="Z961" s="491"/>
      <c r="AA961" s="524" t="str">
        <f>AC426</f>
        <v/>
      </c>
      <c r="AB961" s="494"/>
      <c r="AC961" s="436"/>
      <c r="AD961" s="495"/>
      <c r="AE961" s="491"/>
      <c r="AF961" s="491"/>
      <c r="AG961" s="525" t="str">
        <f>AI426</f>
        <v/>
      </c>
      <c r="AH961" s="491"/>
      <c r="AI961" s="446"/>
      <c r="AJ961" s="491"/>
      <c r="AK961" s="500"/>
      <c r="AL961" s="436"/>
      <c r="AM961" s="438"/>
      <c r="AN961" s="531"/>
      <c r="AO961" s="491"/>
      <c r="AP961" s="438"/>
      <c r="AQ961" s="438"/>
      <c r="AR961" s="438"/>
      <c r="AS961" s="438"/>
      <c r="AT961" s="438"/>
      <c r="AU961" s="438"/>
      <c r="AV961" s="438"/>
      <c r="AW961" s="450" t="str">
        <f>AW426</f>
        <v/>
      </c>
    </row>
    <row r="962">
      <c r="A962" s="483" t="s">
        <v>541</v>
      </c>
      <c r="B962" s="451" t="s">
        <v>541</v>
      </c>
      <c r="C962" s="440"/>
      <c r="D962" s="440" t="s">
        <v>314</v>
      </c>
      <c r="E962" s="440"/>
      <c r="F962" s="451" t="s">
        <v>2719</v>
      </c>
      <c r="G962" s="440" t="s">
        <v>169</v>
      </c>
      <c r="H962" s="440" t="s">
        <v>476</v>
      </c>
      <c r="I962" s="438"/>
      <c r="J962" s="460">
        <v>3270.0</v>
      </c>
      <c r="K962" s="460">
        <v>75.0</v>
      </c>
      <c r="L962" s="460" t="s">
        <v>395</v>
      </c>
      <c r="M962" s="461">
        <v>0.5</v>
      </c>
      <c r="N962" s="422">
        <v>11.242</v>
      </c>
      <c r="O962" s="422">
        <v>10.216</v>
      </c>
      <c r="P962" s="422">
        <v>14.67</v>
      </c>
      <c r="Q962" s="440" t="s">
        <v>2189</v>
      </c>
      <c r="R962" s="451" t="s">
        <v>2190</v>
      </c>
      <c r="S962" s="451" t="s">
        <v>2191</v>
      </c>
      <c r="T962" s="462" t="s">
        <v>162</v>
      </c>
      <c r="U962" s="451" t="s">
        <v>2192</v>
      </c>
      <c r="V962" s="440"/>
      <c r="W962" s="463"/>
      <c r="X962" s="437"/>
      <c r="Y962" s="442" t="str">
        <f>IF((W962/((J962/5780)^4))^0.5&gt;0,(W962/((J962/5780)^4))^0.5,"")</f>
        <v/>
      </c>
      <c r="Z962" s="537"/>
      <c r="AA962" s="465">
        <v>1.34</v>
      </c>
      <c r="AB962" s="465">
        <v>0.28</v>
      </c>
      <c r="AC962" s="436" t="str">
        <f>IF(ISNUMBER(VLOOKUP(B962,'New Masses'!A:C,3,FALSE)),VLOOKUP(B962,'New Masses'!A:C,3,FALSE),"")</f>
        <v/>
      </c>
      <c r="AD962" s="440">
        <f>10^AE962</f>
        <v>0.0000000002754228703</v>
      </c>
      <c r="AE962" s="460">
        <v>-9.56</v>
      </c>
      <c r="AF962" s="440"/>
      <c r="AG962" s="445">
        <v>0.25</v>
      </c>
      <c r="AH962" s="460">
        <v>0.03</v>
      </c>
      <c r="AI962" s="446" t="str">
        <f>IF(ISNUMBER(VLOOKUP(B962,'New Masses'!A:C,2, FALSE)),VLOOKUP(B962,'New Masses'!A:C,2, FALSE),"")</f>
        <v/>
      </c>
      <c r="AJ962" s="440">
        <f>LOG10(AG962)</f>
        <v>-0.6020599913</v>
      </c>
      <c r="AK962" s="460"/>
      <c r="AL962" s="460">
        <v>-2.9</v>
      </c>
      <c r="AM962" s="466">
        <v>43900.0</v>
      </c>
      <c r="AN962" s="436">
        <v>3.0</v>
      </c>
      <c r="AO962" s="440"/>
      <c r="AP962" s="440"/>
      <c r="AQ962" s="440"/>
      <c r="AR962" s="440"/>
      <c r="AS962" s="440"/>
      <c r="AT962" s="440"/>
      <c r="AU962" s="440"/>
      <c r="AV962" s="440"/>
      <c r="AW962" s="450">
        <v>157.753588894147</v>
      </c>
    </row>
    <row r="963">
      <c r="A963" s="435" t="str">
        <f t="shared" ref="A963:C963" si="793">A428</f>
        <v>CD-35 10525</v>
      </c>
      <c r="B963" s="485" t="str">
        <f t="shared" si="793"/>
        <v>Sz75/GQ Lup</v>
      </c>
      <c r="C963" s="486" t="str">
        <f t="shared" si="793"/>
        <v/>
      </c>
      <c r="D963" s="486"/>
      <c r="E963" s="486"/>
      <c r="F963" s="528"/>
      <c r="G963" s="486"/>
      <c r="H963" s="486" t="s">
        <v>5917</v>
      </c>
      <c r="I963" s="491"/>
      <c r="J963" s="491"/>
      <c r="K963" s="491"/>
      <c r="L963" s="491"/>
      <c r="M963" s="486"/>
      <c r="N963" s="422"/>
      <c r="O963" s="422"/>
      <c r="P963" s="422"/>
      <c r="Q963" s="486"/>
      <c r="R963" s="491"/>
      <c r="S963" s="491"/>
      <c r="T963" s="491"/>
      <c r="U963" s="491"/>
      <c r="V963" s="491"/>
      <c r="W963" s="493"/>
      <c r="X963" s="486"/>
      <c r="Y963" s="442"/>
      <c r="Z963" s="491"/>
      <c r="AA963" s="524" t="str">
        <f>AC428</f>
        <v/>
      </c>
      <c r="AB963" s="494"/>
      <c r="AC963" s="436"/>
      <c r="AD963" s="495"/>
      <c r="AE963" s="491"/>
      <c r="AF963" s="491"/>
      <c r="AG963" s="525" t="str">
        <f>AI428</f>
        <v/>
      </c>
      <c r="AH963" s="491"/>
      <c r="AI963" s="446"/>
      <c r="AJ963" s="491"/>
      <c r="AK963" s="500"/>
      <c r="AL963" s="436"/>
      <c r="AM963" s="438"/>
      <c r="AN963" s="531"/>
      <c r="AO963" s="491"/>
      <c r="AP963" s="438"/>
      <c r="AQ963" s="438"/>
      <c r="AR963" s="438"/>
      <c r="AS963" s="438"/>
      <c r="AT963" s="438"/>
      <c r="AU963" s="438"/>
      <c r="AV963" s="438"/>
      <c r="AW963" s="450">
        <f>AW428</f>
        <v>151.8187891</v>
      </c>
    </row>
    <row r="964">
      <c r="A964" s="553" t="s">
        <v>576</v>
      </c>
      <c r="B964" s="451" t="s">
        <v>576</v>
      </c>
      <c r="C964" s="440"/>
      <c r="D964" s="440" t="s">
        <v>314</v>
      </c>
      <c r="E964" s="440"/>
      <c r="F964" s="451" t="s">
        <v>2720</v>
      </c>
      <c r="G964" s="440" t="s">
        <v>169</v>
      </c>
      <c r="H964" s="440" t="s">
        <v>476</v>
      </c>
      <c r="I964" s="436">
        <v>2015.0</v>
      </c>
      <c r="J964" s="460">
        <v>4060.0</v>
      </c>
      <c r="K964" s="460">
        <v>187.0</v>
      </c>
      <c r="L964" s="460" t="s">
        <v>434</v>
      </c>
      <c r="M964" s="461">
        <v>1.0</v>
      </c>
      <c r="N964" s="422">
        <v>9.53</v>
      </c>
      <c r="O964" s="422">
        <v>8.014</v>
      </c>
      <c r="P964" s="422">
        <v>11.7</v>
      </c>
      <c r="Q964" s="440" t="s">
        <v>2189</v>
      </c>
      <c r="R964" s="451" t="s">
        <v>2190</v>
      </c>
      <c r="S964" s="451" t="s">
        <v>2191</v>
      </c>
      <c r="T964" s="462" t="s">
        <v>162</v>
      </c>
      <c r="U964" s="451" t="s">
        <v>2192</v>
      </c>
      <c r="V964" s="440"/>
      <c r="W964" s="463"/>
      <c r="X964" s="437"/>
      <c r="Y964" s="442" t="str">
        <f>IF((W964/((J964/5780)^4))^0.5&gt;0,(W964/((J964/5780)^4))^0.5,"")</f>
        <v/>
      </c>
      <c r="Z964" s="537"/>
      <c r="AA964" s="465">
        <v>3.2</v>
      </c>
      <c r="AB964" s="465">
        <v>0.69</v>
      </c>
      <c r="AC964" s="436" t="str">
        <f>IF(ISNUMBER(VLOOKUP(B964,'New Masses'!A:C,3,FALSE)),VLOOKUP(B964,'New Masses'!A:C,3,FALSE),"")</f>
        <v/>
      </c>
      <c r="AD964" s="440">
        <f>10^AE964</f>
        <v>0.00000005495408739</v>
      </c>
      <c r="AE964" s="460">
        <v>-7.26</v>
      </c>
      <c r="AF964" s="440"/>
      <c r="AG964" s="445">
        <v>0.74</v>
      </c>
      <c r="AH964" s="460">
        <v>0.2</v>
      </c>
      <c r="AI964" s="446" t="str">
        <f>IF(ISNUMBER(VLOOKUP(B964,'New Masses'!A:C,2, FALSE)),VLOOKUP(B964,'New Masses'!A:C,2, FALSE),"")</f>
        <v/>
      </c>
      <c r="AJ964" s="440">
        <f>LOG10(AG964)</f>
        <v>-0.1307682803</v>
      </c>
      <c r="AK964" s="460"/>
      <c r="AL964" s="460">
        <v>-0.5</v>
      </c>
      <c r="AM964" s="466">
        <v>43900.0</v>
      </c>
      <c r="AN964" s="436">
        <v>3.0</v>
      </c>
      <c r="AO964" s="440"/>
      <c r="AP964" s="440"/>
      <c r="AQ964" s="440"/>
      <c r="AR964" s="440"/>
      <c r="AS964" s="440"/>
      <c r="AT964" s="440"/>
      <c r="AU964" s="440"/>
      <c r="AV964" s="440"/>
      <c r="AW964" s="450">
        <v>156.218268164279</v>
      </c>
    </row>
    <row r="965">
      <c r="A965" s="435" t="str">
        <f t="shared" ref="A965:C965" si="794">A430</f>
        <v>CD-35 10525B</v>
      </c>
      <c r="B965" s="485" t="str">
        <f t="shared" si="794"/>
        <v>GQ Lup b</v>
      </c>
      <c r="C965" s="486" t="str">
        <f t="shared" si="794"/>
        <v/>
      </c>
      <c r="D965" s="486"/>
      <c r="E965" s="486"/>
      <c r="F965" s="528"/>
      <c r="G965" s="486"/>
      <c r="H965" s="486" t="s">
        <v>5917</v>
      </c>
      <c r="I965" s="491"/>
      <c r="J965" s="491"/>
      <c r="K965" s="491"/>
      <c r="L965" s="491"/>
      <c r="M965" s="486"/>
      <c r="N965" s="422"/>
      <c r="O965" s="422"/>
      <c r="P965" s="422"/>
      <c r="Q965" s="486"/>
      <c r="R965" s="491"/>
      <c r="S965" s="491"/>
      <c r="T965" s="491"/>
      <c r="U965" s="491"/>
      <c r="V965" s="491"/>
      <c r="W965" s="493"/>
      <c r="X965" s="486"/>
      <c r="Y965" s="442"/>
      <c r="Z965" s="491"/>
      <c r="AA965" s="524" t="str">
        <f>AC430</f>
        <v/>
      </c>
      <c r="AB965" s="494"/>
      <c r="AC965" s="436"/>
      <c r="AD965" s="495"/>
      <c r="AE965" s="491"/>
      <c r="AF965" s="491"/>
      <c r="AG965" s="525" t="str">
        <f>AI430</f>
        <v/>
      </c>
      <c r="AH965" s="491"/>
      <c r="AI965" s="446"/>
      <c r="AJ965" s="491"/>
      <c r="AK965" s="500"/>
      <c r="AL965" s="436"/>
      <c r="AM965" s="438"/>
      <c r="AN965" s="531"/>
      <c r="AO965" s="491"/>
      <c r="AP965" s="438"/>
      <c r="AQ965" s="438"/>
      <c r="AR965" s="438"/>
      <c r="AS965" s="438"/>
      <c r="AT965" s="438"/>
      <c r="AU965" s="438"/>
      <c r="AV965" s="438"/>
      <c r="AW965" s="450">
        <f>AW430</f>
        <v>155</v>
      </c>
    </row>
    <row r="966">
      <c r="A966" s="483" t="s">
        <v>531</v>
      </c>
      <c r="B966" s="451" t="s">
        <v>531</v>
      </c>
      <c r="C966" s="440"/>
      <c r="D966" s="440" t="s">
        <v>314</v>
      </c>
      <c r="E966" s="440"/>
      <c r="F966" s="451" t="s">
        <v>2721</v>
      </c>
      <c r="G966" s="440" t="s">
        <v>169</v>
      </c>
      <c r="H966" s="440" t="s">
        <v>476</v>
      </c>
      <c r="I966" s="438"/>
      <c r="J966" s="460">
        <v>3270.0</v>
      </c>
      <c r="K966" s="460">
        <v>75.0</v>
      </c>
      <c r="L966" s="460" t="s">
        <v>395</v>
      </c>
      <c r="M966" s="461">
        <v>0.5</v>
      </c>
      <c r="N966" s="422">
        <v>11.929</v>
      </c>
      <c r="O966" s="422">
        <v>10.745</v>
      </c>
      <c r="P966" s="422">
        <v>15.39</v>
      </c>
      <c r="Q966" s="440" t="s">
        <v>2189</v>
      </c>
      <c r="R966" s="451" t="s">
        <v>2190</v>
      </c>
      <c r="S966" s="451" t="s">
        <v>2191</v>
      </c>
      <c r="T966" s="462" t="s">
        <v>162</v>
      </c>
      <c r="U966" s="451" t="s">
        <v>2192</v>
      </c>
      <c r="V966" s="440"/>
      <c r="W966" s="463"/>
      <c r="X966" s="437"/>
      <c r="Y966" s="442" t="str">
        <f>IF((W966/((J966/5780)^4))^0.5&gt;0,(W966/((J966/5780)^4))^0.5,"")</f>
        <v/>
      </c>
      <c r="Z966" s="537"/>
      <c r="AA966" s="465">
        <v>0.89</v>
      </c>
      <c r="AB966" s="465">
        <v>0.2</v>
      </c>
      <c r="AC966" s="436" t="str">
        <f>IF(ISNUMBER(VLOOKUP(B966,'New Masses'!A:C,3,FALSE)),VLOOKUP(B966,'New Masses'!A:C,3,FALSE),"")</f>
        <v/>
      </c>
      <c r="AD966" s="440">
        <f>10^AE966</f>
        <v>0.0000000004073802778</v>
      </c>
      <c r="AE966" s="460">
        <v>-9.39</v>
      </c>
      <c r="AF966" s="440"/>
      <c r="AG966" s="445">
        <v>0.22</v>
      </c>
      <c r="AH966" s="460">
        <v>0.03</v>
      </c>
      <c r="AI966" s="446" t="str">
        <f>IF(ISNUMBER(VLOOKUP(B966,'New Masses'!A:C,2, FALSE)),VLOOKUP(B966,'New Masses'!A:C,2, FALSE),"")</f>
        <v/>
      </c>
      <c r="AJ966" s="440">
        <f>LOG10(AG966)</f>
        <v>-0.6575773192</v>
      </c>
      <c r="AK966" s="460"/>
      <c r="AL966" s="460">
        <v>-2.6</v>
      </c>
      <c r="AM966" s="466">
        <v>43900.0</v>
      </c>
      <c r="AN966" s="436">
        <v>3.0</v>
      </c>
      <c r="AO966" s="440"/>
      <c r="AP966" s="440"/>
      <c r="AQ966" s="440"/>
      <c r="AR966" s="440"/>
      <c r="AS966" s="440"/>
      <c r="AT966" s="440"/>
      <c r="AU966" s="440"/>
      <c r="AV966" s="440"/>
      <c r="AW966" s="450">
        <v>159.03054976861</v>
      </c>
    </row>
    <row r="967">
      <c r="A967" s="435" t="str">
        <f t="shared" ref="A967:C967" si="795">A432</f>
        <v>CD-35 10525B</v>
      </c>
      <c r="B967" s="485" t="str">
        <f t="shared" si="795"/>
        <v>GQ Lup b</v>
      </c>
      <c r="C967" s="486" t="str">
        <f t="shared" si="795"/>
        <v/>
      </c>
      <c r="D967" s="486"/>
      <c r="E967" s="486"/>
      <c r="F967" s="528"/>
      <c r="G967" s="486"/>
      <c r="H967" s="486" t="s">
        <v>5917</v>
      </c>
      <c r="I967" s="491"/>
      <c r="J967" s="491"/>
      <c r="K967" s="491"/>
      <c r="L967" s="491"/>
      <c r="M967" s="486"/>
      <c r="N967" s="422"/>
      <c r="O967" s="422"/>
      <c r="P967" s="422"/>
      <c r="Q967" s="486"/>
      <c r="R967" s="491"/>
      <c r="S967" s="491"/>
      <c r="T967" s="491"/>
      <c r="U967" s="491"/>
      <c r="V967" s="491"/>
      <c r="W967" s="493"/>
      <c r="X967" s="486"/>
      <c r="Y967" s="442"/>
      <c r="Z967" s="491"/>
      <c r="AA967" s="524" t="str">
        <f>AC432</f>
        <v/>
      </c>
      <c r="AB967" s="494"/>
      <c r="AC967" s="436"/>
      <c r="AD967" s="495"/>
      <c r="AE967" s="491"/>
      <c r="AF967" s="491"/>
      <c r="AG967" s="525" t="str">
        <f>AI432</f>
        <v/>
      </c>
      <c r="AH967" s="491"/>
      <c r="AI967" s="446"/>
      <c r="AJ967" s="491"/>
      <c r="AK967" s="500"/>
      <c r="AL967" s="436"/>
      <c r="AM967" s="438"/>
      <c r="AN967" s="531"/>
      <c r="AO967" s="491"/>
      <c r="AP967" s="438"/>
      <c r="AQ967" s="438"/>
      <c r="AR967" s="438"/>
      <c r="AS967" s="438"/>
      <c r="AT967" s="438"/>
      <c r="AU967" s="438"/>
      <c r="AV967" s="438"/>
      <c r="AW967" s="450" t="str">
        <f>AW432</f>
        <v/>
      </c>
    </row>
    <row r="968">
      <c r="A968" s="435" t="s">
        <v>586</v>
      </c>
      <c r="B968" s="435" t="s">
        <v>587</v>
      </c>
      <c r="C968" s="440"/>
      <c r="D968" s="440" t="s">
        <v>314</v>
      </c>
      <c r="E968" s="440"/>
      <c r="F968" s="451" t="s">
        <v>2722</v>
      </c>
      <c r="G968" s="440" t="s">
        <v>159</v>
      </c>
      <c r="H968" s="440" t="s">
        <v>476</v>
      </c>
      <c r="I968" s="436">
        <v>2010.0</v>
      </c>
      <c r="J968" s="460">
        <v>4350.0</v>
      </c>
      <c r="K968" s="460">
        <v>200.0</v>
      </c>
      <c r="L968" s="460" t="s">
        <v>459</v>
      </c>
      <c r="M968" s="461">
        <v>1.0</v>
      </c>
      <c r="N968" s="422">
        <v>8.783</v>
      </c>
      <c r="O968" s="422">
        <v>7.739</v>
      </c>
      <c r="P968" s="422">
        <v>11.45</v>
      </c>
      <c r="Q968" s="440" t="s">
        <v>2189</v>
      </c>
      <c r="R968" s="451" t="s">
        <v>2190</v>
      </c>
      <c r="S968" s="451" t="s">
        <v>2191</v>
      </c>
      <c r="T968" s="462" t="s">
        <v>162</v>
      </c>
      <c r="U968" s="451" t="s">
        <v>2192</v>
      </c>
      <c r="V968" s="440"/>
      <c r="W968" s="514">
        <v>2.33</v>
      </c>
      <c r="X968" s="447">
        <v>1.0397</v>
      </c>
      <c r="Y968" s="442">
        <f>IF((W968/((J968/5780)^4))^0.5&gt;0,(W968/((J968/5780)^4))^0.5,"")</f>
        <v>2.694977374</v>
      </c>
      <c r="Z968" s="464" t="str">
        <f>0.5*((X964/W964)^2 + 16*(K964/J964)^2)^0.5</f>
        <v>#DIV/0!</v>
      </c>
      <c r="AA968" s="465">
        <v>2.69</v>
      </c>
      <c r="AB968" s="465">
        <v>0.65</v>
      </c>
      <c r="AC968" s="436" t="str">
        <f>IF(ISNUMBER(VLOOKUP(B968,'New Masses'!A:C,3,FALSE)),VLOOKUP(B968,'New Masses'!A:C,3,FALSE),"")</f>
        <v/>
      </c>
      <c r="AD968" s="440">
        <f>10^AE968</f>
        <v>0.000000007943282347</v>
      </c>
      <c r="AE968" s="460">
        <v>-8.1</v>
      </c>
      <c r="AF968" s="440"/>
      <c r="AG968" s="445">
        <v>1.1</v>
      </c>
      <c r="AH968" s="460">
        <v>0.0</v>
      </c>
      <c r="AI968" s="446" t="str">
        <f>IF(ISNUMBER(VLOOKUP(B968,'New Masses'!A:C,2, FALSE)),VLOOKUP(B968,'New Masses'!A:C,2, FALSE),"")</f>
        <v/>
      </c>
      <c r="AJ968" s="440">
        <f>LOG10(AG968)</f>
        <v>0.04139268516</v>
      </c>
      <c r="AK968" s="460"/>
      <c r="AL968" s="460">
        <v>-1.1</v>
      </c>
      <c r="AM968" s="466">
        <v>43900.0</v>
      </c>
      <c r="AN968" s="436">
        <v>3.0</v>
      </c>
      <c r="AO968" s="440"/>
      <c r="AP968" s="440"/>
      <c r="AQ968" s="440"/>
      <c r="AR968" s="440"/>
      <c r="AS968" s="440"/>
      <c r="AT968" s="440"/>
      <c r="AU968" s="440"/>
      <c r="AV968" s="440"/>
      <c r="AW968" s="450">
        <v>158.445962004658</v>
      </c>
    </row>
    <row r="969">
      <c r="A969" s="435" t="str">
        <f t="shared" ref="A969:C969" si="796">A434</f>
        <v>#REF!</v>
      </c>
      <c r="B969" s="485" t="str">
        <f t="shared" si="796"/>
        <v>#REF!</v>
      </c>
      <c r="C969" s="486" t="str">
        <f t="shared" si="796"/>
        <v>#REF!</v>
      </c>
      <c r="D969" s="486"/>
      <c r="E969" s="486"/>
      <c r="F969" s="528"/>
      <c r="G969" s="486"/>
      <c r="H969" s="486" t="s">
        <v>5917</v>
      </c>
      <c r="I969" s="491"/>
      <c r="J969" s="491"/>
      <c r="K969" s="491"/>
      <c r="L969" s="491"/>
      <c r="M969" s="486"/>
      <c r="N969" s="422"/>
      <c r="O969" s="422"/>
      <c r="P969" s="422"/>
      <c r="Q969" s="486"/>
      <c r="R969" s="491"/>
      <c r="S969" s="491"/>
      <c r="T969" s="491"/>
      <c r="U969" s="491"/>
      <c r="V969" s="491"/>
      <c r="W969" s="493"/>
      <c r="X969" s="486"/>
      <c r="Y969" s="442"/>
      <c r="Z969" s="491"/>
      <c r="AA969" s="524" t="str">
        <f>AC434</f>
        <v/>
      </c>
      <c r="AB969" s="494"/>
      <c r="AC969" s="436"/>
      <c r="AD969" s="495"/>
      <c r="AE969" s="491"/>
      <c r="AF969" s="491"/>
      <c r="AG969" s="525" t="str">
        <f>AI434</f>
        <v/>
      </c>
      <c r="AH969" s="491"/>
      <c r="AI969" s="446"/>
      <c r="AJ969" s="491"/>
      <c r="AK969" s="500"/>
      <c r="AL969" s="436"/>
      <c r="AM969" s="438"/>
      <c r="AN969" s="531"/>
      <c r="AO969" s="491"/>
      <c r="AP969" s="438"/>
      <c r="AQ969" s="438"/>
      <c r="AR969" s="438"/>
      <c r="AS969" s="438"/>
      <c r="AT969" s="438"/>
      <c r="AU969" s="438"/>
      <c r="AV969" s="438"/>
      <c r="AW969" s="450" t="str">
        <f>AW434</f>
        <v>#REF!</v>
      </c>
    </row>
    <row r="970">
      <c r="A970" s="435" t="s">
        <v>511</v>
      </c>
      <c r="B970" s="435" t="s">
        <v>511</v>
      </c>
      <c r="C970" s="451" t="s">
        <v>512</v>
      </c>
      <c r="D970" s="440" t="s">
        <v>314</v>
      </c>
      <c r="E970" s="440"/>
      <c r="F970" s="451" t="s">
        <v>2696</v>
      </c>
      <c r="G970" s="440" t="s">
        <v>169</v>
      </c>
      <c r="H970" s="440" t="s">
        <v>476</v>
      </c>
      <c r="I970" s="438"/>
      <c r="J970" s="460">
        <v>3197.0</v>
      </c>
      <c r="K970" s="460">
        <v>74.0</v>
      </c>
      <c r="L970" s="460" t="s">
        <v>402</v>
      </c>
      <c r="M970" s="461">
        <v>0.5</v>
      </c>
      <c r="N970" s="422">
        <v>10.414</v>
      </c>
      <c r="O970" s="422">
        <v>9.319</v>
      </c>
      <c r="P970" s="422">
        <v>14.35</v>
      </c>
      <c r="Q970" s="440" t="s">
        <v>2189</v>
      </c>
      <c r="R970" s="451" t="s">
        <v>2190</v>
      </c>
      <c r="S970" s="451" t="s">
        <v>2191</v>
      </c>
      <c r="T970" s="462" t="s">
        <v>162</v>
      </c>
      <c r="U970" s="451" t="s">
        <v>2192</v>
      </c>
      <c r="V970" s="440"/>
      <c r="W970" s="463"/>
      <c r="X970" s="437"/>
      <c r="Y970" s="442" t="str">
        <f>IF((W970/((J970/5780)^4))^0.5&gt;0,(W970/((J970/5780)^4))^0.5,"")</f>
        <v/>
      </c>
      <c r="Z970" s="464"/>
      <c r="AA970" s="465">
        <v>0.17</v>
      </c>
      <c r="AB970" s="465">
        <v>0.04</v>
      </c>
      <c r="AC970" s="436" t="str">
        <f>IF(ISNUMBER(VLOOKUP(B970,'New Masses'!A:C,3,FALSE)),VLOOKUP(B970,'New Masses'!A:C,3,FALSE),"")</f>
        <v/>
      </c>
      <c r="AD970" s="440">
        <f>10^AE970</f>
        <v>0</v>
      </c>
      <c r="AE970" s="460">
        <v>-11.5</v>
      </c>
      <c r="AF970" s="440"/>
      <c r="AG970" s="445">
        <v>0.16</v>
      </c>
      <c r="AH970" s="460">
        <v>0.02</v>
      </c>
      <c r="AI970" s="446" t="str">
        <f>IF(ISNUMBER(VLOOKUP(B970,'New Masses'!A:C,2, FALSE)),VLOOKUP(B970,'New Masses'!A:C,2, FALSE),"")</f>
        <v/>
      </c>
      <c r="AJ970" s="440">
        <f>LOG10(AG970)</f>
        <v>-0.7958800173</v>
      </c>
      <c r="AK970" s="460"/>
      <c r="AL970" s="460">
        <v>-4.1</v>
      </c>
      <c r="AM970" s="466">
        <v>43900.0</v>
      </c>
      <c r="AN970" s="436">
        <v>3.0</v>
      </c>
      <c r="AO970" s="440"/>
      <c r="AP970" s="440"/>
      <c r="AQ970" s="440"/>
      <c r="AR970" s="440"/>
      <c r="AS970" s="440"/>
      <c r="AT970" s="440"/>
      <c r="AU970" s="440"/>
      <c r="AV970" s="440"/>
      <c r="AW970" s="450">
        <v>162.250742297146</v>
      </c>
    </row>
    <row r="971">
      <c r="A971" s="435" t="str">
        <f t="shared" ref="A971:C971" si="797">A436</f>
        <v>CHSM 17173</v>
      </c>
      <c r="B971" s="485" t="str">
        <f t="shared" si="797"/>
        <v>CHSM 17173</v>
      </c>
      <c r="C971" s="486" t="str">
        <f t="shared" si="797"/>
        <v/>
      </c>
      <c r="D971" s="486"/>
      <c r="E971" s="486"/>
      <c r="F971" s="528"/>
      <c r="G971" s="486"/>
      <c r="H971" s="486" t="s">
        <v>5917</v>
      </c>
      <c r="I971" s="491"/>
      <c r="J971" s="491"/>
      <c r="K971" s="491"/>
      <c r="L971" s="491"/>
      <c r="M971" s="486"/>
      <c r="N971" s="422"/>
      <c r="O971" s="422"/>
      <c r="P971" s="422"/>
      <c r="Q971" s="486"/>
      <c r="R971" s="491"/>
      <c r="S971" s="491"/>
      <c r="T971" s="491"/>
      <c r="U971" s="491"/>
      <c r="V971" s="491"/>
      <c r="W971" s="493"/>
      <c r="X971" s="486"/>
      <c r="Y971" s="442"/>
      <c r="Z971" s="491"/>
      <c r="AA971" s="619">
        <f>AC436</f>
        <v>0.350018</v>
      </c>
      <c r="AB971" s="494"/>
      <c r="AC971" s="436"/>
      <c r="AD971" s="495"/>
      <c r="AE971" s="491"/>
      <c r="AF971" s="491"/>
      <c r="AG971" s="525">
        <f>AI436</f>
        <v>0.025752</v>
      </c>
      <c r="AH971" s="491"/>
      <c r="AI971" s="446"/>
      <c r="AJ971" s="491"/>
      <c r="AK971" s="500"/>
      <c r="AL971" s="436"/>
      <c r="AM971" s="438"/>
      <c r="AN971" s="531"/>
      <c r="AO971" s="491"/>
      <c r="AP971" s="438"/>
      <c r="AQ971" s="438"/>
      <c r="AR971" s="438"/>
      <c r="AS971" s="438"/>
      <c r="AT971" s="438"/>
      <c r="AU971" s="438"/>
      <c r="AV971" s="438"/>
      <c r="AW971" s="450">
        <f>AW436</f>
        <v>190.1610664</v>
      </c>
    </row>
    <row r="972">
      <c r="A972" s="435" t="s">
        <v>562</v>
      </c>
      <c r="B972" s="451" t="s">
        <v>563</v>
      </c>
      <c r="C972" s="440"/>
      <c r="D972" s="440" t="s">
        <v>314</v>
      </c>
      <c r="E972" s="440"/>
      <c r="F972" s="451" t="s">
        <v>2723</v>
      </c>
      <c r="G972" s="440" t="s">
        <v>169</v>
      </c>
      <c r="H972" s="440" t="s">
        <v>476</v>
      </c>
      <c r="I972" s="438"/>
      <c r="J972" s="460">
        <v>3705.0</v>
      </c>
      <c r="K972" s="460">
        <v>171.0</v>
      </c>
      <c r="L972" s="460" t="s">
        <v>419</v>
      </c>
      <c r="M972" s="461">
        <v>0.5</v>
      </c>
      <c r="N972" s="422">
        <v>11.092</v>
      </c>
      <c r="O972" s="422">
        <v>9.78</v>
      </c>
      <c r="P972" s="422">
        <v>14.44</v>
      </c>
      <c r="Q972" s="440" t="s">
        <v>2189</v>
      </c>
      <c r="R972" s="451" t="s">
        <v>2190</v>
      </c>
      <c r="S972" s="451" t="s">
        <v>2191</v>
      </c>
      <c r="T972" s="462" t="s">
        <v>162</v>
      </c>
      <c r="U972" s="451" t="s">
        <v>2192</v>
      </c>
      <c r="V972" s="440"/>
      <c r="W972" s="463"/>
      <c r="X972" s="437"/>
      <c r="Y972" s="442" t="str">
        <f>IF((W972/((J972/5780)^4))^0.5&gt;0,(W972/((J972/5780)^4))^0.5,"")</f>
        <v/>
      </c>
      <c r="Z972" s="464"/>
      <c r="AA972" s="465">
        <v>1.1</v>
      </c>
      <c r="AB972" s="465">
        <v>0.25</v>
      </c>
      <c r="AC972" s="436" t="str">
        <f>IF(ISNUMBER(VLOOKUP(B972,'New Masses'!A:C,3,FALSE)),VLOOKUP(B972,'New Masses'!A:C,3,FALSE),"")</f>
        <v/>
      </c>
      <c r="AD972" s="440">
        <f>10^AE972</f>
        <v>0.000000001548816619</v>
      </c>
      <c r="AE972" s="460">
        <v>-8.81</v>
      </c>
      <c r="AF972" s="440"/>
      <c r="AG972" s="445">
        <v>0.46</v>
      </c>
      <c r="AH972" s="460">
        <v>0.12</v>
      </c>
      <c r="AI972" s="446" t="str">
        <f>IF(ISNUMBER(VLOOKUP(B972,'New Masses'!A:C,2, FALSE)),VLOOKUP(B972,'New Masses'!A:C,2, FALSE),"")</f>
        <v/>
      </c>
      <c r="AJ972" s="440">
        <f>LOG10(AG972)</f>
        <v>-0.3372421683</v>
      </c>
      <c r="AK972" s="460"/>
      <c r="AL972" s="460">
        <v>-1.8</v>
      </c>
      <c r="AM972" s="466">
        <v>43900.0</v>
      </c>
      <c r="AN972" s="436">
        <v>3.0</v>
      </c>
      <c r="AO972" s="440"/>
      <c r="AP972" s="440"/>
      <c r="AQ972" s="440"/>
      <c r="AR972" s="440"/>
      <c r="AS972" s="440"/>
      <c r="AT972" s="440"/>
      <c r="AU972" s="440"/>
      <c r="AV972" s="440"/>
      <c r="AW972" s="450">
        <v>162.81606668946</v>
      </c>
    </row>
    <row r="973">
      <c r="A973" s="435" t="str">
        <f t="shared" ref="A973:C973" si="798">A438</f>
        <v>CHSM 7869</v>
      </c>
      <c r="B973" s="485" t="str">
        <f t="shared" si="798"/>
        <v>CHSM 7869</v>
      </c>
      <c r="C973" s="486" t="str">
        <f t="shared" si="798"/>
        <v/>
      </c>
      <c r="D973" s="486"/>
      <c r="E973" s="486"/>
      <c r="F973" s="528"/>
      <c r="G973" s="486"/>
      <c r="H973" s="486" t="s">
        <v>5917</v>
      </c>
      <c r="I973" s="491"/>
      <c r="J973" s="491"/>
      <c r="K973" s="491"/>
      <c r="L973" s="491"/>
      <c r="M973" s="486"/>
      <c r="N973" s="422"/>
      <c r="O973" s="422"/>
      <c r="P973" s="422"/>
      <c r="Q973" s="486"/>
      <c r="R973" s="491"/>
      <c r="S973" s="491"/>
      <c r="T973" s="491"/>
      <c r="U973" s="491"/>
      <c r="V973" s="491"/>
      <c r="W973" s="493"/>
      <c r="X973" s="486"/>
      <c r="Y973" s="442"/>
      <c r="Z973" s="491"/>
      <c r="AA973" s="619">
        <f>AC438</f>
        <v>0.637798</v>
      </c>
      <c r="AB973" s="494"/>
      <c r="AC973" s="436"/>
      <c r="AD973" s="495"/>
      <c r="AE973" s="491"/>
      <c r="AF973" s="491"/>
      <c r="AG973" s="525">
        <f>AI438</f>
        <v>0.057198</v>
      </c>
      <c r="AH973" s="491"/>
      <c r="AI973" s="446"/>
      <c r="AJ973" s="491"/>
      <c r="AK973" s="500"/>
      <c r="AL973" s="436"/>
      <c r="AM973" s="438"/>
      <c r="AN973" s="531"/>
      <c r="AO973" s="491"/>
      <c r="AP973" s="438"/>
      <c r="AQ973" s="438"/>
      <c r="AR973" s="438"/>
      <c r="AS973" s="438"/>
      <c r="AT973" s="438"/>
      <c r="AU973" s="438"/>
      <c r="AV973" s="438"/>
      <c r="AW973" s="450">
        <f>AW438</f>
        <v>187.1362539</v>
      </c>
    </row>
    <row r="974">
      <c r="A974" s="419" t="s">
        <v>428</v>
      </c>
      <c r="B974" s="436" t="s">
        <v>429</v>
      </c>
      <c r="C974" s="436"/>
      <c r="D974" s="436" t="s">
        <v>224</v>
      </c>
      <c r="E974" s="436"/>
      <c r="F974" s="436" t="s">
        <v>2724</v>
      </c>
      <c r="G974" s="436" t="s">
        <v>169</v>
      </c>
      <c r="H974" s="436" t="s">
        <v>306</v>
      </c>
      <c r="I974" s="467">
        <v>39596.0</v>
      </c>
      <c r="J974" s="436">
        <v>3415.0</v>
      </c>
      <c r="K974" s="436"/>
      <c r="L974" s="436" t="s">
        <v>430</v>
      </c>
      <c r="M974" s="439"/>
      <c r="N974" s="422"/>
      <c r="O974" s="422"/>
      <c r="P974" s="422"/>
      <c r="Q974" s="436" t="s">
        <v>2239</v>
      </c>
      <c r="R974" s="436" t="s">
        <v>2240</v>
      </c>
      <c r="S974" s="436" t="s">
        <v>307</v>
      </c>
      <c r="T974" s="436" t="s">
        <v>293</v>
      </c>
      <c r="U974" s="436" t="s">
        <v>294</v>
      </c>
      <c r="V974" s="440"/>
      <c r="W974" s="468"/>
      <c r="X974" s="436"/>
      <c r="Y974" s="442" t="str">
        <f>IF((W974/((J974/5780)^4))^0.5&gt;0,(W974/((J974/5780)^4))^0.5,"")</f>
        <v/>
      </c>
      <c r="Z974" s="469"/>
      <c r="AA974" s="470">
        <v>0.81</v>
      </c>
      <c r="AB974" s="470"/>
      <c r="AC974" s="436" t="str">
        <f>IF(ISNUMBER(VLOOKUP(B974,'New Masses'!A:C,3,FALSE)),VLOOKUP(B974,'New Masses'!A:C,3,FALSE),"")</f>
        <v/>
      </c>
      <c r="AD974" s="451">
        <f>10^(AE974)</f>
        <v>0.0000000002511886432</v>
      </c>
      <c r="AE974" s="436">
        <v>-9.6</v>
      </c>
      <c r="AF974" s="438"/>
      <c r="AG974" s="459">
        <v>0.37</v>
      </c>
      <c r="AH974" s="436"/>
      <c r="AI974" s="446" t="str">
        <f>IF(ISNUMBER(VLOOKUP(B974,'New Masses'!A:C,2, FALSE)),VLOOKUP(B974,'New Masses'!A:C,2, FALSE),"")</f>
        <v/>
      </c>
      <c r="AJ974" s="436">
        <f>LOG10(AG974)</f>
        <v>-0.4317982759</v>
      </c>
      <c r="AK974" s="436"/>
      <c r="AL974" s="436">
        <v>-2.5</v>
      </c>
      <c r="AM974" s="436"/>
      <c r="AN974" s="436">
        <v>8.0</v>
      </c>
      <c r="AO974" s="419" t="s">
        <v>5918</v>
      </c>
      <c r="AP974" s="438"/>
      <c r="AQ974" s="438"/>
      <c r="AR974" s="438"/>
      <c r="AS974" s="438"/>
      <c r="AT974" s="438"/>
      <c r="AU974" s="438"/>
      <c r="AV974" s="438"/>
      <c r="AW974" s="450">
        <v>36.6222560774634</v>
      </c>
    </row>
    <row r="975">
      <c r="A975" s="435" t="str">
        <f t="shared" ref="A975:C975" si="799">A440</f>
        <v>CI Tau</v>
      </c>
      <c r="B975" s="485" t="str">
        <f t="shared" si="799"/>
        <v>CI Tau</v>
      </c>
      <c r="C975" s="486" t="str">
        <f t="shared" si="799"/>
        <v/>
      </c>
      <c r="D975" s="486"/>
      <c r="E975" s="486"/>
      <c r="F975" s="528"/>
      <c r="G975" s="486"/>
      <c r="H975" s="486" t="s">
        <v>5917</v>
      </c>
      <c r="I975" s="491"/>
      <c r="J975" s="491"/>
      <c r="K975" s="491"/>
      <c r="L975" s="491"/>
      <c r="M975" s="486"/>
      <c r="N975" s="422"/>
      <c r="O975" s="422"/>
      <c r="P975" s="422"/>
      <c r="Q975" s="486"/>
      <c r="R975" s="491"/>
      <c r="S975" s="491"/>
      <c r="T975" s="491"/>
      <c r="U975" s="491"/>
      <c r="V975" s="491"/>
      <c r="W975" s="493"/>
      <c r="X975" s="486"/>
      <c r="Y975" s="442"/>
      <c r="Z975" s="491"/>
      <c r="AA975" s="524" t="str">
        <f>AC440</f>
        <v/>
      </c>
      <c r="AB975" s="494"/>
      <c r="AC975" s="436"/>
      <c r="AD975" s="495"/>
      <c r="AE975" s="491"/>
      <c r="AF975" s="491"/>
      <c r="AG975" s="525" t="str">
        <f>AI440</f>
        <v/>
      </c>
      <c r="AH975" s="491"/>
      <c r="AI975" s="446"/>
      <c r="AJ975" s="491"/>
      <c r="AK975" s="500"/>
      <c r="AL975" s="436"/>
      <c r="AM975" s="438"/>
      <c r="AN975" s="531"/>
      <c r="AO975" s="491"/>
      <c r="AP975" s="438"/>
      <c r="AQ975" s="438"/>
      <c r="AR975" s="438"/>
      <c r="AS975" s="438"/>
      <c r="AT975" s="438"/>
      <c r="AU975" s="438"/>
      <c r="AV975" s="438"/>
      <c r="AW975" s="450">
        <f>AW440</f>
        <v>158.7100051</v>
      </c>
    </row>
    <row r="976">
      <c r="A976" s="419" t="s">
        <v>420</v>
      </c>
      <c r="B976" s="436" t="s">
        <v>421</v>
      </c>
      <c r="C976" s="436"/>
      <c r="D976" s="436" t="s">
        <v>224</v>
      </c>
      <c r="E976" s="436"/>
      <c r="F976" s="436" t="s">
        <v>2724</v>
      </c>
      <c r="G976" s="436" t="s">
        <v>169</v>
      </c>
      <c r="H976" s="436" t="s">
        <v>306</v>
      </c>
      <c r="I976" s="467">
        <v>39596.0</v>
      </c>
      <c r="J976" s="436">
        <v>3342.0</v>
      </c>
      <c r="K976" s="436"/>
      <c r="L976" s="436" t="s">
        <v>422</v>
      </c>
      <c r="M976" s="439"/>
      <c r="N976" s="422"/>
      <c r="O976" s="422"/>
      <c r="P976" s="422"/>
      <c r="Q976" s="436" t="s">
        <v>2239</v>
      </c>
      <c r="R976" s="436" t="s">
        <v>2240</v>
      </c>
      <c r="S976" s="436" t="s">
        <v>307</v>
      </c>
      <c r="T976" s="436" t="s">
        <v>293</v>
      </c>
      <c r="U976" s="436" t="s">
        <v>294</v>
      </c>
      <c r="V976" s="440"/>
      <c r="W976" s="468"/>
      <c r="X976" s="436"/>
      <c r="Y976" s="442" t="str">
        <f>IF((W976/((J976/5780)^4))^0.5&gt;0,(W976/((J976/5780)^4))^0.5,"")</f>
        <v/>
      </c>
      <c r="Z976" s="469"/>
      <c r="AA976" s="470">
        <v>0.69</v>
      </c>
      <c r="AB976" s="470"/>
      <c r="AC976" s="436" t="str">
        <f>IF(ISNUMBER(VLOOKUP(B976,'New Masses'!A:C,3,FALSE)),VLOOKUP(B976,'New Masses'!A:C,3,FALSE),"")</f>
        <v/>
      </c>
      <c r="AD976" s="451">
        <f>10^(AE976)</f>
        <v>0</v>
      </c>
      <c r="AE976" s="436">
        <v>-11.1</v>
      </c>
      <c r="AF976" s="438"/>
      <c r="AG976" s="459">
        <v>0.29</v>
      </c>
      <c r="AH976" s="436"/>
      <c r="AI976" s="446" t="str">
        <f>IF(ISNUMBER(VLOOKUP(B976,'New Masses'!A:C,2, FALSE)),VLOOKUP(B976,'New Masses'!A:C,2, FALSE),"")</f>
        <v/>
      </c>
      <c r="AJ976" s="436">
        <f>LOG10(AG976)</f>
        <v>-0.5376020021</v>
      </c>
      <c r="AK976" s="436"/>
      <c r="AL976" s="436">
        <v>-4.1</v>
      </c>
      <c r="AM976" s="438"/>
      <c r="AN976" s="436">
        <v>8.0</v>
      </c>
      <c r="AO976" s="419" t="s">
        <v>5918</v>
      </c>
      <c r="AP976" s="438"/>
      <c r="AQ976" s="438"/>
      <c r="AR976" s="438"/>
      <c r="AS976" s="438"/>
      <c r="AT976" s="438"/>
      <c r="AU976" s="438"/>
      <c r="AV976" s="438"/>
      <c r="AW976" s="450">
        <v>37.349667587958464</v>
      </c>
    </row>
    <row r="977">
      <c r="A977" s="435" t="str">
        <f t="shared" ref="A977:C977" si="800">A442</f>
        <v>CK4</v>
      </c>
      <c r="B977" s="485" t="str">
        <f t="shared" si="800"/>
        <v>CK4</v>
      </c>
      <c r="C977" s="486" t="str">
        <f t="shared" si="800"/>
        <v/>
      </c>
      <c r="D977" s="486"/>
      <c r="E977" s="486"/>
      <c r="F977" s="528"/>
      <c r="G977" s="486"/>
      <c r="H977" s="486" t="s">
        <v>5917</v>
      </c>
      <c r="I977" s="491"/>
      <c r="J977" s="491"/>
      <c r="K977" s="491"/>
      <c r="L977" s="491"/>
      <c r="M977" s="486"/>
      <c r="N977" s="422"/>
      <c r="O977" s="422"/>
      <c r="P977" s="422"/>
      <c r="Q977" s="486"/>
      <c r="R977" s="491"/>
      <c r="S977" s="491"/>
      <c r="T977" s="491"/>
      <c r="U977" s="491"/>
      <c r="V977" s="491"/>
      <c r="W977" s="493"/>
      <c r="X977" s="486"/>
      <c r="Y977" s="442"/>
      <c r="Z977" s="491"/>
      <c r="AA977" s="524" t="str">
        <f>AC442</f>
        <v/>
      </c>
      <c r="AB977" s="494"/>
      <c r="AC977" s="436"/>
      <c r="AD977" s="495"/>
      <c r="AE977" s="491"/>
      <c r="AF977" s="491"/>
      <c r="AG977" s="525" t="str">
        <f>AI442</f>
        <v/>
      </c>
      <c r="AH977" s="491"/>
      <c r="AI977" s="446"/>
      <c r="AJ977" s="491"/>
      <c r="AK977" s="500"/>
      <c r="AL977" s="436"/>
      <c r="AM977" s="438"/>
      <c r="AN977" s="531"/>
      <c r="AO977" s="491"/>
      <c r="AP977" s="438"/>
      <c r="AQ977" s="438"/>
      <c r="AR977" s="438"/>
      <c r="AS977" s="438"/>
      <c r="AT977" s="438"/>
      <c r="AU977" s="438"/>
      <c r="AV977" s="438"/>
      <c r="AW977" s="450">
        <f>AW442</f>
        <v>413.018338</v>
      </c>
    </row>
    <row r="978">
      <c r="A978" s="419" t="s">
        <v>356</v>
      </c>
      <c r="B978" s="419" t="s">
        <v>356</v>
      </c>
      <c r="C978" s="436"/>
      <c r="D978" s="436" t="s">
        <v>305</v>
      </c>
      <c r="E978" s="436"/>
      <c r="F978" s="436" t="s">
        <v>2725</v>
      </c>
      <c r="G978" s="436" t="s">
        <v>169</v>
      </c>
      <c r="H978" s="436" t="s">
        <v>306</v>
      </c>
      <c r="I978" s="467">
        <v>39596.0</v>
      </c>
      <c r="J978" s="436">
        <v>3058.0</v>
      </c>
      <c r="K978" s="436"/>
      <c r="L978" s="436" t="s">
        <v>264</v>
      </c>
      <c r="M978" s="439"/>
      <c r="N978" s="422">
        <v>13.463</v>
      </c>
      <c r="O978" s="422">
        <v>12.507</v>
      </c>
      <c r="P978" s="422"/>
      <c r="Q978" s="436" t="s">
        <v>2239</v>
      </c>
      <c r="R978" s="436" t="s">
        <v>2240</v>
      </c>
      <c r="S978" s="436" t="s">
        <v>307</v>
      </c>
      <c r="T978" s="436" t="s">
        <v>293</v>
      </c>
      <c r="U978" s="436" t="s">
        <v>294</v>
      </c>
      <c r="V978" s="451"/>
      <c r="W978" s="468"/>
      <c r="X978" s="436"/>
      <c r="Y978" s="442" t="str">
        <f>IF((W978/((J978/5780)^4))^0.5&gt;0,(W978/((J978/5780)^4))^0.5,"")</f>
        <v/>
      </c>
      <c r="Z978" s="537"/>
      <c r="AA978" s="470">
        <v>0.37</v>
      </c>
      <c r="AB978" s="470"/>
      <c r="AC978" s="436" t="str">
        <f>IF(ISNUMBER(VLOOKUP(B978,'New Masses'!A:C,3,FALSE)),VLOOKUP(B978,'New Masses'!A:C,3,FALSE),"")</f>
        <v/>
      </c>
      <c r="AD978" s="451">
        <f>10^(AE978)</f>
        <v>0</v>
      </c>
      <c r="AE978" s="436">
        <v>-12.2</v>
      </c>
      <c r="AF978" s="436"/>
      <c r="AG978" s="459">
        <v>0.09</v>
      </c>
      <c r="AH978" s="436"/>
      <c r="AI978" s="446" t="str">
        <f>IF(ISNUMBER(VLOOKUP(B978,'New Masses'!A:C,2, FALSE)),VLOOKUP(B978,'New Masses'!A:C,2, FALSE),"")</f>
        <v/>
      </c>
      <c r="AJ978" s="436">
        <f>LOG10(AG978)</f>
        <v>-1.045757491</v>
      </c>
      <c r="AK978" s="436"/>
      <c r="AL978" s="436">
        <v>-5.4</v>
      </c>
      <c r="AM978" s="436"/>
      <c r="AN978" s="436">
        <v>11.0</v>
      </c>
      <c r="AO978" s="436"/>
      <c r="AP978" s="436"/>
      <c r="AQ978" s="438"/>
      <c r="AR978" s="438"/>
      <c r="AS978" s="438"/>
      <c r="AT978" s="438"/>
      <c r="AU978" s="438"/>
      <c r="AV978" s="438"/>
      <c r="AW978" s="450">
        <v>162.292873719914</v>
      </c>
    </row>
    <row r="979">
      <c r="A979" s="435" t="str">
        <f t="shared" ref="A979:C979" si="801">A444</f>
        <v>Cl* IC 348 LRL 165</v>
      </c>
      <c r="B979" s="485" t="str">
        <f t="shared" si="801"/>
        <v>Cl* IC 348 LRL 165</v>
      </c>
      <c r="C979" s="486" t="str">
        <f t="shared" si="801"/>
        <v/>
      </c>
      <c r="D979" s="486"/>
      <c r="E979" s="486"/>
      <c r="F979" s="528"/>
      <c r="G979" s="486"/>
      <c r="H979" s="486" t="s">
        <v>5917</v>
      </c>
      <c r="I979" s="491"/>
      <c r="J979" s="491"/>
      <c r="K979" s="491"/>
      <c r="L979" s="491"/>
      <c r="M979" s="486"/>
      <c r="N979" s="422"/>
      <c r="O979" s="422"/>
      <c r="P979" s="422"/>
      <c r="Q979" s="486"/>
      <c r="R979" s="491"/>
      <c r="S979" s="491"/>
      <c r="T979" s="491"/>
      <c r="U979" s="491"/>
      <c r="V979" s="491"/>
      <c r="W979" s="493"/>
      <c r="X979" s="486"/>
      <c r="Y979" s="442"/>
      <c r="Z979" s="491"/>
      <c r="AA979" s="524" t="str">
        <f>AC444</f>
        <v/>
      </c>
      <c r="AB979" s="494"/>
      <c r="AC979" s="436"/>
      <c r="AD979" s="495"/>
      <c r="AE979" s="491"/>
      <c r="AF979" s="491"/>
      <c r="AG979" s="525" t="str">
        <f>AI444</f>
        <v/>
      </c>
      <c r="AH979" s="491"/>
      <c r="AI979" s="446"/>
      <c r="AJ979" s="491"/>
      <c r="AK979" s="500"/>
      <c r="AL979" s="436"/>
      <c r="AM979" s="438"/>
      <c r="AN979" s="531"/>
      <c r="AO979" s="491"/>
      <c r="AP979" s="438"/>
      <c r="AQ979" s="438"/>
      <c r="AR979" s="438"/>
      <c r="AS979" s="438"/>
      <c r="AT979" s="438"/>
      <c r="AU979" s="438"/>
      <c r="AV979" s="438"/>
      <c r="AW979" s="450">
        <f>AW444</f>
        <v>321.3264355</v>
      </c>
    </row>
    <row r="980">
      <c r="A980" s="419" t="s">
        <v>447</v>
      </c>
      <c r="B980" s="475" t="s">
        <v>2726</v>
      </c>
      <c r="C980" s="436"/>
      <c r="D980" s="436" t="s">
        <v>199</v>
      </c>
      <c r="E980" s="436"/>
      <c r="F980" s="436" t="s">
        <v>2727</v>
      </c>
      <c r="G980" s="436" t="s">
        <v>169</v>
      </c>
      <c r="H980" s="436" t="s">
        <v>413</v>
      </c>
      <c r="I980" s="456">
        <v>35400.0</v>
      </c>
      <c r="J980" s="438"/>
      <c r="K980" s="438"/>
      <c r="L980" s="436" t="s">
        <v>434</v>
      </c>
      <c r="M980" s="439"/>
      <c r="N980" s="422">
        <v>9.433</v>
      </c>
      <c r="O980" s="422">
        <v>8.047</v>
      </c>
      <c r="P980" s="422"/>
      <c r="Q980" s="436" t="s">
        <v>2189</v>
      </c>
      <c r="R980" s="436" t="s">
        <v>2257</v>
      </c>
      <c r="S980" s="436" t="s">
        <v>414</v>
      </c>
      <c r="T980" s="436" t="s">
        <v>293</v>
      </c>
      <c r="U980" s="436" t="s">
        <v>294</v>
      </c>
      <c r="V980" s="440"/>
      <c r="W980" s="474">
        <v>0.71</v>
      </c>
      <c r="X980" s="436"/>
      <c r="Y980" s="442"/>
      <c r="Z980" s="469"/>
      <c r="AA980" s="470">
        <v>1.74</v>
      </c>
      <c r="AB980" s="470"/>
      <c r="AC980" s="436" t="str">
        <f>IF(ISNUMBER(VLOOKUP(B980,'New Masses'!A:C,3,FALSE)),VLOOKUP(B980,'New Masses'!A:C,3,FALSE),"")</f>
        <v/>
      </c>
      <c r="AD980" s="451">
        <v>3.3E-9</v>
      </c>
      <c r="AE980" s="438">
        <f>LOG10(AD980)</f>
        <v>-8.48148606</v>
      </c>
      <c r="AF980" s="438"/>
      <c r="AG980" s="459">
        <v>0.53</v>
      </c>
      <c r="AH980" s="436"/>
      <c r="AI980" s="446" t="str">
        <f>IF(ISNUMBER(VLOOKUP(B980,'New Masses'!A:C,2, FALSE)),VLOOKUP(B980,'New Masses'!A:C,2, FALSE),"")</f>
        <v/>
      </c>
      <c r="AJ980" s="436"/>
      <c r="AK980" s="436"/>
      <c r="AL980" s="436">
        <v>0.025</v>
      </c>
      <c r="AM980" s="438"/>
      <c r="AN980" s="436">
        <v>1.0</v>
      </c>
      <c r="AO980" s="438"/>
      <c r="AP980" s="438"/>
      <c r="AQ980" s="438"/>
      <c r="AR980" s="438"/>
      <c r="AS980" s="438"/>
      <c r="AT980" s="438"/>
      <c r="AU980" s="438"/>
      <c r="AV980" s="438"/>
      <c r="AW980" s="450">
        <v>137.196795082866</v>
      </c>
    </row>
    <row r="981">
      <c r="A981" s="419" t="s">
        <v>447</v>
      </c>
      <c r="B981" s="476" t="s">
        <v>2726</v>
      </c>
      <c r="C981" s="436"/>
      <c r="D981" s="436" t="s">
        <v>199</v>
      </c>
      <c r="E981" s="436"/>
      <c r="F981" s="436" t="s">
        <v>2727</v>
      </c>
      <c r="G981" s="436" t="s">
        <v>169</v>
      </c>
      <c r="H981" s="436" t="s">
        <v>1479</v>
      </c>
      <c r="I981" s="436" t="s">
        <v>2427</v>
      </c>
      <c r="J981" s="436">
        <v>4060.0</v>
      </c>
      <c r="K981" s="436"/>
      <c r="L981" s="436" t="s">
        <v>434</v>
      </c>
      <c r="M981" s="439"/>
      <c r="N981" s="422">
        <v>9.433</v>
      </c>
      <c r="O981" s="422">
        <v>8.047</v>
      </c>
      <c r="P981" s="422"/>
      <c r="Q981" s="436" t="s">
        <v>2428</v>
      </c>
      <c r="R981" s="436" t="s">
        <v>2429</v>
      </c>
      <c r="S981" s="436" t="s">
        <v>2430</v>
      </c>
      <c r="T981" s="419" t="s">
        <v>162</v>
      </c>
      <c r="U981" s="436" t="s">
        <v>2431</v>
      </c>
      <c r="V981" s="451">
        <v>2.0896E28</v>
      </c>
      <c r="W981" s="474">
        <v>0.71</v>
      </c>
      <c r="X981" s="436"/>
      <c r="Y981" s="442">
        <f>IF((W981/((J981/5780)^4))^0.5&gt;0,(W981/((J981/5780)^4))^0.5,"")</f>
        <v>1.707783385</v>
      </c>
      <c r="Z981" s="469"/>
      <c r="AA981" s="470">
        <v>1.74</v>
      </c>
      <c r="AB981" s="470"/>
      <c r="AC981" s="436" t="str">
        <f>IF(ISNUMBER(VLOOKUP(B981,'New Masses'!A:C,3,FALSE)),VLOOKUP(B981,'New Masses'!A:C,3,FALSE),"")</f>
        <v/>
      </c>
      <c r="AD981" s="440">
        <f>10^AE981</f>
        <v>0.000000004897788194</v>
      </c>
      <c r="AE981" s="436">
        <v>-8.31</v>
      </c>
      <c r="AF981" s="438"/>
      <c r="AG981" s="459">
        <v>0.53</v>
      </c>
      <c r="AH981" s="436"/>
      <c r="AI981" s="446" t="str">
        <f>IF(ISNUMBER(VLOOKUP(B981,'New Masses'!A:C,2, FALSE)),VLOOKUP(B981,'New Masses'!A:C,2, FALSE),"")</f>
        <v/>
      </c>
      <c r="AJ981" s="438"/>
      <c r="AK981" s="436"/>
      <c r="AL981" s="436">
        <v>-1.43</v>
      </c>
      <c r="AM981" s="438"/>
      <c r="AN981" s="436">
        <v>11.0</v>
      </c>
      <c r="AO981" s="438"/>
      <c r="AP981" s="438"/>
      <c r="AQ981" s="438"/>
      <c r="AR981" s="438"/>
      <c r="AS981" s="438"/>
      <c r="AT981" s="438"/>
      <c r="AU981" s="438"/>
      <c r="AV981" s="438"/>
      <c r="AW981" s="450">
        <v>137.196795082866</v>
      </c>
    </row>
    <row r="982">
      <c r="A982" s="435" t="str">
        <f t="shared" ref="A982:C982" si="802">A447</f>
        <v>#REF!</v>
      </c>
      <c r="B982" s="485" t="str">
        <f t="shared" si="802"/>
        <v>#REF!</v>
      </c>
      <c r="C982" s="486" t="str">
        <f t="shared" si="802"/>
        <v>#REF!</v>
      </c>
      <c r="D982" s="486"/>
      <c r="E982" s="486"/>
      <c r="F982" s="528"/>
      <c r="G982" s="486"/>
      <c r="H982" s="486" t="s">
        <v>5917</v>
      </c>
      <c r="I982" s="491"/>
      <c r="J982" s="491"/>
      <c r="K982" s="491"/>
      <c r="L982" s="491"/>
      <c r="M982" s="486"/>
      <c r="N982" s="422"/>
      <c r="O982" s="422"/>
      <c r="P982" s="422"/>
      <c r="Q982" s="486"/>
      <c r="R982" s="491"/>
      <c r="S982" s="491"/>
      <c r="T982" s="491"/>
      <c r="U982" s="491"/>
      <c r="V982" s="491"/>
      <c r="W982" s="493"/>
      <c r="X982" s="486"/>
      <c r="Y982" s="442"/>
      <c r="Z982" s="491"/>
      <c r="AA982" s="524" t="str">
        <f t="shared" ref="AA982:AA983" si="804">AC447</f>
        <v/>
      </c>
      <c r="AB982" s="494"/>
      <c r="AC982" s="436"/>
      <c r="AD982" s="495"/>
      <c r="AE982" s="491"/>
      <c r="AF982" s="491"/>
      <c r="AG982" s="525" t="str">
        <f t="shared" ref="AG982:AG983" si="805">AI447</f>
        <v/>
      </c>
      <c r="AH982" s="491"/>
      <c r="AI982" s="446"/>
      <c r="AJ982" s="491"/>
      <c r="AK982" s="500"/>
      <c r="AL982" s="436"/>
      <c r="AM982" s="438"/>
      <c r="AN982" s="531"/>
      <c r="AO982" s="491"/>
      <c r="AP982" s="438"/>
      <c r="AQ982" s="438"/>
      <c r="AR982" s="438"/>
      <c r="AS982" s="438"/>
      <c r="AT982" s="438"/>
      <c r="AU982" s="438"/>
      <c r="AV982" s="438"/>
      <c r="AW982" s="450" t="str">
        <f t="shared" ref="AW982:AW983" si="806">AW447</f>
        <v>#REF!</v>
      </c>
    </row>
    <row r="983">
      <c r="A983" s="435" t="str">
        <f t="shared" ref="A983:C983" si="803">A448</f>
        <v>#REF!</v>
      </c>
      <c r="B983" s="485" t="str">
        <f t="shared" si="803"/>
        <v>#REF!</v>
      </c>
      <c r="C983" s="486" t="str">
        <f t="shared" si="803"/>
        <v>#REF!</v>
      </c>
      <c r="D983" s="486"/>
      <c r="E983" s="486"/>
      <c r="F983" s="528"/>
      <c r="G983" s="486"/>
      <c r="H983" s="486" t="s">
        <v>5917</v>
      </c>
      <c r="I983" s="491"/>
      <c r="J983" s="491"/>
      <c r="K983" s="491"/>
      <c r="L983" s="491"/>
      <c r="M983" s="486"/>
      <c r="N983" s="422"/>
      <c r="O983" s="422"/>
      <c r="P983" s="422"/>
      <c r="Q983" s="486"/>
      <c r="R983" s="491"/>
      <c r="S983" s="491"/>
      <c r="T983" s="491"/>
      <c r="U983" s="491"/>
      <c r="V983" s="491"/>
      <c r="W983" s="493"/>
      <c r="X983" s="486"/>
      <c r="Y983" s="442"/>
      <c r="Z983" s="491"/>
      <c r="AA983" s="524" t="str">
        <f t="shared" si="804"/>
        <v/>
      </c>
      <c r="AB983" s="494"/>
      <c r="AC983" s="436"/>
      <c r="AD983" s="495"/>
      <c r="AE983" s="491"/>
      <c r="AF983" s="491"/>
      <c r="AG983" s="525" t="str">
        <f t="shared" si="805"/>
        <v/>
      </c>
      <c r="AH983" s="491"/>
      <c r="AI983" s="446"/>
      <c r="AJ983" s="491"/>
      <c r="AK983" s="500"/>
      <c r="AL983" s="436"/>
      <c r="AM983" s="438"/>
      <c r="AN983" s="531"/>
      <c r="AO983" s="491"/>
      <c r="AP983" s="438"/>
      <c r="AQ983" s="438"/>
      <c r="AR983" s="438"/>
      <c r="AS983" s="438"/>
      <c r="AT983" s="438"/>
      <c r="AU983" s="438"/>
      <c r="AV983" s="438"/>
      <c r="AW983" s="450" t="str">
        <f t="shared" si="806"/>
        <v>#REF!</v>
      </c>
    </row>
    <row r="984">
      <c r="A984" s="419" t="s">
        <v>1585</v>
      </c>
      <c r="B984" s="475" t="s">
        <v>2728</v>
      </c>
      <c r="C984" s="436"/>
      <c r="D984" s="436" t="s">
        <v>1496</v>
      </c>
      <c r="E984" s="436"/>
      <c r="F984" s="436" t="s">
        <v>2729</v>
      </c>
      <c r="G984" s="436" t="s">
        <v>169</v>
      </c>
      <c r="H984" s="436" t="s">
        <v>1479</v>
      </c>
      <c r="I984" s="436" t="s">
        <v>2427</v>
      </c>
      <c r="J984" s="436">
        <v>9840.0</v>
      </c>
      <c r="K984" s="436"/>
      <c r="L984" s="436" t="s">
        <v>1473</v>
      </c>
      <c r="M984" s="439"/>
      <c r="N984" s="422">
        <v>5.936</v>
      </c>
      <c r="O984" s="422">
        <v>4.23</v>
      </c>
      <c r="P984" s="422">
        <v>6.96</v>
      </c>
      <c r="Q984" s="436" t="s">
        <v>2428</v>
      </c>
      <c r="R984" s="436" t="s">
        <v>2429</v>
      </c>
      <c r="S984" s="436" t="s">
        <v>2430</v>
      </c>
      <c r="T984" s="419" t="s">
        <v>162</v>
      </c>
      <c r="U984" s="436" t="s">
        <v>2431</v>
      </c>
      <c r="V984" s="451">
        <v>2.7547E30</v>
      </c>
      <c r="W984" s="474">
        <v>48.0</v>
      </c>
      <c r="X984" s="436"/>
      <c r="Y984" s="442">
        <f>IF((W984/((J984/5780)^4))^0.5&gt;0,(W984/((J984/5780)^4))^0.5,"")</f>
        <v>2.390485417</v>
      </c>
      <c r="Z984" s="469"/>
      <c r="AA984" s="470"/>
      <c r="AB984" s="470"/>
      <c r="AC984" s="436" t="str">
        <f>IF(ISNUMBER(VLOOKUP(B984,'New Masses'!A:C,3,FALSE)),VLOOKUP(B984,'New Masses'!A:C,3,FALSE),"")</f>
        <v/>
      </c>
      <c r="AD984" s="440">
        <f>10^AE984</f>
        <v>0.0000001258925412</v>
      </c>
      <c r="AE984" s="436">
        <v>-6.9</v>
      </c>
      <c r="AF984" s="438"/>
      <c r="AG984" s="459">
        <v>2.4</v>
      </c>
      <c r="AH984" s="436"/>
      <c r="AI984" s="446" t="str">
        <f>IF(ISNUMBER(VLOOKUP(B984,'New Masses'!A:C,2, FALSE)),VLOOKUP(B984,'New Masses'!A:C,2, FALSE),"")</f>
        <v/>
      </c>
      <c r="AJ984" s="438"/>
      <c r="AK984" s="436"/>
      <c r="AL984" s="436">
        <v>0.5</v>
      </c>
      <c r="AM984" s="438"/>
      <c r="AN984" s="436">
        <v>1.0</v>
      </c>
      <c r="AO984" s="438"/>
      <c r="AP984" s="438"/>
      <c r="AQ984" s="438"/>
      <c r="AR984" s="438"/>
      <c r="AS984" s="438"/>
      <c r="AT984" s="438"/>
      <c r="AU984" s="438"/>
      <c r="AV984" s="438"/>
      <c r="AW984" s="450">
        <v>162.8664495114</v>
      </c>
    </row>
    <row r="985">
      <c r="A985" s="435" t="str">
        <f t="shared" ref="A985:C985" si="807">A450</f>
        <v>Cl* IC 348 LRL 291</v>
      </c>
      <c r="B985" s="485" t="str">
        <f t="shared" si="807"/>
        <v>IC348 291</v>
      </c>
      <c r="C985" s="486" t="str">
        <f t="shared" si="807"/>
        <v/>
      </c>
      <c r="D985" s="486"/>
      <c r="E985" s="486"/>
      <c r="F985" s="528"/>
      <c r="G985" s="486"/>
      <c r="H985" s="486" t="s">
        <v>5917</v>
      </c>
      <c r="I985" s="491"/>
      <c r="J985" s="491"/>
      <c r="K985" s="491"/>
      <c r="L985" s="491"/>
      <c r="M985" s="486"/>
      <c r="N985" s="422"/>
      <c r="O985" s="422"/>
      <c r="P985" s="422"/>
      <c r="Q985" s="486"/>
      <c r="R985" s="491"/>
      <c r="S985" s="491"/>
      <c r="T985" s="491"/>
      <c r="U985" s="491"/>
      <c r="V985" s="491"/>
      <c r="W985" s="493"/>
      <c r="X985" s="486"/>
      <c r="Y985" s="442"/>
      <c r="Z985" s="491"/>
      <c r="AA985" s="619">
        <f>AC450</f>
        <v>0.502954</v>
      </c>
      <c r="AB985" s="494"/>
      <c r="AC985" s="436"/>
      <c r="AD985" s="495" t="str">
        <f>VLOOKUP(A537,Re-estimated Values!A2:M533,13,TRUE)</f>
        <v>#ERROR!</v>
      </c>
      <c r="AE985" s="491"/>
      <c r="AF985" s="491"/>
      <c r="AG985" s="525" t="str">
        <f>AI450</f>
        <v/>
      </c>
      <c r="AH985" s="491"/>
      <c r="AI985" s="446"/>
      <c r="AJ985" s="491"/>
      <c r="AK985" s="500"/>
      <c r="AL985" s="436"/>
      <c r="AM985" s="438"/>
      <c r="AN985" s="531"/>
      <c r="AO985" s="491"/>
      <c r="AP985" s="438"/>
      <c r="AQ985" s="438"/>
      <c r="AR985" s="438"/>
      <c r="AS985" s="438"/>
      <c r="AT985" s="438"/>
      <c r="AU985" s="438"/>
      <c r="AV985" s="438"/>
      <c r="AW985" s="450">
        <f>AW450</f>
        <v>234.9403252</v>
      </c>
    </row>
    <row r="986">
      <c r="A986" s="419" t="s">
        <v>1568</v>
      </c>
      <c r="B986" s="476" t="s">
        <v>2730</v>
      </c>
      <c r="C986" s="436"/>
      <c r="D986" s="438"/>
      <c r="E986" s="438"/>
      <c r="F986" s="436" t="s">
        <v>2731</v>
      </c>
      <c r="G986" s="436" t="s">
        <v>169</v>
      </c>
      <c r="H986" s="436" t="s">
        <v>1479</v>
      </c>
      <c r="I986" s="436" t="s">
        <v>2427</v>
      </c>
      <c r="J986" s="436"/>
      <c r="K986" s="436"/>
      <c r="L986" s="436" t="s">
        <v>2732</v>
      </c>
      <c r="M986" s="439"/>
      <c r="N986" s="422">
        <v>9.113</v>
      </c>
      <c r="O986" s="422">
        <v>7.897</v>
      </c>
      <c r="P986" s="422">
        <v>10.06</v>
      </c>
      <c r="Q986" s="436" t="s">
        <v>2428</v>
      </c>
      <c r="R986" s="436" t="s">
        <v>2429</v>
      </c>
      <c r="S986" s="436" t="s">
        <v>2430</v>
      </c>
      <c r="T986" s="419" t="s">
        <v>162</v>
      </c>
      <c r="U986" s="436" t="s">
        <v>2431</v>
      </c>
      <c r="V986" s="451">
        <v>6.9194E29</v>
      </c>
      <c r="W986" s="419">
        <v>27.0</v>
      </c>
      <c r="X986" s="436"/>
      <c r="Y986" s="442"/>
      <c r="Z986" s="469"/>
      <c r="AA986" s="470">
        <v>2.7</v>
      </c>
      <c r="AB986" s="470"/>
      <c r="AC986" s="436" t="str">
        <f>IF(ISNUMBER(VLOOKUP(B986,'New Masses'!A:C,3,FALSE)),VLOOKUP(B986,'New Masses'!A:C,3,FALSE),"")</f>
        <v/>
      </c>
      <c r="AD986" s="440">
        <f>10^AE986</f>
        <v>0.00000004570881896</v>
      </c>
      <c r="AE986" s="436">
        <v>-7.34</v>
      </c>
      <c r="AF986" s="438"/>
      <c r="AG986" s="459">
        <v>2.1</v>
      </c>
      <c r="AH986" s="436"/>
      <c r="AI986" s="446" t="str">
        <f>IF(ISNUMBER(VLOOKUP(B986,'New Masses'!A:C,2, FALSE)),VLOOKUP(B986,'New Masses'!A:C,2, FALSE),"")</f>
        <v/>
      </c>
      <c r="AJ986" s="438"/>
      <c r="AK986" s="436"/>
      <c r="AL986" s="436">
        <v>-0.05</v>
      </c>
      <c r="AM986" s="438"/>
      <c r="AN986" s="438"/>
      <c r="AO986" s="438"/>
      <c r="AP986" s="438"/>
      <c r="AQ986" s="438"/>
      <c r="AR986" s="438"/>
      <c r="AS986" s="438"/>
      <c r="AT986" s="438"/>
      <c r="AU986" s="438"/>
      <c r="AV986" s="438"/>
      <c r="AW986" s="450">
        <v>389.074780172749</v>
      </c>
    </row>
    <row r="987">
      <c r="A987" s="435" t="str">
        <f t="shared" ref="A987:C987" si="808">A452</f>
        <v>#REF!</v>
      </c>
      <c r="B987" s="485" t="str">
        <f t="shared" si="808"/>
        <v>#REF!</v>
      </c>
      <c r="C987" s="486" t="str">
        <f t="shared" si="808"/>
        <v>#REF!</v>
      </c>
      <c r="D987" s="486"/>
      <c r="E987" s="486"/>
      <c r="F987" s="528"/>
      <c r="G987" s="486"/>
      <c r="H987" s="486" t="s">
        <v>5917</v>
      </c>
      <c r="I987" s="491"/>
      <c r="J987" s="491"/>
      <c r="K987" s="491"/>
      <c r="L987" s="491"/>
      <c r="M987" s="486"/>
      <c r="N987" s="422"/>
      <c r="O987" s="422"/>
      <c r="P987" s="422"/>
      <c r="Q987" s="486"/>
      <c r="R987" s="491"/>
      <c r="S987" s="491"/>
      <c r="T987" s="491"/>
      <c r="U987" s="491"/>
      <c r="V987" s="491"/>
      <c r="W987" s="493"/>
      <c r="X987" s="486"/>
      <c r="Y987" s="442"/>
      <c r="Z987" s="491"/>
      <c r="AA987" s="524" t="str">
        <f>AC452</f>
        <v/>
      </c>
      <c r="AB987" s="494"/>
      <c r="AC987" s="436"/>
      <c r="AD987" s="495"/>
      <c r="AE987" s="491"/>
      <c r="AF987" s="491"/>
      <c r="AG987" s="525" t="str">
        <f>AI452</f>
        <v/>
      </c>
      <c r="AH987" s="491"/>
      <c r="AI987" s="446"/>
      <c r="AJ987" s="491"/>
      <c r="AK987" s="500"/>
      <c r="AL987" s="436"/>
      <c r="AM987" s="438"/>
      <c r="AN987" s="531"/>
      <c r="AO987" s="491"/>
      <c r="AP987" s="438"/>
      <c r="AQ987" s="438"/>
      <c r="AR987" s="438"/>
      <c r="AS987" s="438"/>
      <c r="AT987" s="438"/>
      <c r="AU987" s="438"/>
      <c r="AV987" s="438"/>
      <c r="AW987" s="450" t="str">
        <f>AW452</f>
        <v>#REF!</v>
      </c>
    </row>
    <row r="988">
      <c r="A988" s="419" t="s">
        <v>1744</v>
      </c>
      <c r="B988" s="436" t="s">
        <v>1745</v>
      </c>
      <c r="C988" s="436"/>
      <c r="D988" s="436" t="s">
        <v>350</v>
      </c>
      <c r="E988" s="436"/>
      <c r="F988" s="436" t="s">
        <v>2733</v>
      </c>
      <c r="G988" s="437" t="s">
        <v>169</v>
      </c>
      <c r="H988" s="437" t="s">
        <v>702</v>
      </c>
      <c r="I988" s="437" t="s">
        <v>1999</v>
      </c>
      <c r="J988" s="437">
        <v>3700.0</v>
      </c>
      <c r="K988" s="438"/>
      <c r="L988" s="436" t="s">
        <v>1423</v>
      </c>
      <c r="M988" s="439"/>
      <c r="N988" s="422"/>
      <c r="O988" s="422"/>
      <c r="P988" s="422"/>
      <c r="Q988" s="436" t="s">
        <v>1632</v>
      </c>
      <c r="R988" s="438"/>
      <c r="S988" s="436" t="s">
        <v>2000</v>
      </c>
      <c r="T988" s="436" t="s">
        <v>1632</v>
      </c>
      <c r="U988" s="436" t="s">
        <v>1633</v>
      </c>
      <c r="V988" s="440"/>
      <c r="W988" s="441">
        <v>0.45</v>
      </c>
      <c r="X988" s="438"/>
      <c r="Y988" s="442">
        <f>IF((W988/((J988/5780)^4))^0.5&gt;0,(W988/((J988/5780)^4))^0.5,"")</f>
        <v>1.637036963</v>
      </c>
      <c r="Z988" s="442"/>
      <c r="AA988" s="443"/>
      <c r="AB988" s="443"/>
      <c r="AC988" s="436" t="str">
        <f>IF(ISNUMBER(VLOOKUP(B988,'New Masses'!A:C,3,FALSE)),VLOOKUP(B988,'New Masses'!A:C,3,FALSE),"")</f>
        <v/>
      </c>
      <c r="AD988" s="440">
        <f>10^AE988</f>
        <v>0.0000000006025595861</v>
      </c>
      <c r="AE988" s="437">
        <v>-9.22</v>
      </c>
      <c r="AF988" s="438"/>
      <c r="AG988" s="445">
        <v>0.75</v>
      </c>
      <c r="AH988" s="438"/>
      <c r="AI988" s="446" t="str">
        <f>IF(ISNUMBER(VLOOKUP(B988,'New Masses'!A:C,2, FALSE)),VLOOKUP(B988,'New Masses'!A:C,2, FALSE),"")</f>
        <v/>
      </c>
      <c r="AJ988" s="438"/>
      <c r="AK988" s="437"/>
      <c r="AL988" s="447">
        <v>-2.17</v>
      </c>
      <c r="AM988" s="438"/>
      <c r="AN988" s="436">
        <v>3.0</v>
      </c>
      <c r="AO988" s="438"/>
      <c r="AP988" s="436"/>
      <c r="AQ988" s="436"/>
      <c r="AR988" s="438"/>
      <c r="AS988" s="438"/>
      <c r="AT988" s="438" t="s">
        <v>5916</v>
      </c>
      <c r="AU988" s="438" t="s">
        <v>705</v>
      </c>
      <c r="AV988" s="438"/>
      <c r="AW988" s="450"/>
    </row>
    <row r="989">
      <c r="A989" s="435" t="str">
        <f t="shared" ref="A989:C989" si="809">A454</f>
        <v>Cl* IC 348 LRL 336</v>
      </c>
      <c r="B989" s="485" t="str">
        <f t="shared" si="809"/>
        <v>Cl* IC 348 LRL 336</v>
      </c>
      <c r="C989" s="486" t="str">
        <f t="shared" si="809"/>
        <v/>
      </c>
      <c r="D989" s="486"/>
      <c r="E989" s="486"/>
      <c r="F989" s="528"/>
      <c r="G989" s="486"/>
      <c r="H989" s="486" t="s">
        <v>5917</v>
      </c>
      <c r="I989" s="491"/>
      <c r="J989" s="491"/>
      <c r="K989" s="491"/>
      <c r="L989" s="491"/>
      <c r="M989" s="486"/>
      <c r="N989" s="422"/>
      <c r="O989" s="422"/>
      <c r="P989" s="422"/>
      <c r="Q989" s="486"/>
      <c r="R989" s="491"/>
      <c r="S989" s="491"/>
      <c r="T989" s="491"/>
      <c r="U989" s="491"/>
      <c r="V989" s="491"/>
      <c r="W989" s="493"/>
      <c r="X989" s="486"/>
      <c r="Y989" s="442"/>
      <c r="Z989" s="491"/>
      <c r="AA989" s="524" t="str">
        <f>AC454</f>
        <v/>
      </c>
      <c r="AB989" s="494"/>
      <c r="AC989" s="436"/>
      <c r="AD989" s="495"/>
      <c r="AE989" s="491"/>
      <c r="AF989" s="491"/>
      <c r="AG989" s="525" t="str">
        <f>AI454</f>
        <v/>
      </c>
      <c r="AH989" s="491"/>
      <c r="AI989" s="446"/>
      <c r="AJ989" s="491"/>
      <c r="AK989" s="500"/>
      <c r="AL989" s="436"/>
      <c r="AM989" s="438"/>
      <c r="AN989" s="531"/>
      <c r="AO989" s="491"/>
      <c r="AP989" s="438"/>
      <c r="AQ989" s="438"/>
      <c r="AR989" s="438"/>
      <c r="AS989" s="438"/>
      <c r="AT989" s="438"/>
      <c r="AU989" s="438"/>
      <c r="AV989" s="438"/>
      <c r="AW989" s="450">
        <f>AW454</f>
        <v>248.651068</v>
      </c>
    </row>
    <row r="990">
      <c r="A990" s="419" t="s">
        <v>442</v>
      </c>
      <c r="B990" s="475" t="s">
        <v>2734</v>
      </c>
      <c r="C990" s="436"/>
      <c r="D990" s="436" t="s">
        <v>199</v>
      </c>
      <c r="E990" s="436"/>
      <c r="F990" s="436" t="s">
        <v>2735</v>
      </c>
      <c r="G990" s="436" t="s">
        <v>169</v>
      </c>
      <c r="H990" s="436" t="s">
        <v>413</v>
      </c>
      <c r="I990" s="456">
        <v>35400.0</v>
      </c>
      <c r="J990" s="438"/>
      <c r="K990" s="438"/>
      <c r="L990" s="436" t="s">
        <v>434</v>
      </c>
      <c r="M990" s="439"/>
      <c r="N990" s="422">
        <v>9.1</v>
      </c>
      <c r="O990" s="422">
        <v>7.736</v>
      </c>
      <c r="P990" s="422">
        <v>11.89</v>
      </c>
      <c r="Q990" s="436" t="s">
        <v>2189</v>
      </c>
      <c r="R990" s="436" t="s">
        <v>2257</v>
      </c>
      <c r="S990" s="436" t="s">
        <v>414</v>
      </c>
      <c r="T990" s="436" t="s">
        <v>293</v>
      </c>
      <c r="U990" s="436" t="s">
        <v>294</v>
      </c>
      <c r="V990" s="440"/>
      <c r="W990" s="474">
        <v>0.925</v>
      </c>
      <c r="X990" s="436"/>
      <c r="Y990" s="442"/>
      <c r="Z990" s="469"/>
      <c r="AA990" s="470">
        <v>1.99</v>
      </c>
      <c r="AB990" s="470"/>
      <c r="AC990" s="436" t="str">
        <f>IF(ISNUMBER(VLOOKUP(B990,'New Masses'!A:C,3,FALSE)),VLOOKUP(B990,'New Masses'!A:C,3,FALSE),"")</f>
        <v/>
      </c>
      <c r="AD990" s="451">
        <v>2.88E-8</v>
      </c>
      <c r="AE990" s="438">
        <f>LOG10(AD990)</f>
        <v>-7.540607512</v>
      </c>
      <c r="AF990" s="438"/>
      <c r="AG990" s="459">
        <v>0.49</v>
      </c>
      <c r="AH990" s="436"/>
      <c r="AI990" s="446" t="str">
        <f>IF(ISNUMBER(VLOOKUP(B990,'New Masses'!A:C,2, FALSE)),VLOOKUP(B990,'New Masses'!A:C,2, FALSE),"")</f>
        <v/>
      </c>
      <c r="AJ990" s="436"/>
      <c r="AK990" s="436"/>
      <c r="AL990" s="436">
        <v>0.179</v>
      </c>
      <c r="AM990" s="438"/>
      <c r="AN990" s="436">
        <v>1.0</v>
      </c>
      <c r="AO990" s="438"/>
      <c r="AP990" s="438"/>
      <c r="AQ990" s="438"/>
      <c r="AR990" s="438"/>
      <c r="AS990" s="438"/>
      <c r="AT990" s="438"/>
      <c r="AU990" s="438"/>
      <c r="AV990" s="438"/>
      <c r="AW990" s="450">
        <v>129.075560833311</v>
      </c>
    </row>
    <row r="991">
      <c r="A991" s="435" t="str">
        <f t="shared" ref="A991:C991" si="810">A456</f>
        <v>Cl* IC 348 LRL 382</v>
      </c>
      <c r="B991" s="485" t="str">
        <f t="shared" si="810"/>
        <v>IC348 382</v>
      </c>
      <c r="C991" s="486" t="str">
        <f t="shared" si="810"/>
        <v/>
      </c>
      <c r="D991" s="486"/>
      <c r="E991" s="486"/>
      <c r="F991" s="528"/>
      <c r="G991" s="486"/>
      <c r="H991" s="486" t="s">
        <v>5917</v>
      </c>
      <c r="I991" s="491"/>
      <c r="J991" s="491"/>
      <c r="K991" s="491"/>
      <c r="L991" s="491"/>
      <c r="M991" s="486"/>
      <c r="N991" s="422"/>
      <c r="O991" s="422"/>
      <c r="P991" s="422"/>
      <c r="Q991" s="486"/>
      <c r="R991" s="491"/>
      <c r="S991" s="491"/>
      <c r="T991" s="491"/>
      <c r="U991" s="491"/>
      <c r="V991" s="491"/>
      <c r="W991" s="493"/>
      <c r="X991" s="486"/>
      <c r="Y991" s="442"/>
      <c r="Z991" s="491"/>
      <c r="AA991" s="524" t="str">
        <f>AC456</f>
        <v/>
      </c>
      <c r="AB991" s="494"/>
      <c r="AC991" s="436"/>
      <c r="AD991" s="495"/>
      <c r="AE991" s="491"/>
      <c r="AF991" s="491"/>
      <c r="AG991" s="525" t="str">
        <f>AI456</f>
        <v/>
      </c>
      <c r="AH991" s="491"/>
      <c r="AI991" s="446"/>
      <c r="AJ991" s="491"/>
      <c r="AK991" s="500"/>
      <c r="AL991" s="436"/>
      <c r="AM991" s="438"/>
      <c r="AN991" s="531"/>
      <c r="AO991" s="491"/>
      <c r="AP991" s="438"/>
      <c r="AQ991" s="438"/>
      <c r="AR991" s="438"/>
      <c r="AS991" s="438"/>
      <c r="AT991" s="438"/>
      <c r="AU991" s="438"/>
      <c r="AV991" s="438"/>
      <c r="AW991" s="450" t="str">
        <f>AW456</f>
        <v/>
      </c>
    </row>
    <row r="992">
      <c r="A992" s="435" t="s">
        <v>574</v>
      </c>
      <c r="B992" s="451" t="s">
        <v>575</v>
      </c>
      <c r="C992" s="440"/>
      <c r="D992" s="440" t="s">
        <v>314</v>
      </c>
      <c r="E992" s="440"/>
      <c r="F992" s="451" t="s">
        <v>2736</v>
      </c>
      <c r="G992" s="440" t="s">
        <v>169</v>
      </c>
      <c r="H992" s="440" t="s">
        <v>476</v>
      </c>
      <c r="I992" s="438"/>
      <c r="J992" s="460">
        <v>3850.0</v>
      </c>
      <c r="K992" s="460">
        <v>177.0</v>
      </c>
      <c r="L992" s="460" t="s">
        <v>427</v>
      </c>
      <c r="M992" s="461">
        <v>0.5</v>
      </c>
      <c r="N992" s="422"/>
      <c r="O992" s="422"/>
      <c r="P992" s="422"/>
      <c r="Q992" s="440" t="s">
        <v>2189</v>
      </c>
      <c r="R992" s="451" t="s">
        <v>2190</v>
      </c>
      <c r="S992" s="451" t="s">
        <v>2191</v>
      </c>
      <c r="T992" s="462" t="s">
        <v>162</v>
      </c>
      <c r="U992" s="451" t="s">
        <v>2192</v>
      </c>
      <c r="V992" s="440"/>
      <c r="W992" s="514">
        <v>0.488</v>
      </c>
      <c r="X992" s="447">
        <v>0.225</v>
      </c>
      <c r="Y992" s="442">
        <f>IF((W992/((J992/5780)^4))^0.5&gt;0,(W992/((J992/5780)^4))^0.5,"")</f>
        <v>1.574505307</v>
      </c>
      <c r="Z992" s="464">
        <f>0.5*((X988/W988)^2 + 16*(K988/J988)^2)^0.5</f>
        <v>0</v>
      </c>
      <c r="AA992" s="465">
        <v>1.61</v>
      </c>
      <c r="AB992" s="465">
        <v>0.37</v>
      </c>
      <c r="AC992" s="436" t="str">
        <f>IF(ISNUMBER(VLOOKUP(B992,'New Masses'!A:C,3,FALSE)),VLOOKUP(B992,'New Masses'!A:C,3,FALSE),"")</f>
        <v/>
      </c>
      <c r="AD992" s="440">
        <f>10^AE992</f>
        <v>0.000000007244359601</v>
      </c>
      <c r="AE992" s="460">
        <v>-8.14</v>
      </c>
      <c r="AF992" s="440"/>
      <c r="AG992" s="445">
        <v>0.57</v>
      </c>
      <c r="AH992" s="460">
        <v>0.15</v>
      </c>
      <c r="AI992" s="446" t="str">
        <f>IF(ISNUMBER(VLOOKUP(B992,'New Masses'!A:C,2, FALSE)),VLOOKUP(B992,'New Masses'!A:C,2, FALSE),"")</f>
        <v/>
      </c>
      <c r="AJ992" s="440">
        <f>LOG10(AG992)</f>
        <v>-0.2441251443</v>
      </c>
      <c r="AK992" s="460"/>
      <c r="AL992" s="460">
        <v>-1.2</v>
      </c>
      <c r="AM992" s="466">
        <v>43900.0</v>
      </c>
      <c r="AN992" s="436">
        <v>3.0</v>
      </c>
      <c r="AO992" s="440"/>
      <c r="AP992" s="440"/>
      <c r="AQ992" s="440"/>
      <c r="AR992" s="440"/>
      <c r="AS992" s="440"/>
      <c r="AT992" s="440"/>
      <c r="AU992" s="440"/>
      <c r="AV992" s="440"/>
      <c r="AW992" s="450">
        <v>158.478605</v>
      </c>
    </row>
    <row r="993">
      <c r="A993" s="435" t="str">
        <f t="shared" ref="A993:C993" si="811">A458</f>
        <v>Cl* IC 348 LRL 382</v>
      </c>
      <c r="B993" s="485" t="str">
        <f t="shared" si="811"/>
        <v>Cl* IC 348 LRL 382</v>
      </c>
      <c r="C993" s="486" t="str">
        <f t="shared" si="811"/>
        <v/>
      </c>
      <c r="D993" s="486"/>
      <c r="E993" s="486"/>
      <c r="F993" s="528"/>
      <c r="G993" s="486"/>
      <c r="H993" s="486" t="s">
        <v>5917</v>
      </c>
      <c r="I993" s="491"/>
      <c r="J993" s="491"/>
      <c r="K993" s="491"/>
      <c r="L993" s="491"/>
      <c r="M993" s="486"/>
      <c r="N993" s="422"/>
      <c r="O993" s="422"/>
      <c r="P993" s="422"/>
      <c r="Q993" s="486"/>
      <c r="R993" s="491"/>
      <c r="S993" s="491"/>
      <c r="T993" s="491"/>
      <c r="U993" s="491"/>
      <c r="V993" s="491"/>
      <c r="W993" s="493"/>
      <c r="X993" s="486"/>
      <c r="Y993" s="442"/>
      <c r="Z993" s="491"/>
      <c r="AA993" s="524" t="str">
        <f>AC458</f>
        <v/>
      </c>
      <c r="AB993" s="494"/>
      <c r="AC993" s="436"/>
      <c r="AD993" s="495"/>
      <c r="AE993" s="491"/>
      <c r="AF993" s="491"/>
      <c r="AG993" s="525" t="str">
        <f>AI458</f>
        <v/>
      </c>
      <c r="AH993" s="491"/>
      <c r="AI993" s="446"/>
      <c r="AJ993" s="491"/>
      <c r="AK993" s="500"/>
      <c r="AL993" s="436"/>
      <c r="AM993" s="438"/>
      <c r="AN993" s="531"/>
      <c r="AO993" s="491"/>
      <c r="AP993" s="438"/>
      <c r="AQ993" s="438"/>
      <c r="AR993" s="438"/>
      <c r="AS993" s="438"/>
      <c r="AT993" s="438"/>
      <c r="AU993" s="438"/>
      <c r="AV993" s="438"/>
      <c r="AW993" s="450" t="str">
        <f>AW458</f>
        <v/>
      </c>
    </row>
    <row r="994">
      <c r="A994" s="435" t="s">
        <v>528</v>
      </c>
      <c r="B994" s="451" t="s">
        <v>529</v>
      </c>
      <c r="C994" s="440"/>
      <c r="D994" s="440" t="s">
        <v>314</v>
      </c>
      <c r="E994" s="440"/>
      <c r="F994" s="451" t="s">
        <v>2737</v>
      </c>
      <c r="G994" s="440" t="s">
        <v>169</v>
      </c>
      <c r="H994" s="440" t="s">
        <v>476</v>
      </c>
      <c r="I994" s="438"/>
      <c r="J994" s="460">
        <v>3197.0</v>
      </c>
      <c r="K994" s="460">
        <v>74.0</v>
      </c>
      <c r="L994" s="460" t="s">
        <v>402</v>
      </c>
      <c r="M994" s="461">
        <v>0.5</v>
      </c>
      <c r="N994" s="422"/>
      <c r="O994" s="422"/>
      <c r="P994" s="422"/>
      <c r="Q994" s="440" t="s">
        <v>2189</v>
      </c>
      <c r="R994" s="451" t="s">
        <v>2190</v>
      </c>
      <c r="S994" s="451" t="s">
        <v>2191</v>
      </c>
      <c r="T994" s="462" t="s">
        <v>162</v>
      </c>
      <c r="U994" s="451" t="s">
        <v>2192</v>
      </c>
      <c r="V994" s="440"/>
      <c r="W994" s="514">
        <v>0.118</v>
      </c>
      <c r="X994" s="447">
        <v>0.054</v>
      </c>
      <c r="Y994" s="442">
        <f>IF((W994/((J994/5780)^4))^0.5&gt;0,(W994/((J994/5780)^4))^0.5,"")</f>
        <v>1.122823279</v>
      </c>
      <c r="Z994" s="464" t="str">
        <f>0.5*((X990/W990)^2 + 16*(K990/J990)^2)^0.5</f>
        <v>#DIV/0!</v>
      </c>
      <c r="AA994" s="465">
        <v>1.12</v>
      </c>
      <c r="AB994" s="465">
        <v>0.26</v>
      </c>
      <c r="AC994" s="436" t="str">
        <f>IF(ISNUMBER(VLOOKUP(B994,'New Masses'!A:C,3,FALSE)),VLOOKUP(B994,'New Masses'!A:C,3,FALSE),"")</f>
        <v/>
      </c>
      <c r="AD994" s="440">
        <f>10^AE994</f>
        <v>0.0000000001819700859</v>
      </c>
      <c r="AE994" s="460">
        <v>-9.74</v>
      </c>
      <c r="AF994" s="440"/>
      <c r="AG994" s="445">
        <v>0.2</v>
      </c>
      <c r="AH994" s="460">
        <v>0.03</v>
      </c>
      <c r="AI994" s="446" t="str">
        <f>IF(ISNUMBER(VLOOKUP(B994,'New Masses'!A:C,2, FALSE)),VLOOKUP(B994,'New Masses'!A:C,2, FALSE),"")</f>
        <v/>
      </c>
      <c r="AJ994" s="440">
        <f>LOG10(AG994)</f>
        <v>-0.6989700043</v>
      </c>
      <c r="AK994" s="460"/>
      <c r="AL994" s="460">
        <v>-3.1</v>
      </c>
      <c r="AM994" s="466">
        <v>43900.0</v>
      </c>
      <c r="AN994" s="436">
        <v>3.0</v>
      </c>
      <c r="AO994" s="440"/>
      <c r="AP994" s="440"/>
      <c r="AQ994" s="440"/>
      <c r="AR994" s="440"/>
      <c r="AS994" s="440"/>
      <c r="AT994" s="440"/>
      <c r="AU994" s="440"/>
      <c r="AV994" s="440"/>
      <c r="AW994" s="450">
        <v>158.982512</v>
      </c>
    </row>
    <row r="995">
      <c r="A995" s="435" t="str">
        <f t="shared" ref="A995:C995" si="812">A460</f>
        <v>#REF!</v>
      </c>
      <c r="B995" s="485" t="str">
        <f t="shared" si="812"/>
        <v>#REF!</v>
      </c>
      <c r="C995" s="486" t="str">
        <f t="shared" si="812"/>
        <v>#REF!</v>
      </c>
      <c r="D995" s="486"/>
      <c r="E995" s="486"/>
      <c r="F995" s="528"/>
      <c r="G995" s="486"/>
      <c r="H995" s="486" t="s">
        <v>5917</v>
      </c>
      <c r="I995" s="491"/>
      <c r="J995" s="491"/>
      <c r="K995" s="491"/>
      <c r="L995" s="491"/>
      <c r="M995" s="486"/>
      <c r="N995" s="422"/>
      <c r="O995" s="422"/>
      <c r="P995" s="422"/>
      <c r="Q995" s="486"/>
      <c r="R995" s="491"/>
      <c r="S995" s="491"/>
      <c r="T995" s="491"/>
      <c r="U995" s="491"/>
      <c r="V995" s="491"/>
      <c r="W995" s="493"/>
      <c r="X995" s="486"/>
      <c r="Y995" s="442"/>
      <c r="Z995" s="491"/>
      <c r="AA995" s="524" t="str">
        <f>AC460</f>
        <v/>
      </c>
      <c r="AB995" s="494"/>
      <c r="AC995" s="436"/>
      <c r="AD995" s="495"/>
      <c r="AE995" s="491"/>
      <c r="AF995" s="491"/>
      <c r="AG995" s="525" t="str">
        <f>AI460</f>
        <v/>
      </c>
      <c r="AH995" s="491"/>
      <c r="AI995" s="446"/>
      <c r="AJ995" s="491"/>
      <c r="AK995" s="500"/>
      <c r="AL995" s="436"/>
      <c r="AM995" s="438"/>
      <c r="AN995" s="531"/>
      <c r="AO995" s="491"/>
      <c r="AP995" s="438"/>
      <c r="AQ995" s="438"/>
      <c r="AR995" s="438"/>
      <c r="AS995" s="438"/>
      <c r="AT995" s="438"/>
      <c r="AU995" s="438"/>
      <c r="AV995" s="438"/>
      <c r="AW995" s="450" t="str">
        <f>AW460</f>
        <v>#REF!</v>
      </c>
    </row>
    <row r="996">
      <c r="A996" s="435" t="s">
        <v>1752</v>
      </c>
      <c r="B996" s="436" t="s">
        <v>1753</v>
      </c>
      <c r="C996" s="436"/>
      <c r="D996" s="436" t="s">
        <v>350</v>
      </c>
      <c r="E996" s="436"/>
      <c r="F996" s="436" t="s">
        <v>2738</v>
      </c>
      <c r="G996" s="437" t="s">
        <v>169</v>
      </c>
      <c r="H996" s="437" t="s">
        <v>702</v>
      </c>
      <c r="I996" s="437" t="s">
        <v>1999</v>
      </c>
      <c r="J996" s="437">
        <v>4000.0</v>
      </c>
      <c r="K996" s="438"/>
      <c r="L996" s="436" t="s">
        <v>1423</v>
      </c>
      <c r="M996" s="439"/>
      <c r="N996" s="422">
        <v>11.518</v>
      </c>
      <c r="O996" s="422">
        <v>10.421</v>
      </c>
      <c r="P996" s="422">
        <v>13.44</v>
      </c>
      <c r="Q996" s="436" t="s">
        <v>1632</v>
      </c>
      <c r="R996" s="438"/>
      <c r="S996" s="436" t="s">
        <v>2000</v>
      </c>
      <c r="T996" s="436" t="s">
        <v>1632</v>
      </c>
      <c r="U996" s="436" t="s">
        <v>1633</v>
      </c>
      <c r="V996" s="451"/>
      <c r="W996" s="441">
        <v>0.47</v>
      </c>
      <c r="X996" s="438"/>
      <c r="Y996" s="442">
        <f>IF((W996/((J996/5780)^4))^0.5&gt;0,(W996/((J996/5780)^4))^0.5,"")</f>
        <v>1.43147782</v>
      </c>
      <c r="Z996" s="442"/>
      <c r="AA996" s="443"/>
      <c r="AB996" s="443"/>
      <c r="AC996" s="436" t="str">
        <f>IF(ISNUMBER(VLOOKUP(B996,'New Masses'!A:C,3,FALSE)),VLOOKUP(B996,'New Masses'!A:C,3,FALSE),"")</f>
        <v/>
      </c>
      <c r="AD996" s="440">
        <f>10^AE996</f>
        <v>0.0000000006760829754</v>
      </c>
      <c r="AE996" s="437">
        <v>-9.17</v>
      </c>
      <c r="AF996" s="438"/>
      <c r="AG996" s="445">
        <v>1.0</v>
      </c>
      <c r="AH996" s="438"/>
      <c r="AI996" s="446" t="str">
        <f>IF(ISNUMBER(VLOOKUP(B996,'New Masses'!A:C,2, FALSE)),VLOOKUP(B996,'New Masses'!A:C,2, FALSE),"")</f>
        <v/>
      </c>
      <c r="AJ996" s="438"/>
      <c r="AK996" s="437"/>
      <c r="AL996" s="447">
        <v>-1.93</v>
      </c>
      <c r="AM996" s="438"/>
      <c r="AN996" s="436">
        <v>3.0</v>
      </c>
      <c r="AO996" s="438"/>
      <c r="AP996" s="436"/>
      <c r="AQ996" s="436"/>
      <c r="AR996" s="438"/>
      <c r="AS996" s="438"/>
      <c r="AT996" s="438" t="s">
        <v>5916</v>
      </c>
      <c r="AU996" s="438" t="s">
        <v>705</v>
      </c>
      <c r="AV996" s="438"/>
      <c r="AW996" s="450">
        <v>404.710834109029</v>
      </c>
    </row>
    <row r="997">
      <c r="A997" s="435" t="str">
        <f t="shared" ref="A997:C997" si="813">A462</f>
        <v>Cl* IC 348 LRL 415</v>
      </c>
      <c r="B997" s="485" t="str">
        <f t="shared" si="813"/>
        <v>IC348 415</v>
      </c>
      <c r="C997" s="486" t="str">
        <f t="shared" si="813"/>
        <v/>
      </c>
      <c r="D997" s="486"/>
      <c r="E997" s="486"/>
      <c r="F997" s="528"/>
      <c r="G997" s="486"/>
      <c r="H997" s="486" t="s">
        <v>5917</v>
      </c>
      <c r="I997" s="491"/>
      <c r="J997" s="491"/>
      <c r="K997" s="491"/>
      <c r="L997" s="491"/>
      <c r="M997" s="486"/>
      <c r="N997" s="422"/>
      <c r="O997" s="422"/>
      <c r="P997" s="422"/>
      <c r="Q997" s="486"/>
      <c r="R997" s="491"/>
      <c r="S997" s="491"/>
      <c r="T997" s="491"/>
      <c r="U997" s="491"/>
      <c r="V997" s="491"/>
      <c r="W997" s="493"/>
      <c r="X997" s="486"/>
      <c r="Y997" s="442"/>
      <c r="Z997" s="491"/>
      <c r="AA997" s="619">
        <f>AC462</f>
        <v>0.604621</v>
      </c>
      <c r="AB997" s="494"/>
      <c r="AC997" s="436"/>
      <c r="AD997" s="495"/>
      <c r="AE997" s="491"/>
      <c r="AF997" s="491"/>
      <c r="AG997" s="525" t="str">
        <f>AI462</f>
        <v/>
      </c>
      <c r="AH997" s="491"/>
      <c r="AI997" s="446"/>
      <c r="AJ997" s="491"/>
      <c r="AK997" s="500"/>
      <c r="AL997" s="436"/>
      <c r="AM997" s="438"/>
      <c r="AN997" s="531"/>
      <c r="AO997" s="491"/>
      <c r="AP997" s="438"/>
      <c r="AQ997" s="438"/>
      <c r="AR997" s="438"/>
      <c r="AS997" s="438"/>
      <c r="AT997" s="438"/>
      <c r="AU997" s="438"/>
      <c r="AV997" s="438"/>
      <c r="AW997" s="450">
        <f>AW462</f>
        <v>417.9553624</v>
      </c>
    </row>
    <row r="998">
      <c r="A998" s="435" t="s">
        <v>2017</v>
      </c>
      <c r="B998" s="436" t="s">
        <v>2018</v>
      </c>
      <c r="C998" s="436"/>
      <c r="D998" s="436" t="s">
        <v>350</v>
      </c>
      <c r="E998" s="436"/>
      <c r="F998" s="436" t="s">
        <v>2739</v>
      </c>
      <c r="G998" s="437" t="s">
        <v>169</v>
      </c>
      <c r="H998" s="437" t="s">
        <v>702</v>
      </c>
      <c r="I998" s="437" t="s">
        <v>1999</v>
      </c>
      <c r="J998" s="437">
        <v>3900.0</v>
      </c>
      <c r="K998" s="438"/>
      <c r="L998" s="436" t="s">
        <v>459</v>
      </c>
      <c r="M998" s="439"/>
      <c r="N998" s="422">
        <v>11.495</v>
      </c>
      <c r="O998" s="422">
        <v>10.029</v>
      </c>
      <c r="P998" s="422"/>
      <c r="Q998" s="436" t="s">
        <v>1632</v>
      </c>
      <c r="R998" s="438"/>
      <c r="S998" s="436" t="s">
        <v>2000</v>
      </c>
      <c r="T998" s="436" t="s">
        <v>1632</v>
      </c>
      <c r="U998" s="436" t="s">
        <v>1633</v>
      </c>
      <c r="V998" s="451"/>
      <c r="W998" s="441">
        <v>0.63</v>
      </c>
      <c r="X998" s="438"/>
      <c r="Y998" s="442">
        <f>IF((W998/((J998/5780)^4))^0.5&gt;0,(W998/((J998/5780)^4))^0.5,"")</f>
        <v>1.743398779</v>
      </c>
      <c r="Z998" s="442"/>
      <c r="AA998" s="443"/>
      <c r="AB998" s="443"/>
      <c r="AC998" s="436" t="str">
        <f>IF(ISNUMBER(VLOOKUP(B998,'New Masses'!A:C,3,FALSE)),VLOOKUP(B998,'New Masses'!A:C,3,FALSE),"")</f>
        <v/>
      </c>
      <c r="AD998" s="440"/>
      <c r="AE998" s="437"/>
      <c r="AF998" s="438"/>
      <c r="AG998" s="445">
        <v>1.0</v>
      </c>
      <c r="AH998" s="438"/>
      <c r="AI998" s="446" t="str">
        <f>IF(ISNUMBER(VLOOKUP(B998,'New Masses'!A:C,2, FALSE)),VLOOKUP(B998,'New Masses'!A:C,2, FALSE),"")</f>
        <v/>
      </c>
      <c r="AJ998" s="438"/>
      <c r="AK998" s="437"/>
      <c r="AL998" s="437"/>
      <c r="AM998" s="438"/>
      <c r="AN998" s="436">
        <v>3.0</v>
      </c>
      <c r="AO998" s="438"/>
      <c r="AP998" s="438"/>
      <c r="AQ998" s="436"/>
      <c r="AR998" s="438"/>
      <c r="AS998" s="438"/>
      <c r="AT998" s="438"/>
      <c r="AU998" s="438" t="s">
        <v>705</v>
      </c>
      <c r="AV998" s="438"/>
      <c r="AW998" s="450">
        <v>397.883261051207</v>
      </c>
    </row>
    <row r="999">
      <c r="A999" s="435" t="str">
        <f t="shared" ref="A999:C999" si="814">A464</f>
        <v>Cl* IC 348 LRL 415</v>
      </c>
      <c r="B999" s="485" t="str">
        <f t="shared" si="814"/>
        <v>IC348 415</v>
      </c>
      <c r="C999" s="486" t="str">
        <f t="shared" si="814"/>
        <v/>
      </c>
      <c r="D999" s="486"/>
      <c r="E999" s="486"/>
      <c r="F999" s="528"/>
      <c r="G999" s="486"/>
      <c r="H999" s="486" t="s">
        <v>5917</v>
      </c>
      <c r="I999" s="491"/>
      <c r="J999" s="491"/>
      <c r="K999" s="491"/>
      <c r="L999" s="491"/>
      <c r="M999" s="486"/>
      <c r="N999" s="422"/>
      <c r="O999" s="422"/>
      <c r="P999" s="422"/>
      <c r="Q999" s="486"/>
      <c r="R999" s="491"/>
      <c r="S999" s="491"/>
      <c r="T999" s="491"/>
      <c r="U999" s="491"/>
      <c r="V999" s="491"/>
      <c r="W999" s="493"/>
      <c r="X999" s="486"/>
      <c r="Y999" s="442"/>
      <c r="Z999" s="491"/>
      <c r="AA999" s="619">
        <f>AC464</f>
        <v>0.604621</v>
      </c>
      <c r="AB999" s="494"/>
      <c r="AC999" s="436"/>
      <c r="AD999" s="495"/>
      <c r="AE999" s="491"/>
      <c r="AF999" s="491"/>
      <c r="AG999" s="525" t="str">
        <f>AI464</f>
        <v/>
      </c>
      <c r="AH999" s="491"/>
      <c r="AI999" s="446"/>
      <c r="AJ999" s="491"/>
      <c r="AK999" s="500"/>
      <c r="AL999" s="436"/>
      <c r="AM999" s="438"/>
      <c r="AN999" s="531"/>
      <c r="AO999" s="491"/>
      <c r="AP999" s="438"/>
      <c r="AQ999" s="438"/>
      <c r="AR999" s="438"/>
      <c r="AS999" s="438"/>
      <c r="AT999" s="438"/>
      <c r="AU999" s="438"/>
      <c r="AV999" s="438"/>
      <c r="AW999" s="450">
        <f>AW464</f>
        <v>417.9553624</v>
      </c>
    </row>
    <row r="1000">
      <c r="A1000" s="435" t="s">
        <v>1957</v>
      </c>
      <c r="B1000" s="436" t="s">
        <v>1958</v>
      </c>
      <c r="C1000" s="436"/>
      <c r="D1000" s="436" t="s">
        <v>676</v>
      </c>
      <c r="E1000" s="436"/>
      <c r="F1000" s="436" t="s">
        <v>2740</v>
      </c>
      <c r="G1000" s="436" t="s">
        <v>189</v>
      </c>
      <c r="H1000" s="436" t="s">
        <v>598</v>
      </c>
      <c r="I1000" s="467">
        <v>37985.0</v>
      </c>
      <c r="J1000" s="436">
        <v>3342.0</v>
      </c>
      <c r="K1000" s="436"/>
      <c r="L1000" s="436" t="s">
        <v>571</v>
      </c>
      <c r="M1000" s="439"/>
      <c r="N1000" s="422"/>
      <c r="O1000" s="422">
        <v>8.685</v>
      </c>
      <c r="P1000" s="422">
        <v>14.23</v>
      </c>
      <c r="Q1000" s="436" t="s">
        <v>2194</v>
      </c>
      <c r="R1000" s="436" t="s">
        <v>2195</v>
      </c>
      <c r="S1000" s="436" t="s">
        <v>2196</v>
      </c>
      <c r="T1000" s="436" t="s">
        <v>596</v>
      </c>
      <c r="U1000" s="436" t="s">
        <v>597</v>
      </c>
      <c r="V1000" s="451"/>
      <c r="W1000" s="468"/>
      <c r="X1000" s="436"/>
      <c r="Y1000" s="442" t="str">
        <f t="shared" ref="Y1000:Y1001" si="815">IF((W1000/((J1000/5780)^4))^0.5&gt;0,(W1000/((J1000/5780)^4))^0.5,"")</f>
        <v/>
      </c>
      <c r="Z1000" s="537"/>
      <c r="AA1000" s="470"/>
      <c r="AB1000" s="470"/>
      <c r="AC1000" s="436" t="str">
        <f>IF(ISNUMBER(VLOOKUP(B1000,'New Masses'!A:C,3,FALSE)),VLOOKUP(B1000,'New Masses'!A:C,3,FALSE),"")</f>
        <v/>
      </c>
      <c r="AD1000" s="440"/>
      <c r="AE1000" s="436"/>
      <c r="AF1000" s="436"/>
      <c r="AG1000" s="459">
        <v>0.35</v>
      </c>
      <c r="AH1000" s="436"/>
      <c r="AI1000" s="446" t="str">
        <f>IF(ISNUMBER(VLOOKUP(B1000,'New Masses'!A:C,2, FALSE)),VLOOKUP(B1000,'New Masses'!A:C,2, FALSE),"")</f>
        <v/>
      </c>
      <c r="AJ1000" s="436"/>
      <c r="AK1000" s="436"/>
      <c r="AL1000" s="436"/>
      <c r="AM1000" s="436"/>
      <c r="AN1000" s="436">
        <v>2.0</v>
      </c>
      <c r="AO1000" s="436"/>
      <c r="AP1000" s="436"/>
      <c r="AQ1000" s="438"/>
      <c r="AR1000" s="438"/>
      <c r="AS1000" s="438"/>
      <c r="AT1000" s="438"/>
      <c r="AU1000" s="438"/>
      <c r="AV1000" s="438"/>
      <c r="AW1000" s="450">
        <v>185.082361650934</v>
      </c>
    </row>
    <row r="1001">
      <c r="A1001" s="435" t="s">
        <v>1957</v>
      </c>
      <c r="B1001" s="436" t="s">
        <v>1959</v>
      </c>
      <c r="C1001" s="436"/>
      <c r="D1001" s="436" t="s">
        <v>676</v>
      </c>
      <c r="E1001" s="436"/>
      <c r="F1001" s="436" t="s">
        <v>2740</v>
      </c>
      <c r="G1001" s="436" t="s">
        <v>189</v>
      </c>
      <c r="H1001" s="436" t="s">
        <v>598</v>
      </c>
      <c r="I1001" s="467">
        <v>37985.0</v>
      </c>
      <c r="J1001" s="436">
        <v>3850.0</v>
      </c>
      <c r="K1001" s="436"/>
      <c r="L1001" s="436" t="s">
        <v>422</v>
      </c>
      <c r="M1001" s="439"/>
      <c r="N1001" s="422"/>
      <c r="O1001" s="422">
        <v>8.685</v>
      </c>
      <c r="P1001" s="422">
        <v>14.23</v>
      </c>
      <c r="Q1001" s="436" t="s">
        <v>2194</v>
      </c>
      <c r="R1001" s="436" t="s">
        <v>2195</v>
      </c>
      <c r="S1001" s="436" t="s">
        <v>2196</v>
      </c>
      <c r="T1001" s="436" t="s">
        <v>596</v>
      </c>
      <c r="U1001" s="436" t="s">
        <v>597</v>
      </c>
      <c r="V1001" s="451"/>
      <c r="W1001" s="474">
        <v>0.27</v>
      </c>
      <c r="X1001" s="436"/>
      <c r="Y1001" s="442">
        <f t="shared" si="815"/>
        <v>1.171159646</v>
      </c>
      <c r="Z1001" s="537"/>
      <c r="AA1001" s="470">
        <v>1.2</v>
      </c>
      <c r="AB1001" s="470"/>
      <c r="AC1001" s="436" t="str">
        <f>IF(ISNUMBER(VLOOKUP(B1001,'New Masses'!A:C,3,FALSE)),VLOOKUP(B1001,'New Masses'!A:C,3,FALSE),"")</f>
        <v/>
      </c>
      <c r="AD1001" s="440"/>
      <c r="AE1001" s="436"/>
      <c r="AF1001" s="436"/>
      <c r="AG1001" s="459">
        <v>0.73</v>
      </c>
      <c r="AH1001" s="436"/>
      <c r="AI1001" s="446" t="str">
        <f>IF(ISNUMBER(VLOOKUP(B1001,'New Masses'!A:C,2, FALSE)),VLOOKUP(B1001,'New Masses'!A:C,2, FALSE),"")</f>
        <v/>
      </c>
      <c r="AJ1001" s="436"/>
      <c r="AK1001" s="436"/>
      <c r="AL1001" s="436"/>
      <c r="AM1001" s="436"/>
      <c r="AN1001" s="436">
        <v>2.0</v>
      </c>
      <c r="AO1001" s="436"/>
      <c r="AP1001" s="436"/>
      <c r="AQ1001" s="438"/>
      <c r="AR1001" s="438"/>
      <c r="AS1001" s="438"/>
      <c r="AT1001" s="438"/>
      <c r="AU1001" s="438"/>
      <c r="AV1001" s="438"/>
      <c r="AW1001" s="450">
        <v>185.082361650934</v>
      </c>
    </row>
    <row r="1002">
      <c r="A1002" s="435" t="str">
        <f t="shared" ref="A1002:C1002" si="816">A467</f>
        <v>#REF!</v>
      </c>
      <c r="B1002" s="485" t="str">
        <f t="shared" si="816"/>
        <v>#REF!</v>
      </c>
      <c r="C1002" s="486" t="str">
        <f t="shared" si="816"/>
        <v>#REF!</v>
      </c>
      <c r="D1002" s="486"/>
      <c r="E1002" s="486"/>
      <c r="F1002" s="528"/>
      <c r="G1002" s="486"/>
      <c r="H1002" s="486" t="s">
        <v>5917</v>
      </c>
      <c r="I1002" s="491"/>
      <c r="J1002" s="491"/>
      <c r="K1002" s="491"/>
      <c r="L1002" s="491"/>
      <c r="M1002" s="486"/>
      <c r="N1002" s="422"/>
      <c r="O1002" s="422"/>
      <c r="P1002" s="422"/>
      <c r="Q1002" s="486"/>
      <c r="R1002" s="491"/>
      <c r="S1002" s="491"/>
      <c r="T1002" s="491"/>
      <c r="U1002" s="491"/>
      <c r="V1002" s="491"/>
      <c r="W1002" s="493"/>
      <c r="X1002" s="486"/>
      <c r="Y1002" s="442"/>
      <c r="Z1002" s="491"/>
      <c r="AA1002" s="524" t="str">
        <f t="shared" ref="AA1002:AA1003" si="818">AC467</f>
        <v/>
      </c>
      <c r="AB1002" s="494"/>
      <c r="AC1002" s="436"/>
      <c r="AD1002" s="495"/>
      <c r="AE1002" s="491"/>
      <c r="AF1002" s="491"/>
      <c r="AG1002" s="525" t="str">
        <f t="shared" ref="AG1002:AG1003" si="819">AI467</f>
        <v/>
      </c>
      <c r="AH1002" s="491"/>
      <c r="AI1002" s="446"/>
      <c r="AJ1002" s="491"/>
      <c r="AK1002" s="500"/>
      <c r="AL1002" s="436"/>
      <c r="AM1002" s="438"/>
      <c r="AN1002" s="531"/>
      <c r="AO1002" s="491"/>
      <c r="AP1002" s="438"/>
      <c r="AQ1002" s="438"/>
      <c r="AR1002" s="438"/>
      <c r="AS1002" s="438"/>
      <c r="AT1002" s="438"/>
      <c r="AU1002" s="438"/>
      <c r="AV1002" s="438"/>
      <c r="AW1002" s="450" t="str">
        <f t="shared" ref="AW1002:AW1003" si="820">AW467</f>
        <v>#REF!</v>
      </c>
    </row>
    <row r="1003">
      <c r="A1003" s="435" t="str">
        <f t="shared" ref="A1003:C1003" si="817">A468</f>
        <v>CV Cha</v>
      </c>
      <c r="B1003" s="485" t="str">
        <f t="shared" si="817"/>
        <v>CV Cha</v>
      </c>
      <c r="C1003" s="486" t="str">
        <f t="shared" si="817"/>
        <v/>
      </c>
      <c r="D1003" s="486"/>
      <c r="E1003" s="486"/>
      <c r="F1003" s="528"/>
      <c r="G1003" s="486"/>
      <c r="H1003" s="486" t="s">
        <v>5917</v>
      </c>
      <c r="I1003" s="491"/>
      <c r="J1003" s="491"/>
      <c r="K1003" s="491"/>
      <c r="L1003" s="491"/>
      <c r="M1003" s="486"/>
      <c r="N1003" s="422"/>
      <c r="O1003" s="422"/>
      <c r="P1003" s="422"/>
      <c r="Q1003" s="486"/>
      <c r="R1003" s="491"/>
      <c r="S1003" s="491"/>
      <c r="T1003" s="491"/>
      <c r="U1003" s="491"/>
      <c r="V1003" s="491"/>
      <c r="W1003" s="493"/>
      <c r="X1003" s="486"/>
      <c r="Y1003" s="442"/>
      <c r="Z1003" s="491"/>
      <c r="AA1003" s="524" t="str">
        <f t="shared" si="818"/>
        <v/>
      </c>
      <c r="AB1003" s="494"/>
      <c r="AC1003" s="436"/>
      <c r="AD1003" s="495"/>
      <c r="AE1003" s="491"/>
      <c r="AF1003" s="491"/>
      <c r="AG1003" s="525" t="str">
        <f t="shared" si="819"/>
        <v/>
      </c>
      <c r="AH1003" s="491"/>
      <c r="AI1003" s="446"/>
      <c r="AJ1003" s="491"/>
      <c r="AK1003" s="500"/>
      <c r="AL1003" s="436"/>
      <c r="AM1003" s="438"/>
      <c r="AN1003" s="531"/>
      <c r="AO1003" s="491"/>
      <c r="AP1003" s="438"/>
      <c r="AQ1003" s="438"/>
      <c r="AR1003" s="438"/>
      <c r="AS1003" s="438"/>
      <c r="AT1003" s="438"/>
      <c r="AU1003" s="438"/>
      <c r="AV1003" s="438"/>
      <c r="AW1003" s="450">
        <f t="shared" si="820"/>
        <v>193.2404491</v>
      </c>
    </row>
    <row r="1004">
      <c r="A1004" s="435" t="s">
        <v>2003</v>
      </c>
      <c r="B1004" s="436" t="s">
        <v>2004</v>
      </c>
      <c r="C1004" s="436"/>
      <c r="D1004" s="436" t="s">
        <v>350</v>
      </c>
      <c r="E1004" s="436"/>
      <c r="F1004" s="436" t="s">
        <v>2741</v>
      </c>
      <c r="G1004" s="437" t="s">
        <v>169</v>
      </c>
      <c r="H1004" s="437" t="s">
        <v>702</v>
      </c>
      <c r="I1004" s="437" t="s">
        <v>1999</v>
      </c>
      <c r="J1004" s="437">
        <v>3600.0</v>
      </c>
      <c r="K1004" s="438"/>
      <c r="L1004" s="436" t="s">
        <v>2006</v>
      </c>
      <c r="M1004" s="439"/>
      <c r="N1004" s="422">
        <v>10.131</v>
      </c>
      <c r="O1004" s="422">
        <v>8.666</v>
      </c>
      <c r="P1004" s="422">
        <v>11.38</v>
      </c>
      <c r="Q1004" s="436" t="s">
        <v>1632</v>
      </c>
      <c r="R1004" s="438"/>
      <c r="S1004" s="436" t="s">
        <v>2000</v>
      </c>
      <c r="T1004" s="436" t="s">
        <v>1632</v>
      </c>
      <c r="U1004" s="436" t="s">
        <v>1633</v>
      </c>
      <c r="V1004" s="451"/>
      <c r="W1004" s="441">
        <v>1.52</v>
      </c>
      <c r="X1004" s="438"/>
      <c r="Y1004" s="442">
        <f>IF((W1004/((J1004/5780)^4))^0.5&gt;0,(W1004/((J1004/5780)^4))^0.5,"")</f>
        <v>3.178135938</v>
      </c>
      <c r="Z1004" s="442"/>
      <c r="AA1004" s="443"/>
      <c r="AB1004" s="443"/>
      <c r="AC1004" s="436" t="str">
        <f>IF(ISNUMBER(VLOOKUP(B1004,'New Masses'!A:C,3,FALSE)),VLOOKUP(B1004,'New Masses'!A:C,3,FALSE),"")</f>
        <v/>
      </c>
      <c r="AD1004" s="440"/>
      <c r="AE1004" s="437"/>
      <c r="AF1004" s="438"/>
      <c r="AG1004" s="445">
        <v>0.75</v>
      </c>
      <c r="AH1004" s="438"/>
      <c r="AI1004" s="446" t="str">
        <f>IF(ISNUMBER(VLOOKUP(B1004,'New Masses'!A:C,2, FALSE)),VLOOKUP(B1004,'New Masses'!A:C,2, FALSE),"")</f>
        <v/>
      </c>
      <c r="AJ1004" s="438"/>
      <c r="AK1004" s="437"/>
      <c r="AL1004" s="437"/>
      <c r="AM1004" s="438"/>
      <c r="AN1004" s="436">
        <v>3.0</v>
      </c>
      <c r="AO1004" s="438"/>
      <c r="AP1004" s="438"/>
      <c r="AQ1004" s="436"/>
      <c r="AR1004" s="438"/>
      <c r="AS1004" s="438"/>
      <c r="AT1004" s="438"/>
      <c r="AU1004" s="438" t="s">
        <v>705</v>
      </c>
      <c r="AV1004" s="438"/>
      <c r="AW1004" s="450">
        <v>571.886080292805</v>
      </c>
    </row>
    <row r="1005">
      <c r="A1005" s="435" t="str">
        <f t="shared" ref="A1005:C1005" si="821">A470</f>
        <v>CY Tau</v>
      </c>
      <c r="B1005" s="485" t="str">
        <f t="shared" si="821"/>
        <v>CY Tau</v>
      </c>
      <c r="C1005" s="486" t="str">
        <f t="shared" si="821"/>
        <v/>
      </c>
      <c r="D1005" s="486"/>
      <c r="E1005" s="486"/>
      <c r="F1005" s="528"/>
      <c r="G1005" s="486"/>
      <c r="H1005" s="486" t="s">
        <v>5917</v>
      </c>
      <c r="I1005" s="491"/>
      <c r="J1005" s="491"/>
      <c r="K1005" s="491"/>
      <c r="L1005" s="491"/>
      <c r="M1005" s="486"/>
      <c r="N1005" s="422"/>
      <c r="O1005" s="422"/>
      <c r="P1005" s="422"/>
      <c r="Q1005" s="486"/>
      <c r="R1005" s="491"/>
      <c r="S1005" s="491"/>
      <c r="T1005" s="491"/>
      <c r="U1005" s="491"/>
      <c r="V1005" s="491"/>
      <c r="W1005" s="493"/>
      <c r="X1005" s="486"/>
      <c r="Y1005" s="442"/>
      <c r="Z1005" s="491"/>
      <c r="AA1005" s="524" t="str">
        <f>AC470</f>
        <v/>
      </c>
      <c r="AB1005" s="494"/>
      <c r="AC1005" s="436"/>
      <c r="AD1005" s="495"/>
      <c r="AE1005" s="491"/>
      <c r="AF1005" s="491"/>
      <c r="AG1005" s="525" t="str">
        <f>AI470</f>
        <v/>
      </c>
      <c r="AH1005" s="491"/>
      <c r="AI1005" s="446"/>
      <c r="AJ1005" s="491"/>
      <c r="AK1005" s="500"/>
      <c r="AL1005" s="436"/>
      <c r="AM1005" s="438"/>
      <c r="AN1005" s="531"/>
      <c r="AO1005" s="491"/>
      <c r="AP1005" s="438"/>
      <c r="AQ1005" s="438"/>
      <c r="AR1005" s="438"/>
      <c r="AS1005" s="438"/>
      <c r="AT1005" s="438"/>
      <c r="AU1005" s="438"/>
      <c r="AV1005" s="438"/>
      <c r="AW1005" s="450">
        <f>AW470</f>
        <v>128.8809269</v>
      </c>
    </row>
    <row r="1006">
      <c r="A1006" s="435" t="s">
        <v>706</v>
      </c>
      <c r="B1006" s="436" t="s">
        <v>707</v>
      </c>
      <c r="C1006" s="436"/>
      <c r="D1006" s="436" t="s">
        <v>350</v>
      </c>
      <c r="E1006" s="436"/>
      <c r="F1006" s="436" t="s">
        <v>2742</v>
      </c>
      <c r="G1006" s="437" t="s">
        <v>515</v>
      </c>
      <c r="H1006" s="437" t="s">
        <v>702</v>
      </c>
      <c r="I1006" s="437" t="s">
        <v>1999</v>
      </c>
      <c r="J1006" s="437">
        <v>3500.0</v>
      </c>
      <c r="K1006" s="438"/>
      <c r="L1006" s="436" t="s">
        <v>709</v>
      </c>
      <c r="M1006" s="439"/>
      <c r="N1006" s="422">
        <v>10.445</v>
      </c>
      <c r="O1006" s="422">
        <v>9.311</v>
      </c>
      <c r="P1006" s="422">
        <v>13.08</v>
      </c>
      <c r="Q1006" s="436" t="s">
        <v>1632</v>
      </c>
      <c r="R1006" s="438"/>
      <c r="S1006" s="436" t="s">
        <v>2000</v>
      </c>
      <c r="T1006" s="436" t="s">
        <v>1632</v>
      </c>
      <c r="U1006" s="436" t="s">
        <v>1633</v>
      </c>
      <c r="V1006" s="451"/>
      <c r="W1006" s="441">
        <v>0.69</v>
      </c>
      <c r="X1006" s="438"/>
      <c r="Y1006" s="442">
        <f>IF((W1006/((J1006/5780)^4))^0.5&gt;0,(W1006/((J1006/5780)^4))^0.5,"")</f>
        <v>2.265396022</v>
      </c>
      <c r="Z1006" s="442"/>
      <c r="AA1006" s="443"/>
      <c r="AB1006" s="443"/>
      <c r="AC1006" s="436" t="str">
        <f>IF(ISNUMBER(VLOOKUP(B1006,'New Masses'!A:C,3,FALSE)),VLOOKUP(B1006,'New Masses'!A:C,3,FALSE),"")</f>
        <v/>
      </c>
      <c r="AD1006" s="440"/>
      <c r="AE1006" s="437"/>
      <c r="AF1006" s="438"/>
      <c r="AG1006" s="445">
        <v>0.6</v>
      </c>
      <c r="AH1006" s="438"/>
      <c r="AI1006" s="446" t="str">
        <f>IF(ISNUMBER(VLOOKUP(B1006,'New Masses'!A:C,2, FALSE)),VLOOKUP(B1006,'New Masses'!A:C,2, FALSE),"")</f>
        <v/>
      </c>
      <c r="AJ1006" s="438"/>
      <c r="AK1006" s="437"/>
      <c r="AL1006" s="437"/>
      <c r="AM1006" s="438"/>
      <c r="AN1006" s="436">
        <v>3.0</v>
      </c>
      <c r="AO1006" s="438"/>
      <c r="AP1006" s="438"/>
      <c r="AQ1006" s="436"/>
      <c r="AR1006" s="438"/>
      <c r="AS1006" s="438"/>
      <c r="AT1006" s="438"/>
      <c r="AU1006" s="438" t="s">
        <v>705</v>
      </c>
      <c r="AV1006" s="438"/>
      <c r="AW1006" s="450">
        <v>411.353352529823</v>
      </c>
    </row>
    <row r="1007">
      <c r="A1007" s="435" t="str">
        <f t="shared" ref="A1007:C1007" si="822">A472</f>
        <v>DE Tau</v>
      </c>
      <c r="B1007" s="485" t="str">
        <f t="shared" si="822"/>
        <v>DE Tau</v>
      </c>
      <c r="C1007" s="486" t="str">
        <f t="shared" si="822"/>
        <v/>
      </c>
      <c r="D1007" s="486"/>
      <c r="E1007" s="486"/>
      <c r="F1007" s="528"/>
      <c r="G1007" s="486"/>
      <c r="H1007" s="486" t="s">
        <v>5917</v>
      </c>
      <c r="I1007" s="491"/>
      <c r="J1007" s="491"/>
      <c r="K1007" s="491"/>
      <c r="L1007" s="491"/>
      <c r="M1007" s="486"/>
      <c r="N1007" s="422"/>
      <c r="O1007" s="422"/>
      <c r="P1007" s="422"/>
      <c r="Q1007" s="486"/>
      <c r="R1007" s="491"/>
      <c r="S1007" s="491"/>
      <c r="T1007" s="491"/>
      <c r="U1007" s="491"/>
      <c r="V1007" s="491"/>
      <c r="W1007" s="493"/>
      <c r="X1007" s="486"/>
      <c r="Y1007" s="442"/>
      <c r="Z1007" s="491"/>
      <c r="AA1007" s="524" t="str">
        <f>AC472</f>
        <v/>
      </c>
      <c r="AB1007" s="494"/>
      <c r="AC1007" s="436"/>
      <c r="AD1007" s="495"/>
      <c r="AE1007" s="491"/>
      <c r="AF1007" s="491"/>
      <c r="AG1007" s="525" t="str">
        <f>AI472</f>
        <v/>
      </c>
      <c r="AH1007" s="491"/>
      <c r="AI1007" s="446"/>
      <c r="AJ1007" s="491"/>
      <c r="AK1007" s="500"/>
      <c r="AL1007" s="436"/>
      <c r="AM1007" s="438"/>
      <c r="AN1007" s="531"/>
      <c r="AO1007" s="491"/>
      <c r="AP1007" s="438"/>
      <c r="AQ1007" s="438"/>
      <c r="AR1007" s="438"/>
      <c r="AS1007" s="438"/>
      <c r="AT1007" s="438"/>
      <c r="AU1007" s="438"/>
      <c r="AV1007" s="438"/>
      <c r="AW1007" s="450">
        <f>AW472</f>
        <v>127.3690646</v>
      </c>
    </row>
    <row r="1008">
      <c r="A1008" s="435" t="s">
        <v>432</v>
      </c>
      <c r="B1008" s="436" t="s">
        <v>2743</v>
      </c>
      <c r="C1008" s="436"/>
      <c r="D1008" s="436" t="s">
        <v>199</v>
      </c>
      <c r="E1008" s="436"/>
      <c r="F1008" s="436" t="s">
        <v>2744</v>
      </c>
      <c r="G1008" s="436" t="s">
        <v>169</v>
      </c>
      <c r="H1008" s="436" t="s">
        <v>413</v>
      </c>
      <c r="I1008" s="456">
        <v>35400.0</v>
      </c>
      <c r="J1008" s="438"/>
      <c r="K1008" s="438"/>
      <c r="L1008" s="436" t="s">
        <v>434</v>
      </c>
      <c r="M1008" s="439"/>
      <c r="N1008" s="422">
        <v>9.134</v>
      </c>
      <c r="O1008" s="422">
        <v>7.239</v>
      </c>
      <c r="P1008" s="422">
        <v>10.59</v>
      </c>
      <c r="Q1008" s="436" t="s">
        <v>2189</v>
      </c>
      <c r="R1008" s="436" t="s">
        <v>2257</v>
      </c>
      <c r="S1008" s="436" t="s">
        <v>414</v>
      </c>
      <c r="T1008" s="436" t="s">
        <v>293</v>
      </c>
      <c r="U1008" s="436" t="s">
        <v>294</v>
      </c>
      <c r="V1008" s="440"/>
      <c r="W1008" s="468"/>
      <c r="X1008" s="436"/>
      <c r="Y1008" s="442"/>
      <c r="Z1008" s="537"/>
      <c r="AA1008" s="470">
        <v>2.6</v>
      </c>
      <c r="AB1008" s="470"/>
      <c r="AC1008" s="436" t="str">
        <f>IF(ISNUMBER(VLOOKUP(B1008,'New Masses'!A:C,3,FALSE)),VLOOKUP(B1008,'New Masses'!A:C,3,FALSE),"")</f>
        <v/>
      </c>
      <c r="AD1008" s="451">
        <v>6.56E-8</v>
      </c>
      <c r="AE1008" s="438">
        <f>LOG10(AD1008)</f>
        <v>-7.183096161</v>
      </c>
      <c r="AF1008" s="438"/>
      <c r="AG1008" s="459">
        <v>0.421</v>
      </c>
      <c r="AH1008" s="436"/>
      <c r="AI1008" s="446" t="str">
        <f>IF(ISNUMBER(VLOOKUP(B1008,'New Masses'!A:C,2, FALSE)),VLOOKUP(B1008,'New Masses'!A:C,2, FALSE),"")</f>
        <v/>
      </c>
      <c r="AJ1008" s="436"/>
      <c r="AK1008" s="436"/>
      <c r="AL1008" s="436">
        <v>0.268</v>
      </c>
      <c r="AM1008" s="438"/>
      <c r="AN1008" s="436">
        <v>1.0</v>
      </c>
      <c r="AO1008" s="438"/>
      <c r="AP1008" s="438"/>
      <c r="AQ1008" s="438"/>
      <c r="AR1008" s="438"/>
      <c r="AS1008" s="438"/>
      <c r="AT1008" s="438"/>
      <c r="AU1008" s="438"/>
      <c r="AV1008" s="438"/>
      <c r="AW1008" s="450">
        <v>155.608116519357</v>
      </c>
    </row>
    <row r="1009">
      <c r="A1009" s="435" t="str">
        <f t="shared" ref="A1009:C1009" si="823">A474</f>
        <v>DENIS J160603.9-205644</v>
      </c>
      <c r="B1009" s="485" t="str">
        <f t="shared" si="823"/>
        <v>USco DENIS 160603</v>
      </c>
      <c r="C1009" s="486" t="str">
        <f t="shared" si="823"/>
        <v>DENIS-P J160603.9-205644 (Herczeg 2009)</v>
      </c>
      <c r="D1009" s="486"/>
      <c r="E1009" s="486"/>
      <c r="F1009" s="528"/>
      <c r="G1009" s="486"/>
      <c r="H1009" s="486" t="s">
        <v>5917</v>
      </c>
      <c r="I1009" s="491"/>
      <c r="J1009" s="491"/>
      <c r="K1009" s="491"/>
      <c r="L1009" s="491"/>
      <c r="M1009" s="486"/>
      <c r="N1009" s="422"/>
      <c r="O1009" s="422"/>
      <c r="P1009" s="422"/>
      <c r="Q1009" s="486"/>
      <c r="R1009" s="491"/>
      <c r="S1009" s="491"/>
      <c r="T1009" s="491"/>
      <c r="U1009" s="491"/>
      <c r="V1009" s="491"/>
      <c r="W1009" s="493"/>
      <c r="X1009" s="486"/>
      <c r="Y1009" s="442"/>
      <c r="Z1009" s="491"/>
      <c r="AA1009" s="619">
        <f>AC474</f>
        <v>0.287334</v>
      </c>
      <c r="AB1009" s="494"/>
      <c r="AC1009" s="436"/>
      <c r="AD1009" s="495"/>
      <c r="AE1009" s="491"/>
      <c r="AF1009" s="491"/>
      <c r="AG1009" s="525">
        <f>AI474</f>
        <v>0.034142</v>
      </c>
      <c r="AH1009" s="491"/>
      <c r="AI1009" s="446"/>
      <c r="AJ1009" s="491"/>
      <c r="AK1009" s="500"/>
      <c r="AL1009" s="436"/>
      <c r="AM1009" s="438"/>
      <c r="AN1009" s="531"/>
      <c r="AO1009" s="491"/>
      <c r="AP1009" s="438"/>
      <c r="AQ1009" s="438"/>
      <c r="AR1009" s="438"/>
      <c r="AS1009" s="438"/>
      <c r="AT1009" s="438"/>
      <c r="AU1009" s="438"/>
      <c r="AV1009" s="438"/>
      <c r="AW1009" s="450">
        <f>AW474</f>
        <v>137</v>
      </c>
    </row>
    <row r="1010">
      <c r="A1010" s="435" t="s">
        <v>1954</v>
      </c>
      <c r="B1010" s="436" t="s">
        <v>1955</v>
      </c>
      <c r="C1010" s="436"/>
      <c r="D1010" s="436" t="s">
        <v>676</v>
      </c>
      <c r="E1010" s="436"/>
      <c r="F1010" s="436" t="s">
        <v>2745</v>
      </c>
      <c r="G1010" s="436" t="s">
        <v>169</v>
      </c>
      <c r="H1010" s="436" t="s">
        <v>598</v>
      </c>
      <c r="I1010" s="467">
        <v>37985.0</v>
      </c>
      <c r="J1010" s="436">
        <v>3138.0</v>
      </c>
      <c r="K1010" s="436"/>
      <c r="L1010" s="436" t="s">
        <v>1956</v>
      </c>
      <c r="M1010" s="439"/>
      <c r="N1010" s="422">
        <v>11.204</v>
      </c>
      <c r="O1010" s="422">
        <v>10.003</v>
      </c>
      <c r="P1010" s="422"/>
      <c r="Q1010" s="436" t="s">
        <v>2194</v>
      </c>
      <c r="R1010" s="436" t="s">
        <v>2195</v>
      </c>
      <c r="S1010" s="436" t="s">
        <v>2196</v>
      </c>
      <c r="T1010" s="436" t="s">
        <v>596</v>
      </c>
      <c r="U1010" s="436" t="s">
        <v>597</v>
      </c>
      <c r="V1010" s="451"/>
      <c r="W1010" s="474">
        <v>0.12</v>
      </c>
      <c r="X1010" s="436"/>
      <c r="Y1010" s="442">
        <f>IF((W1010/((J1010/5780)^4))^0.5&gt;0,(W1010/((J1010/5780)^4))^0.5,"")</f>
        <v>1.175277498</v>
      </c>
      <c r="Z1010" s="537"/>
      <c r="AA1010" s="470">
        <v>1.2</v>
      </c>
      <c r="AB1010" s="470"/>
      <c r="AC1010" s="436" t="str">
        <f>IF(ISNUMBER(VLOOKUP(B1010,'New Masses'!A:C,3,FALSE)),VLOOKUP(B1010,'New Masses'!A:C,3,FALSE),"")</f>
        <v/>
      </c>
      <c r="AD1010" s="440"/>
      <c r="AE1010" s="436"/>
      <c r="AF1010" s="436"/>
      <c r="AG1010" s="459">
        <v>0.18</v>
      </c>
      <c r="AH1010" s="436"/>
      <c r="AI1010" s="446" t="str">
        <f>IF(ISNUMBER(VLOOKUP(B1010,'New Masses'!A:C,2, FALSE)),VLOOKUP(B1010,'New Masses'!A:C,2, FALSE),"")</f>
        <v/>
      </c>
      <c r="AJ1010" s="436"/>
      <c r="AK1010" s="436"/>
      <c r="AL1010" s="436"/>
      <c r="AM1010" s="436"/>
      <c r="AN1010" s="436">
        <v>2.0</v>
      </c>
      <c r="AO1010" s="436"/>
      <c r="AP1010" s="436"/>
      <c r="AQ1010" s="436"/>
      <c r="AR1010" s="438"/>
      <c r="AS1010" s="438"/>
      <c r="AT1010" s="438"/>
      <c r="AU1010" s="420" t="s">
        <v>629</v>
      </c>
      <c r="AV1010" s="438"/>
      <c r="AW1010" s="450">
        <v>190.338421713807</v>
      </c>
    </row>
    <row r="1011">
      <c r="A1011" s="435" t="str">
        <f t="shared" ref="A1011:C1011" si="824">A476</f>
        <v>DENIS J160603.9-205644</v>
      </c>
      <c r="B1011" s="485" t="str">
        <f t="shared" si="824"/>
        <v>DENIS-P J160603.9-205644</v>
      </c>
      <c r="C1011" s="486" t="str">
        <f t="shared" si="824"/>
        <v/>
      </c>
      <c r="D1011" s="486"/>
      <c r="E1011" s="486"/>
      <c r="F1011" s="528"/>
      <c r="G1011" s="486"/>
      <c r="H1011" s="486" t="s">
        <v>5917</v>
      </c>
      <c r="I1011" s="491"/>
      <c r="J1011" s="491"/>
      <c r="K1011" s="491"/>
      <c r="L1011" s="491"/>
      <c r="M1011" s="486"/>
      <c r="N1011" s="422"/>
      <c r="O1011" s="422"/>
      <c r="P1011" s="422"/>
      <c r="Q1011" s="486"/>
      <c r="R1011" s="491"/>
      <c r="S1011" s="491"/>
      <c r="T1011" s="491"/>
      <c r="U1011" s="491"/>
      <c r="V1011" s="491"/>
      <c r="W1011" s="493"/>
      <c r="X1011" s="486"/>
      <c r="Y1011" s="442"/>
      <c r="Z1011" s="491"/>
      <c r="AA1011" s="619">
        <f>AC476</f>
        <v>0.291525</v>
      </c>
      <c r="AB1011" s="494"/>
      <c r="AC1011" s="436"/>
      <c r="AD1011" s="495"/>
      <c r="AE1011" s="491"/>
      <c r="AF1011" s="491"/>
      <c r="AG1011" s="525">
        <f>AI476</f>
        <v>0.03689</v>
      </c>
      <c r="AH1011" s="491"/>
      <c r="AI1011" s="446"/>
      <c r="AJ1011" s="491"/>
      <c r="AK1011" s="500"/>
      <c r="AL1011" s="436"/>
      <c r="AM1011" s="438"/>
      <c r="AN1011" s="531"/>
      <c r="AO1011" s="491"/>
      <c r="AP1011" s="438"/>
      <c r="AQ1011" s="438"/>
      <c r="AR1011" s="438"/>
      <c r="AS1011" s="438"/>
      <c r="AT1011" s="438"/>
      <c r="AU1011" s="438"/>
      <c r="AV1011" s="438"/>
      <c r="AW1011" s="450">
        <f>AW476</f>
        <v>137</v>
      </c>
    </row>
    <row r="1012">
      <c r="A1012" s="435" t="s">
        <v>1703</v>
      </c>
      <c r="B1012" s="436" t="s">
        <v>1704</v>
      </c>
      <c r="C1012" s="436"/>
      <c r="D1012" s="436" t="s">
        <v>350</v>
      </c>
      <c r="E1012" s="436"/>
      <c r="F1012" s="436" t="s">
        <v>2746</v>
      </c>
      <c r="G1012" s="437" t="s">
        <v>169</v>
      </c>
      <c r="H1012" s="437" t="s">
        <v>702</v>
      </c>
      <c r="I1012" s="437" t="s">
        <v>1999</v>
      </c>
      <c r="J1012" s="437">
        <v>3300.0</v>
      </c>
      <c r="K1012" s="438"/>
      <c r="L1012" s="436" t="s">
        <v>1685</v>
      </c>
      <c r="M1012" s="439"/>
      <c r="N1012" s="422">
        <v>13.685</v>
      </c>
      <c r="O1012" s="422">
        <v>12.424</v>
      </c>
      <c r="P1012" s="422">
        <v>17.22</v>
      </c>
      <c r="Q1012" s="436" t="s">
        <v>1632</v>
      </c>
      <c r="R1012" s="438"/>
      <c r="S1012" s="436" t="s">
        <v>2000</v>
      </c>
      <c r="T1012" s="436" t="s">
        <v>1632</v>
      </c>
      <c r="U1012" s="436" t="s">
        <v>1633</v>
      </c>
      <c r="V1012" s="451"/>
      <c r="W1012" s="441">
        <v>0.04</v>
      </c>
      <c r="X1012" s="438"/>
      <c r="Y1012" s="442">
        <f>IF((W1012/((J1012/5780)^4))^0.5&gt;0,(W1012/((J1012/5780)^4))^0.5,"")</f>
        <v>0.6135610652</v>
      </c>
      <c r="Z1012" s="442"/>
      <c r="AA1012" s="443"/>
      <c r="AB1012" s="443"/>
      <c r="AC1012" s="436" t="str">
        <f>IF(ISNUMBER(VLOOKUP(B1012,'New Masses'!A:C,3,FALSE)),VLOOKUP(B1012,'New Masses'!A:C,3,FALSE),"")</f>
        <v/>
      </c>
      <c r="AD1012" s="440">
        <f>10^AE1012</f>
        <v>0.0000000004265795188</v>
      </c>
      <c r="AE1012" s="437">
        <v>-9.37</v>
      </c>
      <c r="AF1012" s="438"/>
      <c r="AG1012" s="445">
        <v>0.25</v>
      </c>
      <c r="AH1012" s="438"/>
      <c r="AI1012" s="446" t="str">
        <f>IF(ISNUMBER(VLOOKUP(B1012,'New Masses'!A:C,2, FALSE)),VLOOKUP(B1012,'New Masses'!A:C,2, FALSE),"")</f>
        <v/>
      </c>
      <c r="AJ1012" s="438"/>
      <c r="AK1012" s="437"/>
      <c r="AL1012" s="447">
        <v>-2.39</v>
      </c>
      <c r="AM1012" s="438"/>
      <c r="AN1012" s="436">
        <v>3.0</v>
      </c>
      <c r="AO1012" s="438"/>
      <c r="AP1012" s="438"/>
      <c r="AQ1012" s="436"/>
      <c r="AR1012" s="438"/>
      <c r="AS1012" s="438"/>
      <c r="AT1012" s="438"/>
      <c r="AU1012" s="438" t="s">
        <v>705</v>
      </c>
      <c r="AV1012" s="438"/>
      <c r="AW1012" s="450">
        <v>377.700558996827</v>
      </c>
    </row>
    <row r="1013">
      <c r="A1013" s="435" t="str">
        <f t="shared" ref="A1013:C1013" si="825">A478</f>
        <v>#REF!</v>
      </c>
      <c r="B1013" s="485" t="str">
        <f t="shared" si="825"/>
        <v>#REF!</v>
      </c>
      <c r="C1013" s="486" t="str">
        <f t="shared" si="825"/>
        <v>#REF!</v>
      </c>
      <c r="D1013" s="486"/>
      <c r="E1013" s="486"/>
      <c r="F1013" s="528"/>
      <c r="G1013" s="486"/>
      <c r="H1013" s="486" t="s">
        <v>5917</v>
      </c>
      <c r="I1013" s="491"/>
      <c r="J1013" s="491"/>
      <c r="K1013" s="491"/>
      <c r="L1013" s="491"/>
      <c r="M1013" s="486"/>
      <c r="N1013" s="422"/>
      <c r="O1013" s="422"/>
      <c r="P1013" s="422"/>
      <c r="Q1013" s="486"/>
      <c r="R1013" s="491"/>
      <c r="S1013" s="491"/>
      <c r="T1013" s="491"/>
      <c r="U1013" s="491"/>
      <c r="V1013" s="491"/>
      <c r="W1013" s="493"/>
      <c r="X1013" s="486"/>
      <c r="Y1013" s="442"/>
      <c r="Z1013" s="491"/>
      <c r="AA1013" s="524" t="str">
        <f>AC478</f>
        <v/>
      </c>
      <c r="AB1013" s="494"/>
      <c r="AC1013" s="436"/>
      <c r="AD1013" s="495"/>
      <c r="AE1013" s="491"/>
      <c r="AF1013" s="491"/>
      <c r="AG1013" s="525" t="str">
        <f>AI478</f>
        <v/>
      </c>
      <c r="AH1013" s="491"/>
      <c r="AI1013" s="446"/>
      <c r="AJ1013" s="491"/>
      <c r="AK1013" s="500"/>
      <c r="AL1013" s="436"/>
      <c r="AM1013" s="438"/>
      <c r="AN1013" s="531"/>
      <c r="AO1013" s="491"/>
      <c r="AP1013" s="438"/>
      <c r="AQ1013" s="438"/>
      <c r="AR1013" s="438"/>
      <c r="AS1013" s="438"/>
      <c r="AT1013" s="438"/>
      <c r="AU1013" s="438"/>
      <c r="AV1013" s="438"/>
      <c r="AW1013" s="450" t="str">
        <f>AW478</f>
        <v>#REF!</v>
      </c>
    </row>
    <row r="1014">
      <c r="A1014" s="435" t="s">
        <v>377</v>
      </c>
      <c r="B1014" s="436" t="s">
        <v>378</v>
      </c>
      <c r="C1014" s="436"/>
      <c r="D1014" s="436" t="s">
        <v>350</v>
      </c>
      <c r="E1014" s="436"/>
      <c r="F1014" s="436" t="s">
        <v>2748</v>
      </c>
      <c r="G1014" s="437" t="s">
        <v>169</v>
      </c>
      <c r="H1014" s="437" t="s">
        <v>702</v>
      </c>
      <c r="I1014" s="437" t="s">
        <v>1999</v>
      </c>
      <c r="J1014" s="437">
        <v>3100.0</v>
      </c>
      <c r="K1014" s="438"/>
      <c r="L1014" s="438"/>
      <c r="M1014" s="453"/>
      <c r="N1014" s="422">
        <v>13.412</v>
      </c>
      <c r="O1014" s="422">
        <v>12.49</v>
      </c>
      <c r="P1014" s="422">
        <v>17.14</v>
      </c>
      <c r="Q1014" s="436" t="s">
        <v>1632</v>
      </c>
      <c r="R1014" s="438"/>
      <c r="S1014" s="436" t="s">
        <v>2000</v>
      </c>
      <c r="T1014" s="436" t="s">
        <v>1632</v>
      </c>
      <c r="U1014" s="436" t="s">
        <v>1633</v>
      </c>
      <c r="V1014" s="440"/>
      <c r="W1014" s="441">
        <v>0.07</v>
      </c>
      <c r="X1014" s="438"/>
      <c r="Y1014" s="442">
        <f t="shared" ref="Y1014:Y1015" si="826">IF((W1014/((J1014/5780)^4))^0.5&gt;0,(W1014/((J1014/5780)^4))^0.5,"")</f>
        <v>0.9197743819</v>
      </c>
      <c r="Z1014" s="442"/>
      <c r="AA1014" s="443"/>
      <c r="AB1014" s="443"/>
      <c r="AC1014" s="436" t="str">
        <f>IF(ISNUMBER(VLOOKUP(B1014,'New Masses'!A:C,3,FALSE)),VLOOKUP(B1014,'New Masses'!A:C,3,FALSE),"")</f>
        <v/>
      </c>
      <c r="AD1014" s="440">
        <f t="shared" ref="AD1014:AD1015" si="827">10^AE1014</f>
        <v>0.0000000004786300923</v>
      </c>
      <c r="AE1014" s="437">
        <v>-9.32</v>
      </c>
      <c r="AF1014" s="438"/>
      <c r="AG1014" s="445">
        <v>0.15</v>
      </c>
      <c r="AH1014" s="438"/>
      <c r="AI1014" s="446" t="str">
        <f>IF(ISNUMBER(VLOOKUP(B1014,'New Masses'!A:C,2, FALSE)),VLOOKUP(B1014,'New Masses'!A:C,2, FALSE),"")</f>
        <v/>
      </c>
      <c r="AJ1014" s="438"/>
      <c r="AK1014" s="437"/>
      <c r="AL1014" s="447">
        <v>-2.73</v>
      </c>
      <c r="AM1014" s="438"/>
      <c r="AN1014" s="436">
        <v>3.0</v>
      </c>
      <c r="AO1014" s="438"/>
      <c r="AP1014" s="438"/>
      <c r="AQ1014" s="438"/>
      <c r="AR1014" s="438"/>
      <c r="AS1014" s="438"/>
      <c r="AT1014" s="438"/>
      <c r="AU1014" s="438"/>
      <c r="AV1014" s="438"/>
      <c r="AW1014" s="450"/>
    </row>
    <row r="1015">
      <c r="A1015" s="435" t="s">
        <v>377</v>
      </c>
      <c r="B1015" s="436" t="s">
        <v>378</v>
      </c>
      <c r="C1015" s="436"/>
      <c r="D1015" s="436" t="s">
        <v>350</v>
      </c>
      <c r="E1015" s="436"/>
      <c r="F1015" s="436" t="s">
        <v>2747</v>
      </c>
      <c r="G1015" s="436" t="s">
        <v>169</v>
      </c>
      <c r="H1015" s="436" t="s">
        <v>352</v>
      </c>
      <c r="I1015" s="436" t="s">
        <v>2223</v>
      </c>
      <c r="J1015" s="436">
        <v>3060.0</v>
      </c>
      <c r="K1015" s="436"/>
      <c r="L1015" s="436" t="s">
        <v>264</v>
      </c>
      <c r="M1015" s="439"/>
      <c r="N1015" s="422">
        <v>13.412</v>
      </c>
      <c r="O1015" s="422">
        <v>12.49</v>
      </c>
      <c r="P1015" s="422">
        <v>17.14</v>
      </c>
      <c r="Q1015" s="436" t="s">
        <v>2224</v>
      </c>
      <c r="R1015" s="436" t="s">
        <v>2225</v>
      </c>
      <c r="S1015" s="436" t="s">
        <v>2191</v>
      </c>
      <c r="T1015" s="436" t="s">
        <v>293</v>
      </c>
      <c r="U1015" s="436" t="s">
        <v>294</v>
      </c>
      <c r="V1015" s="440"/>
      <c r="W1015" s="474">
        <v>0.07</v>
      </c>
      <c r="X1015" s="436"/>
      <c r="Y1015" s="442">
        <f t="shared" si="826"/>
        <v>0.9439779369</v>
      </c>
      <c r="Z1015" s="469"/>
      <c r="AA1015" s="470">
        <v>1.02</v>
      </c>
      <c r="AB1015" s="470"/>
      <c r="AC1015" s="436" t="str">
        <f>IF(ISNUMBER(VLOOKUP(B1015,'New Masses'!A:C,3,FALSE)),VLOOKUP(B1015,'New Masses'!A:C,3,FALSE),"")</f>
        <v/>
      </c>
      <c r="AD1015" s="440">
        <f t="shared" si="827"/>
        <v>0.0000000001071519305</v>
      </c>
      <c r="AE1015" s="436">
        <v>-9.97</v>
      </c>
      <c r="AF1015" s="438"/>
      <c r="AG1015" s="459">
        <v>0.14</v>
      </c>
      <c r="AH1015" s="436"/>
      <c r="AI1015" s="446" t="str">
        <f>IF(ISNUMBER(VLOOKUP(B1015,'New Masses'!A:C,2, FALSE)),VLOOKUP(B1015,'New Masses'!A:C,2, FALSE),"")</f>
        <v/>
      </c>
      <c r="AJ1015" s="436"/>
      <c r="AK1015" s="436"/>
      <c r="AL1015" s="436">
        <v>-3.1</v>
      </c>
      <c r="AM1015" s="466">
        <v>43864.0</v>
      </c>
      <c r="AN1015" s="436">
        <v>3.0</v>
      </c>
      <c r="AO1015" s="436"/>
      <c r="AP1015" s="438"/>
      <c r="AQ1015" s="438"/>
      <c r="AR1015" s="438"/>
      <c r="AS1015" s="438"/>
      <c r="AT1015" s="438"/>
      <c r="AU1015" s="438"/>
      <c r="AV1015" s="438"/>
      <c r="AW1015" s="450"/>
    </row>
    <row r="1016">
      <c r="A1016" s="435" t="str">
        <f t="shared" ref="A1016:C1016" si="828">A481</f>
        <v>#REF!</v>
      </c>
      <c r="B1016" s="485" t="str">
        <f t="shared" si="828"/>
        <v>#REF!</v>
      </c>
      <c r="C1016" s="486" t="str">
        <f t="shared" si="828"/>
        <v>#REF!</v>
      </c>
      <c r="D1016" s="486"/>
      <c r="E1016" s="486"/>
      <c r="F1016" s="528"/>
      <c r="G1016" s="486"/>
      <c r="H1016" s="486" t="s">
        <v>5917</v>
      </c>
      <c r="I1016" s="491"/>
      <c r="J1016" s="491"/>
      <c r="K1016" s="491"/>
      <c r="L1016" s="491"/>
      <c r="M1016" s="486"/>
      <c r="N1016" s="422"/>
      <c r="O1016" s="422"/>
      <c r="P1016" s="422"/>
      <c r="Q1016" s="486"/>
      <c r="R1016" s="491"/>
      <c r="S1016" s="491"/>
      <c r="T1016" s="491"/>
      <c r="U1016" s="491"/>
      <c r="V1016" s="491"/>
      <c r="W1016" s="493"/>
      <c r="X1016" s="486"/>
      <c r="Y1016" s="442"/>
      <c r="Z1016" s="491"/>
      <c r="AA1016" s="524" t="str">
        <f t="shared" ref="AA1016:AA1017" si="830">AC481</f>
        <v/>
      </c>
      <c r="AB1016" s="494"/>
      <c r="AC1016" s="436"/>
      <c r="AD1016" s="495"/>
      <c r="AE1016" s="491"/>
      <c r="AF1016" s="491"/>
      <c r="AG1016" s="525" t="str">
        <f t="shared" ref="AG1016:AG1017" si="831">AI481</f>
        <v/>
      </c>
      <c r="AH1016" s="491"/>
      <c r="AI1016" s="446"/>
      <c r="AJ1016" s="491"/>
      <c r="AK1016" s="500"/>
      <c r="AL1016" s="436"/>
      <c r="AM1016" s="438"/>
      <c r="AN1016" s="531"/>
      <c r="AO1016" s="491"/>
      <c r="AP1016" s="438"/>
      <c r="AQ1016" s="438"/>
      <c r="AR1016" s="438"/>
      <c r="AS1016" s="438"/>
      <c r="AT1016" s="438"/>
      <c r="AU1016" s="438"/>
      <c r="AV1016" s="438"/>
      <c r="AW1016" s="450" t="str">
        <f t="shared" ref="AW1016:AW1017" si="832">AW481</f>
        <v>#REF!</v>
      </c>
    </row>
    <row r="1017">
      <c r="A1017" s="435" t="str">
        <f t="shared" ref="A1017:C1017" si="829">A482</f>
        <v>DK Tau</v>
      </c>
      <c r="B1017" s="485" t="str">
        <f t="shared" si="829"/>
        <v>DK Tau</v>
      </c>
      <c r="C1017" s="486" t="str">
        <f t="shared" si="829"/>
        <v/>
      </c>
      <c r="D1017" s="486"/>
      <c r="E1017" s="486"/>
      <c r="F1017" s="528"/>
      <c r="G1017" s="486"/>
      <c r="H1017" s="486" t="s">
        <v>5917</v>
      </c>
      <c r="I1017" s="491"/>
      <c r="J1017" s="491"/>
      <c r="K1017" s="491"/>
      <c r="L1017" s="491"/>
      <c r="M1017" s="486"/>
      <c r="N1017" s="422"/>
      <c r="O1017" s="422"/>
      <c r="P1017" s="422"/>
      <c r="Q1017" s="486"/>
      <c r="R1017" s="491"/>
      <c r="S1017" s="491"/>
      <c r="T1017" s="491"/>
      <c r="U1017" s="491"/>
      <c r="V1017" s="491"/>
      <c r="W1017" s="493"/>
      <c r="X1017" s="486"/>
      <c r="Y1017" s="442"/>
      <c r="Z1017" s="491"/>
      <c r="AA1017" s="524" t="str">
        <f t="shared" si="830"/>
        <v/>
      </c>
      <c r="AB1017" s="494"/>
      <c r="AC1017" s="436"/>
      <c r="AD1017" s="495"/>
      <c r="AE1017" s="491"/>
      <c r="AF1017" s="491"/>
      <c r="AG1017" s="525" t="str">
        <f t="shared" si="831"/>
        <v/>
      </c>
      <c r="AH1017" s="491"/>
      <c r="AI1017" s="446"/>
      <c r="AJ1017" s="491"/>
      <c r="AK1017" s="500"/>
      <c r="AL1017" s="436"/>
      <c r="AM1017" s="438"/>
      <c r="AN1017" s="531"/>
      <c r="AO1017" s="491"/>
      <c r="AP1017" s="438"/>
      <c r="AQ1017" s="438"/>
      <c r="AR1017" s="438"/>
      <c r="AS1017" s="438"/>
      <c r="AT1017" s="438"/>
      <c r="AU1017" s="438"/>
      <c r="AV1017" s="438"/>
      <c r="AW1017" s="450">
        <f t="shared" si="832"/>
        <v>128.5181853</v>
      </c>
    </row>
    <row r="1018">
      <c r="A1018" s="435" t="s">
        <v>348</v>
      </c>
      <c r="B1018" s="436" t="s">
        <v>349</v>
      </c>
      <c r="C1018" s="436"/>
      <c r="D1018" s="436" t="s">
        <v>350</v>
      </c>
      <c r="E1018" s="436"/>
      <c r="F1018" s="436" t="s">
        <v>2750</v>
      </c>
      <c r="G1018" s="437" t="s">
        <v>169</v>
      </c>
      <c r="H1018" s="437" t="s">
        <v>702</v>
      </c>
      <c r="I1018" s="437" t="s">
        <v>1999</v>
      </c>
      <c r="J1018" s="437">
        <v>3000.0</v>
      </c>
      <c r="K1018" s="438"/>
      <c r="L1018" s="438"/>
      <c r="M1018" s="453"/>
      <c r="N1018" s="422">
        <v>14.88</v>
      </c>
      <c r="O1018" s="422">
        <v>13.57</v>
      </c>
      <c r="P1018" s="422">
        <v>19.08</v>
      </c>
      <c r="Q1018" s="436" t="s">
        <v>1632</v>
      </c>
      <c r="R1018" s="438"/>
      <c r="S1018" s="436" t="s">
        <v>2000</v>
      </c>
      <c r="T1018" s="436" t="s">
        <v>1632</v>
      </c>
      <c r="U1018" s="436" t="s">
        <v>1633</v>
      </c>
      <c r="V1018" s="440"/>
      <c r="W1018" s="441">
        <v>0.02</v>
      </c>
      <c r="X1018" s="438"/>
      <c r="Y1018" s="442">
        <f t="shared" ref="Y1018:Y1019" si="833">IF((W1018/((J1018/5780)^4))^0.5&gt;0,(W1018/((J1018/5780)^4))^0.5,"")</f>
        <v>0.5249623597</v>
      </c>
      <c r="Z1018" s="442"/>
      <c r="AA1018" s="443"/>
      <c r="AB1018" s="443"/>
      <c r="AC1018" s="436" t="str">
        <f>IF(ISNUMBER(VLOOKUP(B1018,'New Masses'!A:C,3,FALSE)),VLOOKUP(B1018,'New Masses'!A:C,3,FALSE),"")</f>
        <v/>
      </c>
      <c r="AD1018" s="440">
        <f t="shared" ref="AD1018:AD1019" si="834">10^AE1018</f>
        <v>0.0000000001202264435</v>
      </c>
      <c r="AE1018" s="437">
        <v>-9.92</v>
      </c>
      <c r="AF1018" s="438"/>
      <c r="AG1018" s="445">
        <v>0.1</v>
      </c>
      <c r="AH1018" s="438"/>
      <c r="AI1018" s="446" t="str">
        <f>IF(ISNUMBER(VLOOKUP(B1018,'New Masses'!A:C,2, FALSE)),VLOOKUP(B1018,'New Masses'!A:C,2, FALSE),"")</f>
        <v/>
      </c>
      <c r="AJ1018" s="438"/>
      <c r="AK1018" s="437"/>
      <c r="AL1018" s="447">
        <v>-3.27</v>
      </c>
      <c r="AM1018" s="438"/>
      <c r="AN1018" s="436">
        <v>3.0</v>
      </c>
      <c r="AO1018" s="438"/>
      <c r="AP1018" s="438"/>
      <c r="AQ1018" s="438"/>
      <c r="AR1018" s="438"/>
      <c r="AS1018" s="438"/>
      <c r="AT1018" s="438"/>
      <c r="AU1018" s="438"/>
      <c r="AV1018" s="438"/>
      <c r="AW1018" s="450">
        <v>338.90263327346</v>
      </c>
    </row>
    <row r="1019">
      <c r="A1019" s="435" t="s">
        <v>348</v>
      </c>
      <c r="B1019" s="436" t="s">
        <v>349</v>
      </c>
      <c r="C1019" s="436"/>
      <c r="D1019" s="436" t="s">
        <v>350</v>
      </c>
      <c r="E1019" s="436"/>
      <c r="F1019" s="436" t="s">
        <v>2749</v>
      </c>
      <c r="G1019" s="436" t="s">
        <v>169</v>
      </c>
      <c r="H1019" s="436" t="s">
        <v>352</v>
      </c>
      <c r="I1019" s="436" t="s">
        <v>2223</v>
      </c>
      <c r="J1019" s="436">
        <v>2990.0</v>
      </c>
      <c r="K1019" s="436"/>
      <c r="L1019" s="436" t="s">
        <v>353</v>
      </c>
      <c r="M1019" s="439"/>
      <c r="N1019" s="422">
        <v>14.88</v>
      </c>
      <c r="O1019" s="422">
        <v>13.57</v>
      </c>
      <c r="P1019" s="422">
        <v>19.08</v>
      </c>
      <c r="Q1019" s="436" t="s">
        <v>2224</v>
      </c>
      <c r="R1019" s="436" t="s">
        <v>2225</v>
      </c>
      <c r="S1019" s="436" t="s">
        <v>2191</v>
      </c>
      <c r="T1019" s="436" t="s">
        <v>293</v>
      </c>
      <c r="U1019" s="436" t="s">
        <v>294</v>
      </c>
      <c r="V1019" s="440"/>
      <c r="W1019" s="474">
        <v>0.02</v>
      </c>
      <c r="X1019" s="436"/>
      <c r="Y1019" s="442">
        <f t="shared" si="833"/>
        <v>0.5284796857</v>
      </c>
      <c r="Z1019" s="469"/>
      <c r="AA1019" s="470">
        <v>0.47</v>
      </c>
      <c r="AB1019" s="470"/>
      <c r="AC1019" s="436" t="str">
        <f>IF(ISNUMBER(VLOOKUP(B1019,'New Masses'!A:C,3,FALSE)),VLOOKUP(B1019,'New Masses'!A:C,3,FALSE),"")</f>
        <v/>
      </c>
      <c r="AD1019" s="440">
        <f t="shared" si="834"/>
        <v>0</v>
      </c>
      <c r="AE1019" s="436">
        <v>-10.27</v>
      </c>
      <c r="AF1019" s="438"/>
      <c r="AG1019" s="459">
        <v>0.08</v>
      </c>
      <c r="AH1019" s="436"/>
      <c r="AI1019" s="446" t="str">
        <f>IF(ISNUMBER(VLOOKUP(B1019,'New Masses'!A:C,2, FALSE)),VLOOKUP(B1019,'New Masses'!A:C,2, FALSE),"")</f>
        <v/>
      </c>
      <c r="AJ1019" s="436"/>
      <c r="AK1019" s="436"/>
      <c r="AL1019" s="436">
        <v>-3.95</v>
      </c>
      <c r="AM1019" s="466">
        <v>43864.0</v>
      </c>
      <c r="AN1019" s="436">
        <v>3.0</v>
      </c>
      <c r="AO1019" s="436"/>
      <c r="AP1019" s="438"/>
      <c r="AQ1019" s="438"/>
      <c r="AR1019" s="438"/>
      <c r="AS1019" s="438"/>
      <c r="AT1019" s="438"/>
      <c r="AU1019" s="438"/>
      <c r="AV1019" s="438"/>
      <c r="AW1019" s="450">
        <v>338.90263327346</v>
      </c>
    </row>
    <row r="1020">
      <c r="A1020" s="435" t="str">
        <f t="shared" ref="A1020:C1020" si="835">A485</f>
        <v>#REF!</v>
      </c>
      <c r="B1020" s="485" t="str">
        <f t="shared" si="835"/>
        <v>#REF!</v>
      </c>
      <c r="C1020" s="486" t="str">
        <f t="shared" si="835"/>
        <v>#REF!</v>
      </c>
      <c r="D1020" s="486"/>
      <c r="E1020" s="486"/>
      <c r="F1020" s="528"/>
      <c r="G1020" s="486"/>
      <c r="H1020" s="486" t="s">
        <v>5917</v>
      </c>
      <c r="I1020" s="491"/>
      <c r="J1020" s="491"/>
      <c r="K1020" s="491"/>
      <c r="L1020" s="491"/>
      <c r="M1020" s="486"/>
      <c r="N1020" s="422"/>
      <c r="O1020" s="422"/>
      <c r="P1020" s="422"/>
      <c r="Q1020" s="486"/>
      <c r="R1020" s="491"/>
      <c r="S1020" s="491"/>
      <c r="T1020" s="491"/>
      <c r="U1020" s="491"/>
      <c r="V1020" s="491"/>
      <c r="W1020" s="493"/>
      <c r="X1020" s="486"/>
      <c r="Y1020" s="442"/>
      <c r="Z1020" s="491"/>
      <c r="AA1020" s="524" t="str">
        <f t="shared" ref="AA1020:AA1021" si="837">AC485</f>
        <v/>
      </c>
      <c r="AB1020" s="494"/>
      <c r="AC1020" s="436"/>
      <c r="AD1020" s="495"/>
      <c r="AE1020" s="491"/>
      <c r="AF1020" s="491"/>
      <c r="AG1020" s="525" t="str">
        <f t="shared" ref="AG1020:AG1021" si="838">AI485</f>
        <v/>
      </c>
      <c r="AH1020" s="491"/>
      <c r="AI1020" s="446"/>
      <c r="AJ1020" s="491"/>
      <c r="AK1020" s="500"/>
      <c r="AL1020" s="436"/>
      <c r="AM1020" s="438"/>
      <c r="AN1020" s="531"/>
      <c r="AO1020" s="491"/>
      <c r="AP1020" s="438"/>
      <c r="AQ1020" s="438"/>
      <c r="AR1020" s="438"/>
      <c r="AS1020" s="438"/>
      <c r="AT1020" s="438"/>
      <c r="AU1020" s="438"/>
      <c r="AV1020" s="438"/>
      <c r="AW1020" s="450" t="str">
        <f t="shared" ref="AW1020:AW1021" si="839">AW485</f>
        <v>#REF!</v>
      </c>
    </row>
    <row r="1021">
      <c r="A1021" s="435" t="str">
        <f t="shared" ref="A1021:C1021" si="836">A486</f>
        <v>DO Tau</v>
      </c>
      <c r="B1021" s="485" t="str">
        <f t="shared" si="836"/>
        <v>DO Tau</v>
      </c>
      <c r="C1021" s="486" t="str">
        <f t="shared" si="836"/>
        <v/>
      </c>
      <c r="D1021" s="486"/>
      <c r="E1021" s="486"/>
      <c r="F1021" s="528"/>
      <c r="G1021" s="486"/>
      <c r="H1021" s="486" t="s">
        <v>5917</v>
      </c>
      <c r="I1021" s="491"/>
      <c r="J1021" s="491"/>
      <c r="K1021" s="491"/>
      <c r="L1021" s="491"/>
      <c r="M1021" s="486"/>
      <c r="N1021" s="422"/>
      <c r="O1021" s="422"/>
      <c r="P1021" s="422"/>
      <c r="Q1021" s="486"/>
      <c r="R1021" s="491"/>
      <c r="S1021" s="491"/>
      <c r="T1021" s="491"/>
      <c r="U1021" s="491"/>
      <c r="V1021" s="491"/>
      <c r="W1021" s="493"/>
      <c r="X1021" s="486"/>
      <c r="Y1021" s="442"/>
      <c r="Z1021" s="491"/>
      <c r="AA1021" s="524" t="str">
        <f t="shared" si="837"/>
        <v/>
      </c>
      <c r="AB1021" s="494"/>
      <c r="AC1021" s="436"/>
      <c r="AD1021" s="495"/>
      <c r="AE1021" s="491"/>
      <c r="AF1021" s="491"/>
      <c r="AG1021" s="525" t="str">
        <f t="shared" si="838"/>
        <v/>
      </c>
      <c r="AH1021" s="491"/>
      <c r="AI1021" s="446"/>
      <c r="AJ1021" s="491"/>
      <c r="AK1021" s="500"/>
      <c r="AL1021" s="436"/>
      <c r="AM1021" s="438"/>
      <c r="AN1021" s="531"/>
      <c r="AO1021" s="491"/>
      <c r="AP1021" s="438"/>
      <c r="AQ1021" s="438"/>
      <c r="AR1021" s="438"/>
      <c r="AS1021" s="438"/>
      <c r="AT1021" s="438"/>
      <c r="AU1021" s="438"/>
      <c r="AV1021" s="438"/>
      <c r="AW1021" s="450">
        <f t="shared" si="839"/>
        <v>139.3805926</v>
      </c>
    </row>
    <row r="1022">
      <c r="A1022" s="435" t="s">
        <v>1644</v>
      </c>
      <c r="B1022" s="436" t="s">
        <v>1645</v>
      </c>
      <c r="C1022" s="436"/>
      <c r="D1022" s="436" t="s">
        <v>350</v>
      </c>
      <c r="E1022" s="436"/>
      <c r="F1022" s="436" t="s">
        <v>2751</v>
      </c>
      <c r="G1022" s="437" t="s">
        <v>169</v>
      </c>
      <c r="H1022" s="437" t="s">
        <v>702</v>
      </c>
      <c r="I1022" s="437" t="s">
        <v>1999</v>
      </c>
      <c r="J1022" s="437">
        <v>3000.0</v>
      </c>
      <c r="K1022" s="438"/>
      <c r="L1022" s="436" t="s">
        <v>1646</v>
      </c>
      <c r="M1022" s="439"/>
      <c r="N1022" s="422">
        <v>14.362</v>
      </c>
      <c r="O1022" s="422">
        <v>13.2</v>
      </c>
      <c r="P1022" s="422">
        <v>17.67</v>
      </c>
      <c r="Q1022" s="436" t="s">
        <v>1632</v>
      </c>
      <c r="R1022" s="438"/>
      <c r="S1022" s="436" t="s">
        <v>2000</v>
      </c>
      <c r="T1022" s="436" t="s">
        <v>1632</v>
      </c>
      <c r="U1022" s="436" t="s">
        <v>1633</v>
      </c>
      <c r="V1022" s="440"/>
      <c r="W1022" s="441">
        <v>0.03</v>
      </c>
      <c r="X1022" s="438"/>
      <c r="Y1022" s="442">
        <f>IF((W1022/((J1022/5780)^4))^0.5&gt;0,(W1022/((J1022/5780)^4))^0.5,"")</f>
        <v>0.6429449578</v>
      </c>
      <c r="Z1022" s="442"/>
      <c r="AA1022" s="443"/>
      <c r="AB1022" s="443"/>
      <c r="AC1022" s="436" t="str">
        <f>IF(ISNUMBER(VLOOKUP(B1022,'New Masses'!A:C,3,FALSE)),VLOOKUP(B1022,'New Masses'!A:C,3,FALSE),"")</f>
        <v/>
      </c>
      <c r="AD1022" s="440">
        <f>10^AE1022</f>
        <v>0</v>
      </c>
      <c r="AE1022" s="437">
        <v>-10.03</v>
      </c>
      <c r="AF1022" s="438"/>
      <c r="AG1022" s="445">
        <v>0.09</v>
      </c>
      <c r="AH1022" s="438"/>
      <c r="AI1022" s="446" t="str">
        <f>IF(ISNUMBER(VLOOKUP(B1022,'New Masses'!A:C,2, FALSE)),VLOOKUP(B1022,'New Masses'!A:C,2, FALSE),"")</f>
        <v/>
      </c>
      <c r="AJ1022" s="438"/>
      <c r="AK1022" s="437"/>
      <c r="AL1022" s="447">
        <v>-3.51</v>
      </c>
      <c r="AM1022" s="438"/>
      <c r="AN1022" s="436">
        <v>3.0</v>
      </c>
      <c r="AO1022" s="438"/>
      <c r="AP1022" s="438"/>
      <c r="AQ1022" s="436"/>
      <c r="AR1022" s="438"/>
      <c r="AS1022" s="438"/>
      <c r="AT1022" s="438"/>
      <c r="AU1022" s="438" t="s">
        <v>1647</v>
      </c>
      <c r="AV1022" s="438"/>
      <c r="AW1022" s="450">
        <v>411.742907728414</v>
      </c>
    </row>
    <row r="1023">
      <c r="A1023" s="435" t="str">
        <f t="shared" ref="A1023:C1023" si="840">A488</f>
        <v>DQ Tau</v>
      </c>
      <c r="B1023" s="485" t="str">
        <f t="shared" si="840"/>
        <v>DQ Tau</v>
      </c>
      <c r="C1023" s="486" t="str">
        <f t="shared" si="840"/>
        <v/>
      </c>
      <c r="D1023" s="486"/>
      <c r="E1023" s="486"/>
      <c r="F1023" s="528"/>
      <c r="G1023" s="486"/>
      <c r="H1023" s="486" t="s">
        <v>5917</v>
      </c>
      <c r="I1023" s="491"/>
      <c r="J1023" s="491"/>
      <c r="K1023" s="491"/>
      <c r="L1023" s="491"/>
      <c r="M1023" s="486"/>
      <c r="N1023" s="422"/>
      <c r="O1023" s="422"/>
      <c r="P1023" s="422"/>
      <c r="Q1023" s="486"/>
      <c r="R1023" s="491"/>
      <c r="S1023" s="491"/>
      <c r="T1023" s="491"/>
      <c r="U1023" s="491"/>
      <c r="V1023" s="491"/>
      <c r="W1023" s="493"/>
      <c r="X1023" s="486"/>
      <c r="Y1023" s="442"/>
      <c r="Z1023" s="491"/>
      <c r="AA1023" s="524" t="str">
        <f>AC488</f>
        <v/>
      </c>
      <c r="AB1023" s="494"/>
      <c r="AC1023" s="436"/>
      <c r="AD1023" s="495"/>
      <c r="AE1023" s="491"/>
      <c r="AF1023" s="491"/>
      <c r="AG1023" s="525" t="str">
        <f>AI488</f>
        <v/>
      </c>
      <c r="AH1023" s="491"/>
      <c r="AI1023" s="446"/>
      <c r="AJ1023" s="491"/>
      <c r="AK1023" s="500"/>
      <c r="AL1023" s="436"/>
      <c r="AM1023" s="438"/>
      <c r="AN1023" s="531"/>
      <c r="AO1023" s="491"/>
      <c r="AP1023" s="438"/>
      <c r="AQ1023" s="438"/>
      <c r="AR1023" s="438"/>
      <c r="AS1023" s="438"/>
      <c r="AT1023" s="438"/>
      <c r="AU1023" s="438"/>
      <c r="AV1023" s="438"/>
      <c r="AW1023" s="450">
        <f>AW488</f>
        <v>197.4489594</v>
      </c>
    </row>
    <row r="1024">
      <c r="A1024" s="435" t="s">
        <v>1997</v>
      </c>
      <c r="B1024" s="436" t="s">
        <v>1998</v>
      </c>
      <c r="C1024" s="436"/>
      <c r="D1024" s="436" t="s">
        <v>350</v>
      </c>
      <c r="E1024" s="436"/>
      <c r="F1024" s="436" t="s">
        <v>2752</v>
      </c>
      <c r="G1024" s="437" t="s">
        <v>169</v>
      </c>
      <c r="H1024" s="437" t="s">
        <v>702</v>
      </c>
      <c r="I1024" s="437" t="s">
        <v>1999</v>
      </c>
      <c r="J1024" s="437">
        <v>4000.0</v>
      </c>
      <c r="K1024" s="438"/>
      <c r="L1024" s="436" t="s">
        <v>434</v>
      </c>
      <c r="M1024" s="439"/>
      <c r="N1024" s="422">
        <v>11.955</v>
      </c>
      <c r="O1024" s="422">
        <v>9.944</v>
      </c>
      <c r="P1024" s="422">
        <v>13.54</v>
      </c>
      <c r="Q1024" s="436" t="s">
        <v>1632</v>
      </c>
      <c r="R1024" s="438"/>
      <c r="S1024" s="436" t="s">
        <v>2000</v>
      </c>
      <c r="T1024" s="436" t="s">
        <v>1632</v>
      </c>
      <c r="U1024" s="436" t="s">
        <v>1633</v>
      </c>
      <c r="V1024" s="451"/>
      <c r="W1024" s="441">
        <v>0.41</v>
      </c>
      <c r="X1024" s="438"/>
      <c r="Y1024" s="442">
        <f>IF((W1024/((J1024/5780)^4))^0.5&gt;0,(W1024/((J1024/5780)^4))^0.5,"")</f>
        <v>1.336988349</v>
      </c>
      <c r="Z1024" s="442"/>
      <c r="AA1024" s="443"/>
      <c r="AB1024" s="443"/>
      <c r="AC1024" s="436" t="str">
        <f>IF(ISNUMBER(VLOOKUP(B1024,'New Masses'!A:C,3,FALSE)),VLOOKUP(B1024,'New Masses'!A:C,3,FALSE),"")</f>
        <v/>
      </c>
      <c r="AD1024" s="440"/>
      <c r="AE1024" s="437"/>
      <c r="AF1024" s="438"/>
      <c r="AG1024" s="445">
        <v>1.0</v>
      </c>
      <c r="AH1024" s="438"/>
      <c r="AI1024" s="446" t="str">
        <f>IF(ISNUMBER(VLOOKUP(B1024,'New Masses'!A:C,2, FALSE)),VLOOKUP(B1024,'New Masses'!A:C,2, FALSE),"")</f>
        <v/>
      </c>
      <c r="AJ1024" s="438"/>
      <c r="AK1024" s="437"/>
      <c r="AL1024" s="437"/>
      <c r="AM1024" s="438"/>
      <c r="AN1024" s="436">
        <v>3.0</v>
      </c>
      <c r="AO1024" s="438"/>
      <c r="AP1024" s="438"/>
      <c r="AQ1024" s="436"/>
      <c r="AR1024" s="438"/>
      <c r="AS1024" s="438"/>
      <c r="AT1024" s="438"/>
      <c r="AU1024" s="438" t="s">
        <v>1676</v>
      </c>
      <c r="AV1024" s="438"/>
      <c r="AW1024" s="450">
        <v>397.393101255762</v>
      </c>
    </row>
    <row r="1025">
      <c r="A1025" s="435" t="str">
        <f t="shared" ref="A1025:C1025" si="841">A490</f>
        <v>DS Tau</v>
      </c>
      <c r="B1025" s="485" t="str">
        <f t="shared" si="841"/>
        <v>DS Tau</v>
      </c>
      <c r="C1025" s="486" t="str">
        <f t="shared" si="841"/>
        <v/>
      </c>
      <c r="D1025" s="486"/>
      <c r="E1025" s="486"/>
      <c r="F1025" s="528"/>
      <c r="G1025" s="486"/>
      <c r="H1025" s="486" t="s">
        <v>5917</v>
      </c>
      <c r="I1025" s="491"/>
      <c r="J1025" s="491"/>
      <c r="K1025" s="491"/>
      <c r="L1025" s="491"/>
      <c r="M1025" s="486"/>
      <c r="N1025" s="422"/>
      <c r="O1025" s="422"/>
      <c r="P1025" s="422"/>
      <c r="Q1025" s="486"/>
      <c r="R1025" s="491"/>
      <c r="S1025" s="491"/>
      <c r="T1025" s="491"/>
      <c r="U1025" s="491"/>
      <c r="V1025" s="491"/>
      <c r="W1025" s="493"/>
      <c r="X1025" s="486"/>
      <c r="Y1025" s="442"/>
      <c r="Z1025" s="491"/>
      <c r="AA1025" s="524" t="str">
        <f>AC490</f>
        <v/>
      </c>
      <c r="AB1025" s="494"/>
      <c r="AC1025" s="436"/>
      <c r="AD1025" s="495"/>
      <c r="AE1025" s="491"/>
      <c r="AF1025" s="491"/>
      <c r="AG1025" s="525" t="str">
        <f>AI490</f>
        <v/>
      </c>
      <c r="AH1025" s="491"/>
      <c r="AI1025" s="446"/>
      <c r="AJ1025" s="491"/>
      <c r="AK1025" s="500"/>
      <c r="AL1025" s="436"/>
      <c r="AM1025" s="438"/>
      <c r="AN1025" s="531"/>
      <c r="AO1025" s="491"/>
      <c r="AP1025" s="438"/>
      <c r="AQ1025" s="438"/>
      <c r="AR1025" s="438"/>
      <c r="AS1025" s="438"/>
      <c r="AT1025" s="438"/>
      <c r="AU1025" s="438"/>
      <c r="AV1025" s="438"/>
      <c r="AW1025" s="450">
        <f>AW490</f>
        <v>159.0710252</v>
      </c>
    </row>
    <row r="1026">
      <c r="A1026" s="435" t="s">
        <v>1727</v>
      </c>
      <c r="B1026" s="436" t="s">
        <v>1728</v>
      </c>
      <c r="C1026" s="436"/>
      <c r="D1026" s="436" t="s">
        <v>350</v>
      </c>
      <c r="E1026" s="436"/>
      <c r="F1026" s="436" t="s">
        <v>2753</v>
      </c>
      <c r="G1026" s="437" t="s">
        <v>169</v>
      </c>
      <c r="H1026" s="437" t="s">
        <v>702</v>
      </c>
      <c r="I1026" s="437" t="s">
        <v>1999</v>
      </c>
      <c r="J1026" s="437">
        <v>3500.0</v>
      </c>
      <c r="K1026" s="438"/>
      <c r="L1026" s="436" t="s">
        <v>558</v>
      </c>
      <c r="M1026" s="439"/>
      <c r="N1026" s="422">
        <v>11.988</v>
      </c>
      <c r="O1026" s="422">
        <v>11.039</v>
      </c>
      <c r="P1026" s="422">
        <v>15.19</v>
      </c>
      <c r="Q1026" s="436" t="s">
        <v>1632</v>
      </c>
      <c r="R1026" s="438"/>
      <c r="S1026" s="436" t="s">
        <v>2000</v>
      </c>
      <c r="T1026" s="436" t="s">
        <v>1632</v>
      </c>
      <c r="U1026" s="436" t="s">
        <v>1633</v>
      </c>
      <c r="V1026" s="451"/>
      <c r="W1026" s="441">
        <v>0.3</v>
      </c>
      <c r="X1026" s="438"/>
      <c r="Y1026" s="442">
        <f>IF((W1026/((J1026/5780)^4))^0.5&gt;0,(W1026/((J1026/5780)^4))^0.5,"")</f>
        <v>1.493757901</v>
      </c>
      <c r="Z1026" s="442"/>
      <c r="AA1026" s="443"/>
      <c r="AB1026" s="443"/>
      <c r="AC1026" s="436" t="str">
        <f>IF(ISNUMBER(VLOOKUP(B1026,'New Masses'!A:C,3,FALSE)),VLOOKUP(B1026,'New Masses'!A:C,3,FALSE),"")</f>
        <v/>
      </c>
      <c r="AD1026" s="440">
        <f>10^AE1026</f>
        <v>0.000000000645654229</v>
      </c>
      <c r="AE1026" s="437">
        <v>-9.19</v>
      </c>
      <c r="AF1026" s="438"/>
      <c r="AG1026" s="445">
        <v>0.5</v>
      </c>
      <c r="AH1026" s="438"/>
      <c r="AI1026" s="446" t="str">
        <f>IF(ISNUMBER(VLOOKUP(B1026,'New Masses'!A:C,2, FALSE)),VLOOKUP(B1026,'New Masses'!A:C,2, FALSE),"")</f>
        <v/>
      </c>
      <c r="AJ1026" s="438"/>
      <c r="AK1026" s="437"/>
      <c r="AL1026" s="447">
        <v>-2.28</v>
      </c>
      <c r="AM1026" s="438"/>
      <c r="AN1026" s="436">
        <v>3.0</v>
      </c>
      <c r="AO1026" s="438"/>
      <c r="AP1026" s="438"/>
      <c r="AQ1026" s="436"/>
      <c r="AR1026" s="438"/>
      <c r="AS1026" s="438"/>
      <c r="AT1026" s="438"/>
      <c r="AU1026" s="438" t="s">
        <v>705</v>
      </c>
      <c r="AV1026" s="438"/>
      <c r="AW1026" s="450"/>
    </row>
    <row r="1027">
      <c r="A1027" s="435" t="str">
        <f t="shared" ref="A1027:C1027" si="842">A492</f>
        <v>EM* LkCa 15b</v>
      </c>
      <c r="B1027" s="485" t="str">
        <f t="shared" si="842"/>
        <v>Lk Ca 15b</v>
      </c>
      <c r="C1027" s="486" t="str">
        <f t="shared" si="842"/>
        <v/>
      </c>
      <c r="D1027" s="486"/>
      <c r="E1027" s="486"/>
      <c r="F1027" s="528"/>
      <c r="G1027" s="486"/>
      <c r="H1027" s="486" t="s">
        <v>5917</v>
      </c>
      <c r="I1027" s="491"/>
      <c r="J1027" s="491"/>
      <c r="K1027" s="491"/>
      <c r="L1027" s="491"/>
      <c r="M1027" s="486"/>
      <c r="N1027" s="422"/>
      <c r="O1027" s="422"/>
      <c r="P1027" s="422"/>
      <c r="Q1027" s="486"/>
      <c r="R1027" s="491"/>
      <c r="S1027" s="491"/>
      <c r="T1027" s="491"/>
      <c r="U1027" s="491"/>
      <c r="V1027" s="491"/>
      <c r="W1027" s="493"/>
      <c r="X1027" s="486"/>
      <c r="Y1027" s="442"/>
      <c r="Z1027" s="491"/>
      <c r="AA1027" s="524" t="str">
        <f>AC492</f>
        <v/>
      </c>
      <c r="AB1027" s="494"/>
      <c r="AC1027" s="436"/>
      <c r="AD1027" s="495"/>
      <c r="AE1027" s="491"/>
      <c r="AF1027" s="491"/>
      <c r="AG1027" s="525" t="str">
        <f>AI492</f>
        <v/>
      </c>
      <c r="AH1027" s="491"/>
      <c r="AI1027" s="446"/>
      <c r="AJ1027" s="491"/>
      <c r="AK1027" s="500"/>
      <c r="AL1027" s="436"/>
      <c r="AM1027" s="438"/>
      <c r="AN1027" s="531"/>
      <c r="AO1027" s="491"/>
      <c r="AP1027" s="438"/>
      <c r="AQ1027" s="438"/>
      <c r="AR1027" s="438"/>
      <c r="AS1027" s="438"/>
      <c r="AT1027" s="438"/>
      <c r="AU1027" s="438"/>
      <c r="AV1027" s="438"/>
      <c r="AW1027" s="450">
        <f>AW492</f>
        <v>158.8638061</v>
      </c>
    </row>
    <row r="1028">
      <c r="A1028" s="435" t="s">
        <v>1729</v>
      </c>
      <c r="B1028" s="436" t="s">
        <v>1730</v>
      </c>
      <c r="C1028" s="436"/>
      <c r="D1028" s="436" t="s">
        <v>350</v>
      </c>
      <c r="E1028" s="436"/>
      <c r="F1028" s="436" t="s">
        <v>2754</v>
      </c>
      <c r="G1028" s="437" t="s">
        <v>169</v>
      </c>
      <c r="H1028" s="437" t="s">
        <v>702</v>
      </c>
      <c r="I1028" s="437" t="s">
        <v>1999</v>
      </c>
      <c r="J1028" s="437">
        <v>3500.0</v>
      </c>
      <c r="K1028" s="438"/>
      <c r="L1028" s="436" t="s">
        <v>1423</v>
      </c>
      <c r="M1028" s="439"/>
      <c r="N1028" s="422">
        <v>11.501</v>
      </c>
      <c r="O1028" s="422">
        <v>9.911</v>
      </c>
      <c r="P1028" s="422">
        <v>14.09</v>
      </c>
      <c r="Q1028" s="436" t="s">
        <v>1632</v>
      </c>
      <c r="R1028" s="438"/>
      <c r="S1028" s="436" t="s">
        <v>2000</v>
      </c>
      <c r="T1028" s="436" t="s">
        <v>1632</v>
      </c>
      <c r="U1028" s="436" t="s">
        <v>1633</v>
      </c>
      <c r="V1028" s="451"/>
      <c r="W1028" s="441">
        <v>0.53</v>
      </c>
      <c r="X1028" s="438"/>
      <c r="Y1028" s="442">
        <f>IF((W1028/((J1028/5780)^4))^0.5&gt;0,(W1028/((J1028/5780)^4))^0.5,"")</f>
        <v>1.985443455</v>
      </c>
      <c r="Z1028" s="442"/>
      <c r="AA1028" s="443"/>
      <c r="AB1028" s="443"/>
      <c r="AC1028" s="436" t="str">
        <f>IF(ISNUMBER(VLOOKUP(B1028,'New Masses'!A:C,3,FALSE)),VLOOKUP(B1028,'New Masses'!A:C,3,FALSE),"")</f>
        <v/>
      </c>
      <c r="AD1028" s="440">
        <f>10^AE1028</f>
        <v>0.000000002238721139</v>
      </c>
      <c r="AE1028" s="437">
        <v>-8.65</v>
      </c>
      <c r="AF1028" s="438"/>
      <c r="AG1028" s="445">
        <v>0.55</v>
      </c>
      <c r="AH1028" s="438"/>
      <c r="AI1028" s="446" t="str">
        <f>IF(ISNUMBER(VLOOKUP(B1028,'New Masses'!A:C,2, FALSE)),VLOOKUP(B1028,'New Masses'!A:C,2, FALSE),"")</f>
        <v/>
      </c>
      <c r="AJ1028" s="438"/>
      <c r="AK1028" s="437"/>
      <c r="AL1028" s="447">
        <v>-1.82</v>
      </c>
      <c r="AM1028" s="438"/>
      <c r="AN1028" s="436">
        <v>3.0</v>
      </c>
      <c r="AO1028" s="438"/>
      <c r="AP1028" s="436"/>
      <c r="AQ1028" s="436"/>
      <c r="AR1028" s="438"/>
      <c r="AS1028" s="438"/>
      <c r="AT1028" s="438" t="s">
        <v>5920</v>
      </c>
      <c r="AU1028" s="438" t="s">
        <v>705</v>
      </c>
      <c r="AV1028" s="438"/>
      <c r="AW1028" s="450">
        <v>402.965828497743</v>
      </c>
    </row>
    <row r="1029">
      <c r="A1029" s="435" t="str">
        <f t="shared" ref="A1029:C1029" si="843">A494</f>
        <v>EM* SR 24A</v>
      </c>
      <c r="B1029" s="485" t="str">
        <f t="shared" si="843"/>
        <v>ISO-Oph 088a</v>
      </c>
      <c r="C1029" s="486" t="str">
        <f t="shared" si="843"/>
        <v/>
      </c>
      <c r="D1029" s="486"/>
      <c r="E1029" s="486"/>
      <c r="F1029" s="528"/>
      <c r="G1029" s="486"/>
      <c r="H1029" s="486" t="s">
        <v>5917</v>
      </c>
      <c r="I1029" s="491"/>
      <c r="J1029" s="491"/>
      <c r="K1029" s="491"/>
      <c r="L1029" s="491"/>
      <c r="M1029" s="486"/>
      <c r="N1029" s="422"/>
      <c r="O1029" s="422"/>
      <c r="P1029" s="422"/>
      <c r="Q1029" s="486"/>
      <c r="R1029" s="491"/>
      <c r="S1029" s="491"/>
      <c r="T1029" s="491"/>
      <c r="U1029" s="491"/>
      <c r="V1029" s="491"/>
      <c r="W1029" s="493"/>
      <c r="X1029" s="486"/>
      <c r="Y1029" s="442"/>
      <c r="Z1029" s="491"/>
      <c r="AA1029" s="524" t="str">
        <f>AC494</f>
        <v/>
      </c>
      <c r="AB1029" s="494"/>
      <c r="AC1029" s="436"/>
      <c r="AD1029" s="495"/>
      <c r="AE1029" s="491"/>
      <c r="AF1029" s="491"/>
      <c r="AG1029" s="525" t="str">
        <f>AI494</f>
        <v/>
      </c>
      <c r="AH1029" s="491"/>
      <c r="AI1029" s="446"/>
      <c r="AJ1029" s="491"/>
      <c r="AK1029" s="500"/>
      <c r="AL1029" s="436"/>
      <c r="AM1029" s="438"/>
      <c r="AN1029" s="531"/>
      <c r="AO1029" s="491"/>
      <c r="AP1029" s="438"/>
      <c r="AQ1029" s="438"/>
      <c r="AR1029" s="438"/>
      <c r="AS1029" s="438"/>
      <c r="AT1029" s="438"/>
      <c r="AU1029" s="438"/>
      <c r="AV1029" s="438"/>
      <c r="AW1029" s="450" t="str">
        <f>AW494</f>
        <v/>
      </c>
    </row>
    <row r="1030">
      <c r="A1030" s="419" t="s">
        <v>1540</v>
      </c>
      <c r="B1030" s="475" t="s">
        <v>2755</v>
      </c>
      <c r="C1030" s="436"/>
      <c r="D1030" s="436" t="s">
        <v>2425</v>
      </c>
      <c r="E1030" s="436"/>
      <c r="F1030" s="436" t="s">
        <v>2756</v>
      </c>
      <c r="G1030" s="436" t="s">
        <v>169</v>
      </c>
      <c r="H1030" s="436" t="s">
        <v>1479</v>
      </c>
      <c r="I1030" s="436" t="s">
        <v>2427</v>
      </c>
      <c r="J1030" s="436">
        <v>4450.0</v>
      </c>
      <c r="K1030" s="436"/>
      <c r="L1030" s="436" t="s">
        <v>459</v>
      </c>
      <c r="M1030" s="439"/>
      <c r="N1030" s="422"/>
      <c r="O1030" s="422"/>
      <c r="P1030" s="422"/>
      <c r="Q1030" s="436" t="s">
        <v>2428</v>
      </c>
      <c r="R1030" s="436" t="s">
        <v>2429</v>
      </c>
      <c r="S1030" s="436" t="s">
        <v>2430</v>
      </c>
      <c r="T1030" s="419" t="s">
        <v>162</v>
      </c>
      <c r="U1030" s="436" t="s">
        <v>2431</v>
      </c>
      <c r="V1030" s="451">
        <v>5.0127E29</v>
      </c>
      <c r="W1030" s="474">
        <v>7.1</v>
      </c>
      <c r="X1030" s="436"/>
      <c r="Y1030" s="442">
        <f>IF((W1030/((J1030/5780)^4))^0.5&gt;0,(W1030/((J1030/5780)^4))^0.5,"")</f>
        <v>4.495363647</v>
      </c>
      <c r="Z1030" s="469"/>
      <c r="AA1030" s="470"/>
      <c r="AB1030" s="470"/>
      <c r="AC1030" s="436" t="str">
        <f>IF(ISNUMBER(VLOOKUP(B1030,'New Masses'!A:C,3,FALSE)),VLOOKUP(B1030,'New Masses'!A:C,3,FALSE),"")</f>
        <v/>
      </c>
      <c r="AD1030" s="440">
        <f>10^AE1030</f>
        <v>0.00000007943282347</v>
      </c>
      <c r="AE1030" s="436">
        <v>-7.1</v>
      </c>
      <c r="AF1030" s="438"/>
      <c r="AG1030" s="459">
        <v>1.5</v>
      </c>
      <c r="AH1030" s="436"/>
      <c r="AI1030" s="446" t="str">
        <f>IF(ISNUMBER(VLOOKUP(B1030,'New Masses'!A:C,2, FALSE)),VLOOKUP(B1030,'New Masses'!A:C,2, FALSE),"")</f>
        <v/>
      </c>
      <c r="AJ1030" s="438"/>
      <c r="AK1030" s="436"/>
      <c r="AL1030" s="436">
        <v>-0.18</v>
      </c>
      <c r="AM1030" s="438"/>
      <c r="AN1030" s="436">
        <v>1.0</v>
      </c>
      <c r="AO1030" s="438"/>
      <c r="AP1030" s="438"/>
      <c r="AQ1030" s="438"/>
      <c r="AR1030" s="438"/>
      <c r="AS1030" s="438"/>
      <c r="AT1030" s="438"/>
      <c r="AU1030" s="438"/>
      <c r="AV1030" s="438"/>
      <c r="AW1030" s="450">
        <v>127.9263144428809</v>
      </c>
    </row>
    <row r="1031">
      <c r="A1031" s="435" t="str">
        <f t="shared" ref="A1031:C1031" si="844">A496</f>
        <v>EM* SR 24B</v>
      </c>
      <c r="B1031" s="485" t="str">
        <f t="shared" si="844"/>
        <v>ISO-Oph 088b</v>
      </c>
      <c r="C1031" s="486" t="str">
        <f t="shared" si="844"/>
        <v/>
      </c>
      <c r="D1031" s="486"/>
      <c r="E1031" s="486"/>
      <c r="F1031" s="528"/>
      <c r="G1031" s="486"/>
      <c r="H1031" s="486" t="s">
        <v>5917</v>
      </c>
      <c r="I1031" s="491"/>
      <c r="J1031" s="491"/>
      <c r="K1031" s="491"/>
      <c r="L1031" s="491"/>
      <c r="M1031" s="486"/>
      <c r="N1031" s="422"/>
      <c r="O1031" s="422"/>
      <c r="P1031" s="422"/>
      <c r="Q1031" s="486"/>
      <c r="R1031" s="491"/>
      <c r="S1031" s="491"/>
      <c r="T1031" s="491"/>
      <c r="U1031" s="491"/>
      <c r="V1031" s="491"/>
      <c r="W1031" s="493"/>
      <c r="X1031" s="486"/>
      <c r="Y1031" s="442"/>
      <c r="Z1031" s="491"/>
      <c r="AA1031" s="524" t="str">
        <f>AC496</f>
        <v/>
      </c>
      <c r="AB1031" s="494"/>
      <c r="AC1031" s="436"/>
      <c r="AD1031" s="495"/>
      <c r="AE1031" s="491"/>
      <c r="AF1031" s="491"/>
      <c r="AG1031" s="525" t="str">
        <f>AI496</f>
        <v/>
      </c>
      <c r="AH1031" s="491"/>
      <c r="AI1031" s="446"/>
      <c r="AJ1031" s="491"/>
      <c r="AK1031" s="500"/>
      <c r="AL1031" s="436"/>
      <c r="AM1031" s="438"/>
      <c r="AN1031" s="531"/>
      <c r="AO1031" s="491"/>
      <c r="AP1031" s="438"/>
      <c r="AQ1031" s="438"/>
      <c r="AR1031" s="438"/>
      <c r="AS1031" s="438"/>
      <c r="AT1031" s="438"/>
      <c r="AU1031" s="438"/>
      <c r="AV1031" s="438"/>
      <c r="AW1031" s="450" t="str">
        <f>AW496</f>
        <v/>
      </c>
    </row>
    <row r="1032">
      <c r="A1032" s="419" t="s">
        <v>1482</v>
      </c>
      <c r="B1032" s="476" t="s">
        <v>2757</v>
      </c>
      <c r="C1032" s="436"/>
      <c r="D1032" s="436" t="s">
        <v>2425</v>
      </c>
      <c r="E1032" s="436"/>
      <c r="F1032" s="436" t="s">
        <v>2758</v>
      </c>
      <c r="G1032" s="436" t="s">
        <v>169</v>
      </c>
      <c r="H1032" s="436" t="s">
        <v>1479</v>
      </c>
      <c r="I1032" s="436" t="s">
        <v>2427</v>
      </c>
      <c r="J1032" s="436">
        <v>3450.0</v>
      </c>
      <c r="K1032" s="436"/>
      <c r="L1032" s="436" t="s">
        <v>430</v>
      </c>
      <c r="M1032" s="439"/>
      <c r="N1032" s="422"/>
      <c r="O1032" s="422"/>
      <c r="P1032" s="422"/>
      <c r="Q1032" s="436" t="s">
        <v>2428</v>
      </c>
      <c r="R1032" s="436" t="s">
        <v>2429</v>
      </c>
      <c r="S1032" s="436" t="s">
        <v>2430</v>
      </c>
      <c r="T1032" s="419" t="s">
        <v>162</v>
      </c>
      <c r="U1032" s="436" t="s">
        <v>2431</v>
      </c>
      <c r="V1032" s="451">
        <v>2.692E29</v>
      </c>
      <c r="W1032" s="474">
        <v>2.19</v>
      </c>
      <c r="X1032" s="436"/>
      <c r="Y1032" s="442">
        <f>IF((W1032/((J1032/5780)^4))^0.5&gt;0,(W1032/((J1032/5780)^4))^0.5,"")</f>
        <v>4.153742251</v>
      </c>
      <c r="Z1032" s="469"/>
      <c r="AA1032" s="470"/>
      <c r="AB1032" s="470"/>
      <c r="AC1032" s="436" t="str">
        <f>IF(ISNUMBER(VLOOKUP(B1032,'New Masses'!A:C,3,FALSE)),VLOOKUP(B1032,'New Masses'!A:C,3,FALSE),"")</f>
        <v/>
      </c>
      <c r="AD1032" s="440">
        <f>10^AE1032</f>
        <v>0.0000002089296131</v>
      </c>
      <c r="AE1032" s="436">
        <v>-6.68</v>
      </c>
      <c r="AF1032" s="438"/>
      <c r="AG1032" s="459">
        <v>0.3</v>
      </c>
      <c r="AH1032" s="436"/>
      <c r="AI1032" s="446" t="str">
        <f>IF(ISNUMBER(VLOOKUP(B1032,'New Masses'!A:C,2, FALSE)),VLOOKUP(B1032,'New Masses'!A:C,2, FALSE),"")</f>
        <v/>
      </c>
      <c r="AJ1032" s="438"/>
      <c r="AK1032" s="436"/>
      <c r="AL1032" s="436">
        <v>-0.42</v>
      </c>
      <c r="AM1032" s="438"/>
      <c r="AN1032" s="436">
        <v>1.0</v>
      </c>
      <c r="AO1032" s="419" t="s">
        <v>5918</v>
      </c>
      <c r="AP1032" s="438"/>
      <c r="AQ1032" s="438"/>
      <c r="AR1032" s="438"/>
      <c r="AS1032" s="438"/>
      <c r="AT1032" s="438"/>
      <c r="AU1032" s="438"/>
      <c r="AV1032" s="438"/>
      <c r="AW1032" s="515">
        <v>156.83322355007684</v>
      </c>
    </row>
    <row r="1033">
      <c r="A1033" s="435" t="str">
        <f t="shared" ref="A1033:C1033" si="845">A498</f>
        <v>ESO-HA 1693</v>
      </c>
      <c r="B1033" s="485" t="str">
        <f t="shared" si="845"/>
        <v>SO865</v>
      </c>
      <c r="C1033" s="486" t="str">
        <f t="shared" si="845"/>
        <v/>
      </c>
      <c r="D1033" s="486"/>
      <c r="E1033" s="486"/>
      <c r="F1033" s="528"/>
      <c r="G1033" s="486"/>
      <c r="H1033" s="486" t="s">
        <v>5917</v>
      </c>
      <c r="I1033" s="491"/>
      <c r="J1033" s="491"/>
      <c r="K1033" s="491"/>
      <c r="L1033" s="491"/>
      <c r="M1033" s="486"/>
      <c r="N1033" s="422"/>
      <c r="O1033" s="422"/>
      <c r="P1033" s="422"/>
      <c r="Q1033" s="486"/>
      <c r="R1033" s="491"/>
      <c r="S1033" s="491"/>
      <c r="T1033" s="491"/>
      <c r="U1033" s="491"/>
      <c r="V1033" s="491"/>
      <c r="W1033" s="493"/>
      <c r="X1033" s="486"/>
      <c r="Y1033" s="442"/>
      <c r="Z1033" s="491"/>
      <c r="AA1033" s="524" t="str">
        <f>AC498</f>
        <v/>
      </c>
      <c r="AB1033" s="494"/>
      <c r="AC1033" s="436"/>
      <c r="AD1033" s="495"/>
      <c r="AE1033" s="491"/>
      <c r="AF1033" s="491"/>
      <c r="AG1033" s="525" t="str">
        <f>AI498</f>
        <v/>
      </c>
      <c r="AH1033" s="491"/>
      <c r="AI1033" s="446"/>
      <c r="AJ1033" s="491"/>
      <c r="AK1033" s="500"/>
      <c r="AL1033" s="436"/>
      <c r="AM1033" s="438"/>
      <c r="AN1033" s="531"/>
      <c r="AO1033" s="491"/>
      <c r="AP1033" s="438"/>
      <c r="AQ1033" s="438"/>
      <c r="AR1033" s="438"/>
      <c r="AS1033" s="438"/>
      <c r="AT1033" s="438"/>
      <c r="AU1033" s="438"/>
      <c r="AV1033" s="438"/>
      <c r="AW1033" s="450">
        <f>AW498</f>
        <v>370.7136237</v>
      </c>
    </row>
    <row r="1034">
      <c r="A1034" s="419" t="s">
        <v>1446</v>
      </c>
      <c r="B1034" s="436" t="s">
        <v>1447</v>
      </c>
      <c r="C1034" s="419"/>
      <c r="D1034" s="436" t="s">
        <v>158</v>
      </c>
      <c r="E1034" s="436"/>
      <c r="F1034" s="419" t="s">
        <v>2759</v>
      </c>
      <c r="G1034" s="436" t="s">
        <v>169</v>
      </c>
      <c r="H1034" s="436" t="s">
        <v>160</v>
      </c>
      <c r="I1034" s="436" t="s">
        <v>1963</v>
      </c>
      <c r="J1034" s="436">
        <v>3981.07171</v>
      </c>
      <c r="K1034" s="436"/>
      <c r="L1034" s="438"/>
      <c r="M1034" s="453"/>
      <c r="N1034" s="422">
        <v>14.17</v>
      </c>
      <c r="O1034" s="422">
        <v>9.484</v>
      </c>
      <c r="P1034" s="422"/>
      <c r="Q1034" s="436" t="s">
        <v>2183</v>
      </c>
      <c r="R1034" s="436" t="s">
        <v>2184</v>
      </c>
      <c r="S1034" s="436" t="s">
        <v>1964</v>
      </c>
      <c r="T1034" s="419" t="s">
        <v>162</v>
      </c>
      <c r="U1034" s="436" t="s">
        <v>2185</v>
      </c>
      <c r="V1034" s="451">
        <v>1.79564E29</v>
      </c>
      <c r="W1034" s="458">
        <v>2.041737944669529</v>
      </c>
      <c r="X1034" s="438"/>
      <c r="Y1034" s="442">
        <f>IF((W1034/((J1034/5780)^4))^0.5&gt;0,(W1034/((J1034/5780)^4))^0.5,"")</f>
        <v>3.012004913</v>
      </c>
      <c r="Z1034" s="442"/>
      <c r="AA1034" s="443"/>
      <c r="AB1034" s="443"/>
      <c r="AC1034" s="436" t="str">
        <f>IF(ISNUMBER(VLOOKUP(B1034,'New Masses'!A:C,3,FALSE)),VLOOKUP(B1034,'New Masses'!A:C,3,FALSE),"")</f>
        <v/>
      </c>
      <c r="AD1034" s="440">
        <f>10^AE1034</f>
        <v>0.000000001659586907</v>
      </c>
      <c r="AE1034" s="436">
        <v>-8.78</v>
      </c>
      <c r="AF1034" s="438"/>
      <c r="AG1034" s="459">
        <f>10^AJ1034</f>
        <v>0.6309573445</v>
      </c>
      <c r="AH1034" s="436"/>
      <c r="AI1034" s="446" t="str">
        <f>IF(ISNUMBER(VLOOKUP(B1034,'New Masses'!A:C,2, FALSE)),VLOOKUP(B1034,'New Masses'!A:C,2, FALSE),"")</f>
        <v/>
      </c>
      <c r="AJ1034" s="436">
        <v>-0.2</v>
      </c>
      <c r="AK1034" s="436"/>
      <c r="AL1034" s="436">
        <v>-1.89</v>
      </c>
      <c r="AM1034" s="438"/>
      <c r="AN1034" s="436">
        <v>1.0</v>
      </c>
      <c r="AO1034" s="419" t="s">
        <v>5918</v>
      </c>
      <c r="AP1034" s="436"/>
      <c r="AQ1034" s="438"/>
      <c r="AR1034" s="438"/>
      <c r="AS1034" s="420" t="str">
        <f>VLOOKUP(B1034,natta06!A:F,6,FALSE)</f>
        <v>#REF!</v>
      </c>
      <c r="AT1034" s="438" t="s">
        <v>5916</v>
      </c>
      <c r="AU1034" s="438"/>
      <c r="AV1034" s="438"/>
      <c r="AW1034" s="450"/>
    </row>
    <row r="1035">
      <c r="A1035" s="435" t="str">
        <f t="shared" ref="A1035:C1035" si="846">A500</f>
        <v>Haro 5-11</v>
      </c>
      <c r="B1035" s="485" t="str">
        <f t="shared" si="846"/>
        <v>SO562</v>
      </c>
      <c r="C1035" s="486" t="str">
        <f t="shared" si="846"/>
        <v/>
      </c>
      <c r="D1035" s="486"/>
      <c r="E1035" s="486"/>
      <c r="F1035" s="528"/>
      <c r="G1035" s="486"/>
      <c r="H1035" s="486" t="s">
        <v>5917</v>
      </c>
      <c r="I1035" s="491"/>
      <c r="J1035" s="491"/>
      <c r="K1035" s="491"/>
      <c r="L1035" s="491"/>
      <c r="M1035" s="486"/>
      <c r="N1035" s="422"/>
      <c r="O1035" s="422"/>
      <c r="P1035" s="422"/>
      <c r="Q1035" s="486"/>
      <c r="R1035" s="491"/>
      <c r="S1035" s="491"/>
      <c r="T1035" s="491"/>
      <c r="U1035" s="491"/>
      <c r="V1035" s="491"/>
      <c r="W1035" s="493"/>
      <c r="X1035" s="486"/>
      <c r="Y1035" s="442"/>
      <c r="Z1035" s="491"/>
      <c r="AA1035" s="524" t="str">
        <f>AC500</f>
        <v/>
      </c>
      <c r="AB1035" s="494"/>
      <c r="AC1035" s="436"/>
      <c r="AD1035" s="495"/>
      <c r="AE1035" s="491"/>
      <c r="AF1035" s="491"/>
      <c r="AG1035" s="525" t="str">
        <f>AI500</f>
        <v/>
      </c>
      <c r="AH1035" s="491"/>
      <c r="AI1035" s="446"/>
      <c r="AJ1035" s="491"/>
      <c r="AK1035" s="500"/>
      <c r="AL1035" s="436"/>
      <c r="AM1035" s="438"/>
      <c r="AN1035" s="531"/>
      <c r="AO1035" s="491"/>
      <c r="AP1035" s="438"/>
      <c r="AQ1035" s="438"/>
      <c r="AR1035" s="438"/>
      <c r="AS1035" s="438"/>
      <c r="AT1035" s="438"/>
      <c r="AU1035" s="438"/>
      <c r="AV1035" s="438"/>
      <c r="AW1035" s="450" t="str">
        <f>AW500</f>
        <v/>
      </c>
    </row>
    <row r="1036">
      <c r="A1036" s="419" t="s">
        <v>1451</v>
      </c>
      <c r="B1036" s="419" t="s">
        <v>1452</v>
      </c>
      <c r="C1036" s="436"/>
      <c r="D1036" s="436" t="s">
        <v>158</v>
      </c>
      <c r="E1036" s="436"/>
      <c r="F1036" s="436" t="s">
        <v>2760</v>
      </c>
      <c r="G1036" s="436" t="s">
        <v>169</v>
      </c>
      <c r="H1036" s="436" t="s">
        <v>160</v>
      </c>
      <c r="I1036" s="436" t="s">
        <v>1963</v>
      </c>
      <c r="J1036" s="436">
        <v>4073.80278</v>
      </c>
      <c r="K1036" s="436"/>
      <c r="L1036" s="438"/>
      <c r="M1036" s="453"/>
      <c r="N1036" s="422">
        <v>9.682</v>
      </c>
      <c r="O1036" s="422">
        <v>7.485</v>
      </c>
      <c r="P1036" s="422">
        <v>13.9</v>
      </c>
      <c r="Q1036" s="436" t="s">
        <v>2183</v>
      </c>
      <c r="R1036" s="436" t="s">
        <v>2184</v>
      </c>
      <c r="S1036" s="436" t="s">
        <v>1964</v>
      </c>
      <c r="T1036" s="419" t="s">
        <v>162</v>
      </c>
      <c r="U1036" s="436" t="s">
        <v>2185</v>
      </c>
      <c r="V1036" s="451">
        <v>2.47867E29</v>
      </c>
      <c r="W1036" s="458">
        <v>2.344228815319922</v>
      </c>
      <c r="X1036" s="438"/>
      <c r="Y1036" s="442">
        <f>IF((W1036/((J1036/5780)^4))^0.5&gt;0,(W1036/((J1036/5780)^4))^0.5,"")</f>
        <v>3.082163524</v>
      </c>
      <c r="Z1036" s="442"/>
      <c r="AA1036" s="443"/>
      <c r="AB1036" s="443"/>
      <c r="AC1036" s="436" t="str">
        <f>IF(ISNUMBER(VLOOKUP(B1036,'New Masses'!A:C,3,FALSE)),VLOOKUP(B1036,'New Masses'!A:C,3,FALSE),"")</f>
        <v/>
      </c>
      <c r="AD1036" s="440">
        <f>10^AE1036</f>
        <v>0.000000002454708916</v>
      </c>
      <c r="AE1036" s="436">
        <v>-8.61</v>
      </c>
      <c r="AF1036" s="438"/>
      <c r="AG1036" s="459">
        <f>10^AJ1036</f>
        <v>0.6760829754</v>
      </c>
      <c r="AH1036" s="436"/>
      <c r="AI1036" s="446" t="str">
        <f>IF(ISNUMBER(VLOOKUP(B1036,'New Masses'!A:C,2, FALSE)),VLOOKUP(B1036,'New Masses'!A:C,2, FALSE),"")</f>
        <v/>
      </c>
      <c r="AJ1036" s="436">
        <v>-0.17</v>
      </c>
      <c r="AK1036" s="436"/>
      <c r="AL1036" s="436">
        <v>-1.7</v>
      </c>
      <c r="AM1036" s="438"/>
      <c r="AN1036" s="436">
        <v>1.0</v>
      </c>
      <c r="AO1036" s="438"/>
      <c r="AP1036" s="438"/>
      <c r="AQ1036" s="438"/>
      <c r="AR1036" s="438"/>
      <c r="AS1036" s="420" t="str">
        <f>VLOOKUP(B1036,natta06!A:F,6,FALSE)</f>
        <v>#REF!</v>
      </c>
      <c r="AT1036" s="438"/>
      <c r="AU1036" s="438"/>
      <c r="AV1036" s="438"/>
      <c r="AW1036" s="450">
        <v>109.536223629154</v>
      </c>
    </row>
    <row r="1037">
      <c r="A1037" s="435" t="str">
        <f t="shared" ref="A1037:C1037" si="847">A502</f>
        <v>Haro 5-13</v>
      </c>
      <c r="B1037" s="485" t="str">
        <f t="shared" si="847"/>
        <v>SO662</v>
      </c>
      <c r="C1037" s="486" t="str">
        <f t="shared" si="847"/>
        <v/>
      </c>
      <c r="D1037" s="486"/>
      <c r="E1037" s="486"/>
      <c r="F1037" s="528"/>
      <c r="G1037" s="486"/>
      <c r="H1037" s="486" t="s">
        <v>5917</v>
      </c>
      <c r="I1037" s="491"/>
      <c r="J1037" s="491"/>
      <c r="K1037" s="491"/>
      <c r="L1037" s="491"/>
      <c r="M1037" s="486"/>
      <c r="N1037" s="422"/>
      <c r="O1037" s="422"/>
      <c r="P1037" s="422"/>
      <c r="Q1037" s="486"/>
      <c r="R1037" s="491"/>
      <c r="S1037" s="491"/>
      <c r="T1037" s="491"/>
      <c r="U1037" s="491"/>
      <c r="V1037" s="491"/>
      <c r="W1037" s="493"/>
      <c r="X1037" s="486"/>
      <c r="Y1037" s="442"/>
      <c r="Z1037" s="491"/>
      <c r="AA1037" s="524" t="str">
        <f>AC502</f>
        <v/>
      </c>
      <c r="AB1037" s="494"/>
      <c r="AC1037" s="436"/>
      <c r="AD1037" s="495"/>
      <c r="AE1037" s="491"/>
      <c r="AF1037" s="491"/>
      <c r="AG1037" s="525" t="str">
        <f>AI502</f>
        <v/>
      </c>
      <c r="AH1037" s="491"/>
      <c r="AI1037" s="446"/>
      <c r="AJ1037" s="491"/>
      <c r="AK1037" s="500"/>
      <c r="AL1037" s="436"/>
      <c r="AM1037" s="438"/>
      <c r="AN1037" s="531"/>
      <c r="AO1037" s="491"/>
      <c r="AP1037" s="438"/>
      <c r="AQ1037" s="438"/>
      <c r="AR1037" s="438"/>
      <c r="AS1037" s="438"/>
      <c r="AT1037" s="438"/>
      <c r="AU1037" s="438"/>
      <c r="AV1037" s="438"/>
      <c r="AW1037" s="450">
        <f>AW502</f>
        <v>380.7348182</v>
      </c>
    </row>
    <row r="1038">
      <c r="A1038" s="451"/>
      <c r="B1038" s="451" t="s">
        <v>501</v>
      </c>
      <c r="C1038" s="440"/>
      <c r="D1038" s="440" t="s">
        <v>314</v>
      </c>
      <c r="E1038" s="440"/>
      <c r="F1038" s="451" t="s">
        <v>2778</v>
      </c>
      <c r="G1038" s="440" t="s">
        <v>169</v>
      </c>
      <c r="H1038" s="440" t="s">
        <v>476</v>
      </c>
      <c r="I1038" s="438"/>
      <c r="J1038" s="460">
        <v>3057.0</v>
      </c>
      <c r="K1038" s="460">
        <v>70.0</v>
      </c>
      <c r="L1038" s="460" t="s">
        <v>264</v>
      </c>
      <c r="M1038" s="461">
        <v>0.5</v>
      </c>
      <c r="N1038" s="422"/>
      <c r="O1038" s="422"/>
      <c r="P1038" s="422"/>
      <c r="Q1038" s="440" t="s">
        <v>2189</v>
      </c>
      <c r="R1038" s="451" t="s">
        <v>2190</v>
      </c>
      <c r="S1038" s="451" t="s">
        <v>2191</v>
      </c>
      <c r="T1038" s="462" t="s">
        <v>162</v>
      </c>
      <c r="U1038" s="451" t="s">
        <v>2192</v>
      </c>
      <c r="V1038" s="440"/>
      <c r="W1038" s="463"/>
      <c r="X1038" s="437"/>
      <c r="Y1038" s="442" t="str">
        <f t="shared" ref="Y1038:Y1049" si="848">IF((W1038/((J1038/5780)^4))^0.5&gt;0,(W1038/((J1038/5780)^4))^0.5,"")</f>
        <v/>
      </c>
      <c r="Z1038" s="464"/>
      <c r="AA1038" s="465">
        <v>0.83</v>
      </c>
      <c r="AB1038" s="465">
        <v>0.19</v>
      </c>
      <c r="AC1038" s="436" t="str">
        <f>IF(ISNUMBER(VLOOKUP(B1038,'New Masses'!A:C,3,FALSE)),VLOOKUP(B1038,'New Masses'!A:C,3,FALSE),"")</f>
        <v/>
      </c>
      <c r="AD1038" s="440">
        <f>10^AE1038</f>
        <v>0</v>
      </c>
      <c r="AE1038" s="460">
        <v>-10.3</v>
      </c>
      <c r="AF1038" s="440"/>
      <c r="AG1038" s="445">
        <v>0.13</v>
      </c>
      <c r="AH1038" s="460">
        <v>0.02</v>
      </c>
      <c r="AI1038" s="446" t="str">
        <f>IF(ISNUMBER(VLOOKUP(B1038,'New Masses'!A:C,2, FALSE)),VLOOKUP(B1038,'New Masses'!A:C,2, FALSE),"")</f>
        <v/>
      </c>
      <c r="AJ1038" s="440">
        <f>LOG10(AG1038)</f>
        <v>-0.8860566477</v>
      </c>
      <c r="AK1038" s="460"/>
      <c r="AL1038" s="460">
        <v>-3.7</v>
      </c>
      <c r="AM1038" s="466">
        <v>43900.0</v>
      </c>
      <c r="AN1038" s="436">
        <v>3.0</v>
      </c>
      <c r="AO1038" s="440"/>
      <c r="AP1038" s="440"/>
      <c r="AQ1038" s="440"/>
      <c r="AR1038" s="440"/>
      <c r="AS1038" s="440"/>
      <c r="AT1038" s="440"/>
      <c r="AU1038" s="440"/>
      <c r="AV1038" s="440"/>
      <c r="AW1038" s="450"/>
    </row>
    <row r="1039">
      <c r="A1039" s="436"/>
      <c r="B1039" s="436" t="s">
        <v>186</v>
      </c>
      <c r="C1039" s="438"/>
      <c r="D1039" s="420" t="s">
        <v>188</v>
      </c>
      <c r="E1039" s="420"/>
      <c r="F1039" s="420" t="s">
        <v>2766</v>
      </c>
      <c r="G1039" s="420" t="s">
        <v>189</v>
      </c>
      <c r="H1039" s="420" t="s">
        <v>2767</v>
      </c>
      <c r="I1039" s="420" t="s">
        <v>189</v>
      </c>
      <c r="J1039" s="436">
        <v>2600.0</v>
      </c>
      <c r="K1039" s="420"/>
      <c r="L1039" s="420" t="s">
        <v>193</v>
      </c>
      <c r="M1039" s="429"/>
      <c r="N1039" s="422"/>
      <c r="O1039" s="567">
        <v>14.57</v>
      </c>
      <c r="P1039" s="422"/>
      <c r="Q1039" s="420" t="s">
        <v>2768</v>
      </c>
      <c r="R1039" s="420" t="s">
        <v>2769</v>
      </c>
      <c r="S1039" s="420" t="s">
        <v>2419</v>
      </c>
      <c r="T1039" s="421" t="s">
        <v>162</v>
      </c>
      <c r="U1039" s="420" t="s">
        <v>2210</v>
      </c>
      <c r="V1039" s="440"/>
      <c r="W1039" s="468"/>
      <c r="X1039" s="436"/>
      <c r="Y1039" s="442" t="str">
        <f t="shared" si="848"/>
        <v/>
      </c>
      <c r="Z1039" s="469"/>
      <c r="AA1039" s="470">
        <v>0.19</v>
      </c>
      <c r="AB1039" s="426"/>
      <c r="AC1039" s="436" t="str">
        <f>IF(ISNUMBER(VLOOKUP(B1039,'New Masses'!A:C,3,FALSE)),VLOOKUP(B1039,'New Masses'!A:C,3,FALSE),"")</f>
        <v/>
      </c>
      <c r="AD1039" s="451">
        <f>4.57*10^-12</f>
        <v>0</v>
      </c>
      <c r="AE1039" s="436">
        <f>LOG10(AD1039)</f>
        <v>-11.3400838</v>
      </c>
      <c r="AF1039" s="438" t="s">
        <v>2770</v>
      </c>
      <c r="AG1039" s="459">
        <v>0.013</v>
      </c>
      <c r="AH1039" s="438"/>
      <c r="AI1039" s="446" t="str">
        <f>IF(ISNUMBER(VLOOKUP(B1039,'New Masses'!A:C,2, FALSE)),VLOOKUP(B1039,'New Masses'!A:C,2, FALSE),"")</f>
        <v/>
      </c>
      <c r="AJ1039" s="438"/>
      <c r="AK1039" s="438"/>
      <c r="AL1039" s="438"/>
      <c r="AM1039" s="436">
        <v>2.0</v>
      </c>
      <c r="AN1039" s="436">
        <v>2.0</v>
      </c>
      <c r="AO1039" s="421" t="s">
        <v>5918</v>
      </c>
      <c r="AP1039" s="436">
        <v>1.77</v>
      </c>
      <c r="AQ1039" s="436">
        <v>0.71</v>
      </c>
      <c r="AR1039" s="420" t="s">
        <v>190</v>
      </c>
      <c r="AS1039" s="420"/>
      <c r="AT1039" s="420"/>
      <c r="AU1039" s="571" t="s">
        <v>196</v>
      </c>
      <c r="AV1039" s="438"/>
      <c r="AW1039" s="450"/>
    </row>
    <row r="1040">
      <c r="A1040" s="436"/>
      <c r="B1040" s="436" t="s">
        <v>186</v>
      </c>
      <c r="C1040" s="438"/>
      <c r="D1040" s="421" t="s">
        <v>158</v>
      </c>
      <c r="E1040" s="420"/>
      <c r="F1040" s="420" t="s">
        <v>2766</v>
      </c>
      <c r="G1040" s="420" t="s">
        <v>189</v>
      </c>
      <c r="H1040" s="420" t="s">
        <v>2767</v>
      </c>
      <c r="I1040" s="420" t="s">
        <v>189</v>
      </c>
      <c r="J1040" s="436">
        <v>2600.0</v>
      </c>
      <c r="K1040" s="420"/>
      <c r="L1040" s="420" t="s">
        <v>193</v>
      </c>
      <c r="M1040" s="429"/>
      <c r="N1040" s="422"/>
      <c r="O1040" s="567">
        <v>14.57</v>
      </c>
      <c r="P1040" s="422"/>
      <c r="Q1040" s="420" t="s">
        <v>2768</v>
      </c>
      <c r="R1040" s="420" t="s">
        <v>2769</v>
      </c>
      <c r="S1040" s="420" t="s">
        <v>2419</v>
      </c>
      <c r="T1040" s="420" t="s">
        <v>596</v>
      </c>
      <c r="U1040" s="420" t="s">
        <v>597</v>
      </c>
      <c r="V1040" s="451">
        <v>1.3400000000000003E-15</v>
      </c>
      <c r="W1040" s="468"/>
      <c r="X1040" s="436"/>
      <c r="Y1040" s="442" t="str">
        <f t="shared" si="848"/>
        <v/>
      </c>
      <c r="Z1040" s="469"/>
      <c r="AA1040" s="470">
        <v>0.19</v>
      </c>
      <c r="AB1040" s="426"/>
      <c r="AC1040" s="436" t="str">
        <f>IF(ISNUMBER(VLOOKUP(B1040,'New Masses'!A:C,3,FALSE)),VLOOKUP(B1040,'New Masses'!A:C,3,FALSE),"")</f>
        <v/>
      </c>
      <c r="AD1040" s="451">
        <f>10^-10.31</f>
        <v>0</v>
      </c>
      <c r="AE1040" s="436">
        <v>-10.31</v>
      </c>
      <c r="AF1040" s="420" t="s">
        <v>2770</v>
      </c>
      <c r="AG1040" s="459">
        <v>0.013</v>
      </c>
      <c r="AH1040" s="420"/>
      <c r="AI1040" s="446" t="str">
        <f>IF(ISNUMBER(VLOOKUP(B1040,'New Masses'!A:C,2, FALSE)),VLOOKUP(B1040,'New Masses'!A:C,2, FALSE),"")</f>
        <v/>
      </c>
      <c r="AJ1040" s="420"/>
      <c r="AK1040" s="438"/>
      <c r="AL1040" s="568">
        <f t="shared" ref="AL1040:AL1041" si="849">log10(0.00000342)</f>
        <v>-5.465973894</v>
      </c>
      <c r="AM1040" s="436">
        <v>2.0</v>
      </c>
      <c r="AN1040" s="436">
        <v>2.0</v>
      </c>
      <c r="AO1040" s="421" t="s">
        <v>5918</v>
      </c>
      <c r="AP1040" s="436">
        <v>1.77</v>
      </c>
      <c r="AQ1040" s="436">
        <v>0.71</v>
      </c>
      <c r="AR1040" s="420" t="s">
        <v>190</v>
      </c>
      <c r="AS1040" s="420"/>
      <c r="AT1040" s="420"/>
      <c r="AU1040" s="569" t="s">
        <v>196</v>
      </c>
      <c r="AV1040" s="438"/>
      <c r="AW1040" s="450"/>
    </row>
    <row r="1041">
      <c r="A1041" s="436"/>
      <c r="B1041" s="436" t="s">
        <v>186</v>
      </c>
      <c r="C1041" s="438"/>
      <c r="D1041" s="421" t="s">
        <v>158</v>
      </c>
      <c r="E1041" s="420"/>
      <c r="F1041" s="420" t="s">
        <v>2766</v>
      </c>
      <c r="G1041" s="420" t="s">
        <v>189</v>
      </c>
      <c r="H1041" s="420" t="s">
        <v>2767</v>
      </c>
      <c r="I1041" s="420" t="s">
        <v>189</v>
      </c>
      <c r="J1041" s="436">
        <v>2600.0</v>
      </c>
      <c r="K1041" s="420"/>
      <c r="L1041" s="420" t="s">
        <v>193</v>
      </c>
      <c r="M1041" s="429"/>
      <c r="N1041" s="422"/>
      <c r="O1041" s="567">
        <v>14.57</v>
      </c>
      <c r="P1041" s="422"/>
      <c r="Q1041" s="420" t="s">
        <v>2768</v>
      </c>
      <c r="R1041" s="420" t="s">
        <v>2769</v>
      </c>
      <c r="S1041" s="420" t="s">
        <v>2419</v>
      </c>
      <c r="T1041" s="421" t="s">
        <v>162</v>
      </c>
      <c r="U1041" s="421" t="s">
        <v>2178</v>
      </c>
      <c r="V1041" s="451">
        <v>1.3400000000000003E-15</v>
      </c>
      <c r="W1041" s="468"/>
      <c r="X1041" s="436"/>
      <c r="Y1041" s="442" t="str">
        <f t="shared" si="848"/>
        <v/>
      </c>
      <c r="Z1041" s="469"/>
      <c r="AA1041" s="470">
        <v>0.19</v>
      </c>
      <c r="AB1041" s="426"/>
      <c r="AC1041" s="436" t="str">
        <f>IF(ISNUMBER(VLOOKUP(B1041,'New Masses'!A:C,3,FALSE)),VLOOKUP(B1041,'New Masses'!A:C,3,FALSE),"")</f>
        <v/>
      </c>
      <c r="AD1041" s="451">
        <f>1.61*10^-12</f>
        <v>0</v>
      </c>
      <c r="AE1041" s="436">
        <f t="shared" ref="AE1041:AE1046" si="850">LOG10(AD1041)</f>
        <v>-11.79317412</v>
      </c>
      <c r="AF1041" s="438" t="s">
        <v>2770</v>
      </c>
      <c r="AG1041" s="459">
        <v>0.013</v>
      </c>
      <c r="AH1041" s="438"/>
      <c r="AI1041" s="446" t="str">
        <f>IF(ISNUMBER(VLOOKUP(B1041,'New Masses'!A:C,2, FALSE)),VLOOKUP(B1041,'New Masses'!A:C,2, FALSE),"")</f>
        <v/>
      </c>
      <c r="AJ1041" s="438"/>
      <c r="AK1041" s="438"/>
      <c r="AL1041" s="570">
        <f t="shared" si="849"/>
        <v>-5.465973894</v>
      </c>
      <c r="AM1041" s="436">
        <v>2.0</v>
      </c>
      <c r="AN1041" s="436">
        <v>2.0</v>
      </c>
      <c r="AO1041" s="421" t="s">
        <v>5918</v>
      </c>
      <c r="AP1041" s="436">
        <v>1.77</v>
      </c>
      <c r="AQ1041" s="436">
        <v>0.71</v>
      </c>
      <c r="AR1041" s="420" t="s">
        <v>190</v>
      </c>
      <c r="AS1041" s="420"/>
      <c r="AT1041" s="420"/>
      <c r="AU1041" s="571" t="s">
        <v>196</v>
      </c>
      <c r="AV1041" s="438"/>
      <c r="AW1041" s="450"/>
    </row>
    <row r="1042">
      <c r="A1042" s="436"/>
      <c r="B1042" s="436" t="s">
        <v>186</v>
      </c>
      <c r="C1042" s="438"/>
      <c r="D1042" s="421" t="s">
        <v>158</v>
      </c>
      <c r="E1042" s="420"/>
      <c r="F1042" s="420" t="s">
        <v>2766</v>
      </c>
      <c r="G1042" s="420" t="s">
        <v>189</v>
      </c>
      <c r="H1042" s="420" t="s">
        <v>2767</v>
      </c>
      <c r="I1042" s="420" t="s">
        <v>189</v>
      </c>
      <c r="J1042" s="436">
        <v>2600.0</v>
      </c>
      <c r="K1042" s="420"/>
      <c r="L1042" s="420" t="s">
        <v>193</v>
      </c>
      <c r="M1042" s="429"/>
      <c r="N1042" s="422"/>
      <c r="O1042" s="567">
        <v>14.57</v>
      </c>
      <c r="P1042" s="422"/>
      <c r="Q1042" s="420" t="s">
        <v>2768</v>
      </c>
      <c r="R1042" s="420" t="s">
        <v>2769</v>
      </c>
      <c r="S1042" s="420" t="s">
        <v>2419</v>
      </c>
      <c r="T1042" s="421" t="s">
        <v>162</v>
      </c>
      <c r="U1042" s="420" t="s">
        <v>2771</v>
      </c>
      <c r="V1042" s="451">
        <v>2.19E-16</v>
      </c>
      <c r="W1042" s="468"/>
      <c r="X1042" s="436"/>
      <c r="Y1042" s="442" t="str">
        <f t="shared" si="848"/>
        <v/>
      </c>
      <c r="Z1042" s="469"/>
      <c r="AA1042" s="470">
        <v>0.19</v>
      </c>
      <c r="AB1042" s="426"/>
      <c r="AC1042" s="436" t="str">
        <f>IF(ISNUMBER(VLOOKUP(B1042,'New Masses'!A:C,3,FALSE)),VLOOKUP(B1042,'New Masses'!A:C,3,FALSE),"")</f>
        <v/>
      </c>
      <c r="AD1042" s="451">
        <f>5.99*10^-13</f>
        <v>0</v>
      </c>
      <c r="AE1042" s="436">
        <f t="shared" si="850"/>
        <v>-12.22257318</v>
      </c>
      <c r="AF1042" s="420" t="s">
        <v>2770</v>
      </c>
      <c r="AG1042" s="459">
        <v>0.013</v>
      </c>
      <c r="AH1042" s="420"/>
      <c r="AI1042" s="446" t="str">
        <f>IF(ISNUMBER(VLOOKUP(B1042,'New Masses'!A:C,2, FALSE)),VLOOKUP(B1042,'New Masses'!A:C,2, FALSE),"")</f>
        <v/>
      </c>
      <c r="AJ1042" s="420"/>
      <c r="AK1042" s="438"/>
      <c r="AL1042" s="568">
        <f>log10(0.000000128)</f>
        <v>-6.89279003</v>
      </c>
      <c r="AM1042" s="436">
        <v>2.0</v>
      </c>
      <c r="AN1042" s="436">
        <v>2.0</v>
      </c>
      <c r="AO1042" s="421" t="s">
        <v>5918</v>
      </c>
      <c r="AP1042" s="436">
        <v>1.77</v>
      </c>
      <c r="AQ1042" s="436">
        <v>0.71</v>
      </c>
      <c r="AR1042" s="420" t="s">
        <v>190</v>
      </c>
      <c r="AS1042" s="420"/>
      <c r="AT1042" s="420"/>
      <c r="AU1042" s="569" t="s">
        <v>196</v>
      </c>
      <c r="AV1042" s="438"/>
      <c r="AW1042" s="450"/>
    </row>
    <row r="1043">
      <c r="A1043" s="436"/>
      <c r="B1043" s="436" t="s">
        <v>186</v>
      </c>
      <c r="C1043" s="438"/>
      <c r="D1043" s="421" t="s">
        <v>158</v>
      </c>
      <c r="E1043" s="420"/>
      <c r="F1043" s="420" t="s">
        <v>2766</v>
      </c>
      <c r="G1043" s="420" t="s">
        <v>189</v>
      </c>
      <c r="H1043" s="420" t="s">
        <v>2767</v>
      </c>
      <c r="I1043" s="420" t="s">
        <v>189</v>
      </c>
      <c r="J1043" s="436">
        <v>2600.0</v>
      </c>
      <c r="K1043" s="420"/>
      <c r="L1043" s="420" t="s">
        <v>193</v>
      </c>
      <c r="M1043" s="429"/>
      <c r="N1043" s="422"/>
      <c r="O1043" s="567">
        <v>14.57</v>
      </c>
      <c r="P1043" s="422"/>
      <c r="Q1043" s="420" t="s">
        <v>2768</v>
      </c>
      <c r="R1043" s="420" t="s">
        <v>2769</v>
      </c>
      <c r="S1043" s="420" t="s">
        <v>2419</v>
      </c>
      <c r="T1043" s="421" t="s">
        <v>162</v>
      </c>
      <c r="U1043" s="420" t="s">
        <v>2772</v>
      </c>
      <c r="V1043" s="451">
        <v>8.929999999999999E-17</v>
      </c>
      <c r="W1043" s="468"/>
      <c r="X1043" s="436"/>
      <c r="Y1043" s="442" t="str">
        <f t="shared" si="848"/>
        <v/>
      </c>
      <c r="Z1043" s="469"/>
      <c r="AA1043" s="470">
        <v>0.19</v>
      </c>
      <c r="AB1043" s="426"/>
      <c r="AC1043" s="436" t="str">
        <f>IF(ISNUMBER(VLOOKUP(B1043,'New Masses'!A:C,3,FALSE)),VLOOKUP(B1043,'New Masses'!A:C,3,FALSE),"")</f>
        <v/>
      </c>
      <c r="AD1043" s="451">
        <f>1.79*10^-12</f>
        <v>0</v>
      </c>
      <c r="AE1043" s="436">
        <f t="shared" si="850"/>
        <v>-11.74714697</v>
      </c>
      <c r="AF1043" s="438" t="s">
        <v>2770</v>
      </c>
      <c r="AG1043" s="459">
        <v>0.013</v>
      </c>
      <c r="AH1043" s="438"/>
      <c r="AI1043" s="446" t="str">
        <f>IF(ISNUMBER(VLOOKUP(B1043,'New Masses'!A:C,2, FALSE)),VLOOKUP(B1043,'New Masses'!A:C,2, FALSE),"")</f>
        <v/>
      </c>
      <c r="AJ1043" s="438"/>
      <c r="AK1043" s="438"/>
      <c r="AL1043" s="570">
        <f>log10(0.00000382)</f>
        <v>-5.417936637</v>
      </c>
      <c r="AM1043" s="436">
        <v>2.0</v>
      </c>
      <c r="AN1043" s="436">
        <v>2.0</v>
      </c>
      <c r="AO1043" s="421" t="s">
        <v>5918</v>
      </c>
      <c r="AP1043" s="436">
        <v>1.77</v>
      </c>
      <c r="AQ1043" s="436">
        <v>0.71</v>
      </c>
      <c r="AR1043" s="420" t="s">
        <v>190</v>
      </c>
      <c r="AS1043" s="420"/>
      <c r="AT1043" s="420"/>
      <c r="AU1043" s="571" t="s">
        <v>196</v>
      </c>
      <c r="AV1043" s="438"/>
      <c r="AW1043" s="450"/>
    </row>
    <row r="1044">
      <c r="A1044" s="436"/>
      <c r="B1044" s="436" t="s">
        <v>186</v>
      </c>
      <c r="C1044" s="438"/>
      <c r="D1044" s="421" t="s">
        <v>158</v>
      </c>
      <c r="E1044" s="420"/>
      <c r="F1044" s="420" t="s">
        <v>2766</v>
      </c>
      <c r="G1044" s="420" t="s">
        <v>189</v>
      </c>
      <c r="H1044" s="420" t="s">
        <v>2767</v>
      </c>
      <c r="I1044" s="420" t="s">
        <v>189</v>
      </c>
      <c r="J1044" s="436">
        <v>2600.0</v>
      </c>
      <c r="K1044" s="420"/>
      <c r="L1044" s="420" t="s">
        <v>193</v>
      </c>
      <c r="M1044" s="429"/>
      <c r="N1044" s="422"/>
      <c r="O1044" s="567">
        <v>14.57</v>
      </c>
      <c r="P1044" s="422"/>
      <c r="Q1044" s="420" t="s">
        <v>2768</v>
      </c>
      <c r="R1044" s="420" t="s">
        <v>2769</v>
      </c>
      <c r="S1044" s="420" t="s">
        <v>2419</v>
      </c>
      <c r="T1044" s="421" t="s">
        <v>162</v>
      </c>
      <c r="U1044" s="420" t="s">
        <v>2773</v>
      </c>
      <c r="V1044" s="451">
        <v>6.57E-16</v>
      </c>
      <c r="W1044" s="468"/>
      <c r="X1044" s="436"/>
      <c r="Y1044" s="442" t="str">
        <f t="shared" si="848"/>
        <v/>
      </c>
      <c r="Z1044" s="469"/>
      <c r="AA1044" s="470">
        <v>0.19</v>
      </c>
      <c r="AB1044" s="426"/>
      <c r="AC1044" s="436" t="str">
        <f>IF(ISNUMBER(VLOOKUP(B1044,'New Masses'!A:C,3,FALSE)),VLOOKUP(B1044,'New Masses'!A:C,3,FALSE),"")</f>
        <v/>
      </c>
      <c r="AD1044" s="451">
        <f>1.18*10^-12</f>
        <v>0</v>
      </c>
      <c r="AE1044" s="436">
        <f t="shared" si="850"/>
        <v>-11.92811799</v>
      </c>
      <c r="AF1044" s="420" t="s">
        <v>2770</v>
      </c>
      <c r="AG1044" s="459">
        <v>0.013</v>
      </c>
      <c r="AH1044" s="420"/>
      <c r="AI1044" s="446" t="str">
        <f>IF(ISNUMBER(VLOOKUP(B1044,'New Masses'!A:C,2, FALSE)),VLOOKUP(B1044,'New Masses'!A:C,2, FALSE),"")</f>
        <v/>
      </c>
      <c r="AJ1044" s="420"/>
      <c r="AK1044" s="438"/>
      <c r="AL1044" s="568">
        <f>log10(0.00000253)</f>
        <v>-5.596879479</v>
      </c>
      <c r="AM1044" s="436">
        <v>2.0</v>
      </c>
      <c r="AN1044" s="436">
        <v>2.0</v>
      </c>
      <c r="AO1044" s="421" t="s">
        <v>5918</v>
      </c>
      <c r="AP1044" s="436">
        <v>1.77</v>
      </c>
      <c r="AQ1044" s="436">
        <v>0.71</v>
      </c>
      <c r="AR1044" s="420" t="s">
        <v>190</v>
      </c>
      <c r="AS1044" s="420"/>
      <c r="AT1044" s="420"/>
      <c r="AU1044" s="569" t="s">
        <v>196</v>
      </c>
      <c r="AV1044" s="438"/>
      <c r="AW1044" s="450"/>
    </row>
    <row r="1045">
      <c r="A1045" s="436"/>
      <c r="B1045" s="436" t="s">
        <v>186</v>
      </c>
      <c r="C1045" s="438"/>
      <c r="D1045" s="421" t="s">
        <v>158</v>
      </c>
      <c r="E1045" s="420"/>
      <c r="F1045" s="420" t="s">
        <v>2766</v>
      </c>
      <c r="G1045" s="420" t="s">
        <v>189</v>
      </c>
      <c r="H1045" s="420" t="s">
        <v>2767</v>
      </c>
      <c r="I1045" s="420" t="s">
        <v>189</v>
      </c>
      <c r="J1045" s="436">
        <v>2600.0</v>
      </c>
      <c r="K1045" s="420"/>
      <c r="L1045" s="420" t="s">
        <v>193</v>
      </c>
      <c r="M1045" s="429"/>
      <c r="N1045" s="422"/>
      <c r="O1045" s="567">
        <v>14.57</v>
      </c>
      <c r="P1045" s="422"/>
      <c r="Q1045" s="420" t="s">
        <v>2768</v>
      </c>
      <c r="R1045" s="420" t="s">
        <v>2769</v>
      </c>
      <c r="S1045" s="420" t="s">
        <v>2419</v>
      </c>
      <c r="T1045" s="421" t="s">
        <v>162</v>
      </c>
      <c r="U1045" s="420" t="s">
        <v>2774</v>
      </c>
      <c r="V1045" s="451">
        <v>1.6200000000000002E-16</v>
      </c>
      <c r="W1045" s="468"/>
      <c r="X1045" s="436"/>
      <c r="Y1045" s="442" t="str">
        <f t="shared" si="848"/>
        <v/>
      </c>
      <c r="Z1045" s="469"/>
      <c r="AA1045" s="470">
        <v>0.19</v>
      </c>
      <c r="AB1045" s="426"/>
      <c r="AC1045" s="436" t="str">
        <f>IF(ISNUMBER(VLOOKUP(B1045,'New Masses'!A:C,3,FALSE)),VLOOKUP(B1045,'New Masses'!A:C,3,FALSE),"")</f>
        <v/>
      </c>
      <c r="AD1045" s="451">
        <f>6.28*10^-12</f>
        <v>0</v>
      </c>
      <c r="AE1045" s="436">
        <f t="shared" si="850"/>
        <v>-11.20204036</v>
      </c>
      <c r="AF1045" s="438" t="s">
        <v>2770</v>
      </c>
      <c r="AG1045" s="459">
        <v>0.013</v>
      </c>
      <c r="AH1045" s="438"/>
      <c r="AI1045" s="446" t="str">
        <f>IF(ISNUMBER(VLOOKUP(B1045,'New Masses'!A:C,2, FALSE)),VLOOKUP(B1045,'New Masses'!A:C,2, FALSE),"")</f>
        <v/>
      </c>
      <c r="AJ1045" s="438"/>
      <c r="AK1045" s="438"/>
      <c r="AL1045" s="570">
        <f>log10(0.0000134)</f>
        <v>-4.872895202</v>
      </c>
      <c r="AM1045" s="436">
        <v>2.0</v>
      </c>
      <c r="AN1045" s="436">
        <v>2.0</v>
      </c>
      <c r="AO1045" s="421" t="s">
        <v>5918</v>
      </c>
      <c r="AP1045" s="436">
        <v>1.77</v>
      </c>
      <c r="AQ1045" s="436">
        <v>0.71</v>
      </c>
      <c r="AR1045" s="420" t="s">
        <v>190</v>
      </c>
      <c r="AS1045" s="420"/>
      <c r="AT1045" s="420"/>
      <c r="AU1045" s="571" t="s">
        <v>196</v>
      </c>
      <c r="AV1045" s="438"/>
      <c r="AW1045" s="450"/>
    </row>
    <row r="1046">
      <c r="A1046" s="436"/>
      <c r="B1046" s="436" t="s">
        <v>186</v>
      </c>
      <c r="C1046" s="438"/>
      <c r="D1046" s="421" t="s">
        <v>158</v>
      </c>
      <c r="E1046" s="420"/>
      <c r="F1046" s="420" t="s">
        <v>2766</v>
      </c>
      <c r="G1046" s="420" t="s">
        <v>189</v>
      </c>
      <c r="H1046" s="420" t="s">
        <v>2767</v>
      </c>
      <c r="I1046" s="420" t="s">
        <v>189</v>
      </c>
      <c r="J1046" s="436">
        <v>2600.0</v>
      </c>
      <c r="K1046" s="420"/>
      <c r="L1046" s="420" t="s">
        <v>193</v>
      </c>
      <c r="M1046" s="429"/>
      <c r="N1046" s="422"/>
      <c r="O1046" s="567">
        <v>14.57</v>
      </c>
      <c r="P1046" s="422"/>
      <c r="Q1046" s="420" t="s">
        <v>2768</v>
      </c>
      <c r="R1046" s="420" t="s">
        <v>2769</v>
      </c>
      <c r="S1046" s="420" t="s">
        <v>2419</v>
      </c>
      <c r="T1046" s="421" t="s">
        <v>162</v>
      </c>
      <c r="U1046" s="420" t="s">
        <v>1965</v>
      </c>
      <c r="V1046" s="440"/>
      <c r="W1046" s="468"/>
      <c r="X1046" s="436"/>
      <c r="Y1046" s="442" t="str">
        <f t="shared" si="848"/>
        <v/>
      </c>
      <c r="Z1046" s="469"/>
      <c r="AA1046" s="470">
        <v>0.19</v>
      </c>
      <c r="AB1046" s="426"/>
      <c r="AC1046" s="436" t="str">
        <f>IF(ISNUMBER(VLOOKUP(B1046,'New Masses'!A:C,3,FALSE)),VLOOKUP(B1046,'New Masses'!A:C,3,FALSE),"")</f>
        <v/>
      </c>
      <c r="AD1046" s="451">
        <f>4.02*10^-13</f>
        <v>0</v>
      </c>
      <c r="AE1046" s="436">
        <f t="shared" si="850"/>
        <v>-12.39577395</v>
      </c>
      <c r="AF1046" s="420" t="s">
        <v>2770</v>
      </c>
      <c r="AG1046" s="459">
        <v>0.013</v>
      </c>
      <c r="AH1046" s="420"/>
      <c r="AI1046" s="446" t="str">
        <f>IF(ISNUMBER(VLOOKUP(B1046,'New Masses'!A:C,2, FALSE)),VLOOKUP(B1046,'New Masses'!A:C,2, FALSE),"")</f>
        <v/>
      </c>
      <c r="AJ1046" s="420"/>
      <c r="AK1046" s="438"/>
      <c r="AL1046" s="438"/>
      <c r="AM1046" s="436">
        <v>2.0</v>
      </c>
      <c r="AN1046" s="436">
        <v>2.0</v>
      </c>
      <c r="AO1046" s="421" t="s">
        <v>5918</v>
      </c>
      <c r="AP1046" s="436">
        <v>1.77</v>
      </c>
      <c r="AQ1046" s="436">
        <v>0.71</v>
      </c>
      <c r="AR1046" s="420" t="s">
        <v>190</v>
      </c>
      <c r="AS1046" s="420"/>
      <c r="AT1046" s="420"/>
      <c r="AU1046" s="569" t="s">
        <v>196</v>
      </c>
      <c r="AV1046" s="438"/>
      <c r="AW1046" s="450"/>
    </row>
    <row r="1047">
      <c r="A1047" s="435"/>
      <c r="B1047" s="485" t="s">
        <v>290</v>
      </c>
      <c r="C1047" s="486"/>
      <c r="D1047" s="486" t="s">
        <v>199</v>
      </c>
      <c r="E1047" s="486"/>
      <c r="F1047" s="528" t="s">
        <v>2763</v>
      </c>
      <c r="G1047" s="486" t="s">
        <v>169</v>
      </c>
      <c r="H1047" s="486" t="s">
        <v>291</v>
      </c>
      <c r="I1047" s="542"/>
      <c r="J1047" s="542">
        <v>2200.0</v>
      </c>
      <c r="K1047" s="542"/>
      <c r="L1047" s="486"/>
      <c r="M1047" s="542"/>
      <c r="N1047" s="422"/>
      <c r="O1047" s="422"/>
      <c r="P1047" s="422"/>
      <c r="Q1047" s="542" t="s">
        <v>2439</v>
      </c>
      <c r="R1047" s="542" t="s">
        <v>2176</v>
      </c>
      <c r="S1047" s="542"/>
      <c r="T1047" s="542" t="s">
        <v>293</v>
      </c>
      <c r="U1047" s="486" t="s">
        <v>294</v>
      </c>
      <c r="V1047" s="491">
        <v>8.36E-18</v>
      </c>
      <c r="W1047" s="529"/>
      <c r="X1047" s="491"/>
      <c r="Y1047" s="442" t="str">
        <f t="shared" si="848"/>
        <v/>
      </c>
      <c r="Z1047" s="486"/>
      <c r="AA1047" s="494">
        <f>2.7*0.10049</f>
        <v>0.271323</v>
      </c>
      <c r="AB1047" s="539">
        <f>0.8*0.10049</f>
        <v>0.080392</v>
      </c>
      <c r="AC1047" s="436" t="str">
        <f>IF(ISNUMBER(VLOOKUP(B1047,'New Masses'!A:C,3,FALSE)),VLOOKUP(B1047,'New Masses'!A:C,3,FALSE),"")</f>
        <v/>
      </c>
      <c r="AD1047" s="486">
        <f>10^AE1047</f>
        <v>0</v>
      </c>
      <c r="AE1047" s="557">
        <v>-11.3</v>
      </c>
      <c r="AF1047" s="495"/>
      <c r="AG1047" s="541">
        <f t="shared" ref="AG1047:AG1048" si="851">11/1048</f>
        <v>0.01049618321</v>
      </c>
      <c r="AH1047" s="542"/>
      <c r="AI1047" s="446" t="str">
        <f>IF(ISNUMBER(VLOOKUP(B1047,'New Masses'!A:C,2, FALSE)),VLOOKUP(B1047,'New Masses'!A:C,2, FALSE),"")</f>
        <v/>
      </c>
      <c r="AJ1047" s="486"/>
      <c r="AK1047" s="486"/>
      <c r="AL1047" s="436"/>
      <c r="AM1047" s="438"/>
      <c r="AN1047" s="544">
        <v>4.34</v>
      </c>
      <c r="AO1047" s="486" t="s">
        <v>5918</v>
      </c>
      <c r="AP1047" s="454">
        <v>0.7</v>
      </c>
      <c r="AQ1047" s="438"/>
      <c r="AR1047" s="438"/>
      <c r="AS1047" s="438"/>
      <c r="AT1047" s="438"/>
      <c r="AU1047" s="438"/>
      <c r="AV1047" s="438"/>
      <c r="AW1047" s="515">
        <v>145.0</v>
      </c>
    </row>
    <row r="1048">
      <c r="A1048" s="435"/>
      <c r="B1048" s="556" t="s">
        <v>290</v>
      </c>
      <c r="C1048" s="557"/>
      <c r="D1048" s="557" t="s">
        <v>199</v>
      </c>
      <c r="E1048" s="557"/>
      <c r="F1048" s="528" t="s">
        <v>2763</v>
      </c>
      <c r="G1048" s="486" t="s">
        <v>169</v>
      </c>
      <c r="H1048" s="557" t="s">
        <v>291</v>
      </c>
      <c r="I1048" s="558"/>
      <c r="J1048" s="559">
        <v>2350.0</v>
      </c>
      <c r="K1048" s="559">
        <v>150.0</v>
      </c>
      <c r="L1048" s="560"/>
      <c r="M1048" s="558"/>
      <c r="N1048" s="422"/>
      <c r="O1048" s="422"/>
      <c r="P1048" s="422"/>
      <c r="Q1048" s="558" t="s">
        <v>2439</v>
      </c>
      <c r="R1048" s="558" t="s">
        <v>2176</v>
      </c>
      <c r="S1048" s="560"/>
      <c r="T1048" s="557" t="s">
        <v>293</v>
      </c>
      <c r="U1048" s="486" t="s">
        <v>294</v>
      </c>
      <c r="V1048" s="491">
        <v>8.36E-18</v>
      </c>
      <c r="W1048" s="561"/>
      <c r="X1048" s="560"/>
      <c r="Y1048" s="442" t="str">
        <f t="shared" si="848"/>
        <v/>
      </c>
      <c r="Z1048" s="557"/>
      <c r="AA1048" s="562"/>
      <c r="AB1048" s="562"/>
      <c r="AC1048" s="436" t="str">
        <f>IF(ISNUMBER(VLOOKUP(B1048,'New Masses'!A:C,3,FALSE)),VLOOKUP(B1048,'New Masses'!A:C,3,FALSE),"")</f>
        <v/>
      </c>
      <c r="AD1048" s="560">
        <f>((10^-11.3)/0.0009543)/1048</f>
        <v>0</v>
      </c>
      <c r="AE1048" s="557">
        <v>-11.3</v>
      </c>
      <c r="AF1048" s="557"/>
      <c r="AG1048" s="564">
        <f t="shared" si="851"/>
        <v>0.01049618321</v>
      </c>
      <c r="AH1048" s="557"/>
      <c r="AI1048" s="446" t="str">
        <f>IF(ISNUMBER(VLOOKUP(B1048,'New Masses'!A:C,2, FALSE)),VLOOKUP(B1048,'New Masses'!A:C,2, FALSE),"")</f>
        <v/>
      </c>
      <c r="AJ1048" s="557"/>
      <c r="AK1048" s="557"/>
      <c r="AL1048" s="436"/>
      <c r="AM1048" s="438"/>
      <c r="AN1048" s="555">
        <v>4.34</v>
      </c>
      <c r="AO1048" s="557" t="s">
        <v>5918</v>
      </c>
      <c r="AP1048" s="438"/>
      <c r="AQ1048" s="438"/>
      <c r="AR1048" s="438"/>
      <c r="AS1048" s="438"/>
      <c r="AT1048" s="438"/>
      <c r="AU1048" s="438"/>
      <c r="AV1048" s="438"/>
      <c r="AW1048" s="515">
        <v>145.0</v>
      </c>
    </row>
    <row r="1049">
      <c r="A1049" s="419"/>
      <c r="B1049" s="436" t="s">
        <v>300</v>
      </c>
      <c r="C1049" s="438"/>
      <c r="D1049" s="420" t="s">
        <v>301</v>
      </c>
      <c r="E1049" s="420"/>
      <c r="F1049" s="420" t="s">
        <v>2649</v>
      </c>
      <c r="G1049" s="420" t="s">
        <v>189</v>
      </c>
      <c r="H1049" s="420" t="s">
        <v>291</v>
      </c>
      <c r="I1049" s="516">
        <v>40961.0</v>
      </c>
      <c r="J1049" s="419">
        <v>2700.0</v>
      </c>
      <c r="K1049" s="455">
        <v>200.0</v>
      </c>
      <c r="L1049" s="420"/>
      <c r="M1049" s="429"/>
      <c r="N1049" s="422"/>
      <c r="O1049" s="422"/>
      <c r="P1049" s="422"/>
      <c r="Q1049" s="420" t="s">
        <v>2439</v>
      </c>
      <c r="R1049" s="420" t="s">
        <v>2176</v>
      </c>
      <c r="S1049" s="420" t="s">
        <v>292</v>
      </c>
      <c r="T1049" s="420" t="s">
        <v>293</v>
      </c>
      <c r="U1049" s="420" t="s">
        <v>294</v>
      </c>
      <c r="V1049" s="440">
        <v>7.98E-17</v>
      </c>
      <c r="W1049" s="468"/>
      <c r="X1049" s="436"/>
      <c r="Y1049" s="442" t="str">
        <f t="shared" si="848"/>
        <v/>
      </c>
      <c r="Z1049" s="469"/>
      <c r="AA1049" s="470">
        <f>0.10049*1.8</f>
        <v>0.180882</v>
      </c>
      <c r="AB1049" s="470">
        <f>0.5*0.10049</f>
        <v>0.050245</v>
      </c>
      <c r="AC1049" s="436" t="str">
        <f>IF(ISNUMBER(VLOOKUP(B1049,'New Masses'!A:C,3,FALSE)),VLOOKUP(B1049,'New Masses'!A:C,3,FALSE),"")</f>
        <v/>
      </c>
      <c r="AD1049" s="451">
        <f>10^(AE1049)</f>
        <v>0</v>
      </c>
      <c r="AE1049" s="436">
        <v>-10.8</v>
      </c>
      <c r="AF1049" s="438"/>
      <c r="AG1049" s="459">
        <f>14*0.0009543</f>
        <v>0.0133602</v>
      </c>
      <c r="AH1049" s="420">
        <f>2/1048</f>
        <v>0.001908396947</v>
      </c>
      <c r="AI1049" s="446" t="str">
        <f>IF(ISNUMBER(VLOOKUP(B1049,'New Masses'!A:C,2, FALSE)),VLOOKUP(B1049,'New Masses'!A:C,2, FALSE),"")</f>
        <v/>
      </c>
      <c r="AJ1049" s="420"/>
      <c r="AK1049" s="420"/>
      <c r="AL1049" s="436">
        <v>-4.6</v>
      </c>
      <c r="AM1049" s="466">
        <v>43963.0</v>
      </c>
      <c r="AN1049" s="436">
        <v>11.0</v>
      </c>
      <c r="AO1049" s="421" t="s">
        <v>5918</v>
      </c>
      <c r="AP1049" s="517">
        <v>0.2</v>
      </c>
      <c r="AQ1049" s="518"/>
      <c r="AR1049" s="518" t="s">
        <v>302</v>
      </c>
      <c r="AS1049" s="518"/>
      <c r="AT1049" s="518"/>
      <c r="AU1049" s="572" t="s">
        <v>2442</v>
      </c>
      <c r="AV1049" s="438"/>
      <c r="AW1049" s="515">
        <v>145.0</v>
      </c>
    </row>
    <row r="1050">
      <c r="A1050" s="435"/>
      <c r="B1050" s="573" t="s">
        <v>648</v>
      </c>
      <c r="C1050" s="486"/>
      <c r="D1050" s="486"/>
      <c r="E1050" s="486"/>
      <c r="F1050" s="528"/>
      <c r="G1050" s="486"/>
      <c r="H1050" s="477" t="s">
        <v>649</v>
      </c>
      <c r="I1050" s="491"/>
      <c r="J1050" s="491"/>
      <c r="K1050" s="491"/>
      <c r="L1050" s="477" t="s">
        <v>264</v>
      </c>
      <c r="M1050" s="486"/>
      <c r="N1050" s="422"/>
      <c r="O1050" s="422"/>
      <c r="P1050" s="422"/>
      <c r="Q1050" s="486"/>
      <c r="R1050" s="491"/>
      <c r="S1050" s="491"/>
      <c r="T1050" s="491"/>
      <c r="U1050" s="491"/>
      <c r="V1050" s="491"/>
      <c r="W1050" s="493"/>
      <c r="X1050" s="486"/>
      <c r="Y1050" s="442"/>
      <c r="Z1050" s="491"/>
      <c r="AA1050" s="524"/>
      <c r="AB1050" s="494"/>
      <c r="AC1050" s="469">
        <f>IF(ISNUMBER(VLOOKUP(B1050,'New Masses'!A:C,3,FALSE)),VLOOKUP(B1050,'New Masses'!A:C,3,FALSE),"")</f>
        <v>0.975469</v>
      </c>
      <c r="AD1050" s="495"/>
      <c r="AE1050" s="491"/>
      <c r="AF1050" s="491"/>
      <c r="AG1050" s="525"/>
      <c r="AH1050" s="491"/>
      <c r="AI1050" s="446"/>
      <c r="AJ1050" s="491"/>
      <c r="AK1050" s="500"/>
      <c r="AL1050" s="436"/>
      <c r="AM1050" s="438"/>
      <c r="AN1050" s="531"/>
      <c r="AO1050" s="491"/>
      <c r="AP1050" s="438"/>
      <c r="AQ1050" s="438"/>
      <c r="AR1050" s="438"/>
      <c r="AS1050" s="438"/>
      <c r="AT1050" s="438"/>
      <c r="AU1050" s="438"/>
      <c r="AV1050" s="438"/>
      <c r="AW1050" s="450"/>
    </row>
    <row r="1051">
      <c r="A1051" s="435"/>
      <c r="B1051" s="485" t="s">
        <v>600</v>
      </c>
      <c r="C1051" s="486"/>
      <c r="D1051" s="486"/>
      <c r="E1051" s="486"/>
      <c r="F1051" s="528" t="s">
        <v>2663</v>
      </c>
      <c r="G1051" s="486" t="s">
        <v>169</v>
      </c>
      <c r="H1051" s="486" t="s">
        <v>717</v>
      </c>
      <c r="I1051" s="491"/>
      <c r="J1051" s="490"/>
      <c r="K1051" s="565"/>
      <c r="L1051" s="566"/>
      <c r="M1051" s="486"/>
      <c r="N1051" s="422"/>
      <c r="O1051" s="422"/>
      <c r="P1051" s="422"/>
      <c r="Q1051" s="486"/>
      <c r="R1051" s="491"/>
      <c r="S1051" s="491"/>
      <c r="T1051" s="491"/>
      <c r="U1051" s="491"/>
      <c r="V1051" s="491">
        <f>8.1E-16</f>
        <v>0</v>
      </c>
      <c r="W1051" s="493"/>
      <c r="X1051" s="486"/>
      <c r="Y1051" s="442"/>
      <c r="Z1051" s="491"/>
      <c r="AA1051" s="524">
        <f>2*0.10049</f>
        <v>0.20098</v>
      </c>
      <c r="AB1051" s="494"/>
      <c r="AC1051" s="436" t="str">
        <f>IF(ISNUMBER(VLOOKUP(B1051,'New Masses'!A:C,3,FALSE)),VLOOKUP(B1051,'New Masses'!A:C,3,FALSE),"")</f>
        <v/>
      </c>
      <c r="AD1051" s="495">
        <f>0.0000005/1048</f>
        <v>0.0000000004770992366</v>
      </c>
      <c r="AE1051" s="491">
        <f>LOG10(AD1051)</f>
        <v>-9.321391278</v>
      </c>
      <c r="AF1051" s="491"/>
      <c r="AG1051" s="525">
        <f>12/1048</f>
        <v>0.01145038168</v>
      </c>
      <c r="AH1051" s="491">
        <f>3/1048</f>
        <v>0.00286259542</v>
      </c>
      <c r="AI1051" s="446"/>
      <c r="AJ1051" s="491"/>
      <c r="AK1051" s="500"/>
      <c r="AL1051" s="436"/>
      <c r="AM1051" s="438"/>
      <c r="AN1051" s="531"/>
      <c r="AO1051" s="486" t="s">
        <v>5918</v>
      </c>
      <c r="AP1051" s="438"/>
      <c r="AQ1051" s="438"/>
      <c r="AR1051" s="438"/>
      <c r="AS1051" s="438"/>
      <c r="AT1051" s="438"/>
      <c r="AU1051" s="438"/>
      <c r="AV1051" s="438"/>
      <c r="AW1051" s="450"/>
    </row>
    <row r="1052">
      <c r="A1052" s="435"/>
      <c r="B1052" s="485"/>
      <c r="C1052" s="486"/>
      <c r="D1052" s="486"/>
      <c r="E1052" s="486"/>
      <c r="F1052" s="528"/>
      <c r="G1052" s="486"/>
      <c r="H1052" s="486"/>
      <c r="I1052" s="491"/>
      <c r="J1052" s="491"/>
      <c r="K1052" s="491"/>
      <c r="L1052" s="491"/>
      <c r="M1052" s="486"/>
      <c r="N1052" s="422"/>
      <c r="O1052" s="422"/>
      <c r="P1052" s="422"/>
      <c r="Q1052" s="486"/>
      <c r="R1052" s="491"/>
      <c r="S1052" s="491"/>
      <c r="T1052" s="491"/>
      <c r="U1052" s="491"/>
      <c r="V1052" s="491"/>
      <c r="W1052" s="493"/>
      <c r="X1052" s="486"/>
      <c r="Y1052" s="442"/>
      <c r="Z1052" s="491"/>
      <c r="AA1052" s="524"/>
      <c r="AB1052" s="494"/>
      <c r="AC1052" s="436" t="str">
        <f>IF(ISNUMBER(VLOOKUP(B1052,'New Masses'!A:C,3,FALSE)),VLOOKUP(B1052,'New Masses'!A:C,3,FALSE),"")</f>
        <v/>
      </c>
      <c r="AD1052" s="495"/>
      <c r="AE1052" s="491"/>
      <c r="AF1052" s="491"/>
      <c r="AG1052" s="525"/>
      <c r="AH1052" s="491"/>
      <c r="AI1052" s="446"/>
      <c r="AJ1052" s="491"/>
      <c r="AK1052" s="500"/>
      <c r="AL1052" s="436"/>
      <c r="AM1052" s="438"/>
      <c r="AN1052" s="531"/>
      <c r="AO1052" s="491"/>
      <c r="AP1052" s="438"/>
      <c r="AQ1052" s="438"/>
      <c r="AR1052" s="438"/>
      <c r="AS1052" s="438"/>
      <c r="AT1052" s="438"/>
      <c r="AU1052" s="438"/>
      <c r="AV1052" s="438"/>
      <c r="AW1052" s="450"/>
    </row>
    <row r="1053">
      <c r="A1053" s="435"/>
      <c r="B1053" s="485"/>
      <c r="C1053" s="486"/>
      <c r="D1053" s="486"/>
      <c r="E1053" s="486"/>
      <c r="F1053" s="528"/>
      <c r="G1053" s="486"/>
      <c r="H1053" s="486"/>
      <c r="I1053" s="491"/>
      <c r="J1053" s="491"/>
      <c r="K1053" s="491"/>
      <c r="L1053" s="491"/>
      <c r="M1053" s="486"/>
      <c r="N1053" s="422"/>
      <c r="O1053" s="422"/>
      <c r="P1053" s="422"/>
      <c r="Q1053" s="486"/>
      <c r="R1053" s="491"/>
      <c r="S1053" s="491"/>
      <c r="T1053" s="491"/>
      <c r="U1053" s="491"/>
      <c r="V1053" s="491"/>
      <c r="W1053" s="493"/>
      <c r="X1053" s="486"/>
      <c r="Y1053" s="442"/>
      <c r="Z1053" s="491"/>
      <c r="AA1053" s="524"/>
      <c r="AB1053" s="494"/>
      <c r="AC1053" s="436"/>
      <c r="AD1053" s="495"/>
      <c r="AE1053" s="491"/>
      <c r="AF1053" s="491"/>
      <c r="AG1053" s="525"/>
      <c r="AH1053" s="491"/>
      <c r="AI1053" s="446"/>
      <c r="AJ1053" s="491"/>
      <c r="AK1053" s="500"/>
      <c r="AL1053" s="436"/>
      <c r="AM1053" s="438"/>
      <c r="AN1053" s="531"/>
      <c r="AO1053" s="491"/>
      <c r="AP1053" s="438"/>
      <c r="AQ1053" s="438"/>
      <c r="AR1053" s="438"/>
      <c r="AS1053" s="438"/>
      <c r="AT1053" s="438"/>
      <c r="AU1053" s="438"/>
      <c r="AV1053" s="438"/>
      <c r="AW1053" s="450"/>
    </row>
    <row r="1054">
      <c r="A1054" s="435"/>
      <c r="B1054" s="485"/>
      <c r="C1054" s="486"/>
      <c r="D1054" s="486"/>
      <c r="E1054" s="486"/>
      <c r="F1054" s="528"/>
      <c r="G1054" s="486"/>
      <c r="H1054" s="486"/>
      <c r="I1054" s="491"/>
      <c r="J1054" s="491"/>
      <c r="K1054" s="491"/>
      <c r="L1054" s="491"/>
      <c r="M1054" s="486"/>
      <c r="N1054" s="422"/>
      <c r="O1054" s="422"/>
      <c r="P1054" s="422"/>
      <c r="Q1054" s="486"/>
      <c r="R1054" s="491"/>
      <c r="S1054" s="491"/>
      <c r="T1054" s="491"/>
      <c r="U1054" s="491"/>
      <c r="V1054" s="491"/>
      <c r="W1054" s="493"/>
      <c r="X1054" s="486"/>
      <c r="Y1054" s="442"/>
      <c r="Z1054" s="491"/>
      <c r="AA1054" s="524"/>
      <c r="AB1054" s="494"/>
      <c r="AC1054" s="436"/>
      <c r="AD1054" s="495"/>
      <c r="AE1054" s="491"/>
      <c r="AF1054" s="491"/>
      <c r="AG1054" s="525"/>
      <c r="AH1054" s="491"/>
      <c r="AI1054" s="446"/>
      <c r="AJ1054" s="491"/>
      <c r="AK1054" s="500"/>
      <c r="AL1054" s="436"/>
      <c r="AM1054" s="438"/>
      <c r="AN1054" s="531"/>
      <c r="AO1054" s="491"/>
      <c r="AP1054" s="438"/>
      <c r="AQ1054" s="438"/>
      <c r="AR1054" s="438"/>
      <c r="AS1054" s="438"/>
      <c r="AT1054" s="438"/>
      <c r="AU1054" s="438"/>
      <c r="AV1054" s="438"/>
      <c r="AW1054" s="450"/>
    </row>
    <row r="1055">
      <c r="A1055" s="435" t="str">
        <f t="shared" ref="A1055:C1055" si="852">A520</f>
        <v>Haro 5-36</v>
      </c>
      <c r="B1055" s="485" t="str">
        <f t="shared" si="852"/>
        <v>SO1327</v>
      </c>
      <c r="C1055" s="486" t="str">
        <f t="shared" si="852"/>
        <v/>
      </c>
      <c r="D1055" s="486"/>
      <c r="E1055" s="486"/>
      <c r="F1055" s="528"/>
      <c r="G1055" s="486"/>
      <c r="H1055" s="486" t="s">
        <v>5917</v>
      </c>
      <c r="I1055" s="491"/>
      <c r="J1055" s="491"/>
      <c r="K1055" s="491"/>
      <c r="L1055" s="491"/>
      <c r="M1055" s="486"/>
      <c r="N1055" s="422"/>
      <c r="O1055" s="422"/>
      <c r="P1055" s="422"/>
      <c r="Q1055" s="486"/>
      <c r="R1055" s="491"/>
      <c r="S1055" s="491"/>
      <c r="T1055" s="491"/>
      <c r="U1055" s="491"/>
      <c r="V1055" s="491"/>
      <c r="W1055" s="493"/>
      <c r="X1055" s="486"/>
      <c r="Y1055" s="442"/>
      <c r="Z1055" s="491"/>
      <c r="AA1055" s="524" t="str">
        <f t="shared" ref="AA1055:AA1070" si="854">AC520</f>
        <v/>
      </c>
      <c r="AB1055" s="494"/>
      <c r="AC1055" s="436"/>
      <c r="AD1055" s="495"/>
      <c r="AE1055" s="491"/>
      <c r="AF1055" s="491"/>
      <c r="AG1055" s="525" t="str">
        <f t="shared" ref="AG1055:AG1070" si="855">AI520</f>
        <v/>
      </c>
      <c r="AH1055" s="491"/>
      <c r="AI1055" s="446"/>
      <c r="AJ1055" s="491"/>
      <c r="AK1055" s="500"/>
      <c r="AL1055" s="436"/>
      <c r="AM1055" s="438"/>
      <c r="AN1055" s="531"/>
      <c r="AO1055" s="491"/>
      <c r="AP1055" s="438"/>
      <c r="AQ1055" s="438"/>
      <c r="AR1055" s="438"/>
      <c r="AS1055" s="438"/>
      <c r="AT1055" s="438"/>
      <c r="AU1055" s="438"/>
      <c r="AV1055" s="438"/>
      <c r="AW1055" s="450">
        <f t="shared" ref="AW1055:AW1070" si="856">AW520</f>
        <v>372.6615488</v>
      </c>
    </row>
    <row r="1056">
      <c r="A1056" s="435" t="str">
        <f t="shared" ref="A1056:C1056" si="853">A521</f>
        <v>#REF!</v>
      </c>
      <c r="B1056" s="485" t="str">
        <f t="shared" si="853"/>
        <v>#REF!</v>
      </c>
      <c r="C1056" s="486" t="str">
        <f t="shared" si="853"/>
        <v>#REF!</v>
      </c>
      <c r="D1056" s="486"/>
      <c r="E1056" s="486"/>
      <c r="F1056" s="528"/>
      <c r="G1056" s="486"/>
      <c r="H1056" s="486" t="s">
        <v>5917</v>
      </c>
      <c r="I1056" s="491"/>
      <c r="J1056" s="491"/>
      <c r="K1056" s="491"/>
      <c r="L1056" s="491"/>
      <c r="M1056" s="486"/>
      <c r="N1056" s="422"/>
      <c r="O1056" s="422"/>
      <c r="P1056" s="422"/>
      <c r="Q1056" s="486"/>
      <c r="R1056" s="491"/>
      <c r="S1056" s="491"/>
      <c r="T1056" s="491"/>
      <c r="U1056" s="491"/>
      <c r="V1056" s="491"/>
      <c r="W1056" s="493"/>
      <c r="X1056" s="486"/>
      <c r="Y1056" s="442"/>
      <c r="Z1056" s="491"/>
      <c r="AA1056" s="524" t="str">
        <f t="shared" si="854"/>
        <v/>
      </c>
      <c r="AB1056" s="494"/>
      <c r="AC1056" s="436"/>
      <c r="AD1056" s="495"/>
      <c r="AE1056" s="491"/>
      <c r="AF1056" s="491"/>
      <c r="AG1056" s="525" t="str">
        <f t="shared" si="855"/>
        <v/>
      </c>
      <c r="AH1056" s="491"/>
      <c r="AI1056" s="446"/>
      <c r="AJ1056" s="491"/>
      <c r="AK1056" s="500"/>
      <c r="AL1056" s="436"/>
      <c r="AM1056" s="438"/>
      <c r="AN1056" s="531"/>
      <c r="AO1056" s="491"/>
      <c r="AP1056" s="438"/>
      <c r="AQ1056" s="438"/>
      <c r="AR1056" s="438"/>
      <c r="AS1056" s="438"/>
      <c r="AT1056" s="438"/>
      <c r="AU1056" s="438"/>
      <c r="AV1056" s="438"/>
      <c r="AW1056" s="450" t="str">
        <f t="shared" si="856"/>
        <v>#REF!</v>
      </c>
    </row>
    <row r="1057">
      <c r="A1057" s="435" t="str">
        <f t="shared" ref="A1057:C1057" si="857">A522</f>
        <v>Haro 5-9</v>
      </c>
      <c r="B1057" s="485" t="str">
        <f t="shared" si="857"/>
        <v>SO540</v>
      </c>
      <c r="C1057" s="486" t="str">
        <f t="shared" si="857"/>
        <v/>
      </c>
      <c r="D1057" s="486"/>
      <c r="E1057" s="486"/>
      <c r="F1057" s="528"/>
      <c r="G1057" s="486"/>
      <c r="H1057" s="486" t="s">
        <v>5917</v>
      </c>
      <c r="I1057" s="491"/>
      <c r="J1057" s="491"/>
      <c r="K1057" s="491"/>
      <c r="L1057" s="491"/>
      <c r="M1057" s="486"/>
      <c r="N1057" s="422"/>
      <c r="O1057" s="422"/>
      <c r="P1057" s="422"/>
      <c r="Q1057" s="486"/>
      <c r="R1057" s="491"/>
      <c r="S1057" s="491"/>
      <c r="T1057" s="491"/>
      <c r="U1057" s="491"/>
      <c r="V1057" s="491"/>
      <c r="W1057" s="493"/>
      <c r="X1057" s="486"/>
      <c r="Y1057" s="442"/>
      <c r="Z1057" s="491"/>
      <c r="AA1057" s="524" t="str">
        <f t="shared" si="854"/>
        <v/>
      </c>
      <c r="AB1057" s="494"/>
      <c r="AC1057" s="436"/>
      <c r="AD1057" s="495"/>
      <c r="AE1057" s="491"/>
      <c r="AF1057" s="491"/>
      <c r="AG1057" s="525" t="str">
        <f t="shared" si="855"/>
        <v/>
      </c>
      <c r="AH1057" s="491"/>
      <c r="AI1057" s="446"/>
      <c r="AJ1057" s="491"/>
      <c r="AK1057" s="500"/>
      <c r="AL1057" s="436"/>
      <c r="AM1057" s="438"/>
      <c r="AN1057" s="531"/>
      <c r="AO1057" s="491"/>
      <c r="AP1057" s="438"/>
      <c r="AQ1057" s="438"/>
      <c r="AR1057" s="438"/>
      <c r="AS1057" s="438"/>
      <c r="AT1057" s="438"/>
      <c r="AU1057" s="438"/>
      <c r="AV1057" s="438"/>
      <c r="AW1057" s="450">
        <f t="shared" si="856"/>
        <v>414.5936982</v>
      </c>
    </row>
    <row r="1058">
      <c r="A1058" s="435" t="str">
        <f t="shared" ref="A1058:C1058" si="858">A523</f>
        <v>#REF!</v>
      </c>
      <c r="B1058" s="485" t="str">
        <f t="shared" si="858"/>
        <v>#REF!</v>
      </c>
      <c r="C1058" s="486" t="str">
        <f t="shared" si="858"/>
        <v>#REF!</v>
      </c>
      <c r="D1058" s="486"/>
      <c r="E1058" s="486"/>
      <c r="F1058" s="528"/>
      <c r="G1058" s="486"/>
      <c r="H1058" s="486" t="s">
        <v>5917</v>
      </c>
      <c r="I1058" s="491"/>
      <c r="J1058" s="491"/>
      <c r="K1058" s="491"/>
      <c r="L1058" s="491"/>
      <c r="M1058" s="486"/>
      <c r="N1058" s="422"/>
      <c r="O1058" s="422"/>
      <c r="P1058" s="422"/>
      <c r="Q1058" s="486"/>
      <c r="R1058" s="491"/>
      <c r="S1058" s="491"/>
      <c r="T1058" s="491"/>
      <c r="U1058" s="491"/>
      <c r="V1058" s="491"/>
      <c r="W1058" s="493"/>
      <c r="X1058" s="486"/>
      <c r="Y1058" s="442"/>
      <c r="Z1058" s="491"/>
      <c r="AA1058" s="524" t="str">
        <f t="shared" si="854"/>
        <v/>
      </c>
      <c r="AB1058" s="494"/>
      <c r="AC1058" s="436"/>
      <c r="AD1058" s="495"/>
      <c r="AE1058" s="491"/>
      <c r="AF1058" s="491"/>
      <c r="AG1058" s="525" t="str">
        <f t="shared" si="855"/>
        <v/>
      </c>
      <c r="AH1058" s="491"/>
      <c r="AI1058" s="446"/>
      <c r="AJ1058" s="491"/>
      <c r="AK1058" s="500"/>
      <c r="AL1058" s="436"/>
      <c r="AM1058" s="438"/>
      <c r="AN1058" s="531"/>
      <c r="AO1058" s="491"/>
      <c r="AP1058" s="438"/>
      <c r="AQ1058" s="438"/>
      <c r="AR1058" s="438"/>
      <c r="AS1058" s="438"/>
      <c r="AT1058" s="438"/>
      <c r="AU1058" s="438"/>
      <c r="AV1058" s="438"/>
      <c r="AW1058" s="450" t="str">
        <f t="shared" si="856"/>
        <v>#REF!</v>
      </c>
    </row>
    <row r="1059">
      <c r="A1059" s="435" t="str">
        <f t="shared" ref="A1059:C1059" si="859">A524</f>
        <v>Haro 6-36</v>
      </c>
      <c r="B1059" s="485" t="str">
        <f t="shared" si="859"/>
        <v>CIDA14</v>
      </c>
      <c r="C1059" s="486" t="str">
        <f t="shared" si="859"/>
        <v/>
      </c>
      <c r="D1059" s="486"/>
      <c r="E1059" s="486"/>
      <c r="F1059" s="528"/>
      <c r="G1059" s="486"/>
      <c r="H1059" s="486" t="s">
        <v>5917</v>
      </c>
      <c r="I1059" s="491"/>
      <c r="J1059" s="491"/>
      <c r="K1059" s="491"/>
      <c r="L1059" s="491"/>
      <c r="M1059" s="486"/>
      <c r="N1059" s="422"/>
      <c r="O1059" s="422"/>
      <c r="P1059" s="422"/>
      <c r="Q1059" s="486"/>
      <c r="R1059" s="491"/>
      <c r="S1059" s="491"/>
      <c r="T1059" s="491"/>
      <c r="U1059" s="491"/>
      <c r="V1059" s="491"/>
      <c r="W1059" s="493"/>
      <c r="X1059" s="486"/>
      <c r="Y1059" s="442"/>
      <c r="Z1059" s="491"/>
      <c r="AA1059" s="524" t="str">
        <f t="shared" si="854"/>
        <v/>
      </c>
      <c r="AB1059" s="494"/>
      <c r="AC1059" s="436"/>
      <c r="AD1059" s="495"/>
      <c r="AE1059" s="491"/>
      <c r="AF1059" s="491"/>
      <c r="AG1059" s="525" t="str">
        <f t="shared" si="855"/>
        <v/>
      </c>
      <c r="AH1059" s="491"/>
      <c r="AI1059" s="446"/>
      <c r="AJ1059" s="491"/>
      <c r="AK1059" s="500"/>
      <c r="AL1059" s="436"/>
      <c r="AM1059" s="438"/>
      <c r="AN1059" s="531"/>
      <c r="AO1059" s="491"/>
      <c r="AP1059" s="438"/>
      <c r="AQ1059" s="438"/>
      <c r="AR1059" s="438"/>
      <c r="AS1059" s="438"/>
      <c r="AT1059" s="438"/>
      <c r="AU1059" s="438"/>
      <c r="AV1059" s="438"/>
      <c r="AW1059" s="450">
        <f t="shared" si="856"/>
        <v>171.1683955</v>
      </c>
    </row>
    <row r="1060">
      <c r="A1060" s="435" t="str">
        <f t="shared" ref="A1060:C1060" si="860">A525</f>
        <v>#REF!</v>
      </c>
      <c r="B1060" s="485" t="str">
        <f t="shared" si="860"/>
        <v>#REF!</v>
      </c>
      <c r="C1060" s="486" t="str">
        <f t="shared" si="860"/>
        <v>#REF!</v>
      </c>
      <c r="D1060" s="486"/>
      <c r="E1060" s="486"/>
      <c r="F1060" s="528"/>
      <c r="G1060" s="486"/>
      <c r="H1060" s="486" t="s">
        <v>5917</v>
      </c>
      <c r="I1060" s="491"/>
      <c r="J1060" s="491"/>
      <c r="K1060" s="491"/>
      <c r="L1060" s="491"/>
      <c r="M1060" s="486"/>
      <c r="N1060" s="422"/>
      <c r="O1060" s="422"/>
      <c r="P1060" s="422"/>
      <c r="Q1060" s="486"/>
      <c r="R1060" s="491"/>
      <c r="S1060" s="491"/>
      <c r="T1060" s="491"/>
      <c r="U1060" s="491"/>
      <c r="V1060" s="491"/>
      <c r="W1060" s="493"/>
      <c r="X1060" s="486"/>
      <c r="Y1060" s="442"/>
      <c r="Z1060" s="491"/>
      <c r="AA1060" s="524" t="str">
        <f t="shared" si="854"/>
        <v/>
      </c>
      <c r="AB1060" s="494"/>
      <c r="AC1060" s="436"/>
      <c r="AD1060" s="495"/>
      <c r="AE1060" s="491"/>
      <c r="AF1060" s="491"/>
      <c r="AG1060" s="525" t="str">
        <f t="shared" si="855"/>
        <v/>
      </c>
      <c r="AH1060" s="491"/>
      <c r="AI1060" s="446"/>
      <c r="AJ1060" s="491"/>
      <c r="AK1060" s="500"/>
      <c r="AL1060" s="436"/>
      <c r="AM1060" s="438"/>
      <c r="AN1060" s="531"/>
      <c r="AO1060" s="491"/>
      <c r="AP1060" s="438"/>
      <c r="AQ1060" s="438"/>
      <c r="AR1060" s="438"/>
      <c r="AS1060" s="438"/>
      <c r="AT1060" s="438"/>
      <c r="AU1060" s="438"/>
      <c r="AV1060" s="438"/>
      <c r="AW1060" s="450" t="str">
        <f t="shared" si="856"/>
        <v>#REF!</v>
      </c>
    </row>
    <row r="1061">
      <c r="A1061" s="435" t="str">
        <f t="shared" ref="A1061:C1061" si="861">A526</f>
        <v>IP Tau</v>
      </c>
      <c r="B1061" s="485" t="str">
        <f t="shared" si="861"/>
        <v>IP Tau</v>
      </c>
      <c r="C1061" s="486" t="str">
        <f t="shared" si="861"/>
        <v/>
      </c>
      <c r="D1061" s="486"/>
      <c r="E1061" s="486"/>
      <c r="F1061" s="528"/>
      <c r="G1061" s="486"/>
      <c r="H1061" s="486" t="s">
        <v>5917</v>
      </c>
      <c r="I1061" s="491"/>
      <c r="J1061" s="491"/>
      <c r="K1061" s="491"/>
      <c r="L1061" s="491"/>
      <c r="M1061" s="486"/>
      <c r="N1061" s="422"/>
      <c r="O1061" s="422"/>
      <c r="P1061" s="422"/>
      <c r="Q1061" s="486"/>
      <c r="R1061" s="491"/>
      <c r="S1061" s="491"/>
      <c r="T1061" s="491"/>
      <c r="U1061" s="491"/>
      <c r="V1061" s="491"/>
      <c r="W1061" s="493"/>
      <c r="X1061" s="486"/>
      <c r="Y1061" s="442"/>
      <c r="Z1061" s="491"/>
      <c r="AA1061" s="524" t="str">
        <f t="shared" si="854"/>
        <v/>
      </c>
      <c r="AB1061" s="494"/>
      <c r="AC1061" s="436"/>
      <c r="AD1061" s="495"/>
      <c r="AE1061" s="491"/>
      <c r="AF1061" s="491"/>
      <c r="AG1061" s="525" t="str">
        <f t="shared" si="855"/>
        <v/>
      </c>
      <c r="AH1061" s="491"/>
      <c r="AI1061" s="446"/>
      <c r="AJ1061" s="491"/>
      <c r="AK1061" s="500"/>
      <c r="AL1061" s="436"/>
      <c r="AM1061" s="438"/>
      <c r="AN1061" s="531"/>
      <c r="AO1061" s="491"/>
      <c r="AP1061" s="438"/>
      <c r="AQ1061" s="438"/>
      <c r="AR1061" s="438"/>
      <c r="AS1061" s="438"/>
      <c r="AT1061" s="438"/>
      <c r="AU1061" s="438"/>
      <c r="AV1061" s="438"/>
      <c r="AW1061" s="450">
        <f t="shared" si="856"/>
        <v>130.5738722</v>
      </c>
    </row>
    <row r="1062">
      <c r="A1062" s="435" t="str">
        <f t="shared" ref="A1062:C1062" si="862">A527</f>
        <v>#REF!</v>
      </c>
      <c r="B1062" s="485" t="str">
        <f t="shared" si="862"/>
        <v>#REF!</v>
      </c>
      <c r="C1062" s="486" t="str">
        <f t="shared" si="862"/>
        <v>#REF!</v>
      </c>
      <c r="D1062" s="486"/>
      <c r="E1062" s="486"/>
      <c r="F1062" s="528"/>
      <c r="G1062" s="486"/>
      <c r="H1062" s="486" t="s">
        <v>5917</v>
      </c>
      <c r="I1062" s="491"/>
      <c r="J1062" s="491"/>
      <c r="K1062" s="491"/>
      <c r="L1062" s="491"/>
      <c r="M1062" s="486"/>
      <c r="N1062" s="422"/>
      <c r="O1062" s="422"/>
      <c r="P1062" s="422"/>
      <c r="Q1062" s="486"/>
      <c r="R1062" s="491"/>
      <c r="S1062" s="491"/>
      <c r="T1062" s="491"/>
      <c r="U1062" s="491"/>
      <c r="V1062" s="491"/>
      <c r="W1062" s="493"/>
      <c r="X1062" s="486"/>
      <c r="Y1062" s="442"/>
      <c r="Z1062" s="491"/>
      <c r="AA1062" s="524" t="str">
        <f t="shared" si="854"/>
        <v/>
      </c>
      <c r="AB1062" s="494"/>
      <c r="AC1062" s="436"/>
      <c r="AD1062" s="495"/>
      <c r="AE1062" s="491"/>
      <c r="AF1062" s="491"/>
      <c r="AG1062" s="525" t="str">
        <f t="shared" si="855"/>
        <v/>
      </c>
      <c r="AH1062" s="491"/>
      <c r="AI1062" s="446"/>
      <c r="AJ1062" s="491"/>
      <c r="AK1062" s="500"/>
      <c r="AL1062" s="436"/>
      <c r="AM1062" s="438"/>
      <c r="AN1062" s="531"/>
      <c r="AO1062" s="491"/>
      <c r="AP1062" s="438"/>
      <c r="AQ1062" s="438"/>
      <c r="AR1062" s="438"/>
      <c r="AS1062" s="438"/>
      <c r="AT1062" s="438"/>
      <c r="AU1062" s="438"/>
      <c r="AV1062" s="438"/>
      <c r="AW1062" s="450" t="str">
        <f t="shared" si="856"/>
        <v>#REF!</v>
      </c>
    </row>
    <row r="1063">
      <c r="A1063" s="435" t="str">
        <f t="shared" ref="A1063:C1063" si="863">A528</f>
        <v>IRAS 16054-3857</v>
      </c>
      <c r="B1063" s="485" t="str">
        <f t="shared" si="863"/>
        <v>Par-Lup3-3</v>
      </c>
      <c r="C1063" s="486" t="str">
        <f t="shared" si="863"/>
        <v/>
      </c>
      <c r="D1063" s="486"/>
      <c r="E1063" s="486"/>
      <c r="F1063" s="528"/>
      <c r="G1063" s="486"/>
      <c r="H1063" s="486" t="s">
        <v>5917</v>
      </c>
      <c r="I1063" s="491"/>
      <c r="J1063" s="491"/>
      <c r="K1063" s="491"/>
      <c r="L1063" s="491"/>
      <c r="M1063" s="486"/>
      <c r="N1063" s="422"/>
      <c r="O1063" s="422"/>
      <c r="P1063" s="422"/>
      <c r="Q1063" s="486"/>
      <c r="R1063" s="491"/>
      <c r="S1063" s="491"/>
      <c r="T1063" s="491"/>
      <c r="U1063" s="491"/>
      <c r="V1063" s="491"/>
      <c r="W1063" s="493"/>
      <c r="X1063" s="486"/>
      <c r="Y1063" s="442"/>
      <c r="Z1063" s="491"/>
      <c r="AA1063" s="524" t="str">
        <f t="shared" si="854"/>
        <v/>
      </c>
      <c r="AB1063" s="494"/>
      <c r="AC1063" s="436"/>
      <c r="AD1063" s="495"/>
      <c r="AE1063" s="491"/>
      <c r="AF1063" s="491"/>
      <c r="AG1063" s="525" t="str">
        <f t="shared" si="855"/>
        <v/>
      </c>
      <c r="AH1063" s="491"/>
      <c r="AI1063" s="446"/>
      <c r="AJ1063" s="491"/>
      <c r="AK1063" s="500"/>
      <c r="AL1063" s="436"/>
      <c r="AM1063" s="438"/>
      <c r="AN1063" s="531"/>
      <c r="AO1063" s="491"/>
      <c r="AP1063" s="438"/>
      <c r="AQ1063" s="438"/>
      <c r="AR1063" s="438"/>
      <c r="AS1063" s="438"/>
      <c r="AT1063" s="438"/>
      <c r="AU1063" s="438"/>
      <c r="AV1063" s="438"/>
      <c r="AW1063" s="450" t="str">
        <f t="shared" si="856"/>
        <v/>
      </c>
    </row>
    <row r="1064">
      <c r="A1064" s="435" t="str">
        <f t="shared" ref="A1064:C1064" si="864">A529</f>
        <v>#REF!</v>
      </c>
      <c r="B1064" s="485" t="str">
        <f t="shared" si="864"/>
        <v>#REF!</v>
      </c>
      <c r="C1064" s="486" t="str">
        <f t="shared" si="864"/>
        <v>#REF!</v>
      </c>
      <c r="D1064" s="486"/>
      <c r="E1064" s="486"/>
      <c r="F1064" s="528"/>
      <c r="G1064" s="486"/>
      <c r="H1064" s="486" t="s">
        <v>5917</v>
      </c>
      <c r="I1064" s="491"/>
      <c r="J1064" s="491"/>
      <c r="K1064" s="491"/>
      <c r="L1064" s="491"/>
      <c r="M1064" s="486"/>
      <c r="N1064" s="422"/>
      <c r="O1064" s="422"/>
      <c r="P1064" s="422"/>
      <c r="Q1064" s="486"/>
      <c r="R1064" s="491"/>
      <c r="S1064" s="491"/>
      <c r="T1064" s="491"/>
      <c r="U1064" s="491"/>
      <c r="V1064" s="491"/>
      <c r="W1064" s="493"/>
      <c r="X1064" s="486"/>
      <c r="Y1064" s="442"/>
      <c r="Z1064" s="491"/>
      <c r="AA1064" s="524" t="str">
        <f t="shared" si="854"/>
        <v/>
      </c>
      <c r="AB1064" s="494"/>
      <c r="AC1064" s="436"/>
      <c r="AD1064" s="495"/>
      <c r="AE1064" s="491"/>
      <c r="AF1064" s="491"/>
      <c r="AG1064" s="525" t="str">
        <f t="shared" si="855"/>
        <v/>
      </c>
      <c r="AH1064" s="491"/>
      <c r="AI1064" s="446"/>
      <c r="AJ1064" s="491"/>
      <c r="AK1064" s="500"/>
      <c r="AL1064" s="436"/>
      <c r="AM1064" s="438"/>
      <c r="AN1064" s="531"/>
      <c r="AO1064" s="491"/>
      <c r="AP1064" s="438"/>
      <c r="AQ1064" s="438"/>
      <c r="AR1064" s="438"/>
      <c r="AS1064" s="438"/>
      <c r="AT1064" s="438"/>
      <c r="AU1064" s="438"/>
      <c r="AV1064" s="438"/>
      <c r="AW1064" s="450" t="str">
        <f t="shared" si="856"/>
        <v>#REF!</v>
      </c>
    </row>
    <row r="1065">
      <c r="A1065" s="435" t="str">
        <f t="shared" ref="A1065:C1065" si="865">A530</f>
        <v>ISO-Oph 002</v>
      </c>
      <c r="B1065" s="485" t="str">
        <f t="shared" si="865"/>
        <v>ISO-Oph 002</v>
      </c>
      <c r="C1065" s="486" t="str">
        <f t="shared" si="865"/>
        <v/>
      </c>
      <c r="D1065" s="486"/>
      <c r="E1065" s="486"/>
      <c r="F1065" s="528"/>
      <c r="G1065" s="486"/>
      <c r="H1065" s="486" t="s">
        <v>5917</v>
      </c>
      <c r="I1065" s="491"/>
      <c r="J1065" s="491"/>
      <c r="K1065" s="491"/>
      <c r="L1065" s="491"/>
      <c r="M1065" s="486"/>
      <c r="N1065" s="422"/>
      <c r="O1065" s="422"/>
      <c r="P1065" s="422"/>
      <c r="Q1065" s="486"/>
      <c r="R1065" s="491"/>
      <c r="S1065" s="491"/>
      <c r="T1065" s="491"/>
      <c r="U1065" s="491"/>
      <c r="V1065" s="491"/>
      <c r="W1065" s="493"/>
      <c r="X1065" s="486"/>
      <c r="Y1065" s="442"/>
      <c r="Z1065" s="491"/>
      <c r="AA1065" s="524" t="str">
        <f t="shared" si="854"/>
        <v/>
      </c>
      <c r="AB1065" s="494"/>
      <c r="AC1065" s="436"/>
      <c r="AD1065" s="495"/>
      <c r="AE1065" s="491"/>
      <c r="AF1065" s="491"/>
      <c r="AG1065" s="525" t="str">
        <f t="shared" si="855"/>
        <v/>
      </c>
      <c r="AH1065" s="491"/>
      <c r="AI1065" s="446"/>
      <c r="AJ1065" s="491"/>
      <c r="AK1065" s="500"/>
      <c r="AL1065" s="436"/>
      <c r="AM1065" s="438"/>
      <c r="AN1065" s="531"/>
      <c r="AO1065" s="491"/>
      <c r="AP1065" s="438"/>
      <c r="AQ1065" s="438"/>
      <c r="AR1065" s="438"/>
      <c r="AS1065" s="438"/>
      <c r="AT1065" s="438"/>
      <c r="AU1065" s="438"/>
      <c r="AV1065" s="438"/>
      <c r="AW1065" s="450">
        <f t="shared" si="856"/>
        <v>143.6967424</v>
      </c>
    </row>
    <row r="1066">
      <c r="A1066" s="435" t="str">
        <f t="shared" ref="A1066:C1066" si="866">A531</f>
        <v>ISO-Oph 002</v>
      </c>
      <c r="B1066" s="485" t="str">
        <f t="shared" si="866"/>
        <v>ISO-Oph 002</v>
      </c>
      <c r="C1066" s="486" t="str">
        <f t="shared" si="866"/>
        <v/>
      </c>
      <c r="D1066" s="486"/>
      <c r="E1066" s="486"/>
      <c r="F1066" s="528"/>
      <c r="G1066" s="486"/>
      <c r="H1066" s="486" t="s">
        <v>5917</v>
      </c>
      <c r="I1066" s="491"/>
      <c r="J1066" s="491"/>
      <c r="K1066" s="491"/>
      <c r="L1066" s="491"/>
      <c r="M1066" s="486"/>
      <c r="N1066" s="422"/>
      <c r="O1066" s="422"/>
      <c r="P1066" s="422"/>
      <c r="Q1066" s="486"/>
      <c r="R1066" s="491"/>
      <c r="S1066" s="491"/>
      <c r="T1066" s="491"/>
      <c r="U1066" s="491"/>
      <c r="V1066" s="491"/>
      <c r="W1066" s="493"/>
      <c r="X1066" s="486"/>
      <c r="Y1066" s="442"/>
      <c r="Z1066" s="491"/>
      <c r="AA1066" s="524" t="str">
        <f t="shared" si="854"/>
        <v/>
      </c>
      <c r="AB1066" s="494"/>
      <c r="AC1066" s="436"/>
      <c r="AD1066" s="495"/>
      <c r="AE1066" s="491"/>
      <c r="AF1066" s="491"/>
      <c r="AG1066" s="525" t="str">
        <f t="shared" si="855"/>
        <v/>
      </c>
      <c r="AH1066" s="491"/>
      <c r="AI1066" s="446"/>
      <c r="AJ1066" s="491"/>
      <c r="AK1066" s="500"/>
      <c r="AL1066" s="436"/>
      <c r="AM1066" s="438"/>
      <c r="AN1066" s="531"/>
      <c r="AO1066" s="491"/>
      <c r="AP1066" s="438"/>
      <c r="AQ1066" s="438"/>
      <c r="AR1066" s="438"/>
      <c r="AS1066" s="438"/>
      <c r="AT1066" s="438"/>
      <c r="AU1066" s="438"/>
      <c r="AV1066" s="438"/>
      <c r="AW1066" s="450">
        <f t="shared" si="856"/>
        <v>143.6967424</v>
      </c>
    </row>
    <row r="1067">
      <c r="A1067" s="435" t="str">
        <f t="shared" ref="A1067:C1067" si="867">A532</f>
        <v>#REF!</v>
      </c>
      <c r="B1067" s="485" t="str">
        <f t="shared" si="867"/>
        <v>#REF!</v>
      </c>
      <c r="C1067" s="486" t="str">
        <f t="shared" si="867"/>
        <v>#REF!</v>
      </c>
      <c r="D1067" s="486"/>
      <c r="E1067" s="486"/>
      <c r="F1067" s="528"/>
      <c r="G1067" s="486"/>
      <c r="H1067" s="486" t="s">
        <v>5917</v>
      </c>
      <c r="I1067" s="491"/>
      <c r="J1067" s="491"/>
      <c r="K1067" s="491"/>
      <c r="L1067" s="491"/>
      <c r="M1067" s="486"/>
      <c r="N1067" s="422"/>
      <c r="O1067" s="422"/>
      <c r="P1067" s="422"/>
      <c r="Q1067" s="486"/>
      <c r="R1067" s="491"/>
      <c r="S1067" s="491"/>
      <c r="T1067" s="491"/>
      <c r="U1067" s="491"/>
      <c r="V1067" s="491"/>
      <c r="W1067" s="493"/>
      <c r="X1067" s="486"/>
      <c r="Y1067" s="442"/>
      <c r="Z1067" s="491"/>
      <c r="AA1067" s="524" t="str">
        <f t="shared" si="854"/>
        <v/>
      </c>
      <c r="AB1067" s="494"/>
      <c r="AC1067" s="436"/>
      <c r="AD1067" s="495"/>
      <c r="AE1067" s="491"/>
      <c r="AF1067" s="491"/>
      <c r="AG1067" s="525" t="str">
        <f t="shared" si="855"/>
        <v/>
      </c>
      <c r="AH1067" s="491"/>
      <c r="AI1067" s="446"/>
      <c r="AJ1067" s="491"/>
      <c r="AK1067" s="500"/>
      <c r="AL1067" s="436"/>
      <c r="AM1067" s="438"/>
      <c r="AN1067" s="531"/>
      <c r="AO1067" s="491"/>
      <c r="AP1067" s="438"/>
      <c r="AQ1067" s="438"/>
      <c r="AR1067" s="438"/>
      <c r="AS1067" s="438"/>
      <c r="AT1067" s="438"/>
      <c r="AU1067" s="438"/>
      <c r="AV1067" s="438"/>
      <c r="AW1067" s="450" t="str">
        <f t="shared" si="856"/>
        <v>#REF!</v>
      </c>
    </row>
    <row r="1068">
      <c r="A1068" s="435" t="str">
        <f t="shared" ref="A1068:C1068" si="868">A533</f>
        <v>#REF!</v>
      </c>
      <c r="B1068" s="485" t="str">
        <f t="shared" si="868"/>
        <v>#REF!</v>
      </c>
      <c r="C1068" s="486" t="str">
        <f t="shared" si="868"/>
        <v>#REF!</v>
      </c>
      <c r="D1068" s="486"/>
      <c r="E1068" s="486"/>
      <c r="F1068" s="528"/>
      <c r="G1068" s="486"/>
      <c r="H1068" s="486" t="s">
        <v>5917</v>
      </c>
      <c r="I1068" s="491"/>
      <c r="J1068" s="491"/>
      <c r="K1068" s="491"/>
      <c r="L1068" s="491"/>
      <c r="M1068" s="486"/>
      <c r="N1068" s="422"/>
      <c r="O1068" s="422"/>
      <c r="P1068" s="422"/>
      <c r="Q1068" s="486"/>
      <c r="R1068" s="491"/>
      <c r="S1068" s="491"/>
      <c r="T1068" s="491"/>
      <c r="U1068" s="491"/>
      <c r="V1068" s="491"/>
      <c r="W1068" s="493"/>
      <c r="X1068" s="486"/>
      <c r="Y1068" s="442"/>
      <c r="Z1068" s="491"/>
      <c r="AA1068" s="524" t="str">
        <f t="shared" si="854"/>
        <v/>
      </c>
      <c r="AB1068" s="494"/>
      <c r="AC1068" s="436"/>
      <c r="AD1068" s="495"/>
      <c r="AE1068" s="491"/>
      <c r="AF1068" s="491"/>
      <c r="AG1068" s="525" t="str">
        <f t="shared" si="855"/>
        <v/>
      </c>
      <c r="AH1068" s="491"/>
      <c r="AI1068" s="446"/>
      <c r="AJ1068" s="491"/>
      <c r="AK1068" s="500"/>
      <c r="AL1068" s="436"/>
      <c r="AM1068" s="438"/>
      <c r="AN1068" s="531"/>
      <c r="AO1068" s="491"/>
      <c r="AP1068" s="438"/>
      <c r="AQ1068" s="438"/>
      <c r="AR1068" s="438"/>
      <c r="AS1068" s="438"/>
      <c r="AT1068" s="438"/>
      <c r="AU1068" s="438"/>
      <c r="AV1068" s="438"/>
      <c r="AW1068" s="450" t="str">
        <f t="shared" si="856"/>
        <v>#REF!</v>
      </c>
    </row>
    <row r="1069">
      <c r="A1069" s="435" t="str">
        <f t="shared" ref="A1069:C1069" si="869">A534</f>
        <v>ISO-Oph 023</v>
      </c>
      <c r="B1069" s="485" t="str">
        <f t="shared" si="869"/>
        <v>ISO-Oph 023</v>
      </c>
      <c r="C1069" s="486" t="str">
        <f t="shared" si="869"/>
        <v/>
      </c>
      <c r="D1069" s="486"/>
      <c r="E1069" s="486"/>
      <c r="F1069" s="528"/>
      <c r="G1069" s="486"/>
      <c r="H1069" s="486"/>
      <c r="I1069" s="491"/>
      <c r="J1069" s="491"/>
      <c r="K1069" s="491"/>
      <c r="L1069" s="491"/>
      <c r="M1069" s="486"/>
      <c r="N1069" s="422"/>
      <c r="O1069" s="422"/>
      <c r="P1069" s="422"/>
      <c r="Q1069" s="486"/>
      <c r="R1069" s="491"/>
      <c r="S1069" s="491"/>
      <c r="T1069" s="491"/>
      <c r="U1069" s="491"/>
      <c r="V1069" s="491"/>
      <c r="W1069" s="493"/>
      <c r="X1069" s="486"/>
      <c r="Y1069" s="442"/>
      <c r="Z1069" s="491"/>
      <c r="AA1069" s="619">
        <f t="shared" si="854"/>
        <v>0.53496</v>
      </c>
      <c r="AB1069" s="494"/>
      <c r="AC1069" s="436"/>
      <c r="AD1069" s="495"/>
      <c r="AE1069" s="491"/>
      <c r="AF1069" s="491"/>
      <c r="AG1069" s="525">
        <f t="shared" si="855"/>
        <v>0.038933</v>
      </c>
      <c r="AH1069" s="491"/>
      <c r="AI1069" s="446"/>
      <c r="AJ1069" s="491"/>
      <c r="AK1069" s="500"/>
      <c r="AL1069" s="436"/>
      <c r="AM1069" s="438"/>
      <c r="AN1069" s="531"/>
      <c r="AO1069" s="491"/>
      <c r="AP1069" s="438"/>
      <c r="AQ1069" s="438"/>
      <c r="AR1069" s="438"/>
      <c r="AS1069" s="438"/>
      <c r="AT1069" s="438"/>
      <c r="AU1069" s="438"/>
      <c r="AV1069" s="438"/>
      <c r="AW1069" s="450" t="str">
        <f t="shared" si="856"/>
        <v/>
      </c>
    </row>
    <row r="1070">
      <c r="A1070" s="435" t="str">
        <f t="shared" ref="A1070:C1070" si="870">A535</f>
        <v>ISO-Oph 023</v>
      </c>
      <c r="B1070" s="485" t="str">
        <f t="shared" si="870"/>
        <v>ISO-Oph 023</v>
      </c>
      <c r="C1070" s="486" t="str">
        <f t="shared" si="870"/>
        <v/>
      </c>
      <c r="D1070" s="486"/>
      <c r="E1070" s="486"/>
      <c r="F1070" s="528"/>
      <c r="G1070" s="486"/>
      <c r="H1070" s="486"/>
      <c r="I1070" s="491"/>
      <c r="J1070" s="491"/>
      <c r="K1070" s="491"/>
      <c r="L1070" s="491"/>
      <c r="M1070" s="486"/>
      <c r="N1070" s="422"/>
      <c r="O1070" s="422"/>
      <c r="P1070" s="422"/>
      <c r="Q1070" s="486"/>
      <c r="R1070" s="491"/>
      <c r="S1070" s="491"/>
      <c r="T1070" s="491"/>
      <c r="U1070" s="491"/>
      <c r="V1070" s="491"/>
      <c r="W1070" s="493"/>
      <c r="X1070" s="486"/>
      <c r="Y1070" s="442"/>
      <c r="Z1070" s="491"/>
      <c r="AA1070" s="619">
        <f t="shared" si="854"/>
        <v>0.53496</v>
      </c>
      <c r="AB1070" s="494"/>
      <c r="AC1070" s="436"/>
      <c r="AD1070" s="495"/>
      <c r="AE1070" s="491"/>
      <c r="AF1070" s="491"/>
      <c r="AG1070" s="525">
        <f t="shared" si="855"/>
        <v>0.038933</v>
      </c>
      <c r="AH1070" s="491"/>
      <c r="AI1070" s="446"/>
      <c r="AJ1070" s="491"/>
      <c r="AK1070" s="500"/>
      <c r="AL1070" s="436"/>
      <c r="AM1070" s="438"/>
      <c r="AN1070" s="531"/>
      <c r="AO1070" s="491"/>
      <c r="AP1070" s="438"/>
      <c r="AQ1070" s="438"/>
      <c r="AR1070" s="438"/>
      <c r="AS1070" s="438"/>
      <c r="AT1070" s="438"/>
      <c r="AU1070" s="438"/>
      <c r="AV1070" s="438"/>
      <c r="AW1070" s="450" t="str">
        <f t="shared" si="856"/>
        <v/>
      </c>
    </row>
    <row r="1071">
      <c r="A1071" s="435"/>
      <c r="B1071" s="485"/>
      <c r="C1071" s="486"/>
      <c r="D1071" s="486"/>
      <c r="E1071" s="486"/>
      <c r="F1071" s="528"/>
      <c r="G1071" s="486"/>
      <c r="H1071" s="486"/>
      <c r="I1071" s="491"/>
      <c r="J1071" s="491"/>
      <c r="K1071" s="491"/>
      <c r="L1071" s="491"/>
      <c r="M1071" s="486"/>
      <c r="N1071" s="422"/>
      <c r="O1071" s="422"/>
      <c r="P1071" s="422"/>
      <c r="Q1071" s="486"/>
      <c r="R1071" s="491"/>
      <c r="S1071" s="491"/>
      <c r="T1071" s="491"/>
      <c r="U1071" s="491"/>
      <c r="V1071" s="491"/>
      <c r="W1071" s="493"/>
      <c r="X1071" s="486"/>
      <c r="Y1071" s="442"/>
      <c r="Z1071" s="491"/>
      <c r="AA1071" s="524"/>
      <c r="AB1071" s="494"/>
      <c r="AC1071" s="436"/>
      <c r="AD1071" s="495"/>
      <c r="AE1071" s="491"/>
      <c r="AF1071" s="491"/>
      <c r="AG1071" s="525"/>
      <c r="AH1071" s="491"/>
      <c r="AI1071" s="446"/>
      <c r="AJ1071" s="491"/>
      <c r="AK1071" s="500"/>
      <c r="AL1071" s="436"/>
      <c r="AM1071" s="438"/>
      <c r="AN1071" s="531"/>
      <c r="AO1071" s="491"/>
      <c r="AP1071" s="438"/>
      <c r="AQ1071" s="438"/>
      <c r="AR1071" s="438"/>
      <c r="AS1071" s="438"/>
      <c r="AT1071" s="438"/>
      <c r="AU1071" s="438"/>
      <c r="AV1071" s="438"/>
      <c r="AW1071" s="450"/>
    </row>
    <row r="1072">
      <c r="A1072" s="435"/>
      <c r="B1072" s="485"/>
      <c r="C1072" s="486"/>
      <c r="D1072" s="486"/>
      <c r="E1072" s="486"/>
      <c r="F1072" s="528"/>
      <c r="G1072" s="486"/>
      <c r="H1072" s="486"/>
      <c r="I1072" s="491"/>
      <c r="J1072" s="491"/>
      <c r="K1072" s="491"/>
      <c r="L1072" s="491"/>
      <c r="M1072" s="486"/>
      <c r="N1072" s="422"/>
      <c r="O1072" s="422"/>
      <c r="P1072" s="422"/>
      <c r="Q1072" s="486"/>
      <c r="R1072" s="491"/>
      <c r="S1072" s="491"/>
      <c r="T1072" s="491"/>
      <c r="U1072" s="491"/>
      <c r="V1072" s="491"/>
      <c r="W1072" s="493"/>
      <c r="X1072" s="486"/>
      <c r="Y1072" s="442"/>
      <c r="Z1072" s="491"/>
      <c r="AA1072" s="524"/>
      <c r="AB1072" s="494"/>
      <c r="AC1072" s="436"/>
      <c r="AD1072" s="495"/>
      <c r="AE1072" s="491"/>
      <c r="AF1072" s="491"/>
      <c r="AG1072" s="525"/>
      <c r="AH1072" s="491"/>
      <c r="AI1072" s="446"/>
      <c r="AJ1072" s="491"/>
      <c r="AK1072" s="500"/>
      <c r="AL1072" s="436"/>
      <c r="AM1072" s="438"/>
      <c r="AN1072" s="531"/>
      <c r="AO1072" s="491"/>
      <c r="AP1072" s="438"/>
      <c r="AQ1072" s="438"/>
      <c r="AR1072" s="438"/>
      <c r="AS1072" s="438"/>
      <c r="AT1072" s="438"/>
      <c r="AU1072" s="438"/>
      <c r="AV1072" s="438"/>
      <c r="AW1072" s="450"/>
    </row>
    <row r="1073">
      <c r="A1073" s="435"/>
      <c r="B1073" s="485"/>
      <c r="C1073" s="486"/>
      <c r="D1073" s="486"/>
      <c r="E1073" s="486"/>
      <c r="F1073" s="528"/>
      <c r="G1073" s="486"/>
      <c r="H1073" s="486"/>
      <c r="I1073" s="491"/>
      <c r="J1073" s="491"/>
      <c r="K1073" s="491"/>
      <c r="L1073" s="491"/>
      <c r="M1073" s="486"/>
      <c r="N1073" s="422"/>
      <c r="O1073" s="422"/>
      <c r="P1073" s="422"/>
      <c r="Q1073" s="486"/>
      <c r="R1073" s="491"/>
      <c r="S1073" s="491"/>
      <c r="T1073" s="491"/>
      <c r="U1073" s="491"/>
      <c r="V1073" s="491"/>
      <c r="W1073" s="493"/>
      <c r="X1073" s="486"/>
      <c r="Y1073" s="442"/>
      <c r="Z1073" s="491"/>
      <c r="AA1073" s="524"/>
      <c r="AB1073" s="494"/>
      <c r="AC1073" s="436"/>
      <c r="AD1073" s="495"/>
      <c r="AE1073" s="491"/>
      <c r="AF1073" s="491"/>
      <c r="AG1073" s="525"/>
      <c r="AH1073" s="491"/>
      <c r="AI1073" s="446"/>
      <c r="AJ1073" s="491"/>
      <c r="AK1073" s="500"/>
      <c r="AL1073" s="436"/>
      <c r="AM1073" s="438"/>
      <c r="AN1073" s="531"/>
      <c r="AO1073" s="491"/>
      <c r="AP1073" s="438"/>
      <c r="AQ1073" s="438"/>
      <c r="AR1073" s="438"/>
      <c r="AS1073" s="438"/>
      <c r="AT1073" s="438"/>
      <c r="AU1073" s="438"/>
      <c r="AV1073" s="438"/>
      <c r="AW1073" s="450"/>
    </row>
    <row r="1074">
      <c r="A1074" s="435"/>
      <c r="B1074" s="485"/>
      <c r="C1074" s="486"/>
      <c r="D1074" s="486"/>
      <c r="E1074" s="486"/>
      <c r="F1074" s="528"/>
      <c r="G1074" s="486"/>
      <c r="H1074" s="486"/>
      <c r="I1074" s="491"/>
      <c r="J1074" s="491"/>
      <c r="K1074" s="491"/>
      <c r="L1074" s="491"/>
      <c r="M1074" s="486"/>
      <c r="N1074" s="422"/>
      <c r="O1074" s="422"/>
      <c r="P1074" s="422"/>
      <c r="Q1074" s="486"/>
      <c r="R1074" s="491"/>
      <c r="S1074" s="491"/>
      <c r="T1074" s="491"/>
      <c r="U1074" s="491"/>
      <c r="V1074" s="491"/>
      <c r="W1074" s="493"/>
      <c r="X1074" s="486"/>
      <c r="Y1074" s="442"/>
      <c r="Z1074" s="491"/>
      <c r="AA1074" s="524"/>
      <c r="AB1074" s="494"/>
      <c r="AC1074" s="436"/>
      <c r="AD1074" s="495"/>
      <c r="AE1074" s="491"/>
      <c r="AF1074" s="491"/>
      <c r="AG1074" s="525"/>
      <c r="AH1074" s="491"/>
      <c r="AI1074" s="446"/>
      <c r="AJ1074" s="491"/>
      <c r="AK1074" s="500"/>
      <c r="AL1074" s="436"/>
      <c r="AM1074" s="438"/>
      <c r="AN1074" s="531"/>
      <c r="AO1074" s="491"/>
      <c r="AP1074" s="438"/>
      <c r="AQ1074" s="438"/>
      <c r="AR1074" s="438"/>
      <c r="AS1074" s="438"/>
      <c r="AT1074" s="438"/>
      <c r="AU1074" s="438"/>
      <c r="AV1074" s="438"/>
      <c r="AW1074" s="450"/>
    </row>
    <row r="1075">
      <c r="A1075" s="435"/>
      <c r="B1075" s="485"/>
      <c r="C1075" s="486"/>
      <c r="D1075" s="486"/>
      <c r="E1075" s="486"/>
      <c r="F1075" s="528"/>
      <c r="G1075" s="486"/>
      <c r="H1075" s="486"/>
      <c r="I1075" s="491"/>
      <c r="J1075" s="491"/>
      <c r="K1075" s="491"/>
      <c r="L1075" s="491"/>
      <c r="M1075" s="486"/>
      <c r="N1075" s="422"/>
      <c r="O1075" s="422"/>
      <c r="P1075" s="422"/>
      <c r="Q1075" s="486"/>
      <c r="R1075" s="491"/>
      <c r="S1075" s="491"/>
      <c r="T1075" s="491"/>
      <c r="U1075" s="491"/>
      <c r="V1075" s="491"/>
      <c r="W1075" s="493"/>
      <c r="X1075" s="486"/>
      <c r="Y1075" s="442"/>
      <c r="Z1075" s="491"/>
      <c r="AA1075" s="524"/>
      <c r="AB1075" s="494"/>
      <c r="AC1075" s="436"/>
      <c r="AD1075" s="495"/>
      <c r="AE1075" s="491"/>
      <c r="AF1075" s="491"/>
      <c r="AG1075" s="525"/>
      <c r="AH1075" s="491"/>
      <c r="AI1075" s="446"/>
      <c r="AJ1075" s="491"/>
      <c r="AK1075" s="500"/>
      <c r="AL1075" s="436"/>
      <c r="AM1075" s="438"/>
      <c r="AN1075" s="531"/>
      <c r="AO1075" s="491"/>
      <c r="AP1075" s="438"/>
      <c r="AQ1075" s="438"/>
      <c r="AR1075" s="438"/>
      <c r="AS1075" s="438"/>
      <c r="AT1075" s="438"/>
      <c r="AU1075" s="438"/>
      <c r="AV1075" s="438"/>
      <c r="AW1075" s="450"/>
    </row>
    <row r="1076">
      <c r="A1076" s="435"/>
      <c r="B1076" s="485"/>
      <c r="C1076" s="486"/>
      <c r="D1076" s="486"/>
      <c r="E1076" s="486"/>
      <c r="F1076" s="528"/>
      <c r="G1076" s="486"/>
      <c r="H1076" s="486"/>
      <c r="I1076" s="491"/>
      <c r="J1076" s="491"/>
      <c r="K1076" s="491"/>
      <c r="L1076" s="491"/>
      <c r="M1076" s="486"/>
      <c r="N1076" s="422"/>
      <c r="O1076" s="422"/>
      <c r="P1076" s="422"/>
      <c r="Q1076" s="486"/>
      <c r="R1076" s="491"/>
      <c r="S1076" s="491"/>
      <c r="T1076" s="491"/>
      <c r="U1076" s="491"/>
      <c r="V1076" s="491"/>
      <c r="W1076" s="493"/>
      <c r="X1076" s="486"/>
      <c r="Y1076" s="442"/>
      <c r="Z1076" s="491"/>
      <c r="AA1076" s="524"/>
      <c r="AB1076" s="494"/>
      <c r="AC1076" s="436"/>
      <c r="AD1076" s="495"/>
      <c r="AE1076" s="491"/>
      <c r="AF1076" s="491"/>
      <c r="AG1076" s="525"/>
      <c r="AH1076" s="491"/>
      <c r="AI1076" s="446"/>
      <c r="AJ1076" s="491"/>
      <c r="AK1076" s="500"/>
      <c r="AL1076" s="436"/>
      <c r="AM1076" s="438"/>
      <c r="AN1076" s="531"/>
      <c r="AO1076" s="491"/>
      <c r="AP1076" s="438"/>
      <c r="AQ1076" s="438"/>
      <c r="AR1076" s="438"/>
      <c r="AS1076" s="438"/>
      <c r="AT1076" s="438"/>
      <c r="AU1076" s="438"/>
      <c r="AV1076" s="438"/>
      <c r="AW1076" s="450"/>
    </row>
    <row r="1077">
      <c r="A1077" s="435"/>
      <c r="B1077" s="485"/>
      <c r="C1077" s="486"/>
      <c r="D1077" s="486"/>
      <c r="E1077" s="486"/>
      <c r="F1077" s="528"/>
      <c r="G1077" s="486"/>
      <c r="H1077" s="486"/>
      <c r="I1077" s="491"/>
      <c r="J1077" s="491"/>
      <c r="K1077" s="491"/>
      <c r="L1077" s="491"/>
      <c r="M1077" s="486"/>
      <c r="N1077" s="422"/>
      <c r="O1077" s="422"/>
      <c r="P1077" s="422"/>
      <c r="Q1077" s="486"/>
      <c r="R1077" s="491"/>
      <c r="S1077" s="491"/>
      <c r="T1077" s="491"/>
      <c r="U1077" s="491"/>
      <c r="V1077" s="491"/>
      <c r="W1077" s="493"/>
      <c r="X1077" s="486"/>
      <c r="Y1077" s="442"/>
      <c r="Z1077" s="491"/>
      <c r="AA1077" s="524"/>
      <c r="AB1077" s="494"/>
      <c r="AC1077" s="436"/>
      <c r="AD1077" s="495"/>
      <c r="AE1077" s="491"/>
      <c r="AF1077" s="491"/>
      <c r="AG1077" s="525"/>
      <c r="AH1077" s="491"/>
      <c r="AI1077" s="446"/>
      <c r="AJ1077" s="491"/>
      <c r="AK1077" s="500"/>
      <c r="AL1077" s="436"/>
      <c r="AM1077" s="438"/>
      <c r="AN1077" s="531"/>
      <c r="AO1077" s="491"/>
      <c r="AP1077" s="438"/>
      <c r="AQ1077" s="438"/>
      <c r="AR1077" s="438"/>
      <c r="AS1077" s="438"/>
      <c r="AT1077" s="438"/>
      <c r="AU1077" s="438"/>
      <c r="AV1077" s="438"/>
      <c r="AW1077" s="450"/>
    </row>
    <row r="1078">
      <c r="A1078" s="435"/>
      <c r="B1078" s="485"/>
      <c r="C1078" s="486"/>
      <c r="D1078" s="486"/>
      <c r="E1078" s="486"/>
      <c r="F1078" s="528"/>
      <c r="G1078" s="486"/>
      <c r="H1078" s="486"/>
      <c r="I1078" s="491"/>
      <c r="J1078" s="491"/>
      <c r="K1078" s="491"/>
      <c r="L1078" s="491"/>
      <c r="M1078" s="486"/>
      <c r="N1078" s="422"/>
      <c r="O1078" s="422"/>
      <c r="P1078" s="422"/>
      <c r="Q1078" s="486"/>
      <c r="R1078" s="491"/>
      <c r="S1078" s="491"/>
      <c r="T1078" s="491"/>
      <c r="U1078" s="491"/>
      <c r="V1078" s="491"/>
      <c r="W1078" s="493"/>
      <c r="X1078" s="486"/>
      <c r="Y1078" s="442"/>
      <c r="Z1078" s="491"/>
      <c r="AA1078" s="524"/>
      <c r="AB1078" s="494"/>
      <c r="AC1078" s="436"/>
      <c r="AD1078" s="495"/>
      <c r="AE1078" s="491"/>
      <c r="AF1078" s="491"/>
      <c r="AG1078" s="525"/>
      <c r="AH1078" s="491"/>
      <c r="AI1078" s="446"/>
      <c r="AJ1078" s="491"/>
      <c r="AK1078" s="500"/>
      <c r="AL1078" s="436"/>
      <c r="AM1078" s="438"/>
      <c r="AN1078" s="531"/>
      <c r="AO1078" s="491"/>
      <c r="AP1078" s="438"/>
      <c r="AQ1078" s="438"/>
      <c r="AR1078" s="438"/>
      <c r="AS1078" s="438"/>
      <c r="AT1078" s="438"/>
      <c r="AU1078" s="438"/>
      <c r="AV1078" s="438"/>
      <c r="AW1078" s="450"/>
    </row>
    <row r="1079">
      <c r="A1079" s="435"/>
      <c r="B1079" s="485"/>
      <c r="C1079" s="486"/>
      <c r="D1079" s="486"/>
      <c r="E1079" s="486"/>
      <c r="F1079" s="528"/>
      <c r="G1079" s="486"/>
      <c r="H1079" s="486"/>
      <c r="I1079" s="491"/>
      <c r="J1079" s="491"/>
      <c r="K1079" s="491"/>
      <c r="L1079" s="491"/>
      <c r="M1079" s="486"/>
      <c r="N1079" s="422"/>
      <c r="O1079" s="422"/>
      <c r="P1079" s="422"/>
      <c r="Q1079" s="486"/>
      <c r="R1079" s="491"/>
      <c r="S1079" s="491"/>
      <c r="T1079" s="491"/>
      <c r="U1079" s="491"/>
      <c r="V1079" s="491"/>
      <c r="W1079" s="493"/>
      <c r="X1079" s="486"/>
      <c r="Y1079" s="442"/>
      <c r="Z1079" s="491"/>
      <c r="AA1079" s="524"/>
      <c r="AB1079" s="494"/>
      <c r="AC1079" s="436"/>
      <c r="AD1079" s="495"/>
      <c r="AE1079" s="491"/>
      <c r="AF1079" s="491"/>
      <c r="AG1079" s="525"/>
      <c r="AH1079" s="491"/>
      <c r="AI1079" s="446"/>
      <c r="AJ1079" s="491"/>
      <c r="AK1079" s="500"/>
      <c r="AL1079" s="436"/>
      <c r="AM1079" s="438"/>
      <c r="AN1079" s="531"/>
      <c r="AO1079" s="491"/>
      <c r="AP1079" s="438"/>
      <c r="AQ1079" s="438"/>
      <c r="AR1079" s="438"/>
      <c r="AS1079" s="438"/>
      <c r="AT1079" s="438"/>
      <c r="AU1079" s="438"/>
      <c r="AV1079" s="438"/>
      <c r="AW1079" s="450"/>
    </row>
    <row r="1080">
      <c r="A1080" s="435"/>
      <c r="B1080" s="485"/>
      <c r="C1080" s="486"/>
      <c r="D1080" s="486"/>
      <c r="E1080" s="486"/>
      <c r="F1080" s="528"/>
      <c r="G1080" s="486"/>
      <c r="H1080" s="486"/>
      <c r="I1080" s="491"/>
      <c r="J1080" s="491"/>
      <c r="K1080" s="491"/>
      <c r="L1080" s="491"/>
      <c r="M1080" s="486"/>
      <c r="N1080" s="422"/>
      <c r="O1080" s="422"/>
      <c r="P1080" s="422"/>
      <c r="Q1080" s="486"/>
      <c r="R1080" s="491"/>
      <c r="S1080" s="491"/>
      <c r="T1080" s="491"/>
      <c r="U1080" s="491"/>
      <c r="V1080" s="491"/>
      <c r="W1080" s="493"/>
      <c r="X1080" s="486"/>
      <c r="Y1080" s="442"/>
      <c r="Z1080" s="491"/>
      <c r="AA1080" s="524"/>
      <c r="AB1080" s="494"/>
      <c r="AC1080" s="436"/>
      <c r="AD1080" s="495"/>
      <c r="AE1080" s="491"/>
      <c r="AF1080" s="491"/>
      <c r="AG1080" s="525"/>
      <c r="AH1080" s="491"/>
      <c r="AI1080" s="446"/>
      <c r="AJ1080" s="491"/>
      <c r="AK1080" s="500"/>
      <c r="AL1080" s="436"/>
      <c r="AM1080" s="438"/>
      <c r="AN1080" s="531"/>
      <c r="AO1080" s="491"/>
      <c r="AP1080" s="438"/>
      <c r="AQ1080" s="438"/>
      <c r="AR1080" s="438"/>
      <c r="AS1080" s="438"/>
      <c r="AT1080" s="438"/>
      <c r="AU1080" s="438"/>
      <c r="AV1080" s="438"/>
      <c r="AW1080" s="450"/>
    </row>
    <row r="1081">
      <c r="A1081" s="435"/>
      <c r="B1081" s="485"/>
      <c r="C1081" s="486"/>
      <c r="D1081" s="486"/>
      <c r="E1081" s="486"/>
      <c r="F1081" s="528"/>
      <c r="G1081" s="486"/>
      <c r="H1081" s="486"/>
      <c r="I1081" s="491"/>
      <c r="J1081" s="491"/>
      <c r="K1081" s="491"/>
      <c r="L1081" s="491"/>
      <c r="M1081" s="486"/>
      <c r="N1081" s="422"/>
      <c r="O1081" s="422"/>
      <c r="P1081" s="422"/>
      <c r="Q1081" s="486"/>
      <c r="R1081" s="491"/>
      <c r="S1081" s="491"/>
      <c r="T1081" s="491"/>
      <c r="U1081" s="491"/>
      <c r="V1081" s="491"/>
      <c r="W1081" s="493"/>
      <c r="X1081" s="486"/>
      <c r="Y1081" s="442"/>
      <c r="Z1081" s="491"/>
      <c r="AA1081" s="524"/>
      <c r="AB1081" s="494"/>
      <c r="AC1081" s="436"/>
      <c r="AD1081" s="495"/>
      <c r="AE1081" s="491"/>
      <c r="AF1081" s="491"/>
      <c r="AG1081" s="525"/>
      <c r="AH1081" s="491"/>
      <c r="AI1081" s="446"/>
      <c r="AJ1081" s="491"/>
      <c r="AK1081" s="500"/>
      <c r="AL1081" s="436"/>
      <c r="AM1081" s="438"/>
      <c r="AN1081" s="531"/>
      <c r="AO1081" s="491"/>
      <c r="AP1081" s="438"/>
      <c r="AQ1081" s="438"/>
      <c r="AR1081" s="438"/>
      <c r="AS1081" s="438"/>
      <c r="AT1081" s="438"/>
      <c r="AU1081" s="438"/>
      <c r="AV1081" s="438"/>
      <c r="AW1081" s="450"/>
    </row>
    <row r="1082">
      <c r="A1082" s="435"/>
      <c r="B1082" s="485"/>
      <c r="C1082" s="486"/>
      <c r="D1082" s="486"/>
      <c r="E1082" s="486"/>
      <c r="F1082" s="528"/>
      <c r="G1082" s="486"/>
      <c r="H1082" s="486"/>
      <c r="I1082" s="491"/>
      <c r="J1082" s="491"/>
      <c r="K1082" s="491"/>
      <c r="L1082" s="491"/>
      <c r="M1082" s="486"/>
      <c r="N1082" s="422"/>
      <c r="O1082" s="422"/>
      <c r="P1082" s="422"/>
      <c r="Q1082" s="486"/>
      <c r="R1082" s="491"/>
      <c r="S1082" s="491"/>
      <c r="T1082" s="491"/>
      <c r="U1082" s="491"/>
      <c r="V1082" s="491"/>
      <c r="W1082" s="493"/>
      <c r="X1082" s="486"/>
      <c r="Y1082" s="442"/>
      <c r="Z1082" s="491"/>
      <c r="AA1082" s="524"/>
      <c r="AB1082" s="494"/>
      <c r="AC1082" s="436"/>
      <c r="AD1082" s="495"/>
      <c r="AE1082" s="491"/>
      <c r="AF1082" s="491"/>
      <c r="AG1082" s="525"/>
      <c r="AH1082" s="491"/>
      <c r="AI1082" s="446"/>
      <c r="AJ1082" s="491"/>
      <c r="AK1082" s="500"/>
      <c r="AL1082" s="436"/>
      <c r="AM1082" s="438"/>
      <c r="AN1082" s="531"/>
      <c r="AO1082" s="491"/>
      <c r="AP1082" s="438"/>
      <c r="AQ1082" s="438"/>
      <c r="AR1082" s="438"/>
      <c r="AS1082" s="438"/>
      <c r="AT1082" s="438"/>
      <c r="AU1082" s="438"/>
      <c r="AV1082" s="438"/>
      <c r="AW1082" s="450"/>
    </row>
    <row r="1083">
      <c r="A1083" s="435"/>
      <c r="B1083" s="485"/>
      <c r="C1083" s="486"/>
      <c r="D1083" s="486"/>
      <c r="E1083" s="486"/>
      <c r="F1083" s="528"/>
      <c r="G1083" s="486"/>
      <c r="H1083" s="486"/>
      <c r="I1083" s="491"/>
      <c r="J1083" s="491"/>
      <c r="K1083" s="491"/>
      <c r="L1083" s="491"/>
      <c r="M1083" s="486"/>
      <c r="N1083" s="422"/>
      <c r="O1083" s="422"/>
      <c r="P1083" s="422"/>
      <c r="Q1083" s="486"/>
      <c r="R1083" s="491"/>
      <c r="S1083" s="491"/>
      <c r="T1083" s="491"/>
      <c r="U1083" s="491"/>
      <c r="V1083" s="491"/>
      <c r="W1083" s="493"/>
      <c r="X1083" s="486"/>
      <c r="Y1083" s="442"/>
      <c r="Z1083" s="491"/>
      <c r="AA1083" s="524"/>
      <c r="AB1083" s="494"/>
      <c r="AC1083" s="436"/>
      <c r="AD1083" s="495"/>
      <c r="AE1083" s="491"/>
      <c r="AF1083" s="491"/>
      <c r="AG1083" s="525"/>
      <c r="AH1083" s="491"/>
      <c r="AI1083" s="446"/>
      <c r="AJ1083" s="491"/>
      <c r="AK1083" s="500"/>
      <c r="AL1083" s="436"/>
      <c r="AM1083" s="438"/>
      <c r="AN1083" s="531"/>
      <c r="AO1083" s="491"/>
      <c r="AP1083" s="438"/>
      <c r="AQ1083" s="438"/>
      <c r="AR1083" s="438"/>
      <c r="AS1083" s="438"/>
      <c r="AT1083" s="438"/>
      <c r="AU1083" s="438"/>
      <c r="AV1083" s="438"/>
      <c r="AW1083" s="450"/>
    </row>
    <row r="1084">
      <c r="A1084" s="435"/>
      <c r="B1084" s="485"/>
      <c r="C1084" s="486"/>
      <c r="D1084" s="486"/>
      <c r="E1084" s="486"/>
      <c r="F1084" s="528"/>
      <c r="G1084" s="486"/>
      <c r="H1084" s="486"/>
      <c r="I1084" s="491"/>
      <c r="J1084" s="491"/>
      <c r="K1084" s="491"/>
      <c r="L1084" s="491"/>
      <c r="M1084" s="486"/>
      <c r="N1084" s="422"/>
      <c r="O1084" s="422"/>
      <c r="P1084" s="422"/>
      <c r="Q1084" s="486"/>
      <c r="R1084" s="491"/>
      <c r="S1084" s="491"/>
      <c r="T1084" s="491"/>
      <c r="U1084" s="491"/>
      <c r="V1084" s="491"/>
      <c r="W1084" s="493"/>
      <c r="X1084" s="486"/>
      <c r="Y1084" s="442"/>
      <c r="Z1084" s="491"/>
      <c r="AA1084" s="524"/>
      <c r="AB1084" s="494"/>
      <c r="AC1084" s="436"/>
      <c r="AD1084" s="495"/>
      <c r="AE1084" s="491"/>
      <c r="AF1084" s="491"/>
      <c r="AG1084" s="525"/>
      <c r="AH1084" s="491"/>
      <c r="AI1084" s="446"/>
      <c r="AJ1084" s="491"/>
      <c r="AK1084" s="500"/>
      <c r="AL1084" s="436"/>
      <c r="AM1084" s="438"/>
      <c r="AN1084" s="531"/>
      <c r="AO1084" s="491"/>
      <c r="AP1084" s="438"/>
      <c r="AQ1084" s="438"/>
      <c r="AR1084" s="438"/>
      <c r="AS1084" s="438"/>
      <c r="AT1084" s="438"/>
      <c r="AU1084" s="438"/>
      <c r="AV1084" s="438"/>
      <c r="AW1084" s="450"/>
    </row>
    <row r="1085">
      <c r="A1085" s="435"/>
      <c r="B1085" s="485"/>
      <c r="C1085" s="486"/>
      <c r="D1085" s="486"/>
      <c r="E1085" s="486"/>
      <c r="F1085" s="528"/>
      <c r="G1085" s="486"/>
      <c r="H1085" s="486"/>
      <c r="I1085" s="491"/>
      <c r="J1085" s="491"/>
      <c r="K1085" s="491"/>
      <c r="L1085" s="491"/>
      <c r="M1085" s="486"/>
      <c r="N1085" s="422"/>
      <c r="O1085" s="422"/>
      <c r="P1085" s="422"/>
      <c r="Q1085" s="486"/>
      <c r="R1085" s="491"/>
      <c r="S1085" s="491"/>
      <c r="T1085" s="491"/>
      <c r="U1085" s="491"/>
      <c r="V1085" s="491"/>
      <c r="W1085" s="493"/>
      <c r="X1085" s="486"/>
      <c r="Y1085" s="442"/>
      <c r="Z1085" s="491"/>
      <c r="AA1085" s="524"/>
      <c r="AB1085" s="494"/>
      <c r="AC1085" s="436"/>
      <c r="AD1085" s="495"/>
      <c r="AE1085" s="491"/>
      <c r="AF1085" s="491"/>
      <c r="AG1085" s="525"/>
      <c r="AH1085" s="491"/>
      <c r="AI1085" s="446"/>
      <c r="AJ1085" s="491"/>
      <c r="AK1085" s="500"/>
      <c r="AL1085" s="436"/>
      <c r="AM1085" s="438"/>
      <c r="AN1085" s="531"/>
      <c r="AO1085" s="491"/>
      <c r="AP1085" s="438"/>
      <c r="AQ1085" s="438"/>
      <c r="AR1085" s="438"/>
      <c r="AS1085" s="438"/>
      <c r="AT1085" s="438"/>
      <c r="AU1085" s="438"/>
      <c r="AV1085" s="438"/>
      <c r="AW1085" s="450"/>
    </row>
    <row r="1086">
      <c r="A1086" s="435"/>
      <c r="B1086" s="485"/>
      <c r="C1086" s="486"/>
      <c r="D1086" s="486"/>
      <c r="E1086" s="486"/>
      <c r="F1086" s="528"/>
      <c r="G1086" s="486"/>
      <c r="H1086" s="486"/>
      <c r="I1086" s="491"/>
      <c r="J1086" s="491"/>
      <c r="K1086" s="491"/>
      <c r="L1086" s="491"/>
      <c r="M1086" s="486"/>
      <c r="N1086" s="422"/>
      <c r="O1086" s="422"/>
      <c r="P1086" s="422"/>
      <c r="Q1086" s="486"/>
      <c r="R1086" s="491"/>
      <c r="S1086" s="491"/>
      <c r="T1086" s="491"/>
      <c r="U1086" s="491"/>
      <c r="V1086" s="491"/>
      <c r="W1086" s="493"/>
      <c r="X1086" s="486"/>
      <c r="Y1086" s="442"/>
      <c r="Z1086" s="491"/>
      <c r="AA1086" s="524"/>
      <c r="AB1086" s="494"/>
      <c r="AC1086" s="436"/>
      <c r="AD1086" s="495"/>
      <c r="AE1086" s="491"/>
      <c r="AF1086" s="491"/>
      <c r="AG1086" s="525"/>
      <c r="AH1086" s="491"/>
      <c r="AI1086" s="446"/>
      <c r="AJ1086" s="491"/>
      <c r="AK1086" s="500"/>
      <c r="AL1086" s="436"/>
      <c r="AM1086" s="438"/>
      <c r="AN1086" s="531"/>
      <c r="AO1086" s="491"/>
      <c r="AP1086" s="438"/>
      <c r="AQ1086" s="438"/>
      <c r="AR1086" s="438"/>
      <c r="AS1086" s="438"/>
      <c r="AT1086" s="438"/>
      <c r="AU1086" s="438"/>
      <c r="AV1086" s="438"/>
      <c r="AW1086" s="450"/>
    </row>
    <row r="1087">
      <c r="A1087" s="435"/>
      <c r="B1087" s="485"/>
      <c r="C1087" s="486"/>
      <c r="D1087" s="486"/>
      <c r="E1087" s="486"/>
      <c r="F1087" s="528"/>
      <c r="G1087" s="486"/>
      <c r="H1087" s="486"/>
      <c r="I1087" s="491"/>
      <c r="J1087" s="491"/>
      <c r="K1087" s="491"/>
      <c r="L1087" s="491"/>
      <c r="M1087" s="486"/>
      <c r="N1087" s="422"/>
      <c r="O1087" s="422"/>
      <c r="P1087" s="422"/>
      <c r="Q1087" s="486"/>
      <c r="R1087" s="491"/>
      <c r="S1087" s="491"/>
      <c r="T1087" s="491"/>
      <c r="U1087" s="491"/>
      <c r="V1087" s="491"/>
      <c r="W1087" s="493"/>
      <c r="X1087" s="486"/>
      <c r="Y1087" s="442"/>
      <c r="Z1087" s="491"/>
      <c r="AA1087" s="524"/>
      <c r="AB1087" s="494"/>
      <c r="AC1087" s="436"/>
      <c r="AD1087" s="495"/>
      <c r="AE1087" s="491"/>
      <c r="AF1087" s="491"/>
      <c r="AG1087" s="525"/>
      <c r="AH1087" s="491"/>
      <c r="AI1087" s="446"/>
      <c r="AJ1087" s="491"/>
      <c r="AK1087" s="500"/>
      <c r="AL1087" s="436"/>
      <c r="AM1087" s="438"/>
      <c r="AN1087" s="531"/>
      <c r="AO1087" s="491"/>
      <c r="AP1087" s="438"/>
      <c r="AQ1087" s="438"/>
      <c r="AR1087" s="438"/>
      <c r="AS1087" s="438"/>
      <c r="AT1087" s="438"/>
      <c r="AU1087" s="438"/>
      <c r="AV1087" s="438"/>
      <c r="AW1087" s="450"/>
    </row>
    <row r="1088">
      <c r="A1088" s="435"/>
      <c r="B1088" s="485"/>
      <c r="C1088" s="486"/>
      <c r="D1088" s="486"/>
      <c r="E1088" s="486"/>
      <c r="F1088" s="528"/>
      <c r="G1088" s="486"/>
      <c r="H1088" s="486"/>
      <c r="I1088" s="491"/>
      <c r="J1088" s="491"/>
      <c r="K1088" s="491"/>
      <c r="L1088" s="491"/>
      <c r="M1088" s="486"/>
      <c r="N1088" s="422"/>
      <c r="O1088" s="422"/>
      <c r="P1088" s="422"/>
      <c r="Q1088" s="486"/>
      <c r="R1088" s="491"/>
      <c r="S1088" s="491"/>
      <c r="T1088" s="491"/>
      <c r="U1088" s="491"/>
      <c r="V1088" s="491"/>
      <c r="W1088" s="493"/>
      <c r="X1088" s="486"/>
      <c r="Y1088" s="442"/>
      <c r="Z1088" s="491"/>
      <c r="AA1088" s="524"/>
      <c r="AB1088" s="494"/>
      <c r="AC1088" s="436"/>
      <c r="AD1088" s="495"/>
      <c r="AE1088" s="491"/>
      <c r="AF1088" s="491"/>
      <c r="AG1088" s="525"/>
      <c r="AH1088" s="491"/>
      <c r="AI1088" s="446"/>
      <c r="AJ1088" s="491"/>
      <c r="AK1088" s="500"/>
      <c r="AL1088" s="436"/>
      <c r="AM1088" s="438"/>
      <c r="AN1088" s="531"/>
      <c r="AO1088" s="491"/>
      <c r="AP1088" s="438"/>
      <c r="AQ1088" s="438"/>
      <c r="AR1088" s="438"/>
      <c r="AS1088" s="438"/>
      <c r="AT1088" s="438"/>
      <c r="AU1088" s="438"/>
      <c r="AV1088" s="438"/>
      <c r="AW1088" s="450"/>
    </row>
    <row r="1089">
      <c r="A1089" s="435"/>
      <c r="B1089" s="485"/>
      <c r="C1089" s="486"/>
      <c r="D1089" s="486"/>
      <c r="E1089" s="486"/>
      <c r="F1089" s="528"/>
      <c r="G1089" s="486"/>
      <c r="H1089" s="486"/>
      <c r="I1089" s="491"/>
      <c r="J1089" s="491"/>
      <c r="K1089" s="491"/>
      <c r="L1089" s="491"/>
      <c r="M1089" s="486"/>
      <c r="N1089" s="422"/>
      <c r="O1089" s="422"/>
      <c r="P1089" s="422"/>
      <c r="Q1089" s="486"/>
      <c r="R1089" s="491"/>
      <c r="S1089" s="491"/>
      <c r="T1089" s="491"/>
      <c r="U1089" s="491"/>
      <c r="V1089" s="491"/>
      <c r="W1089" s="493"/>
      <c r="X1089" s="486"/>
      <c r="Y1089" s="442"/>
      <c r="Z1089" s="491"/>
      <c r="AA1089" s="524"/>
      <c r="AB1089" s="494"/>
      <c r="AC1089" s="436"/>
      <c r="AD1089" s="495"/>
      <c r="AE1089" s="491"/>
      <c r="AF1089" s="491"/>
      <c r="AG1089" s="525"/>
      <c r="AH1089" s="491"/>
      <c r="AI1089" s="446"/>
      <c r="AJ1089" s="491"/>
      <c r="AK1089" s="500"/>
      <c r="AL1089" s="436"/>
      <c r="AM1089" s="438"/>
      <c r="AN1089" s="531"/>
      <c r="AO1089" s="491"/>
      <c r="AP1089" s="438"/>
      <c r="AQ1089" s="438"/>
      <c r="AR1089" s="438"/>
      <c r="AS1089" s="438"/>
      <c r="AT1089" s="438"/>
      <c r="AU1089" s="438"/>
      <c r="AV1089" s="438"/>
      <c r="AW1089" s="450"/>
    </row>
    <row r="1090">
      <c r="A1090" s="435"/>
      <c r="B1090" s="485"/>
      <c r="C1090" s="486"/>
      <c r="D1090" s="486"/>
      <c r="E1090" s="486"/>
      <c r="F1090" s="528"/>
      <c r="G1090" s="486"/>
      <c r="H1090" s="486"/>
      <c r="I1090" s="491"/>
      <c r="J1090" s="491"/>
      <c r="K1090" s="491"/>
      <c r="L1090" s="491"/>
      <c r="M1090" s="486"/>
      <c r="N1090" s="422"/>
      <c r="O1090" s="422"/>
      <c r="P1090" s="422"/>
      <c r="Q1090" s="486"/>
      <c r="R1090" s="491"/>
      <c r="S1090" s="491"/>
      <c r="T1090" s="491"/>
      <c r="U1090" s="491"/>
      <c r="V1090" s="491"/>
      <c r="W1090" s="493"/>
      <c r="X1090" s="486"/>
      <c r="Y1090" s="442"/>
      <c r="Z1090" s="491"/>
      <c r="AA1090" s="524"/>
      <c r="AB1090" s="494"/>
      <c r="AC1090" s="436"/>
      <c r="AD1090" s="495"/>
      <c r="AE1090" s="491"/>
      <c r="AF1090" s="491"/>
      <c r="AG1090" s="525"/>
      <c r="AH1090" s="491"/>
      <c r="AI1090" s="446"/>
      <c r="AJ1090" s="491"/>
      <c r="AK1090" s="500"/>
      <c r="AL1090" s="436"/>
      <c r="AM1090" s="438"/>
      <c r="AN1090" s="531"/>
      <c r="AO1090" s="491"/>
      <c r="AP1090" s="438"/>
      <c r="AQ1090" s="438"/>
      <c r="AR1090" s="438"/>
      <c r="AS1090" s="438"/>
      <c r="AT1090" s="438"/>
      <c r="AU1090" s="438"/>
      <c r="AV1090" s="438"/>
      <c r="AW1090" s="450"/>
    </row>
    <row r="1091">
      <c r="A1091" s="435"/>
      <c r="B1091" s="485"/>
      <c r="C1091" s="486"/>
      <c r="D1091" s="486"/>
      <c r="E1091" s="486"/>
      <c r="F1091" s="528"/>
      <c r="G1091" s="486"/>
      <c r="H1091" s="486"/>
      <c r="I1091" s="491"/>
      <c r="J1091" s="491"/>
      <c r="K1091" s="491"/>
      <c r="L1091" s="491"/>
      <c r="M1091" s="486"/>
      <c r="N1091" s="422"/>
      <c r="O1091" s="422"/>
      <c r="P1091" s="422"/>
      <c r="Q1091" s="486"/>
      <c r="R1091" s="491"/>
      <c r="S1091" s="491"/>
      <c r="T1091" s="491"/>
      <c r="U1091" s="491"/>
      <c r="V1091" s="491"/>
      <c r="W1091" s="493"/>
      <c r="X1091" s="486"/>
      <c r="Y1091" s="442"/>
      <c r="Z1091" s="491"/>
      <c r="AA1091" s="524"/>
      <c r="AB1091" s="494"/>
      <c r="AC1091" s="436"/>
      <c r="AD1091" s="495"/>
      <c r="AE1091" s="491"/>
      <c r="AF1091" s="491"/>
      <c r="AG1091" s="525"/>
      <c r="AH1091" s="491"/>
      <c r="AI1091" s="446"/>
      <c r="AJ1091" s="491"/>
      <c r="AK1091" s="500"/>
      <c r="AL1091" s="436"/>
      <c r="AM1091" s="438"/>
      <c r="AN1091" s="531"/>
      <c r="AO1091" s="491"/>
      <c r="AP1091" s="438"/>
      <c r="AQ1091" s="438"/>
      <c r="AR1091" s="438"/>
      <c r="AS1091" s="438"/>
      <c r="AT1091" s="438"/>
      <c r="AU1091" s="438"/>
      <c r="AV1091" s="438"/>
      <c r="AW1091" s="450"/>
    </row>
    <row r="1092">
      <c r="A1092" s="435"/>
      <c r="B1092" s="485"/>
      <c r="C1092" s="486"/>
      <c r="D1092" s="486"/>
      <c r="E1092" s="486"/>
      <c r="F1092" s="528"/>
      <c r="G1092" s="486"/>
      <c r="H1092" s="486"/>
      <c r="I1092" s="491"/>
      <c r="J1092" s="491"/>
      <c r="K1092" s="491"/>
      <c r="L1092" s="491"/>
      <c r="M1092" s="486"/>
      <c r="N1092" s="422"/>
      <c r="O1092" s="422"/>
      <c r="P1092" s="422"/>
      <c r="Q1092" s="486"/>
      <c r="R1092" s="491"/>
      <c r="S1092" s="491"/>
      <c r="T1092" s="491"/>
      <c r="U1092" s="491"/>
      <c r="V1092" s="491"/>
      <c r="W1092" s="493"/>
      <c r="X1092" s="486"/>
      <c r="Y1092" s="442"/>
      <c r="Z1092" s="491"/>
      <c r="AA1092" s="524"/>
      <c r="AB1092" s="494"/>
      <c r="AC1092" s="436"/>
      <c r="AD1092" s="495"/>
      <c r="AE1092" s="491"/>
      <c r="AF1092" s="491"/>
      <c r="AG1092" s="525"/>
      <c r="AH1092" s="491"/>
      <c r="AI1092" s="446"/>
      <c r="AJ1092" s="491"/>
      <c r="AK1092" s="500"/>
      <c r="AL1092" s="436"/>
      <c r="AM1092" s="438"/>
      <c r="AN1092" s="531"/>
      <c r="AO1092" s="491"/>
      <c r="AP1092" s="438"/>
      <c r="AQ1092" s="438"/>
      <c r="AR1092" s="438"/>
      <c r="AS1092" s="438"/>
      <c r="AT1092" s="438"/>
      <c r="AU1092" s="438"/>
      <c r="AV1092" s="438"/>
      <c r="AW1092" s="450"/>
    </row>
    <row r="1093">
      <c r="A1093" s="435"/>
      <c r="B1093" s="485"/>
      <c r="C1093" s="486"/>
      <c r="D1093" s="486"/>
      <c r="E1093" s="486"/>
      <c r="F1093" s="528"/>
      <c r="G1093" s="486"/>
      <c r="H1093" s="486"/>
      <c r="I1093" s="491"/>
      <c r="J1093" s="491"/>
      <c r="K1093" s="491"/>
      <c r="L1093" s="491"/>
      <c r="M1093" s="486"/>
      <c r="N1093" s="422"/>
      <c r="O1093" s="422"/>
      <c r="P1093" s="422"/>
      <c r="Q1093" s="486"/>
      <c r="R1093" s="491"/>
      <c r="S1093" s="491"/>
      <c r="T1093" s="491"/>
      <c r="U1093" s="491"/>
      <c r="V1093" s="491"/>
      <c r="W1093" s="493"/>
      <c r="X1093" s="486"/>
      <c r="Y1093" s="442"/>
      <c r="Z1093" s="491"/>
      <c r="AA1093" s="524"/>
      <c r="AB1093" s="494"/>
      <c r="AC1093" s="436"/>
      <c r="AD1093" s="495"/>
      <c r="AE1093" s="491"/>
      <c r="AF1093" s="491"/>
      <c r="AG1093" s="525"/>
      <c r="AH1093" s="491"/>
      <c r="AI1093" s="446"/>
      <c r="AJ1093" s="491"/>
      <c r="AK1093" s="500"/>
      <c r="AL1093" s="436"/>
      <c r="AM1093" s="438"/>
      <c r="AN1093" s="531"/>
      <c r="AO1093" s="491"/>
      <c r="AP1093" s="438"/>
      <c r="AQ1093" s="438"/>
      <c r="AR1093" s="438"/>
      <c r="AS1093" s="438"/>
      <c r="AT1093" s="438"/>
      <c r="AU1093" s="438"/>
      <c r="AV1093" s="438"/>
      <c r="AW1093" s="450"/>
    </row>
    <row r="1094">
      <c r="A1094" s="435"/>
      <c r="B1094" s="485"/>
      <c r="C1094" s="486"/>
      <c r="D1094" s="486"/>
      <c r="E1094" s="486"/>
      <c r="F1094" s="528"/>
      <c r="G1094" s="486"/>
      <c r="H1094" s="486"/>
      <c r="I1094" s="491"/>
      <c r="J1094" s="491"/>
      <c r="K1094" s="491"/>
      <c r="L1094" s="491"/>
      <c r="M1094" s="486"/>
      <c r="N1094" s="422"/>
      <c r="O1094" s="422"/>
      <c r="P1094" s="422"/>
      <c r="Q1094" s="486"/>
      <c r="R1094" s="491"/>
      <c r="S1094" s="491"/>
      <c r="T1094" s="491"/>
      <c r="U1094" s="491"/>
      <c r="V1094" s="491"/>
      <c r="W1094" s="493"/>
      <c r="X1094" s="486"/>
      <c r="Y1094" s="442"/>
      <c r="Z1094" s="491"/>
      <c r="AA1094" s="524"/>
      <c r="AB1094" s="494"/>
      <c r="AC1094" s="436"/>
      <c r="AD1094" s="495"/>
      <c r="AE1094" s="491"/>
      <c r="AF1094" s="491"/>
      <c r="AG1094" s="525"/>
      <c r="AH1094" s="491"/>
      <c r="AI1094" s="446"/>
      <c r="AJ1094" s="491"/>
      <c r="AK1094" s="500"/>
      <c r="AL1094" s="436"/>
      <c r="AM1094" s="438"/>
      <c r="AN1094" s="531"/>
      <c r="AO1094" s="491"/>
      <c r="AP1094" s="438"/>
      <c r="AQ1094" s="438"/>
      <c r="AR1094" s="438"/>
      <c r="AS1094" s="438"/>
      <c r="AT1094" s="438"/>
      <c r="AU1094" s="438"/>
      <c r="AV1094" s="438"/>
      <c r="AW1094" s="450"/>
    </row>
    <row r="1095">
      <c r="A1095" s="435"/>
      <c r="B1095" s="485"/>
      <c r="C1095" s="486"/>
      <c r="D1095" s="486"/>
      <c r="E1095" s="486"/>
      <c r="F1095" s="528"/>
      <c r="G1095" s="486"/>
      <c r="H1095" s="486"/>
      <c r="I1095" s="491"/>
      <c r="J1095" s="491"/>
      <c r="K1095" s="491"/>
      <c r="L1095" s="491"/>
      <c r="M1095" s="486"/>
      <c r="N1095" s="422"/>
      <c r="O1095" s="422"/>
      <c r="P1095" s="422"/>
      <c r="Q1095" s="486"/>
      <c r="R1095" s="491"/>
      <c r="S1095" s="491"/>
      <c r="T1095" s="491"/>
      <c r="U1095" s="491"/>
      <c r="V1095" s="491"/>
      <c r="W1095" s="493"/>
      <c r="X1095" s="486"/>
      <c r="Y1095" s="442"/>
      <c r="Z1095" s="491"/>
      <c r="AA1095" s="524"/>
      <c r="AB1095" s="494"/>
      <c r="AC1095" s="436"/>
      <c r="AD1095" s="495"/>
      <c r="AE1095" s="491"/>
      <c r="AF1095" s="491"/>
      <c r="AG1095" s="525"/>
      <c r="AH1095" s="491"/>
      <c r="AI1095" s="446"/>
      <c r="AJ1095" s="491"/>
      <c r="AK1095" s="500"/>
      <c r="AL1095" s="436"/>
      <c r="AM1095" s="438"/>
      <c r="AN1095" s="531"/>
      <c r="AO1095" s="491"/>
      <c r="AP1095" s="438"/>
      <c r="AQ1095" s="438"/>
      <c r="AR1095" s="438"/>
      <c r="AS1095" s="438"/>
      <c r="AT1095" s="438"/>
      <c r="AU1095" s="438"/>
      <c r="AV1095" s="438"/>
      <c r="AW1095" s="450"/>
    </row>
    <row r="1096">
      <c r="A1096" s="435"/>
      <c r="B1096" s="485"/>
      <c r="C1096" s="486"/>
      <c r="D1096" s="486"/>
      <c r="E1096" s="486"/>
      <c r="F1096" s="528"/>
      <c r="G1096" s="486"/>
      <c r="H1096" s="486"/>
      <c r="I1096" s="491"/>
      <c r="J1096" s="491"/>
      <c r="K1096" s="491"/>
      <c r="L1096" s="491"/>
      <c r="M1096" s="486"/>
      <c r="N1096" s="422"/>
      <c r="O1096" s="422"/>
      <c r="P1096" s="422"/>
      <c r="Q1096" s="486"/>
      <c r="R1096" s="491"/>
      <c r="S1096" s="491"/>
      <c r="T1096" s="491"/>
      <c r="U1096" s="491"/>
      <c r="V1096" s="491"/>
      <c r="W1096" s="493"/>
      <c r="X1096" s="486"/>
      <c r="Y1096" s="442"/>
      <c r="Z1096" s="491"/>
      <c r="AA1096" s="524"/>
      <c r="AB1096" s="494"/>
      <c r="AC1096" s="436"/>
      <c r="AD1096" s="495"/>
      <c r="AE1096" s="491"/>
      <c r="AF1096" s="491"/>
      <c r="AG1096" s="525"/>
      <c r="AH1096" s="491"/>
      <c r="AI1096" s="446"/>
      <c r="AJ1096" s="491"/>
      <c r="AK1096" s="500"/>
      <c r="AL1096" s="436"/>
      <c r="AM1096" s="438"/>
      <c r="AN1096" s="531"/>
      <c r="AO1096" s="491"/>
      <c r="AP1096" s="438"/>
      <c r="AQ1096" s="438"/>
      <c r="AR1096" s="438"/>
      <c r="AS1096" s="438"/>
      <c r="AT1096" s="438"/>
      <c r="AU1096" s="438"/>
      <c r="AV1096" s="438"/>
      <c r="AW1096" s="450"/>
    </row>
    <row r="1097">
      <c r="A1097" s="435"/>
      <c r="B1097" s="485"/>
      <c r="C1097" s="486"/>
      <c r="D1097" s="486"/>
      <c r="E1097" s="486"/>
      <c r="F1097" s="528"/>
      <c r="G1097" s="486"/>
      <c r="H1097" s="486"/>
      <c r="I1097" s="491"/>
      <c r="J1097" s="491"/>
      <c r="K1097" s="491"/>
      <c r="L1097" s="491"/>
      <c r="M1097" s="486"/>
      <c r="N1097" s="422"/>
      <c r="O1097" s="422"/>
      <c r="P1097" s="422"/>
      <c r="Q1097" s="486"/>
      <c r="R1097" s="491"/>
      <c r="S1097" s="491"/>
      <c r="T1097" s="491"/>
      <c r="U1097" s="491"/>
      <c r="V1097" s="491"/>
      <c r="W1097" s="493"/>
      <c r="X1097" s="486"/>
      <c r="Y1097" s="442"/>
      <c r="Z1097" s="491"/>
      <c r="AA1097" s="524"/>
      <c r="AB1097" s="494"/>
      <c r="AC1097" s="436"/>
      <c r="AD1097" s="495"/>
      <c r="AE1097" s="491"/>
      <c r="AF1097" s="491"/>
      <c r="AG1097" s="525"/>
      <c r="AH1097" s="491"/>
      <c r="AI1097" s="446"/>
      <c r="AJ1097" s="491"/>
      <c r="AK1097" s="500"/>
      <c r="AL1097" s="436"/>
      <c r="AM1097" s="438"/>
      <c r="AN1097" s="531"/>
      <c r="AO1097" s="491"/>
      <c r="AP1097" s="438"/>
      <c r="AQ1097" s="438"/>
      <c r="AR1097" s="438"/>
      <c r="AS1097" s="438"/>
      <c r="AT1097" s="438"/>
      <c r="AU1097" s="438"/>
      <c r="AV1097" s="438"/>
      <c r="AW1097" s="450"/>
    </row>
    <row r="1098">
      <c r="A1098" s="435"/>
      <c r="B1098" s="485"/>
      <c r="C1098" s="486"/>
      <c r="D1098" s="486"/>
      <c r="E1098" s="486"/>
      <c r="F1098" s="528"/>
      <c r="G1098" s="486"/>
      <c r="H1098" s="486"/>
      <c r="I1098" s="491"/>
      <c r="J1098" s="491"/>
      <c r="K1098" s="491"/>
      <c r="L1098" s="491"/>
      <c r="M1098" s="486"/>
      <c r="N1098" s="422"/>
      <c r="O1098" s="422"/>
      <c r="P1098" s="422"/>
      <c r="Q1098" s="486"/>
      <c r="R1098" s="491"/>
      <c r="S1098" s="491"/>
      <c r="T1098" s="491"/>
      <c r="U1098" s="491"/>
      <c r="V1098" s="491"/>
      <c r="W1098" s="493"/>
      <c r="X1098" s="486"/>
      <c r="Y1098" s="442"/>
      <c r="Z1098" s="491"/>
      <c r="AA1098" s="524"/>
      <c r="AB1098" s="494"/>
      <c r="AC1098" s="436"/>
      <c r="AD1098" s="495"/>
      <c r="AE1098" s="491"/>
      <c r="AF1098" s="491"/>
      <c r="AG1098" s="525"/>
      <c r="AH1098" s="491"/>
      <c r="AI1098" s="446"/>
      <c r="AJ1098" s="491"/>
      <c r="AK1098" s="500"/>
      <c r="AL1098" s="436"/>
      <c r="AM1098" s="438"/>
      <c r="AN1098" s="531"/>
      <c r="AO1098" s="491"/>
      <c r="AP1098" s="438"/>
      <c r="AQ1098" s="438"/>
      <c r="AR1098" s="438"/>
      <c r="AS1098" s="438"/>
      <c r="AT1098" s="438"/>
      <c r="AU1098" s="438"/>
      <c r="AV1098" s="438"/>
      <c r="AW1098" s="450"/>
    </row>
    <row r="1099">
      <c r="A1099" s="435"/>
      <c r="B1099" s="485"/>
      <c r="C1099" s="486"/>
      <c r="D1099" s="486"/>
      <c r="E1099" s="486"/>
      <c r="F1099" s="528"/>
      <c r="G1099" s="486"/>
      <c r="H1099" s="486"/>
      <c r="I1099" s="491"/>
      <c r="J1099" s="491"/>
      <c r="K1099" s="491"/>
      <c r="L1099" s="491"/>
      <c r="M1099" s="486"/>
      <c r="N1099" s="422"/>
      <c r="O1099" s="422"/>
      <c r="P1099" s="422"/>
      <c r="Q1099" s="486"/>
      <c r="R1099" s="491"/>
      <c r="S1099" s="491"/>
      <c r="T1099" s="491"/>
      <c r="U1099" s="491"/>
      <c r="V1099" s="491"/>
      <c r="W1099" s="493"/>
      <c r="X1099" s="486"/>
      <c r="Y1099" s="442"/>
      <c r="Z1099" s="491"/>
      <c r="AA1099" s="524"/>
      <c r="AB1099" s="494"/>
      <c r="AC1099" s="436"/>
      <c r="AD1099" s="495"/>
      <c r="AE1099" s="491"/>
      <c r="AF1099" s="491"/>
      <c r="AG1099" s="525"/>
      <c r="AH1099" s="491"/>
      <c r="AI1099" s="446"/>
      <c r="AJ1099" s="491"/>
      <c r="AK1099" s="500"/>
      <c r="AL1099" s="436"/>
      <c r="AM1099" s="438"/>
      <c r="AN1099" s="531"/>
      <c r="AO1099" s="491"/>
      <c r="AP1099" s="438"/>
      <c r="AQ1099" s="438"/>
      <c r="AR1099" s="438"/>
      <c r="AS1099" s="438"/>
      <c r="AT1099" s="438"/>
      <c r="AU1099" s="438"/>
      <c r="AV1099" s="438"/>
      <c r="AW1099" s="450"/>
    </row>
    <row r="1100">
      <c r="A1100" s="435"/>
      <c r="B1100" s="485"/>
      <c r="C1100" s="486"/>
      <c r="D1100" s="486"/>
      <c r="E1100" s="486"/>
      <c r="F1100" s="528"/>
      <c r="G1100" s="486"/>
      <c r="H1100" s="486"/>
      <c r="I1100" s="491"/>
      <c r="J1100" s="491"/>
      <c r="K1100" s="491"/>
      <c r="L1100" s="491"/>
      <c r="M1100" s="486"/>
      <c r="N1100" s="422"/>
      <c r="O1100" s="422"/>
      <c r="P1100" s="422"/>
      <c r="Q1100" s="486"/>
      <c r="R1100" s="491"/>
      <c r="S1100" s="491"/>
      <c r="T1100" s="491"/>
      <c r="U1100" s="491"/>
      <c r="V1100" s="491"/>
      <c r="W1100" s="493"/>
      <c r="X1100" s="486"/>
      <c r="Y1100" s="442"/>
      <c r="Z1100" s="491"/>
      <c r="AA1100" s="524"/>
      <c r="AB1100" s="494"/>
      <c r="AC1100" s="436"/>
      <c r="AD1100" s="495"/>
      <c r="AE1100" s="491"/>
      <c r="AF1100" s="491"/>
      <c r="AG1100" s="525"/>
      <c r="AH1100" s="491"/>
      <c r="AI1100" s="446"/>
      <c r="AJ1100" s="491"/>
      <c r="AK1100" s="500"/>
      <c r="AL1100" s="436"/>
      <c r="AM1100" s="438"/>
      <c r="AN1100" s="531"/>
      <c r="AO1100" s="491"/>
      <c r="AP1100" s="438"/>
      <c r="AQ1100" s="438"/>
      <c r="AR1100" s="438"/>
      <c r="AS1100" s="438"/>
      <c r="AT1100" s="438"/>
      <c r="AU1100" s="438"/>
      <c r="AV1100" s="438"/>
      <c r="AW1100" s="450"/>
    </row>
    <row r="1101">
      <c r="A1101" s="435"/>
      <c r="B1101" s="485"/>
      <c r="C1101" s="486"/>
      <c r="D1101" s="486"/>
      <c r="E1101" s="486"/>
      <c r="F1101" s="528"/>
      <c r="G1101" s="486"/>
      <c r="H1101" s="486"/>
      <c r="I1101" s="491"/>
      <c r="J1101" s="491"/>
      <c r="K1101" s="491"/>
      <c r="L1101" s="491"/>
      <c r="M1101" s="486"/>
      <c r="N1101" s="422"/>
      <c r="O1101" s="422"/>
      <c r="P1101" s="422"/>
      <c r="Q1101" s="486"/>
      <c r="R1101" s="491"/>
      <c r="S1101" s="491"/>
      <c r="T1101" s="491"/>
      <c r="U1101" s="491"/>
      <c r="V1101" s="491"/>
      <c r="W1101" s="493"/>
      <c r="X1101" s="486"/>
      <c r="Y1101" s="442"/>
      <c r="Z1101" s="491"/>
      <c r="AA1101" s="524"/>
      <c r="AB1101" s="494"/>
      <c r="AC1101" s="436"/>
      <c r="AD1101" s="495"/>
      <c r="AE1101" s="491"/>
      <c r="AF1101" s="491"/>
      <c r="AG1101" s="525"/>
      <c r="AH1101" s="491"/>
      <c r="AI1101" s="446"/>
      <c r="AJ1101" s="491"/>
      <c r="AK1101" s="500"/>
      <c r="AL1101" s="436"/>
      <c r="AM1101" s="438"/>
      <c r="AN1101" s="531"/>
      <c r="AO1101" s="491"/>
      <c r="AP1101" s="438"/>
      <c r="AQ1101" s="438"/>
      <c r="AR1101" s="438"/>
      <c r="AS1101" s="438"/>
      <c r="AT1101" s="438"/>
      <c r="AU1101" s="438"/>
      <c r="AV1101" s="438"/>
      <c r="AW1101" s="450"/>
    </row>
    <row r="1102">
      <c r="A1102" s="435"/>
      <c r="B1102" s="485"/>
      <c r="C1102" s="486"/>
      <c r="D1102" s="486"/>
      <c r="E1102" s="486"/>
      <c r="F1102" s="528"/>
      <c r="G1102" s="486"/>
      <c r="H1102" s="486"/>
      <c r="I1102" s="491"/>
      <c r="J1102" s="491"/>
      <c r="K1102" s="491"/>
      <c r="L1102" s="491"/>
      <c r="M1102" s="486"/>
      <c r="N1102" s="422"/>
      <c r="O1102" s="422"/>
      <c r="P1102" s="422"/>
      <c r="Q1102" s="486"/>
      <c r="R1102" s="491"/>
      <c r="S1102" s="491"/>
      <c r="T1102" s="491"/>
      <c r="U1102" s="491"/>
      <c r="V1102" s="491"/>
      <c r="W1102" s="493"/>
      <c r="X1102" s="486"/>
      <c r="Y1102" s="442"/>
      <c r="Z1102" s="491"/>
      <c r="AA1102" s="524"/>
      <c r="AB1102" s="494"/>
      <c r="AC1102" s="436"/>
      <c r="AD1102" s="495"/>
      <c r="AE1102" s="491"/>
      <c r="AF1102" s="491"/>
      <c r="AG1102" s="525"/>
      <c r="AH1102" s="491"/>
      <c r="AI1102" s="446"/>
      <c r="AJ1102" s="491"/>
      <c r="AK1102" s="500"/>
      <c r="AL1102" s="436"/>
      <c r="AM1102" s="438"/>
      <c r="AN1102" s="531"/>
      <c r="AO1102" s="491"/>
      <c r="AP1102" s="438"/>
      <c r="AQ1102" s="438"/>
      <c r="AR1102" s="438"/>
      <c r="AS1102" s="438"/>
      <c r="AT1102" s="438"/>
      <c r="AU1102" s="438"/>
      <c r="AV1102" s="438"/>
      <c r="AW1102" s="450"/>
    </row>
    <row r="1103">
      <c r="A1103" s="435"/>
      <c r="B1103" s="485"/>
      <c r="C1103" s="486"/>
      <c r="D1103" s="486"/>
      <c r="E1103" s="486"/>
      <c r="F1103" s="528"/>
      <c r="G1103" s="486"/>
      <c r="H1103" s="486"/>
      <c r="I1103" s="491"/>
      <c r="J1103" s="491"/>
      <c r="K1103" s="491"/>
      <c r="L1103" s="491"/>
      <c r="M1103" s="486"/>
      <c r="N1103" s="422"/>
      <c r="O1103" s="422"/>
      <c r="P1103" s="422"/>
      <c r="Q1103" s="486"/>
      <c r="R1103" s="491"/>
      <c r="S1103" s="491"/>
      <c r="T1103" s="491"/>
      <c r="U1103" s="491"/>
      <c r="V1103" s="491"/>
      <c r="W1103" s="493"/>
      <c r="X1103" s="486"/>
      <c r="Y1103" s="442"/>
      <c r="Z1103" s="491"/>
      <c r="AA1103" s="524"/>
      <c r="AB1103" s="494"/>
      <c r="AC1103" s="436"/>
      <c r="AD1103" s="495"/>
      <c r="AE1103" s="491"/>
      <c r="AF1103" s="491"/>
      <c r="AG1103" s="525"/>
      <c r="AH1103" s="491"/>
      <c r="AI1103" s="446"/>
      <c r="AJ1103" s="491"/>
      <c r="AK1103" s="500"/>
      <c r="AL1103" s="436"/>
      <c r="AM1103" s="438"/>
      <c r="AN1103" s="531"/>
      <c r="AO1103" s="491"/>
      <c r="AP1103" s="438"/>
      <c r="AQ1103" s="438"/>
      <c r="AR1103" s="438"/>
      <c r="AS1103" s="438"/>
      <c r="AT1103" s="438"/>
      <c r="AU1103" s="438"/>
      <c r="AV1103" s="438"/>
      <c r="AW1103" s="450"/>
    </row>
    <row r="1104">
      <c r="A1104" s="435"/>
      <c r="B1104" s="485"/>
      <c r="C1104" s="486"/>
      <c r="D1104" s="486"/>
      <c r="E1104" s="486"/>
      <c r="F1104" s="528"/>
      <c r="G1104" s="486"/>
      <c r="H1104" s="486"/>
      <c r="I1104" s="491"/>
      <c r="J1104" s="491"/>
      <c r="K1104" s="491"/>
      <c r="L1104" s="491"/>
      <c r="M1104" s="486"/>
      <c r="N1104" s="422"/>
      <c r="O1104" s="422"/>
      <c r="P1104" s="422"/>
      <c r="Q1104" s="486"/>
      <c r="R1104" s="491"/>
      <c r="S1104" s="491"/>
      <c r="T1104" s="491"/>
      <c r="U1104" s="491"/>
      <c r="V1104" s="491"/>
      <c r="W1104" s="493"/>
      <c r="X1104" s="486"/>
      <c r="Y1104" s="442"/>
      <c r="Z1104" s="491"/>
      <c r="AA1104" s="524"/>
      <c r="AB1104" s="494"/>
      <c r="AC1104" s="436"/>
      <c r="AD1104" s="495"/>
      <c r="AE1104" s="491"/>
      <c r="AF1104" s="491"/>
      <c r="AG1104" s="525"/>
      <c r="AH1104" s="491"/>
      <c r="AI1104" s="446"/>
      <c r="AJ1104" s="491"/>
      <c r="AK1104" s="500"/>
      <c r="AL1104" s="436"/>
      <c r="AM1104" s="438"/>
      <c r="AN1104" s="531"/>
      <c r="AO1104" s="491"/>
      <c r="AP1104" s="438"/>
      <c r="AQ1104" s="438"/>
      <c r="AR1104" s="438"/>
      <c r="AS1104" s="438"/>
      <c r="AT1104" s="438"/>
      <c r="AU1104" s="438"/>
      <c r="AV1104" s="438"/>
      <c r="AW1104" s="450"/>
    </row>
    <row r="1105">
      <c r="A1105" s="435"/>
      <c r="B1105" s="485"/>
      <c r="C1105" s="486"/>
      <c r="D1105" s="486"/>
      <c r="E1105" s="486"/>
      <c r="F1105" s="528"/>
      <c r="G1105" s="486"/>
      <c r="H1105" s="486"/>
      <c r="I1105" s="491"/>
      <c r="J1105" s="491"/>
      <c r="K1105" s="491"/>
      <c r="L1105" s="491"/>
      <c r="M1105" s="486"/>
      <c r="N1105" s="422"/>
      <c r="O1105" s="422"/>
      <c r="P1105" s="422"/>
      <c r="Q1105" s="486"/>
      <c r="R1105" s="491"/>
      <c r="S1105" s="491"/>
      <c r="T1105" s="491"/>
      <c r="U1105" s="491"/>
      <c r="V1105" s="491"/>
      <c r="W1105" s="493"/>
      <c r="X1105" s="486"/>
      <c r="Y1105" s="442"/>
      <c r="Z1105" s="491"/>
      <c r="AA1105" s="524"/>
      <c r="AB1105" s="494"/>
      <c r="AC1105" s="436"/>
      <c r="AD1105" s="495"/>
      <c r="AE1105" s="491"/>
      <c r="AF1105" s="491"/>
      <c r="AG1105" s="525"/>
      <c r="AH1105" s="491"/>
      <c r="AI1105" s="446"/>
      <c r="AJ1105" s="491"/>
      <c r="AK1105" s="500"/>
      <c r="AL1105" s="436"/>
      <c r="AM1105" s="438"/>
      <c r="AN1105" s="531"/>
      <c r="AO1105" s="491"/>
      <c r="AP1105" s="438"/>
      <c r="AQ1105" s="438"/>
      <c r="AR1105" s="438"/>
      <c r="AS1105" s="438"/>
      <c r="AT1105" s="438"/>
      <c r="AU1105" s="438"/>
      <c r="AV1105" s="438"/>
      <c r="AW1105" s="450"/>
    </row>
    <row r="1106">
      <c r="A1106" s="435"/>
      <c r="B1106" s="485"/>
      <c r="C1106" s="486"/>
      <c r="D1106" s="486"/>
      <c r="E1106" s="486"/>
      <c r="F1106" s="528"/>
      <c r="G1106" s="486"/>
      <c r="H1106" s="486"/>
      <c r="I1106" s="491"/>
      <c r="J1106" s="491"/>
      <c r="K1106" s="491"/>
      <c r="L1106" s="491"/>
      <c r="M1106" s="486"/>
      <c r="N1106" s="422"/>
      <c r="O1106" s="422"/>
      <c r="P1106" s="422"/>
      <c r="Q1106" s="486"/>
      <c r="R1106" s="491"/>
      <c r="S1106" s="491"/>
      <c r="T1106" s="491"/>
      <c r="U1106" s="491"/>
      <c r="V1106" s="491"/>
      <c r="W1106" s="493"/>
      <c r="X1106" s="486"/>
      <c r="Y1106" s="442"/>
      <c r="Z1106" s="491"/>
      <c r="AA1106" s="524"/>
      <c r="AB1106" s="494"/>
      <c r="AC1106" s="436"/>
      <c r="AD1106" s="495"/>
      <c r="AE1106" s="491"/>
      <c r="AF1106" s="491"/>
      <c r="AG1106" s="525"/>
      <c r="AH1106" s="491"/>
      <c r="AI1106" s="446"/>
      <c r="AJ1106" s="491"/>
      <c r="AK1106" s="500"/>
      <c r="AL1106" s="436"/>
      <c r="AM1106" s="438"/>
      <c r="AN1106" s="531"/>
      <c r="AO1106" s="491"/>
      <c r="AP1106" s="438"/>
      <c r="AQ1106" s="438"/>
      <c r="AR1106" s="438"/>
      <c r="AS1106" s="438"/>
      <c r="AT1106" s="438"/>
      <c r="AU1106" s="438"/>
      <c r="AV1106" s="438"/>
      <c r="AW1106" s="450"/>
    </row>
    <row r="1107">
      <c r="A1107" s="435"/>
      <c r="B1107" s="485"/>
      <c r="C1107" s="486"/>
      <c r="D1107" s="486"/>
      <c r="E1107" s="486"/>
      <c r="F1107" s="528"/>
      <c r="G1107" s="486"/>
      <c r="H1107" s="486"/>
      <c r="I1107" s="491"/>
      <c r="J1107" s="491"/>
      <c r="K1107" s="491"/>
      <c r="L1107" s="491"/>
      <c r="M1107" s="486"/>
      <c r="N1107" s="422"/>
      <c r="O1107" s="422"/>
      <c r="P1107" s="422"/>
      <c r="Q1107" s="486"/>
      <c r="R1107" s="491"/>
      <c r="S1107" s="491"/>
      <c r="T1107" s="491"/>
      <c r="U1107" s="491"/>
      <c r="V1107" s="491"/>
      <c r="W1107" s="493"/>
      <c r="X1107" s="486"/>
      <c r="Y1107" s="442"/>
      <c r="Z1107" s="491"/>
      <c r="AA1107" s="524"/>
      <c r="AB1107" s="494"/>
      <c r="AC1107" s="436"/>
      <c r="AD1107" s="495"/>
      <c r="AE1107" s="491"/>
      <c r="AF1107" s="491"/>
      <c r="AG1107" s="525"/>
      <c r="AH1107" s="491"/>
      <c r="AI1107" s="446"/>
      <c r="AJ1107" s="491"/>
      <c r="AK1107" s="500"/>
      <c r="AL1107" s="436"/>
      <c r="AM1107" s="438"/>
      <c r="AN1107" s="531"/>
      <c r="AO1107" s="491"/>
      <c r="AP1107" s="438"/>
      <c r="AQ1107" s="438"/>
      <c r="AR1107" s="438"/>
      <c r="AS1107" s="438"/>
      <c r="AT1107" s="438"/>
      <c r="AU1107" s="438"/>
      <c r="AV1107" s="438"/>
      <c r="AW1107" s="450"/>
    </row>
    <row r="1108">
      <c r="A1108" s="435"/>
      <c r="B1108" s="485"/>
      <c r="C1108" s="486"/>
      <c r="D1108" s="486"/>
      <c r="E1108" s="486"/>
      <c r="F1108" s="528"/>
      <c r="G1108" s="486"/>
      <c r="H1108" s="486"/>
      <c r="I1108" s="491"/>
      <c r="J1108" s="491"/>
      <c r="K1108" s="491"/>
      <c r="L1108" s="491"/>
      <c r="M1108" s="486"/>
      <c r="N1108" s="422"/>
      <c r="O1108" s="422"/>
      <c r="P1108" s="422"/>
      <c r="Q1108" s="486"/>
      <c r="R1108" s="491"/>
      <c r="S1108" s="491"/>
      <c r="T1108" s="491"/>
      <c r="U1108" s="491"/>
      <c r="V1108" s="491"/>
      <c r="W1108" s="493"/>
      <c r="X1108" s="486"/>
      <c r="Y1108" s="442"/>
      <c r="Z1108" s="491"/>
      <c r="AA1108" s="524"/>
      <c r="AB1108" s="494"/>
      <c r="AC1108" s="436"/>
      <c r="AD1108" s="495"/>
      <c r="AE1108" s="491"/>
      <c r="AF1108" s="491"/>
      <c r="AG1108" s="525"/>
      <c r="AH1108" s="491"/>
      <c r="AI1108" s="446"/>
      <c r="AJ1108" s="491"/>
      <c r="AK1108" s="500"/>
      <c r="AL1108" s="436"/>
      <c r="AM1108" s="438"/>
      <c r="AN1108" s="531"/>
      <c r="AO1108" s="491"/>
      <c r="AP1108" s="438"/>
      <c r="AQ1108" s="438"/>
      <c r="AR1108" s="438"/>
      <c r="AS1108" s="438"/>
      <c r="AT1108" s="438"/>
      <c r="AU1108" s="438"/>
      <c r="AV1108" s="438"/>
      <c r="AW1108" s="450"/>
    </row>
    <row r="1109">
      <c r="A1109" s="435"/>
      <c r="B1109" s="485"/>
      <c r="C1109" s="486"/>
      <c r="D1109" s="486"/>
      <c r="E1109" s="486"/>
      <c r="F1109" s="528"/>
      <c r="G1109" s="486"/>
      <c r="H1109" s="486"/>
      <c r="I1109" s="491"/>
      <c r="J1109" s="491"/>
      <c r="K1109" s="491"/>
      <c r="L1109" s="491"/>
      <c r="M1109" s="486"/>
      <c r="N1109" s="422"/>
      <c r="O1109" s="422"/>
      <c r="P1109" s="422"/>
      <c r="Q1109" s="486"/>
      <c r="R1109" s="491"/>
      <c r="S1109" s="491"/>
      <c r="T1109" s="491"/>
      <c r="U1109" s="491"/>
      <c r="V1109" s="491"/>
      <c r="W1109" s="493"/>
      <c r="X1109" s="486"/>
      <c r="Y1109" s="442"/>
      <c r="Z1109" s="491"/>
      <c r="AA1109" s="524"/>
      <c r="AB1109" s="494"/>
      <c r="AC1109" s="436"/>
      <c r="AD1109" s="495"/>
      <c r="AE1109" s="491"/>
      <c r="AF1109" s="491"/>
      <c r="AG1109" s="525"/>
      <c r="AH1109" s="491"/>
      <c r="AI1109" s="446"/>
      <c r="AJ1109" s="491"/>
      <c r="AK1109" s="500"/>
      <c r="AL1109" s="436"/>
      <c r="AM1109" s="438"/>
      <c r="AN1109" s="531"/>
      <c r="AO1109" s="491"/>
      <c r="AP1109" s="438"/>
      <c r="AQ1109" s="438"/>
      <c r="AR1109" s="438"/>
      <c r="AS1109" s="438"/>
      <c r="AT1109" s="438"/>
      <c r="AU1109" s="438"/>
      <c r="AV1109" s="438"/>
      <c r="AW1109" s="450"/>
    </row>
    <row r="1110">
      <c r="A1110" s="435"/>
      <c r="B1110" s="485"/>
      <c r="C1110" s="486"/>
      <c r="D1110" s="486"/>
      <c r="E1110" s="486"/>
      <c r="F1110" s="528"/>
      <c r="G1110" s="486"/>
      <c r="H1110" s="486"/>
      <c r="I1110" s="491"/>
      <c r="J1110" s="491"/>
      <c r="K1110" s="491"/>
      <c r="L1110" s="491"/>
      <c r="M1110" s="486"/>
      <c r="N1110" s="422"/>
      <c r="O1110" s="422"/>
      <c r="P1110" s="422"/>
      <c r="Q1110" s="486"/>
      <c r="R1110" s="491"/>
      <c r="S1110" s="491"/>
      <c r="T1110" s="491"/>
      <c r="U1110" s="491"/>
      <c r="V1110" s="491"/>
      <c r="W1110" s="493"/>
      <c r="X1110" s="486"/>
      <c r="Y1110" s="442"/>
      <c r="Z1110" s="491"/>
      <c r="AA1110" s="524"/>
      <c r="AB1110" s="494"/>
      <c r="AC1110" s="436"/>
      <c r="AD1110" s="495"/>
      <c r="AE1110" s="491"/>
      <c r="AF1110" s="491"/>
      <c r="AG1110" s="525"/>
      <c r="AH1110" s="491"/>
      <c r="AI1110" s="446"/>
      <c r="AJ1110" s="491"/>
      <c r="AK1110" s="500"/>
      <c r="AL1110" s="436"/>
      <c r="AM1110" s="438"/>
      <c r="AN1110" s="531"/>
      <c r="AO1110" s="491"/>
      <c r="AP1110" s="438"/>
      <c r="AQ1110" s="438"/>
      <c r="AR1110" s="438"/>
      <c r="AS1110" s="438"/>
      <c r="AT1110" s="438"/>
      <c r="AU1110" s="438"/>
      <c r="AV1110" s="438"/>
      <c r="AW1110" s="450"/>
    </row>
    <row r="1111">
      <c r="A1111" s="435"/>
      <c r="B1111" s="485"/>
      <c r="C1111" s="486"/>
      <c r="D1111" s="486"/>
      <c r="E1111" s="486"/>
      <c r="F1111" s="528"/>
      <c r="G1111" s="486"/>
      <c r="H1111" s="486"/>
      <c r="I1111" s="491"/>
      <c r="J1111" s="491"/>
      <c r="K1111" s="491"/>
      <c r="L1111" s="491"/>
      <c r="M1111" s="486"/>
      <c r="N1111" s="422"/>
      <c r="O1111" s="422"/>
      <c r="P1111" s="422"/>
      <c r="Q1111" s="486"/>
      <c r="R1111" s="491"/>
      <c r="S1111" s="491"/>
      <c r="T1111" s="491"/>
      <c r="U1111" s="491"/>
      <c r="V1111" s="491"/>
      <c r="W1111" s="493"/>
      <c r="X1111" s="486"/>
      <c r="Y1111" s="442"/>
      <c r="Z1111" s="491"/>
      <c r="AA1111" s="524"/>
      <c r="AB1111" s="494"/>
      <c r="AC1111" s="436"/>
      <c r="AD1111" s="495"/>
      <c r="AE1111" s="491"/>
      <c r="AF1111" s="491"/>
      <c r="AG1111" s="525"/>
      <c r="AH1111" s="491"/>
      <c r="AI1111" s="446"/>
      <c r="AJ1111" s="491"/>
      <c r="AK1111" s="500"/>
      <c r="AL1111" s="436"/>
      <c r="AM1111" s="438"/>
      <c r="AN1111" s="531"/>
      <c r="AO1111" s="491"/>
      <c r="AP1111" s="438"/>
      <c r="AQ1111" s="438"/>
      <c r="AR1111" s="438"/>
      <c r="AS1111" s="438"/>
      <c r="AT1111" s="438"/>
      <c r="AU1111" s="438"/>
      <c r="AV1111" s="438"/>
      <c r="AW1111" s="450"/>
    </row>
    <row r="1112">
      <c r="A1112" s="435"/>
      <c r="B1112" s="485"/>
      <c r="C1112" s="486"/>
      <c r="D1112" s="486"/>
      <c r="E1112" s="486"/>
      <c r="F1112" s="528"/>
      <c r="G1112" s="486"/>
      <c r="H1112" s="486"/>
      <c r="I1112" s="491"/>
      <c r="J1112" s="491"/>
      <c r="K1112" s="491"/>
      <c r="L1112" s="491"/>
      <c r="M1112" s="486"/>
      <c r="N1112" s="422"/>
      <c r="O1112" s="422"/>
      <c r="P1112" s="422"/>
      <c r="Q1112" s="486"/>
      <c r="R1112" s="491"/>
      <c r="S1112" s="491"/>
      <c r="T1112" s="491"/>
      <c r="U1112" s="491"/>
      <c r="V1112" s="491"/>
      <c r="W1112" s="493"/>
      <c r="X1112" s="486"/>
      <c r="Y1112" s="442"/>
      <c r="Z1112" s="491"/>
      <c r="AA1112" s="524"/>
      <c r="AB1112" s="494"/>
      <c r="AC1112" s="436"/>
      <c r="AD1112" s="495"/>
      <c r="AE1112" s="491"/>
      <c r="AF1112" s="491"/>
      <c r="AG1112" s="525"/>
      <c r="AH1112" s="491"/>
      <c r="AI1112" s="446"/>
      <c r="AJ1112" s="491"/>
      <c r="AK1112" s="500"/>
      <c r="AL1112" s="436"/>
      <c r="AM1112" s="438"/>
      <c r="AN1112" s="531"/>
      <c r="AO1112" s="491"/>
      <c r="AP1112" s="438"/>
      <c r="AQ1112" s="438"/>
      <c r="AR1112" s="438"/>
      <c r="AS1112" s="438"/>
      <c r="AT1112" s="438"/>
      <c r="AU1112" s="438"/>
      <c r="AV1112" s="438"/>
      <c r="AW1112" s="450"/>
    </row>
    <row r="1113">
      <c r="A1113" s="435"/>
      <c r="B1113" s="485"/>
      <c r="C1113" s="486"/>
      <c r="D1113" s="486"/>
      <c r="E1113" s="486"/>
      <c r="F1113" s="528"/>
      <c r="G1113" s="486"/>
      <c r="H1113" s="486"/>
      <c r="I1113" s="491"/>
      <c r="J1113" s="491"/>
      <c r="K1113" s="491"/>
      <c r="L1113" s="491"/>
      <c r="M1113" s="486"/>
      <c r="N1113" s="422"/>
      <c r="O1113" s="422"/>
      <c r="P1113" s="422"/>
      <c r="Q1113" s="486"/>
      <c r="R1113" s="491"/>
      <c r="S1113" s="491"/>
      <c r="T1113" s="491"/>
      <c r="U1113" s="491"/>
      <c r="V1113" s="491"/>
      <c r="W1113" s="493"/>
      <c r="X1113" s="486"/>
      <c r="Y1113" s="442"/>
      <c r="Z1113" s="491"/>
      <c r="AA1113" s="524"/>
      <c r="AB1113" s="494"/>
      <c r="AC1113" s="436"/>
      <c r="AD1113" s="495"/>
      <c r="AE1113" s="491"/>
      <c r="AF1113" s="491"/>
      <c r="AG1113" s="525"/>
      <c r="AH1113" s="491"/>
      <c r="AI1113" s="446"/>
      <c r="AJ1113" s="491"/>
      <c r="AK1113" s="500"/>
      <c r="AL1113" s="436"/>
      <c r="AM1113" s="438"/>
      <c r="AN1113" s="531"/>
      <c r="AO1113" s="491"/>
      <c r="AP1113" s="438"/>
      <c r="AQ1113" s="438"/>
      <c r="AR1113" s="438"/>
      <c r="AS1113" s="438"/>
      <c r="AT1113" s="438"/>
      <c r="AU1113" s="438"/>
      <c r="AV1113" s="438"/>
      <c r="AW1113" s="450"/>
    </row>
    <row r="1114">
      <c r="A1114" s="435"/>
      <c r="B1114" s="485"/>
      <c r="C1114" s="486"/>
      <c r="D1114" s="486"/>
      <c r="E1114" s="486"/>
      <c r="F1114" s="528"/>
      <c r="G1114" s="486"/>
      <c r="H1114" s="486"/>
      <c r="I1114" s="491"/>
      <c r="J1114" s="491"/>
      <c r="K1114" s="491"/>
      <c r="L1114" s="491"/>
      <c r="M1114" s="486"/>
      <c r="N1114" s="422"/>
      <c r="O1114" s="422"/>
      <c r="P1114" s="422"/>
      <c r="Q1114" s="486"/>
      <c r="R1114" s="491"/>
      <c r="S1114" s="491"/>
      <c r="T1114" s="491"/>
      <c r="U1114" s="491"/>
      <c r="V1114" s="491"/>
      <c r="W1114" s="493"/>
      <c r="X1114" s="486"/>
      <c r="Y1114" s="442"/>
      <c r="Z1114" s="491"/>
      <c r="AA1114" s="524"/>
      <c r="AB1114" s="494"/>
      <c r="AC1114" s="436"/>
      <c r="AD1114" s="495"/>
      <c r="AE1114" s="491"/>
      <c r="AF1114" s="491"/>
      <c r="AG1114" s="525"/>
      <c r="AH1114" s="491"/>
      <c r="AI1114" s="446"/>
      <c r="AJ1114" s="491"/>
      <c r="AK1114" s="500"/>
      <c r="AL1114" s="436"/>
      <c r="AM1114" s="438"/>
      <c r="AN1114" s="531"/>
      <c r="AO1114" s="491"/>
      <c r="AP1114" s="438"/>
      <c r="AQ1114" s="438"/>
      <c r="AR1114" s="438"/>
      <c r="AS1114" s="438"/>
      <c r="AT1114" s="438"/>
      <c r="AU1114" s="438"/>
      <c r="AV1114" s="438"/>
      <c r="AW1114" s="450"/>
    </row>
    <row r="1115">
      <c r="A1115" s="435"/>
      <c r="B1115" s="485"/>
      <c r="C1115" s="486"/>
      <c r="D1115" s="486"/>
      <c r="E1115" s="486"/>
      <c r="F1115" s="528"/>
      <c r="G1115" s="486"/>
      <c r="H1115" s="486"/>
      <c r="I1115" s="491"/>
      <c r="J1115" s="491"/>
      <c r="K1115" s="491"/>
      <c r="L1115" s="491"/>
      <c r="M1115" s="486"/>
      <c r="N1115" s="422"/>
      <c r="O1115" s="422"/>
      <c r="P1115" s="422"/>
      <c r="Q1115" s="486"/>
      <c r="R1115" s="491"/>
      <c r="S1115" s="491"/>
      <c r="T1115" s="491"/>
      <c r="U1115" s="491"/>
      <c r="V1115" s="491"/>
      <c r="W1115" s="493"/>
      <c r="X1115" s="486"/>
      <c r="Y1115" s="442"/>
      <c r="Z1115" s="491"/>
      <c r="AA1115" s="524"/>
      <c r="AB1115" s="494"/>
      <c r="AC1115" s="436"/>
      <c r="AD1115" s="495"/>
      <c r="AE1115" s="491"/>
      <c r="AF1115" s="491"/>
      <c r="AG1115" s="525"/>
      <c r="AH1115" s="491"/>
      <c r="AI1115" s="446"/>
      <c r="AJ1115" s="491"/>
      <c r="AK1115" s="500"/>
      <c r="AL1115" s="436"/>
      <c r="AM1115" s="438"/>
      <c r="AN1115" s="531"/>
      <c r="AO1115" s="491"/>
      <c r="AP1115" s="438"/>
      <c r="AQ1115" s="438"/>
      <c r="AR1115" s="438"/>
      <c r="AS1115" s="438"/>
      <c r="AT1115" s="438"/>
      <c r="AU1115" s="438"/>
      <c r="AV1115" s="438"/>
      <c r="AW1115" s="450"/>
    </row>
    <row r="1116">
      <c r="A1116" s="435"/>
      <c r="B1116" s="485"/>
      <c r="C1116" s="486"/>
      <c r="D1116" s="486"/>
      <c r="E1116" s="486"/>
      <c r="F1116" s="528"/>
      <c r="G1116" s="486"/>
      <c r="H1116" s="486"/>
      <c r="I1116" s="491"/>
      <c r="J1116" s="491"/>
      <c r="K1116" s="491"/>
      <c r="L1116" s="491"/>
      <c r="M1116" s="486"/>
      <c r="N1116" s="422"/>
      <c r="O1116" s="422"/>
      <c r="P1116" s="422"/>
      <c r="Q1116" s="486"/>
      <c r="R1116" s="491"/>
      <c r="S1116" s="491"/>
      <c r="T1116" s="491"/>
      <c r="U1116" s="491"/>
      <c r="V1116" s="491"/>
      <c r="W1116" s="493"/>
      <c r="X1116" s="486"/>
      <c r="Y1116" s="442"/>
      <c r="Z1116" s="491"/>
      <c r="AA1116" s="524"/>
      <c r="AB1116" s="494"/>
      <c r="AC1116" s="436"/>
      <c r="AD1116" s="495"/>
      <c r="AE1116" s="491"/>
      <c r="AF1116" s="491"/>
      <c r="AG1116" s="525"/>
      <c r="AH1116" s="491"/>
      <c r="AI1116" s="446"/>
      <c r="AJ1116" s="491"/>
      <c r="AK1116" s="500"/>
      <c r="AL1116" s="436"/>
      <c r="AM1116" s="438"/>
      <c r="AN1116" s="531"/>
      <c r="AO1116" s="491"/>
      <c r="AP1116" s="438"/>
      <c r="AQ1116" s="438"/>
      <c r="AR1116" s="438"/>
      <c r="AS1116" s="438"/>
      <c r="AT1116" s="438"/>
      <c r="AU1116" s="438"/>
      <c r="AV1116" s="438"/>
      <c r="AW1116" s="450"/>
    </row>
    <row r="1117">
      <c r="A1117" s="435"/>
      <c r="B1117" s="485"/>
      <c r="C1117" s="486"/>
      <c r="D1117" s="486"/>
      <c r="E1117" s="486"/>
      <c r="F1117" s="528"/>
      <c r="G1117" s="486"/>
      <c r="H1117" s="486"/>
      <c r="I1117" s="491"/>
      <c r="J1117" s="491"/>
      <c r="K1117" s="491"/>
      <c r="L1117" s="491"/>
      <c r="M1117" s="486"/>
      <c r="N1117" s="422"/>
      <c r="O1117" s="422"/>
      <c r="P1117" s="422"/>
      <c r="Q1117" s="486"/>
      <c r="R1117" s="491"/>
      <c r="S1117" s="491"/>
      <c r="T1117" s="491"/>
      <c r="U1117" s="491"/>
      <c r="V1117" s="491"/>
      <c r="W1117" s="493"/>
      <c r="X1117" s="486"/>
      <c r="Y1117" s="442"/>
      <c r="Z1117" s="491"/>
      <c r="AA1117" s="524"/>
      <c r="AB1117" s="494"/>
      <c r="AC1117" s="436"/>
      <c r="AD1117" s="495"/>
      <c r="AE1117" s="491"/>
      <c r="AF1117" s="491"/>
      <c r="AG1117" s="525"/>
      <c r="AH1117" s="491"/>
      <c r="AI1117" s="446"/>
      <c r="AJ1117" s="491"/>
      <c r="AK1117" s="500"/>
      <c r="AL1117" s="436"/>
      <c r="AM1117" s="438"/>
      <c r="AN1117" s="531"/>
      <c r="AO1117" s="491"/>
      <c r="AP1117" s="438"/>
      <c r="AQ1117" s="438"/>
      <c r="AR1117" s="438"/>
      <c r="AS1117" s="438"/>
      <c r="AT1117" s="438"/>
      <c r="AU1117" s="438"/>
      <c r="AV1117" s="438"/>
      <c r="AW1117" s="450"/>
    </row>
    <row r="1118">
      <c r="A1118" s="435"/>
      <c r="B1118" s="485"/>
      <c r="C1118" s="486"/>
      <c r="D1118" s="486"/>
      <c r="E1118" s="486"/>
      <c r="F1118" s="528"/>
      <c r="G1118" s="486"/>
      <c r="H1118" s="486"/>
      <c r="I1118" s="491"/>
      <c r="J1118" s="491"/>
      <c r="K1118" s="491"/>
      <c r="L1118" s="491"/>
      <c r="M1118" s="486"/>
      <c r="N1118" s="422"/>
      <c r="O1118" s="422"/>
      <c r="P1118" s="422"/>
      <c r="Q1118" s="486"/>
      <c r="R1118" s="491"/>
      <c r="S1118" s="491"/>
      <c r="T1118" s="491"/>
      <c r="U1118" s="491"/>
      <c r="V1118" s="491"/>
      <c r="W1118" s="493"/>
      <c r="X1118" s="486"/>
      <c r="Y1118" s="442"/>
      <c r="Z1118" s="491"/>
      <c r="AA1118" s="524"/>
      <c r="AB1118" s="494"/>
      <c r="AC1118" s="436"/>
      <c r="AD1118" s="495"/>
      <c r="AE1118" s="491"/>
      <c r="AF1118" s="491"/>
      <c r="AG1118" s="525"/>
      <c r="AH1118" s="491"/>
      <c r="AI1118" s="446"/>
      <c r="AJ1118" s="491"/>
      <c r="AK1118" s="500"/>
      <c r="AL1118" s="436"/>
      <c r="AM1118" s="438"/>
      <c r="AN1118" s="531"/>
      <c r="AO1118" s="491"/>
      <c r="AP1118" s="438"/>
      <c r="AQ1118" s="438"/>
      <c r="AR1118" s="438"/>
      <c r="AS1118" s="438"/>
      <c r="AT1118" s="438"/>
      <c r="AU1118" s="438"/>
      <c r="AV1118" s="438"/>
      <c r="AW1118" s="450"/>
    </row>
    <row r="1119">
      <c r="A1119" s="435"/>
      <c r="B1119" s="485"/>
      <c r="C1119" s="486"/>
      <c r="D1119" s="486"/>
      <c r="E1119" s="486"/>
      <c r="F1119" s="528"/>
      <c r="G1119" s="486"/>
      <c r="H1119" s="486"/>
      <c r="I1119" s="491"/>
      <c r="J1119" s="491"/>
      <c r="K1119" s="491"/>
      <c r="L1119" s="491"/>
      <c r="M1119" s="486"/>
      <c r="N1119" s="422"/>
      <c r="O1119" s="422"/>
      <c r="P1119" s="422"/>
      <c r="Q1119" s="486"/>
      <c r="R1119" s="491"/>
      <c r="S1119" s="491"/>
      <c r="T1119" s="491"/>
      <c r="U1119" s="491"/>
      <c r="V1119" s="491"/>
      <c r="W1119" s="493"/>
      <c r="X1119" s="486"/>
      <c r="Y1119" s="442"/>
      <c r="Z1119" s="491"/>
      <c r="AA1119" s="524"/>
      <c r="AB1119" s="494"/>
      <c r="AC1119" s="436"/>
      <c r="AD1119" s="495"/>
      <c r="AE1119" s="491"/>
      <c r="AF1119" s="491"/>
      <c r="AG1119" s="525"/>
      <c r="AH1119" s="491"/>
      <c r="AI1119" s="446"/>
      <c r="AJ1119" s="491"/>
      <c r="AK1119" s="500"/>
      <c r="AL1119" s="436"/>
      <c r="AM1119" s="438"/>
      <c r="AN1119" s="531"/>
      <c r="AO1119" s="491"/>
      <c r="AP1119" s="438"/>
      <c r="AQ1119" s="438"/>
      <c r="AR1119" s="438"/>
      <c r="AS1119" s="438"/>
      <c r="AT1119" s="438"/>
      <c r="AU1119" s="438"/>
      <c r="AV1119" s="438"/>
      <c r="AW1119" s="450"/>
    </row>
    <row r="1120">
      <c r="A1120" s="435"/>
      <c r="B1120" s="485"/>
      <c r="C1120" s="486"/>
      <c r="D1120" s="486"/>
      <c r="E1120" s="486"/>
      <c r="F1120" s="528"/>
      <c r="G1120" s="486"/>
      <c r="H1120" s="486"/>
      <c r="I1120" s="491"/>
      <c r="J1120" s="491"/>
      <c r="K1120" s="491"/>
      <c r="L1120" s="491"/>
      <c r="M1120" s="486"/>
      <c r="N1120" s="422"/>
      <c r="O1120" s="422"/>
      <c r="P1120" s="422"/>
      <c r="Q1120" s="486"/>
      <c r="R1120" s="491"/>
      <c r="S1120" s="491"/>
      <c r="T1120" s="491"/>
      <c r="U1120" s="491"/>
      <c r="V1120" s="491"/>
      <c r="W1120" s="493"/>
      <c r="X1120" s="486"/>
      <c r="Y1120" s="442"/>
      <c r="Z1120" s="491"/>
      <c r="AA1120" s="524"/>
      <c r="AB1120" s="494"/>
      <c r="AC1120" s="436"/>
      <c r="AD1120" s="495"/>
      <c r="AE1120" s="491"/>
      <c r="AF1120" s="491"/>
      <c r="AG1120" s="525"/>
      <c r="AH1120" s="491"/>
      <c r="AI1120" s="446"/>
      <c r="AJ1120" s="491"/>
      <c r="AK1120" s="500"/>
      <c r="AL1120" s="436"/>
      <c r="AM1120" s="438"/>
      <c r="AN1120" s="531"/>
      <c r="AO1120" s="491"/>
      <c r="AP1120" s="438"/>
      <c r="AQ1120" s="438"/>
      <c r="AR1120" s="438"/>
      <c r="AS1120" s="438"/>
      <c r="AT1120" s="438"/>
      <c r="AU1120" s="438"/>
      <c r="AV1120" s="438"/>
      <c r="AW1120" s="450"/>
    </row>
    <row r="1121">
      <c r="A1121" s="435"/>
      <c r="B1121" s="485"/>
      <c r="C1121" s="486"/>
      <c r="D1121" s="486"/>
      <c r="E1121" s="486"/>
      <c r="F1121" s="528"/>
      <c r="G1121" s="486"/>
      <c r="H1121" s="486"/>
      <c r="I1121" s="491"/>
      <c r="J1121" s="491"/>
      <c r="K1121" s="491"/>
      <c r="L1121" s="491"/>
      <c r="M1121" s="486"/>
      <c r="N1121" s="422"/>
      <c r="O1121" s="422"/>
      <c r="P1121" s="422"/>
      <c r="Q1121" s="486"/>
      <c r="R1121" s="491"/>
      <c r="S1121" s="491"/>
      <c r="T1121" s="491"/>
      <c r="U1121" s="491"/>
      <c r="V1121" s="491"/>
      <c r="W1121" s="493"/>
      <c r="X1121" s="486"/>
      <c r="Y1121" s="442"/>
      <c r="Z1121" s="491"/>
      <c r="AA1121" s="524"/>
      <c r="AB1121" s="494"/>
      <c r="AC1121" s="436"/>
      <c r="AD1121" s="495"/>
      <c r="AE1121" s="491"/>
      <c r="AF1121" s="491"/>
      <c r="AG1121" s="525"/>
      <c r="AH1121" s="491"/>
      <c r="AI1121" s="446"/>
      <c r="AJ1121" s="491"/>
      <c r="AK1121" s="500"/>
      <c r="AL1121" s="436"/>
      <c r="AM1121" s="438"/>
      <c r="AN1121" s="531"/>
      <c r="AO1121" s="491"/>
      <c r="AP1121" s="438"/>
      <c r="AQ1121" s="438"/>
      <c r="AR1121" s="438"/>
      <c r="AS1121" s="438"/>
      <c r="AT1121" s="438"/>
      <c r="AU1121" s="438"/>
      <c r="AV1121" s="438"/>
      <c r="AW1121" s="450"/>
    </row>
    <row r="1122">
      <c r="A1122" s="435"/>
      <c r="B1122" s="485"/>
      <c r="C1122" s="486"/>
      <c r="D1122" s="486"/>
      <c r="E1122" s="486"/>
      <c r="F1122" s="528"/>
      <c r="G1122" s="486"/>
      <c r="H1122" s="486"/>
      <c r="I1122" s="491"/>
      <c r="J1122" s="491"/>
      <c r="K1122" s="491"/>
      <c r="L1122" s="491"/>
      <c r="M1122" s="486"/>
      <c r="N1122" s="422"/>
      <c r="O1122" s="422"/>
      <c r="P1122" s="422"/>
      <c r="Q1122" s="486"/>
      <c r="R1122" s="491"/>
      <c r="S1122" s="491"/>
      <c r="T1122" s="491"/>
      <c r="U1122" s="491"/>
      <c r="V1122" s="491"/>
      <c r="W1122" s="493"/>
      <c r="X1122" s="486"/>
      <c r="Y1122" s="442"/>
      <c r="Z1122" s="491"/>
      <c r="AA1122" s="524"/>
      <c r="AB1122" s="494"/>
      <c r="AC1122" s="436"/>
      <c r="AD1122" s="495"/>
      <c r="AE1122" s="491"/>
      <c r="AF1122" s="491"/>
      <c r="AG1122" s="525"/>
      <c r="AH1122" s="491"/>
      <c r="AI1122" s="446"/>
      <c r="AJ1122" s="491"/>
      <c r="AK1122" s="500"/>
      <c r="AL1122" s="436"/>
      <c r="AM1122" s="438"/>
      <c r="AN1122" s="531"/>
      <c r="AO1122" s="491"/>
      <c r="AP1122" s="438"/>
      <c r="AQ1122" s="438"/>
      <c r="AR1122" s="438"/>
      <c r="AS1122" s="438"/>
      <c r="AT1122" s="438"/>
      <c r="AU1122" s="438"/>
      <c r="AV1122" s="438"/>
      <c r="AW1122" s="450"/>
    </row>
    <row r="1123">
      <c r="A1123" s="435"/>
      <c r="B1123" s="485"/>
      <c r="C1123" s="486"/>
      <c r="D1123" s="486"/>
      <c r="E1123" s="486"/>
      <c r="F1123" s="528"/>
      <c r="G1123" s="486"/>
      <c r="H1123" s="486"/>
      <c r="I1123" s="491"/>
      <c r="J1123" s="491"/>
      <c r="K1123" s="491"/>
      <c r="L1123" s="491"/>
      <c r="M1123" s="486"/>
      <c r="N1123" s="422"/>
      <c r="O1123" s="422"/>
      <c r="P1123" s="422"/>
      <c r="Q1123" s="486"/>
      <c r="R1123" s="491"/>
      <c r="S1123" s="491"/>
      <c r="T1123" s="491"/>
      <c r="U1123" s="491"/>
      <c r="V1123" s="491"/>
      <c r="W1123" s="493"/>
      <c r="X1123" s="486"/>
      <c r="Y1123" s="442"/>
      <c r="Z1123" s="491"/>
      <c r="AA1123" s="524"/>
      <c r="AB1123" s="494"/>
      <c r="AC1123" s="436"/>
      <c r="AD1123" s="495"/>
      <c r="AE1123" s="491"/>
      <c r="AF1123" s="491"/>
      <c r="AG1123" s="525"/>
      <c r="AH1123" s="491"/>
      <c r="AI1123" s="446"/>
      <c r="AJ1123" s="491"/>
      <c r="AK1123" s="500"/>
      <c r="AL1123" s="436"/>
      <c r="AM1123" s="438"/>
      <c r="AN1123" s="531"/>
      <c r="AO1123" s="491"/>
      <c r="AP1123" s="438"/>
      <c r="AQ1123" s="438"/>
      <c r="AR1123" s="438"/>
      <c r="AS1123" s="438"/>
      <c r="AT1123" s="438"/>
      <c r="AU1123" s="438"/>
      <c r="AV1123" s="438"/>
      <c r="AW1123" s="450"/>
    </row>
    <row r="1124">
      <c r="A1124" s="435"/>
      <c r="B1124" s="485"/>
      <c r="C1124" s="486"/>
      <c r="D1124" s="486"/>
      <c r="E1124" s="486"/>
      <c r="F1124" s="528"/>
      <c r="G1124" s="486"/>
      <c r="H1124" s="486"/>
      <c r="I1124" s="491"/>
      <c r="J1124" s="491"/>
      <c r="K1124" s="491"/>
      <c r="L1124" s="491"/>
      <c r="M1124" s="486"/>
      <c r="N1124" s="422"/>
      <c r="O1124" s="422"/>
      <c r="P1124" s="422"/>
      <c r="Q1124" s="486"/>
      <c r="R1124" s="491"/>
      <c r="S1124" s="491"/>
      <c r="T1124" s="491"/>
      <c r="U1124" s="491"/>
      <c r="V1124" s="491"/>
      <c r="W1124" s="493"/>
      <c r="X1124" s="486"/>
      <c r="Y1124" s="442"/>
      <c r="Z1124" s="491"/>
      <c r="AA1124" s="524"/>
      <c r="AB1124" s="494"/>
      <c r="AC1124" s="436"/>
      <c r="AD1124" s="495"/>
      <c r="AE1124" s="491"/>
      <c r="AF1124" s="491"/>
      <c r="AG1124" s="525"/>
      <c r="AH1124" s="491"/>
      <c r="AI1124" s="446"/>
      <c r="AJ1124" s="491"/>
      <c r="AK1124" s="500"/>
      <c r="AL1124" s="436"/>
      <c r="AM1124" s="438"/>
      <c r="AN1124" s="531"/>
      <c r="AO1124" s="491"/>
      <c r="AP1124" s="438"/>
      <c r="AQ1124" s="438"/>
      <c r="AR1124" s="438"/>
      <c r="AS1124" s="438"/>
      <c r="AT1124" s="438"/>
      <c r="AU1124" s="438"/>
      <c r="AV1124" s="438"/>
      <c r="AW1124" s="450"/>
    </row>
    <row r="1125">
      <c r="A1125" s="435"/>
      <c r="B1125" s="485"/>
      <c r="C1125" s="486"/>
      <c r="D1125" s="486"/>
      <c r="E1125" s="486"/>
      <c r="F1125" s="528"/>
      <c r="G1125" s="486"/>
      <c r="H1125" s="486"/>
      <c r="I1125" s="491"/>
      <c r="J1125" s="491"/>
      <c r="K1125" s="491"/>
      <c r="L1125" s="491"/>
      <c r="M1125" s="486"/>
      <c r="N1125" s="422"/>
      <c r="O1125" s="422"/>
      <c r="P1125" s="422"/>
      <c r="Q1125" s="486"/>
      <c r="R1125" s="491"/>
      <c r="S1125" s="491"/>
      <c r="T1125" s="491"/>
      <c r="U1125" s="491"/>
      <c r="V1125" s="491"/>
      <c r="W1125" s="493"/>
      <c r="X1125" s="486"/>
      <c r="Y1125" s="442"/>
      <c r="Z1125" s="491"/>
      <c r="AA1125" s="524"/>
      <c r="AB1125" s="494"/>
      <c r="AC1125" s="436"/>
      <c r="AD1125" s="495"/>
      <c r="AE1125" s="491"/>
      <c r="AF1125" s="491"/>
      <c r="AG1125" s="525"/>
      <c r="AH1125" s="491"/>
      <c r="AI1125" s="446"/>
      <c r="AJ1125" s="491"/>
      <c r="AK1125" s="500"/>
      <c r="AL1125" s="436"/>
      <c r="AM1125" s="438"/>
      <c r="AN1125" s="531"/>
      <c r="AO1125" s="491"/>
      <c r="AP1125" s="438"/>
      <c r="AQ1125" s="438"/>
      <c r="AR1125" s="438"/>
      <c r="AS1125" s="438"/>
      <c r="AT1125" s="438"/>
      <c r="AU1125" s="438"/>
      <c r="AV1125" s="438"/>
      <c r="AW1125" s="450"/>
    </row>
    <row r="1126">
      <c r="A1126" s="435"/>
      <c r="B1126" s="485"/>
      <c r="C1126" s="486"/>
      <c r="D1126" s="486"/>
      <c r="E1126" s="486"/>
      <c r="F1126" s="528"/>
      <c r="G1126" s="486"/>
      <c r="H1126" s="486"/>
      <c r="I1126" s="491"/>
      <c r="J1126" s="491"/>
      <c r="K1126" s="491"/>
      <c r="L1126" s="491"/>
      <c r="M1126" s="486"/>
      <c r="N1126" s="422"/>
      <c r="O1126" s="422"/>
      <c r="P1126" s="422"/>
      <c r="Q1126" s="486"/>
      <c r="R1126" s="491"/>
      <c r="S1126" s="491"/>
      <c r="T1126" s="491"/>
      <c r="U1126" s="491"/>
      <c r="V1126" s="491"/>
      <c r="W1126" s="493"/>
      <c r="X1126" s="486"/>
      <c r="Y1126" s="442"/>
      <c r="Z1126" s="491"/>
      <c r="AA1126" s="524"/>
      <c r="AB1126" s="494"/>
      <c r="AC1126" s="436"/>
      <c r="AD1126" s="495"/>
      <c r="AE1126" s="491"/>
      <c r="AF1126" s="491"/>
      <c r="AG1126" s="525"/>
      <c r="AH1126" s="491"/>
      <c r="AI1126" s="446"/>
      <c r="AJ1126" s="491"/>
      <c r="AK1126" s="500"/>
      <c r="AL1126" s="436"/>
      <c r="AM1126" s="438"/>
      <c r="AN1126" s="531"/>
      <c r="AO1126" s="491"/>
      <c r="AP1126" s="438"/>
      <c r="AQ1126" s="438"/>
      <c r="AR1126" s="438"/>
      <c r="AS1126" s="438"/>
      <c r="AT1126" s="438"/>
      <c r="AU1126" s="438"/>
      <c r="AV1126" s="438"/>
      <c r="AW1126" s="450"/>
    </row>
    <row r="1127">
      <c r="A1127" s="435"/>
      <c r="B1127" s="485"/>
      <c r="C1127" s="486"/>
      <c r="D1127" s="486"/>
      <c r="E1127" s="486"/>
      <c r="F1127" s="528"/>
      <c r="G1127" s="486"/>
      <c r="H1127" s="486"/>
      <c r="I1127" s="491"/>
      <c r="J1127" s="491"/>
      <c r="K1127" s="491"/>
      <c r="L1127" s="491"/>
      <c r="M1127" s="486"/>
      <c r="N1127" s="422"/>
      <c r="O1127" s="422"/>
      <c r="P1127" s="422"/>
      <c r="Q1127" s="486"/>
      <c r="R1127" s="491"/>
      <c r="S1127" s="491"/>
      <c r="T1127" s="491"/>
      <c r="U1127" s="491"/>
      <c r="V1127" s="491"/>
      <c r="W1127" s="493"/>
      <c r="X1127" s="486"/>
      <c r="Y1127" s="442"/>
      <c r="Z1127" s="491"/>
      <c r="AA1127" s="524"/>
      <c r="AB1127" s="494"/>
      <c r="AC1127" s="436"/>
      <c r="AD1127" s="495"/>
      <c r="AE1127" s="491"/>
      <c r="AF1127" s="491"/>
      <c r="AG1127" s="525"/>
      <c r="AH1127" s="491"/>
      <c r="AI1127" s="446"/>
      <c r="AJ1127" s="491"/>
      <c r="AK1127" s="500"/>
      <c r="AL1127" s="436"/>
      <c r="AM1127" s="438"/>
      <c r="AN1127" s="531"/>
      <c r="AO1127" s="491"/>
      <c r="AP1127" s="438"/>
      <c r="AQ1127" s="438"/>
      <c r="AR1127" s="438"/>
      <c r="AS1127" s="438"/>
      <c r="AT1127" s="438"/>
      <c r="AU1127" s="438"/>
      <c r="AV1127" s="438"/>
      <c r="AW1127" s="450"/>
    </row>
    <row r="1128">
      <c r="A1128" s="435"/>
      <c r="B1128" s="485"/>
      <c r="C1128" s="486"/>
      <c r="D1128" s="486"/>
      <c r="E1128" s="486"/>
      <c r="F1128" s="528"/>
      <c r="G1128" s="486"/>
      <c r="H1128" s="486"/>
      <c r="I1128" s="491"/>
      <c r="J1128" s="491"/>
      <c r="K1128" s="491"/>
      <c r="L1128" s="491"/>
      <c r="M1128" s="486"/>
      <c r="N1128" s="422"/>
      <c r="O1128" s="422"/>
      <c r="P1128" s="422"/>
      <c r="Q1128" s="486"/>
      <c r="R1128" s="491"/>
      <c r="S1128" s="491"/>
      <c r="T1128" s="491"/>
      <c r="U1128" s="491"/>
      <c r="V1128" s="491"/>
      <c r="W1128" s="493"/>
      <c r="X1128" s="486"/>
      <c r="Y1128" s="442"/>
      <c r="Z1128" s="491"/>
      <c r="AA1128" s="524"/>
      <c r="AB1128" s="494"/>
      <c r="AC1128" s="436"/>
      <c r="AD1128" s="495"/>
      <c r="AE1128" s="491"/>
      <c r="AF1128" s="491"/>
      <c r="AG1128" s="525"/>
      <c r="AH1128" s="491"/>
      <c r="AI1128" s="446"/>
      <c r="AJ1128" s="491"/>
      <c r="AK1128" s="500"/>
      <c r="AL1128" s="436"/>
      <c r="AM1128" s="438"/>
      <c r="AN1128" s="531"/>
      <c r="AO1128" s="491"/>
      <c r="AP1128" s="438"/>
      <c r="AQ1128" s="438"/>
      <c r="AR1128" s="438"/>
      <c r="AS1128" s="438"/>
      <c r="AT1128" s="438"/>
      <c r="AU1128" s="438"/>
      <c r="AV1128" s="438"/>
      <c r="AW1128" s="450"/>
    </row>
    <row r="1129">
      <c r="A1129" s="435"/>
      <c r="B1129" s="485"/>
      <c r="C1129" s="486"/>
      <c r="D1129" s="486"/>
      <c r="E1129" s="486"/>
      <c r="F1129" s="528"/>
      <c r="G1129" s="486"/>
      <c r="H1129" s="486"/>
      <c r="I1129" s="491"/>
      <c r="J1129" s="491"/>
      <c r="K1129" s="491"/>
      <c r="L1129" s="491"/>
      <c r="M1129" s="486"/>
      <c r="N1129" s="422"/>
      <c r="O1129" s="422"/>
      <c r="P1129" s="422"/>
      <c r="Q1129" s="486"/>
      <c r="R1129" s="491"/>
      <c r="S1129" s="491"/>
      <c r="T1129" s="491"/>
      <c r="U1129" s="491"/>
      <c r="V1129" s="491"/>
      <c r="W1129" s="493"/>
      <c r="X1129" s="486"/>
      <c r="Y1129" s="442"/>
      <c r="Z1129" s="491"/>
      <c r="AA1129" s="524"/>
      <c r="AB1129" s="494"/>
      <c r="AC1129" s="436"/>
      <c r="AD1129" s="495"/>
      <c r="AE1129" s="491"/>
      <c r="AF1129" s="491"/>
      <c r="AG1129" s="525"/>
      <c r="AH1129" s="491"/>
      <c r="AI1129" s="446"/>
      <c r="AJ1129" s="491"/>
      <c r="AK1129" s="500"/>
      <c r="AL1129" s="436"/>
      <c r="AM1129" s="438"/>
      <c r="AN1129" s="531"/>
      <c r="AO1129" s="491"/>
      <c r="AP1129" s="438"/>
      <c r="AQ1129" s="438"/>
      <c r="AR1129" s="438"/>
      <c r="AS1129" s="438"/>
      <c r="AT1129" s="438"/>
      <c r="AU1129" s="438"/>
      <c r="AV1129" s="438"/>
      <c r="AW1129" s="450"/>
    </row>
    <row r="1130">
      <c r="A1130" s="435"/>
      <c r="B1130" s="485"/>
      <c r="C1130" s="486"/>
      <c r="D1130" s="486"/>
      <c r="E1130" s="486"/>
      <c r="F1130" s="528"/>
      <c r="G1130" s="486"/>
      <c r="H1130" s="486"/>
      <c r="I1130" s="491"/>
      <c r="J1130" s="491"/>
      <c r="K1130" s="491"/>
      <c r="L1130" s="491"/>
      <c r="M1130" s="486"/>
      <c r="N1130" s="422"/>
      <c r="O1130" s="422"/>
      <c r="P1130" s="422"/>
      <c r="Q1130" s="486"/>
      <c r="R1130" s="491"/>
      <c r="S1130" s="491"/>
      <c r="T1130" s="491"/>
      <c r="U1130" s="491"/>
      <c r="V1130" s="491"/>
      <c r="W1130" s="493"/>
      <c r="X1130" s="486"/>
      <c r="Y1130" s="442"/>
      <c r="Z1130" s="491"/>
      <c r="AA1130" s="524"/>
      <c r="AB1130" s="494"/>
      <c r="AC1130" s="436"/>
      <c r="AD1130" s="495"/>
      <c r="AE1130" s="491"/>
      <c r="AF1130" s="491"/>
      <c r="AG1130" s="525"/>
      <c r="AH1130" s="491"/>
      <c r="AI1130" s="446"/>
      <c r="AJ1130" s="491"/>
      <c r="AK1130" s="500"/>
      <c r="AL1130" s="436"/>
      <c r="AM1130" s="438"/>
      <c r="AN1130" s="531"/>
      <c r="AO1130" s="491"/>
      <c r="AP1130" s="438"/>
      <c r="AQ1130" s="438"/>
      <c r="AR1130" s="438"/>
      <c r="AS1130" s="438"/>
      <c r="AT1130" s="438"/>
      <c r="AU1130" s="438"/>
      <c r="AV1130" s="438"/>
      <c r="AW1130" s="450"/>
    </row>
    <row r="1131">
      <c r="A1131" s="435"/>
      <c r="B1131" s="485"/>
      <c r="C1131" s="486"/>
      <c r="D1131" s="486"/>
      <c r="E1131" s="486"/>
      <c r="F1131" s="528"/>
      <c r="G1131" s="486"/>
      <c r="H1131" s="486"/>
      <c r="I1131" s="491"/>
      <c r="J1131" s="491"/>
      <c r="K1131" s="491"/>
      <c r="L1131" s="491"/>
      <c r="M1131" s="486"/>
      <c r="N1131" s="422"/>
      <c r="O1131" s="422"/>
      <c r="P1131" s="422"/>
      <c r="Q1131" s="486"/>
      <c r="R1131" s="491"/>
      <c r="S1131" s="491"/>
      <c r="T1131" s="491"/>
      <c r="U1131" s="491"/>
      <c r="V1131" s="491"/>
      <c r="W1131" s="493"/>
      <c r="X1131" s="486"/>
      <c r="Y1131" s="442"/>
      <c r="Z1131" s="491"/>
      <c r="AA1131" s="524"/>
      <c r="AB1131" s="494"/>
      <c r="AC1131" s="436"/>
      <c r="AD1131" s="495"/>
      <c r="AE1131" s="491"/>
      <c r="AF1131" s="491"/>
      <c r="AG1131" s="525"/>
      <c r="AH1131" s="491"/>
      <c r="AI1131" s="446"/>
      <c r="AJ1131" s="491"/>
      <c r="AK1131" s="500"/>
      <c r="AL1131" s="436"/>
      <c r="AM1131" s="438"/>
      <c r="AN1131" s="531"/>
      <c r="AO1131" s="491"/>
      <c r="AP1131" s="438"/>
      <c r="AQ1131" s="438"/>
      <c r="AR1131" s="438"/>
      <c r="AS1131" s="438"/>
      <c r="AT1131" s="438"/>
      <c r="AU1131" s="438"/>
      <c r="AV1131" s="438"/>
      <c r="AW1131" s="450"/>
    </row>
    <row r="1132">
      <c r="A1132" s="435"/>
      <c r="B1132" s="485"/>
      <c r="C1132" s="486"/>
      <c r="D1132" s="486"/>
      <c r="E1132" s="486"/>
      <c r="F1132" s="528"/>
      <c r="G1132" s="486"/>
      <c r="H1132" s="486"/>
      <c r="I1132" s="491"/>
      <c r="J1132" s="491"/>
      <c r="K1132" s="491"/>
      <c r="L1132" s="491"/>
      <c r="M1132" s="486"/>
      <c r="N1132" s="422"/>
      <c r="O1132" s="422"/>
      <c r="P1132" s="422"/>
      <c r="Q1132" s="486"/>
      <c r="R1132" s="491"/>
      <c r="S1132" s="491"/>
      <c r="T1132" s="491"/>
      <c r="U1132" s="491"/>
      <c r="V1132" s="491"/>
      <c r="W1132" s="493"/>
      <c r="X1132" s="486"/>
      <c r="Y1132" s="442"/>
      <c r="Z1132" s="491"/>
      <c r="AA1132" s="524"/>
      <c r="AB1132" s="494"/>
      <c r="AC1132" s="436"/>
      <c r="AD1132" s="495"/>
      <c r="AE1132" s="491"/>
      <c r="AF1132" s="491"/>
      <c r="AG1132" s="525"/>
      <c r="AH1132" s="491"/>
      <c r="AI1132" s="446"/>
      <c r="AJ1132" s="491"/>
      <c r="AK1132" s="500"/>
      <c r="AL1132" s="436"/>
      <c r="AM1132" s="438"/>
      <c r="AN1132" s="531"/>
      <c r="AO1132" s="491"/>
      <c r="AP1132" s="438"/>
      <c r="AQ1132" s="438"/>
      <c r="AR1132" s="438"/>
      <c r="AS1132" s="438"/>
      <c r="AT1132" s="438"/>
      <c r="AU1132" s="438"/>
      <c r="AV1132" s="438"/>
      <c r="AW1132" s="450"/>
    </row>
    <row r="1133">
      <c r="A1133" s="435"/>
      <c r="B1133" s="485"/>
      <c r="C1133" s="486"/>
      <c r="D1133" s="486"/>
      <c r="E1133" s="486"/>
      <c r="F1133" s="528"/>
      <c r="G1133" s="486"/>
      <c r="H1133" s="486"/>
      <c r="I1133" s="491"/>
      <c r="J1133" s="491"/>
      <c r="K1133" s="491"/>
      <c r="L1133" s="491"/>
      <c r="M1133" s="486"/>
      <c r="N1133" s="422"/>
      <c r="O1133" s="422"/>
      <c r="P1133" s="422"/>
      <c r="Q1133" s="486"/>
      <c r="R1133" s="491"/>
      <c r="S1133" s="491"/>
      <c r="T1133" s="491"/>
      <c r="U1133" s="491"/>
      <c r="V1133" s="491"/>
      <c r="W1133" s="493"/>
      <c r="X1133" s="486"/>
      <c r="Y1133" s="442"/>
      <c r="Z1133" s="491"/>
      <c r="AA1133" s="524"/>
      <c r="AB1133" s="494"/>
      <c r="AC1133" s="436"/>
      <c r="AD1133" s="495"/>
      <c r="AE1133" s="491"/>
      <c r="AF1133" s="491"/>
      <c r="AG1133" s="525"/>
      <c r="AH1133" s="491"/>
      <c r="AI1133" s="446"/>
      <c r="AJ1133" s="491"/>
      <c r="AK1133" s="500"/>
      <c r="AL1133" s="436"/>
      <c r="AM1133" s="438"/>
      <c r="AN1133" s="531"/>
      <c r="AO1133" s="491"/>
      <c r="AP1133" s="438"/>
      <c r="AQ1133" s="438"/>
      <c r="AR1133" s="438"/>
      <c r="AS1133" s="438"/>
      <c r="AT1133" s="438"/>
      <c r="AU1133" s="438"/>
      <c r="AV1133" s="438"/>
      <c r="AW1133" s="450"/>
    </row>
    <row r="1134">
      <c r="A1134" s="435"/>
      <c r="B1134" s="485"/>
      <c r="C1134" s="486"/>
      <c r="D1134" s="486"/>
      <c r="E1134" s="486"/>
      <c r="F1134" s="528"/>
      <c r="G1134" s="486"/>
      <c r="H1134" s="486"/>
      <c r="I1134" s="491"/>
      <c r="J1134" s="491"/>
      <c r="K1134" s="491"/>
      <c r="L1134" s="491"/>
      <c r="M1134" s="486"/>
      <c r="N1134" s="422"/>
      <c r="O1134" s="422"/>
      <c r="P1134" s="422"/>
      <c r="Q1134" s="486"/>
      <c r="R1134" s="491"/>
      <c r="S1134" s="491"/>
      <c r="T1134" s="491"/>
      <c r="U1134" s="491"/>
      <c r="V1134" s="491"/>
      <c r="W1134" s="493"/>
      <c r="X1134" s="486"/>
      <c r="Y1134" s="442"/>
      <c r="Z1134" s="491"/>
      <c r="AA1134" s="524"/>
      <c r="AB1134" s="494"/>
      <c r="AC1134" s="436"/>
      <c r="AD1134" s="495"/>
      <c r="AE1134" s="491"/>
      <c r="AF1134" s="491"/>
      <c r="AG1134" s="525"/>
      <c r="AH1134" s="491"/>
      <c r="AI1134" s="446"/>
      <c r="AJ1134" s="491"/>
      <c r="AK1134" s="500"/>
      <c r="AL1134" s="436"/>
      <c r="AM1134" s="438"/>
      <c r="AN1134" s="531"/>
      <c r="AO1134" s="491"/>
      <c r="AP1134" s="438"/>
      <c r="AQ1134" s="438"/>
      <c r="AR1134" s="438"/>
      <c r="AS1134" s="438"/>
      <c r="AT1134" s="438"/>
      <c r="AU1134" s="438"/>
      <c r="AV1134" s="438"/>
      <c r="AW1134" s="45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18.14"/>
    <col customWidth="1" min="3" max="3" width="17.0"/>
    <col customWidth="1" min="4" max="4" width="33.43"/>
  </cols>
  <sheetData>
    <row r="1">
      <c r="A1" s="205" t="s">
        <v>1759</v>
      </c>
      <c r="B1" s="206"/>
      <c r="C1" s="206"/>
      <c r="D1" s="207"/>
    </row>
    <row r="2">
      <c r="A2" s="208" t="s">
        <v>1760</v>
      </c>
      <c r="B2" s="209" t="s">
        <v>1761</v>
      </c>
      <c r="C2" s="210" t="s">
        <v>1762</v>
      </c>
      <c r="D2" s="210" t="s">
        <v>1763</v>
      </c>
    </row>
    <row r="3">
      <c r="A3" s="211" t="s">
        <v>2</v>
      </c>
      <c r="B3" s="212" t="s">
        <v>1764</v>
      </c>
      <c r="C3" s="213"/>
      <c r="D3" s="213" t="s">
        <v>1765</v>
      </c>
    </row>
    <row r="4">
      <c r="A4" s="214" t="s">
        <v>3</v>
      </c>
      <c r="B4" s="215" t="s">
        <v>1764</v>
      </c>
      <c r="C4" s="216"/>
      <c r="D4" s="216" t="s">
        <v>1766</v>
      </c>
    </row>
    <row r="5">
      <c r="A5" s="214" t="s">
        <v>4</v>
      </c>
      <c r="B5" s="215" t="s">
        <v>1764</v>
      </c>
      <c r="C5" s="216"/>
      <c r="D5" s="216" t="s">
        <v>1767</v>
      </c>
    </row>
    <row r="6">
      <c r="A6" s="214" t="s">
        <v>5</v>
      </c>
      <c r="B6" s="215" t="s">
        <v>1768</v>
      </c>
      <c r="C6" s="216" t="s">
        <v>1769</v>
      </c>
      <c r="D6" s="216" t="s">
        <v>1770</v>
      </c>
    </row>
    <row r="7">
      <c r="A7" s="214" t="s">
        <v>6</v>
      </c>
      <c r="B7" s="215" t="s">
        <v>1764</v>
      </c>
      <c r="C7" s="216"/>
      <c r="D7" s="216" t="s">
        <v>1771</v>
      </c>
    </row>
    <row r="8">
      <c r="A8" s="214" t="s">
        <v>7</v>
      </c>
      <c r="B8" s="215" t="s">
        <v>1764</v>
      </c>
      <c r="C8" s="216"/>
      <c r="D8" s="216" t="s">
        <v>1772</v>
      </c>
    </row>
    <row r="9">
      <c r="A9" s="214" t="s">
        <v>8</v>
      </c>
      <c r="B9" s="215" t="s">
        <v>1768</v>
      </c>
      <c r="C9" s="216" t="s">
        <v>139</v>
      </c>
      <c r="D9" s="216" t="s">
        <v>1773</v>
      </c>
    </row>
    <row r="10">
      <c r="A10" s="214" t="s">
        <v>9</v>
      </c>
      <c r="B10" s="217" t="s">
        <v>1768</v>
      </c>
      <c r="C10" s="218" t="s">
        <v>139</v>
      </c>
      <c r="D10" s="216" t="s">
        <v>1774</v>
      </c>
    </row>
    <row r="11">
      <c r="A11" s="214" t="s">
        <v>10</v>
      </c>
      <c r="B11" s="215" t="s">
        <v>1764</v>
      </c>
      <c r="C11" s="216"/>
      <c r="D11" s="216" t="s">
        <v>1775</v>
      </c>
    </row>
    <row r="12">
      <c r="A12" s="219" t="s">
        <v>11</v>
      </c>
      <c r="B12" s="215" t="s">
        <v>1764</v>
      </c>
      <c r="C12" s="220" t="s">
        <v>1776</v>
      </c>
      <c r="D12" s="216" t="s">
        <v>1777</v>
      </c>
    </row>
    <row r="13">
      <c r="A13" s="214" t="s">
        <v>1778</v>
      </c>
      <c r="B13" s="215" t="s">
        <v>1768</v>
      </c>
      <c r="C13" s="216" t="s">
        <v>140</v>
      </c>
      <c r="D13" s="216" t="s">
        <v>1779</v>
      </c>
    </row>
    <row r="14">
      <c r="A14" s="214" t="s">
        <v>13</v>
      </c>
      <c r="B14" s="215" t="s">
        <v>1780</v>
      </c>
      <c r="C14" s="216" t="s">
        <v>140</v>
      </c>
      <c r="D14" s="216" t="s">
        <v>1781</v>
      </c>
    </row>
    <row r="15">
      <c r="A15" s="214" t="s">
        <v>1782</v>
      </c>
      <c r="B15" s="215" t="s">
        <v>1783</v>
      </c>
      <c r="C15" s="216"/>
      <c r="D15" s="216" t="s">
        <v>1784</v>
      </c>
    </row>
    <row r="16">
      <c r="A16" s="214" t="s">
        <v>15</v>
      </c>
      <c r="B16" s="215" t="s">
        <v>1768</v>
      </c>
      <c r="C16" s="216" t="s">
        <v>141</v>
      </c>
      <c r="D16" s="216" t="s">
        <v>1785</v>
      </c>
    </row>
    <row r="17">
      <c r="A17" s="214" t="s">
        <v>1786</v>
      </c>
      <c r="B17" s="215" t="s">
        <v>1768</v>
      </c>
      <c r="C17" s="218" t="s">
        <v>143</v>
      </c>
      <c r="D17" s="218" t="s">
        <v>1787</v>
      </c>
    </row>
    <row r="18">
      <c r="A18" s="221" t="s">
        <v>1788</v>
      </c>
      <c r="B18" s="217" t="s">
        <v>1768</v>
      </c>
      <c r="C18" s="222" t="s">
        <v>143</v>
      </c>
      <c r="D18" s="222" t="s">
        <v>1789</v>
      </c>
    </row>
    <row r="19">
      <c r="A19" s="221" t="s">
        <v>1790</v>
      </c>
      <c r="B19" s="223" t="s">
        <v>1768</v>
      </c>
      <c r="C19" s="222" t="s">
        <v>143</v>
      </c>
      <c r="D19" s="218" t="s">
        <v>1791</v>
      </c>
    </row>
    <row r="20">
      <c r="A20" s="214" t="s">
        <v>1792</v>
      </c>
      <c r="B20" s="224" t="s">
        <v>1768</v>
      </c>
      <c r="C20" s="218" t="s">
        <v>143</v>
      </c>
      <c r="D20" s="222" t="s">
        <v>1793</v>
      </c>
    </row>
    <row r="21">
      <c r="A21" s="214" t="s">
        <v>1794</v>
      </c>
      <c r="B21" s="225" t="s">
        <v>1768</v>
      </c>
      <c r="C21" s="218" t="s">
        <v>144</v>
      </c>
      <c r="D21" s="218" t="s">
        <v>20</v>
      </c>
    </row>
    <row r="22">
      <c r="A22" s="214" t="s">
        <v>1795</v>
      </c>
      <c r="B22" s="224" t="s">
        <v>1768</v>
      </c>
      <c r="C22" s="218" t="s">
        <v>144</v>
      </c>
      <c r="D22" s="218" t="s">
        <v>1796</v>
      </c>
    </row>
    <row r="23">
      <c r="A23" s="214" t="s">
        <v>22</v>
      </c>
      <c r="B23" s="226" t="s">
        <v>1768</v>
      </c>
      <c r="C23" s="227"/>
      <c r="D23" s="218" t="s">
        <v>1797</v>
      </c>
    </row>
    <row r="24">
      <c r="A24" s="214" t="s">
        <v>23</v>
      </c>
      <c r="B24" s="228" t="s">
        <v>1768</v>
      </c>
      <c r="C24" s="227"/>
      <c r="D24" s="218" t="s">
        <v>1798</v>
      </c>
    </row>
    <row r="25">
      <c r="A25" s="214" t="s">
        <v>24</v>
      </c>
      <c r="B25" s="226" t="s">
        <v>1768</v>
      </c>
      <c r="C25" s="229"/>
      <c r="D25" s="230" t="s">
        <v>1799</v>
      </c>
    </row>
    <row r="26">
      <c r="A26" s="214" t="s">
        <v>1800</v>
      </c>
      <c r="B26" s="228" t="s">
        <v>1768</v>
      </c>
      <c r="C26" s="229"/>
      <c r="D26" s="230" t="s">
        <v>1801</v>
      </c>
    </row>
    <row r="27">
      <c r="A27" s="214" t="s">
        <v>26</v>
      </c>
      <c r="B27" s="231" t="s">
        <v>1764</v>
      </c>
      <c r="C27" s="232"/>
      <c r="D27" s="218" t="s">
        <v>1802</v>
      </c>
    </row>
    <row r="28">
      <c r="A28" s="233" t="s">
        <v>1803</v>
      </c>
      <c r="B28" s="223" t="s">
        <v>1768</v>
      </c>
      <c r="C28" s="227"/>
      <c r="D28" s="234" t="s">
        <v>1804</v>
      </c>
    </row>
    <row r="29">
      <c r="A29" s="233" t="s">
        <v>28</v>
      </c>
      <c r="B29" s="224" t="s">
        <v>1768</v>
      </c>
      <c r="C29" s="227"/>
      <c r="D29" s="218" t="s">
        <v>1805</v>
      </c>
    </row>
    <row r="30">
      <c r="A30" s="214" t="s">
        <v>29</v>
      </c>
      <c r="B30" s="225" t="s">
        <v>1768</v>
      </c>
      <c r="C30" s="227"/>
      <c r="D30" s="234" t="s">
        <v>1806</v>
      </c>
    </row>
    <row r="31">
      <c r="A31" s="214" t="s">
        <v>30</v>
      </c>
      <c r="B31" s="224" t="s">
        <v>1768</v>
      </c>
      <c r="C31" s="227"/>
      <c r="D31" s="218" t="s">
        <v>1807</v>
      </c>
    </row>
    <row r="32">
      <c r="A32" s="233" t="s">
        <v>33</v>
      </c>
      <c r="B32" s="226" t="s">
        <v>1768</v>
      </c>
      <c r="C32" s="227"/>
      <c r="D32" s="234" t="s">
        <v>1808</v>
      </c>
    </row>
    <row r="33">
      <c r="A33" s="233" t="s">
        <v>34</v>
      </c>
      <c r="B33" s="228" t="s">
        <v>1768</v>
      </c>
      <c r="C33" s="227"/>
      <c r="D33" s="218" t="s">
        <v>1809</v>
      </c>
    </row>
    <row r="34">
      <c r="A34" s="233" t="s">
        <v>35</v>
      </c>
      <c r="B34" s="226" t="s">
        <v>1768</v>
      </c>
      <c r="C34" s="227"/>
      <c r="D34" s="234" t="s">
        <v>1810</v>
      </c>
    </row>
    <row r="35">
      <c r="A35" s="233" t="s">
        <v>36</v>
      </c>
      <c r="B35" s="226" t="s">
        <v>1768</v>
      </c>
      <c r="C35" s="227"/>
      <c r="D35" s="218" t="s">
        <v>1811</v>
      </c>
    </row>
    <row r="36">
      <c r="A36" s="233" t="s">
        <v>37</v>
      </c>
      <c r="B36" s="217" t="s">
        <v>1764</v>
      </c>
      <c r="C36" s="227"/>
      <c r="D36" s="218" t="s">
        <v>1812</v>
      </c>
    </row>
    <row r="37">
      <c r="A37" s="235" t="s">
        <v>38</v>
      </c>
      <c r="B37" s="217" t="s">
        <v>1764</v>
      </c>
      <c r="C37" s="227"/>
      <c r="D37" s="218" t="s">
        <v>1813</v>
      </c>
    </row>
    <row r="38">
      <c r="A38" s="236" t="s">
        <v>39</v>
      </c>
      <c r="B38" s="217" t="s">
        <v>1814</v>
      </c>
      <c r="C38" s="227"/>
      <c r="D38" s="218" t="s">
        <v>1815</v>
      </c>
    </row>
    <row r="39">
      <c r="A39" s="236" t="s">
        <v>40</v>
      </c>
      <c r="B39" s="217" t="s">
        <v>1768</v>
      </c>
      <c r="C39" s="227"/>
      <c r="D39" s="218" t="s">
        <v>1816</v>
      </c>
    </row>
    <row r="40">
      <c r="A40" s="237" t="s">
        <v>41</v>
      </c>
      <c r="B40" s="217" t="s">
        <v>1768</v>
      </c>
      <c r="C40" s="238" t="s">
        <v>141</v>
      </c>
      <c r="D40" s="218" t="s">
        <v>1817</v>
      </c>
    </row>
    <row r="41">
      <c r="A41" s="235" t="s">
        <v>42</v>
      </c>
      <c r="B41" s="217" t="s">
        <v>1768</v>
      </c>
      <c r="C41" s="239" t="s">
        <v>141</v>
      </c>
      <c r="D41" s="218" t="s">
        <v>1818</v>
      </c>
    </row>
    <row r="42">
      <c r="A42" s="236" t="s">
        <v>43</v>
      </c>
      <c r="B42" s="240" t="s">
        <v>1764</v>
      </c>
      <c r="C42" s="241"/>
      <c r="D42" s="218" t="s">
        <v>1819</v>
      </c>
    </row>
    <row r="43">
      <c r="A43" s="236" t="s">
        <v>44</v>
      </c>
      <c r="B43" s="240" t="s">
        <v>1768</v>
      </c>
      <c r="C43" s="241"/>
      <c r="D43" s="218" t="s">
        <v>1820</v>
      </c>
    </row>
    <row r="44">
      <c r="A44" s="242" t="s">
        <v>45</v>
      </c>
      <c r="B44" s="240" t="s">
        <v>1768</v>
      </c>
      <c r="C44" s="243" t="s">
        <v>146</v>
      </c>
      <c r="D44" s="218" t="s">
        <v>1821</v>
      </c>
    </row>
    <row r="45">
      <c r="A45" s="236" t="s">
        <v>46</v>
      </c>
      <c r="B45" s="240" t="s">
        <v>1768</v>
      </c>
      <c r="C45" s="239" t="s">
        <v>146</v>
      </c>
      <c r="D45" s="218" t="s">
        <v>1822</v>
      </c>
    </row>
    <row r="46">
      <c r="A46" s="244" t="s">
        <v>47</v>
      </c>
      <c r="B46" s="240" t="s">
        <v>1768</v>
      </c>
      <c r="C46" s="245" t="s">
        <v>147</v>
      </c>
      <c r="D46" s="218" t="s">
        <v>1823</v>
      </c>
    </row>
    <row r="47">
      <c r="A47" s="246" t="s">
        <v>48</v>
      </c>
      <c r="B47" s="240" t="s">
        <v>1768</v>
      </c>
      <c r="C47" s="239" t="s">
        <v>147</v>
      </c>
      <c r="D47" s="218" t="s">
        <v>1824</v>
      </c>
    </row>
    <row r="48">
      <c r="A48" s="236" t="s">
        <v>49</v>
      </c>
      <c r="B48" s="240" t="s">
        <v>1768</v>
      </c>
      <c r="C48" s="239" t="s">
        <v>148</v>
      </c>
      <c r="D48" s="218" t="s">
        <v>1825</v>
      </c>
    </row>
    <row r="49">
      <c r="A49" s="236" t="s">
        <v>50</v>
      </c>
      <c r="B49" s="240" t="s">
        <v>1768</v>
      </c>
      <c r="C49" s="239" t="s">
        <v>148</v>
      </c>
      <c r="D49" s="247" t="s">
        <v>1826</v>
      </c>
    </row>
    <row r="50">
      <c r="A50" s="236" t="s">
        <v>51</v>
      </c>
      <c r="B50" s="240" t="s">
        <v>1768</v>
      </c>
      <c r="C50" s="239" t="s">
        <v>149</v>
      </c>
      <c r="D50" s="218" t="s">
        <v>1827</v>
      </c>
    </row>
    <row r="51">
      <c r="A51" s="246" t="s">
        <v>52</v>
      </c>
      <c r="B51" s="240" t="s">
        <v>1768</v>
      </c>
      <c r="C51" s="239" t="s">
        <v>149</v>
      </c>
      <c r="D51" s="248" t="s">
        <v>1828</v>
      </c>
    </row>
    <row r="52">
      <c r="A52" s="236" t="s">
        <v>53</v>
      </c>
      <c r="B52" s="240" t="s">
        <v>1764</v>
      </c>
      <c r="C52" s="239"/>
      <c r="D52" s="249" t="s">
        <v>1829</v>
      </c>
    </row>
    <row r="53">
      <c r="A53" s="246" t="s">
        <v>54</v>
      </c>
      <c r="B53" s="240" t="s">
        <v>1764</v>
      </c>
      <c r="C53" s="241"/>
      <c r="D53" s="249" t="s">
        <v>1830</v>
      </c>
    </row>
    <row r="54">
      <c r="A54" s="250" t="s">
        <v>55</v>
      </c>
      <c r="B54" s="240" t="s">
        <v>1768</v>
      </c>
      <c r="C54" s="239" t="s">
        <v>150</v>
      </c>
      <c r="D54" s="249" t="s">
        <v>1831</v>
      </c>
    </row>
    <row r="55">
      <c r="A55" s="250" t="s">
        <v>56</v>
      </c>
      <c r="B55" s="240" t="s">
        <v>1768</v>
      </c>
      <c r="C55" s="239" t="s">
        <v>150</v>
      </c>
      <c r="D55" s="248" t="s">
        <v>1832</v>
      </c>
    </row>
    <row r="56">
      <c r="A56" s="250" t="s">
        <v>57</v>
      </c>
      <c r="B56" s="240" t="s">
        <v>1768</v>
      </c>
      <c r="C56" s="241" t="s">
        <v>151</v>
      </c>
      <c r="D56" s="249" t="s">
        <v>1833</v>
      </c>
    </row>
    <row r="57">
      <c r="A57" s="251" t="s">
        <v>58</v>
      </c>
      <c r="B57" s="240" t="s">
        <v>1768</v>
      </c>
      <c r="C57" s="241" t="s">
        <v>151</v>
      </c>
      <c r="D57" s="248" t="s">
        <v>1834</v>
      </c>
    </row>
    <row r="58">
      <c r="A58" s="251" t="s">
        <v>59</v>
      </c>
      <c r="B58" s="240" t="s">
        <v>1768</v>
      </c>
      <c r="C58" s="252" t="s">
        <v>150</v>
      </c>
      <c r="D58" s="249" t="s">
        <v>1835</v>
      </c>
    </row>
    <row r="59">
      <c r="A59" s="251" t="s">
        <v>60</v>
      </c>
      <c r="B59" s="240" t="s">
        <v>1768</v>
      </c>
      <c r="C59" s="252" t="s">
        <v>150</v>
      </c>
      <c r="D59" s="248" t="s">
        <v>1836</v>
      </c>
    </row>
    <row r="60">
      <c r="A60" s="250" t="s">
        <v>61</v>
      </c>
      <c r="B60" s="240" t="s">
        <v>1768</v>
      </c>
      <c r="C60" s="239" t="s">
        <v>151</v>
      </c>
      <c r="D60" s="249" t="s">
        <v>1837</v>
      </c>
    </row>
    <row r="61">
      <c r="A61" s="251" t="s">
        <v>62</v>
      </c>
      <c r="B61" s="240" t="s">
        <v>1768</v>
      </c>
      <c r="C61" s="239" t="s">
        <v>151</v>
      </c>
      <c r="D61" s="248" t="s">
        <v>1838</v>
      </c>
    </row>
    <row r="62">
      <c r="A62" s="250" t="s">
        <v>63</v>
      </c>
      <c r="B62" s="240" t="s">
        <v>1768</v>
      </c>
      <c r="C62" s="239" t="s">
        <v>150</v>
      </c>
      <c r="D62" s="249" t="s">
        <v>1839</v>
      </c>
    </row>
    <row r="63">
      <c r="A63" s="251" t="s">
        <v>64</v>
      </c>
      <c r="B63" s="240" t="s">
        <v>1768</v>
      </c>
      <c r="C63" s="239" t="s">
        <v>150</v>
      </c>
      <c r="D63" s="248" t="s">
        <v>1840</v>
      </c>
    </row>
    <row r="64">
      <c r="A64" s="251" t="s">
        <v>65</v>
      </c>
      <c r="B64" s="240" t="s">
        <v>1768</v>
      </c>
      <c r="C64" s="239" t="s">
        <v>151</v>
      </c>
      <c r="D64" s="249" t="s">
        <v>1841</v>
      </c>
    </row>
    <row r="65">
      <c r="A65" s="251" t="s">
        <v>66</v>
      </c>
      <c r="B65" s="240" t="s">
        <v>1768</v>
      </c>
      <c r="C65" s="239" t="s">
        <v>151</v>
      </c>
      <c r="D65" s="248" t="s">
        <v>1842</v>
      </c>
    </row>
    <row r="66">
      <c r="A66" s="251" t="s">
        <v>67</v>
      </c>
      <c r="B66" s="240" t="s">
        <v>1768</v>
      </c>
      <c r="C66" s="239" t="s">
        <v>150</v>
      </c>
      <c r="D66" s="249" t="s">
        <v>1843</v>
      </c>
    </row>
    <row r="67">
      <c r="A67" s="251" t="s">
        <v>68</v>
      </c>
      <c r="B67" s="240" t="s">
        <v>1768</v>
      </c>
      <c r="C67" s="239" t="s">
        <v>150</v>
      </c>
      <c r="D67" s="248" t="s">
        <v>1844</v>
      </c>
    </row>
    <row r="68">
      <c r="A68" s="251" t="s">
        <v>69</v>
      </c>
      <c r="B68" s="240" t="s">
        <v>1768</v>
      </c>
      <c r="C68" s="239" t="s">
        <v>151</v>
      </c>
      <c r="D68" s="249" t="s">
        <v>1845</v>
      </c>
    </row>
    <row r="69">
      <c r="A69" s="251" t="s">
        <v>70</v>
      </c>
      <c r="B69" s="240" t="s">
        <v>1768</v>
      </c>
      <c r="C69" s="239" t="s">
        <v>151</v>
      </c>
      <c r="D69" s="248" t="s">
        <v>1846</v>
      </c>
    </row>
    <row r="70">
      <c r="A70" s="253" t="s">
        <v>71</v>
      </c>
      <c r="B70" s="240" t="s">
        <v>1768</v>
      </c>
      <c r="C70" s="239" t="s">
        <v>150</v>
      </c>
      <c r="D70" s="249" t="s">
        <v>1847</v>
      </c>
    </row>
    <row r="71">
      <c r="A71" s="253" t="s">
        <v>72</v>
      </c>
      <c r="B71" s="240" t="s">
        <v>1768</v>
      </c>
      <c r="C71" s="239" t="s">
        <v>150</v>
      </c>
      <c r="D71" s="248" t="s">
        <v>1848</v>
      </c>
    </row>
    <row r="72">
      <c r="A72" s="253" t="s">
        <v>73</v>
      </c>
      <c r="B72" s="240" t="s">
        <v>1768</v>
      </c>
      <c r="C72" s="239" t="s">
        <v>151</v>
      </c>
      <c r="D72" s="249" t="s">
        <v>1849</v>
      </c>
    </row>
    <row r="73">
      <c r="A73" s="253" t="s">
        <v>74</v>
      </c>
      <c r="B73" s="240" t="s">
        <v>1768</v>
      </c>
      <c r="C73" s="239" t="s">
        <v>151</v>
      </c>
      <c r="D73" s="248" t="s">
        <v>1850</v>
      </c>
    </row>
    <row r="74">
      <c r="A74" s="253" t="s">
        <v>75</v>
      </c>
      <c r="B74" s="240" t="s">
        <v>1768</v>
      </c>
      <c r="C74" s="239" t="s">
        <v>150</v>
      </c>
      <c r="D74" s="249" t="s">
        <v>1851</v>
      </c>
    </row>
    <row r="75">
      <c r="A75" s="253" t="s">
        <v>76</v>
      </c>
      <c r="B75" s="240" t="s">
        <v>1768</v>
      </c>
      <c r="C75" s="239" t="s">
        <v>150</v>
      </c>
      <c r="D75" s="248" t="s">
        <v>1852</v>
      </c>
    </row>
    <row r="76">
      <c r="A76" s="253" t="s">
        <v>77</v>
      </c>
      <c r="B76" s="240" t="s">
        <v>1768</v>
      </c>
      <c r="C76" s="239" t="s">
        <v>151</v>
      </c>
      <c r="D76" s="249" t="s">
        <v>1853</v>
      </c>
    </row>
    <row r="77">
      <c r="A77" s="253" t="s">
        <v>78</v>
      </c>
      <c r="B77" s="240" t="s">
        <v>1768</v>
      </c>
      <c r="C77" s="239" t="s">
        <v>151</v>
      </c>
      <c r="D77" s="248" t="s">
        <v>1854</v>
      </c>
    </row>
    <row r="78">
      <c r="A78" s="250" t="s">
        <v>79</v>
      </c>
      <c r="B78" s="240" t="s">
        <v>1768</v>
      </c>
      <c r="C78" s="239" t="s">
        <v>150</v>
      </c>
      <c r="D78" s="249" t="s">
        <v>1855</v>
      </c>
    </row>
    <row r="79">
      <c r="A79" s="251" t="s">
        <v>80</v>
      </c>
      <c r="B79" s="240" t="s">
        <v>1768</v>
      </c>
      <c r="C79" s="239" t="s">
        <v>150</v>
      </c>
      <c r="D79" s="248" t="s">
        <v>1856</v>
      </c>
    </row>
    <row r="80">
      <c r="A80" s="250" t="s">
        <v>81</v>
      </c>
      <c r="B80" s="240" t="s">
        <v>1768</v>
      </c>
      <c r="C80" s="239" t="s">
        <v>151</v>
      </c>
      <c r="D80" s="249" t="s">
        <v>1857</v>
      </c>
    </row>
    <row r="81">
      <c r="A81" s="251" t="s">
        <v>82</v>
      </c>
      <c r="B81" s="240" t="s">
        <v>1768</v>
      </c>
      <c r="C81" s="239" t="s">
        <v>151</v>
      </c>
      <c r="D81" s="248" t="s">
        <v>1858</v>
      </c>
    </row>
    <row r="82">
      <c r="A82" s="251" t="s">
        <v>83</v>
      </c>
      <c r="B82" s="240" t="s">
        <v>1768</v>
      </c>
      <c r="C82" s="239" t="s">
        <v>150</v>
      </c>
      <c r="D82" s="249" t="s">
        <v>1859</v>
      </c>
    </row>
    <row r="83">
      <c r="A83" s="251" t="s">
        <v>84</v>
      </c>
      <c r="B83" s="240" t="s">
        <v>1768</v>
      </c>
      <c r="C83" s="239" t="s">
        <v>150</v>
      </c>
      <c r="D83" s="248" t="s">
        <v>1860</v>
      </c>
    </row>
    <row r="84">
      <c r="A84" s="250" t="s">
        <v>85</v>
      </c>
      <c r="B84" s="240" t="s">
        <v>1768</v>
      </c>
      <c r="C84" s="239" t="s">
        <v>151</v>
      </c>
      <c r="D84" s="249" t="s">
        <v>1861</v>
      </c>
    </row>
    <row r="85">
      <c r="A85" s="251" t="s">
        <v>86</v>
      </c>
      <c r="B85" s="240" t="s">
        <v>1768</v>
      </c>
      <c r="C85" s="239" t="s">
        <v>151</v>
      </c>
      <c r="D85" s="248" t="s">
        <v>1862</v>
      </c>
    </row>
    <row r="86">
      <c r="A86" s="251" t="s">
        <v>87</v>
      </c>
      <c r="B86" s="240" t="s">
        <v>1768</v>
      </c>
      <c r="C86" s="239" t="s">
        <v>150</v>
      </c>
      <c r="D86" s="249" t="s">
        <v>1863</v>
      </c>
    </row>
    <row r="87">
      <c r="A87" s="251" t="s">
        <v>88</v>
      </c>
      <c r="B87" s="240" t="s">
        <v>1768</v>
      </c>
      <c r="C87" s="239" t="s">
        <v>150</v>
      </c>
      <c r="D87" s="248" t="s">
        <v>1864</v>
      </c>
    </row>
    <row r="88">
      <c r="A88" s="251" t="s">
        <v>89</v>
      </c>
      <c r="B88" s="240" t="s">
        <v>1768</v>
      </c>
      <c r="C88" s="239" t="s">
        <v>151</v>
      </c>
      <c r="D88" s="249" t="s">
        <v>1865</v>
      </c>
    </row>
    <row r="89">
      <c r="A89" s="251" t="s">
        <v>90</v>
      </c>
      <c r="B89" s="240" t="s">
        <v>1768</v>
      </c>
      <c r="C89" s="239" t="s">
        <v>151</v>
      </c>
      <c r="D89" s="248" t="s">
        <v>1866</v>
      </c>
    </row>
    <row r="90">
      <c r="A90" s="251" t="s">
        <v>91</v>
      </c>
      <c r="B90" s="240" t="s">
        <v>1768</v>
      </c>
      <c r="C90" s="239" t="s">
        <v>150</v>
      </c>
      <c r="D90" s="249" t="s">
        <v>1867</v>
      </c>
    </row>
    <row r="91">
      <c r="A91" s="251" t="s">
        <v>92</v>
      </c>
      <c r="B91" s="240" t="s">
        <v>1768</v>
      </c>
      <c r="C91" s="239" t="s">
        <v>150</v>
      </c>
      <c r="D91" s="248" t="s">
        <v>1868</v>
      </c>
    </row>
    <row r="92">
      <c r="A92" s="251" t="s">
        <v>93</v>
      </c>
      <c r="B92" s="240" t="s">
        <v>1768</v>
      </c>
      <c r="C92" s="239" t="s">
        <v>151</v>
      </c>
      <c r="D92" s="249" t="s">
        <v>1869</v>
      </c>
    </row>
    <row r="93">
      <c r="A93" s="251" t="s">
        <v>94</v>
      </c>
      <c r="B93" s="240" t="s">
        <v>1768</v>
      </c>
      <c r="C93" s="239" t="s">
        <v>151</v>
      </c>
      <c r="D93" s="248" t="s">
        <v>1870</v>
      </c>
    </row>
    <row r="94">
      <c r="A94" s="253" t="s">
        <v>95</v>
      </c>
      <c r="B94" s="240" t="s">
        <v>1768</v>
      </c>
      <c r="C94" s="239" t="s">
        <v>150</v>
      </c>
      <c r="D94" s="249" t="s">
        <v>1871</v>
      </c>
    </row>
    <row r="95">
      <c r="A95" s="253" t="s">
        <v>96</v>
      </c>
      <c r="B95" s="240" t="s">
        <v>1768</v>
      </c>
      <c r="C95" s="239" t="s">
        <v>150</v>
      </c>
      <c r="D95" s="248" t="s">
        <v>1872</v>
      </c>
    </row>
    <row r="96">
      <c r="A96" s="253" t="s">
        <v>97</v>
      </c>
      <c r="B96" s="240" t="s">
        <v>1768</v>
      </c>
      <c r="C96" s="239" t="s">
        <v>151</v>
      </c>
      <c r="D96" s="249" t="s">
        <v>1873</v>
      </c>
    </row>
    <row r="97">
      <c r="A97" s="253" t="s">
        <v>98</v>
      </c>
      <c r="B97" s="240" t="s">
        <v>1768</v>
      </c>
      <c r="C97" s="239" t="s">
        <v>151</v>
      </c>
      <c r="D97" s="248" t="s">
        <v>1874</v>
      </c>
    </row>
    <row r="98">
      <c r="A98" s="251" t="s">
        <v>99</v>
      </c>
      <c r="B98" s="240" t="s">
        <v>1768</v>
      </c>
      <c r="C98" s="239" t="s">
        <v>150</v>
      </c>
      <c r="D98" s="249" t="s">
        <v>1875</v>
      </c>
    </row>
    <row r="99">
      <c r="A99" s="251" t="s">
        <v>100</v>
      </c>
      <c r="B99" s="240" t="s">
        <v>1768</v>
      </c>
      <c r="C99" s="239" t="s">
        <v>150</v>
      </c>
      <c r="D99" s="248" t="s">
        <v>1876</v>
      </c>
    </row>
    <row r="100">
      <c r="A100" s="251" t="s">
        <v>101</v>
      </c>
      <c r="B100" s="240" t="s">
        <v>1768</v>
      </c>
      <c r="C100" s="239" t="s">
        <v>151</v>
      </c>
      <c r="D100" s="249" t="s">
        <v>1877</v>
      </c>
    </row>
    <row r="101">
      <c r="A101" s="251" t="s">
        <v>102</v>
      </c>
      <c r="B101" s="240" t="s">
        <v>1768</v>
      </c>
      <c r="C101" s="239" t="s">
        <v>151</v>
      </c>
      <c r="D101" s="248" t="s">
        <v>1878</v>
      </c>
    </row>
    <row r="102">
      <c r="A102" s="251" t="s">
        <v>103</v>
      </c>
      <c r="B102" s="240" t="s">
        <v>1768</v>
      </c>
      <c r="C102" s="239" t="s">
        <v>150</v>
      </c>
      <c r="D102" s="249" t="s">
        <v>1879</v>
      </c>
    </row>
    <row r="103">
      <c r="A103" s="251" t="s">
        <v>104</v>
      </c>
      <c r="B103" s="240" t="s">
        <v>1768</v>
      </c>
      <c r="C103" s="239" t="s">
        <v>150</v>
      </c>
      <c r="D103" s="248" t="s">
        <v>1880</v>
      </c>
    </row>
    <row r="104">
      <c r="A104" s="251" t="s">
        <v>105</v>
      </c>
      <c r="B104" s="240" t="s">
        <v>1768</v>
      </c>
      <c r="C104" s="239" t="s">
        <v>151</v>
      </c>
      <c r="D104" s="249" t="s">
        <v>1881</v>
      </c>
    </row>
    <row r="105">
      <c r="A105" s="251" t="s">
        <v>106</v>
      </c>
      <c r="B105" s="240" t="s">
        <v>1768</v>
      </c>
      <c r="C105" s="239" t="s">
        <v>151</v>
      </c>
      <c r="D105" s="248" t="s">
        <v>1882</v>
      </c>
    </row>
    <row r="106">
      <c r="A106" s="253" t="s">
        <v>107</v>
      </c>
      <c r="B106" s="240" t="s">
        <v>1768</v>
      </c>
      <c r="C106" s="239" t="s">
        <v>150</v>
      </c>
      <c r="D106" s="249" t="s">
        <v>1883</v>
      </c>
    </row>
    <row r="107">
      <c r="A107" s="253" t="s">
        <v>108</v>
      </c>
      <c r="B107" s="240" t="s">
        <v>1768</v>
      </c>
      <c r="C107" s="239" t="s">
        <v>150</v>
      </c>
      <c r="D107" s="248" t="s">
        <v>1884</v>
      </c>
    </row>
    <row r="108">
      <c r="A108" s="253" t="s">
        <v>109</v>
      </c>
      <c r="B108" s="240" t="s">
        <v>1768</v>
      </c>
      <c r="C108" s="239" t="s">
        <v>151</v>
      </c>
      <c r="D108" s="249" t="s">
        <v>1885</v>
      </c>
    </row>
    <row r="109">
      <c r="A109" s="253" t="s">
        <v>110</v>
      </c>
      <c r="B109" s="240" t="s">
        <v>1768</v>
      </c>
      <c r="C109" s="239" t="s">
        <v>151</v>
      </c>
      <c r="D109" s="248" t="s">
        <v>1886</v>
      </c>
    </row>
    <row r="110">
      <c r="A110" s="253" t="s">
        <v>111</v>
      </c>
      <c r="B110" s="240" t="s">
        <v>1768</v>
      </c>
      <c r="C110" s="252" t="s">
        <v>150</v>
      </c>
      <c r="D110" s="249" t="s">
        <v>1887</v>
      </c>
    </row>
    <row r="111">
      <c r="A111" s="253" t="s">
        <v>112</v>
      </c>
      <c r="B111" s="240" t="s">
        <v>1768</v>
      </c>
      <c r="C111" s="252" t="s">
        <v>150</v>
      </c>
      <c r="D111" s="248" t="s">
        <v>1888</v>
      </c>
    </row>
    <row r="112">
      <c r="A112" s="251" t="s">
        <v>113</v>
      </c>
      <c r="B112" s="240" t="s">
        <v>1768</v>
      </c>
      <c r="C112" s="239" t="s">
        <v>151</v>
      </c>
      <c r="D112" s="249" t="s">
        <v>1889</v>
      </c>
    </row>
    <row r="113">
      <c r="A113" s="253" t="s">
        <v>114</v>
      </c>
      <c r="B113" s="240" t="s">
        <v>1768</v>
      </c>
      <c r="C113" s="239" t="s">
        <v>151</v>
      </c>
      <c r="D113" s="248" t="s">
        <v>1890</v>
      </c>
    </row>
    <row r="114">
      <c r="A114" s="253" t="s">
        <v>115</v>
      </c>
      <c r="B114" s="240" t="s">
        <v>1768</v>
      </c>
      <c r="C114" s="252" t="s">
        <v>150</v>
      </c>
      <c r="D114" s="249" t="s">
        <v>1891</v>
      </c>
    </row>
    <row r="115">
      <c r="A115" s="251" t="s">
        <v>116</v>
      </c>
      <c r="B115" s="240" t="s">
        <v>1768</v>
      </c>
      <c r="C115" s="239" t="s">
        <v>151</v>
      </c>
      <c r="D115" s="248" t="s">
        <v>1892</v>
      </c>
    </row>
    <row r="116">
      <c r="A116" s="253" t="s">
        <v>117</v>
      </c>
      <c r="B116" s="240" t="s">
        <v>1768</v>
      </c>
      <c r="C116" s="239" t="s">
        <v>151</v>
      </c>
      <c r="D116" s="249" t="s">
        <v>1893</v>
      </c>
    </row>
    <row r="117">
      <c r="A117" s="253" t="s">
        <v>118</v>
      </c>
      <c r="B117" s="240" t="s">
        <v>1768</v>
      </c>
      <c r="C117" s="252" t="s">
        <v>150</v>
      </c>
      <c r="D117" s="248" t="s">
        <v>1894</v>
      </c>
    </row>
    <row r="118">
      <c r="A118" s="253" t="s">
        <v>119</v>
      </c>
      <c r="B118" s="240" t="s">
        <v>1768</v>
      </c>
      <c r="C118" s="252" t="s">
        <v>150</v>
      </c>
      <c r="D118" s="249" t="s">
        <v>1895</v>
      </c>
    </row>
    <row r="119">
      <c r="A119" s="253" t="s">
        <v>120</v>
      </c>
      <c r="B119" s="240" t="s">
        <v>1768</v>
      </c>
      <c r="C119" s="239" t="s">
        <v>151</v>
      </c>
      <c r="D119" s="248" t="s">
        <v>1896</v>
      </c>
    </row>
    <row r="120">
      <c r="A120" s="253" t="s">
        <v>121</v>
      </c>
      <c r="B120" s="240" t="s">
        <v>1768</v>
      </c>
      <c r="C120" s="239" t="s">
        <v>152</v>
      </c>
      <c r="D120" s="249" t="s">
        <v>1897</v>
      </c>
    </row>
    <row r="121">
      <c r="A121" s="251" t="s">
        <v>122</v>
      </c>
      <c r="B121" s="240" t="s">
        <v>1768</v>
      </c>
      <c r="C121" s="239" t="s">
        <v>150</v>
      </c>
      <c r="D121" s="249" t="s">
        <v>1898</v>
      </c>
    </row>
    <row r="122">
      <c r="A122" s="253" t="s">
        <v>123</v>
      </c>
      <c r="B122" s="240" t="s">
        <v>1768</v>
      </c>
      <c r="C122" s="252" t="s">
        <v>150</v>
      </c>
      <c r="D122" s="249" t="s">
        <v>1899</v>
      </c>
    </row>
    <row r="123">
      <c r="A123" s="253" t="s">
        <v>124</v>
      </c>
      <c r="B123" s="240" t="s">
        <v>1768</v>
      </c>
      <c r="C123" s="252" t="s">
        <v>150</v>
      </c>
      <c r="D123" s="248" t="s">
        <v>1900</v>
      </c>
    </row>
    <row r="124">
      <c r="A124" s="253" t="s">
        <v>125</v>
      </c>
      <c r="B124" s="240" t="s">
        <v>1768</v>
      </c>
      <c r="C124" s="239" t="s">
        <v>151</v>
      </c>
      <c r="D124" s="249" t="s">
        <v>1901</v>
      </c>
    </row>
    <row r="125">
      <c r="A125" s="253" t="s">
        <v>126</v>
      </c>
      <c r="B125" s="240" t="s">
        <v>1768</v>
      </c>
      <c r="C125" s="239" t="s">
        <v>151</v>
      </c>
      <c r="D125" s="248" t="s">
        <v>1902</v>
      </c>
    </row>
    <row r="126">
      <c r="A126" s="251" t="s">
        <v>127</v>
      </c>
      <c r="B126" s="240" t="s">
        <v>1768</v>
      </c>
      <c r="C126" s="239" t="s">
        <v>148</v>
      </c>
      <c r="D126" s="254" t="s">
        <v>1903</v>
      </c>
    </row>
    <row r="127">
      <c r="A127" s="255" t="s">
        <v>128</v>
      </c>
      <c r="B127" s="240" t="s">
        <v>1768</v>
      </c>
      <c r="C127" s="256" t="s">
        <v>148</v>
      </c>
      <c r="D127" s="254" t="s">
        <v>1904</v>
      </c>
    </row>
    <row r="128">
      <c r="A128" s="246" t="s">
        <v>129</v>
      </c>
      <c r="B128" s="240" t="s">
        <v>1768</v>
      </c>
      <c r="C128" s="239" t="s">
        <v>153</v>
      </c>
      <c r="D128" s="254" t="s">
        <v>1905</v>
      </c>
    </row>
    <row r="129">
      <c r="A129" s="253" t="s">
        <v>130</v>
      </c>
      <c r="B129" s="240" t="s">
        <v>1768</v>
      </c>
      <c r="C129" s="252" t="s">
        <v>153</v>
      </c>
      <c r="D129" s="247" t="s">
        <v>1906</v>
      </c>
    </row>
    <row r="130">
      <c r="A130" s="250" t="s">
        <v>131</v>
      </c>
      <c r="B130" s="240" t="s">
        <v>1764</v>
      </c>
      <c r="C130" s="241"/>
      <c r="D130" s="254" t="s">
        <v>1907</v>
      </c>
    </row>
    <row r="131">
      <c r="A131" s="253" t="s">
        <v>132</v>
      </c>
      <c r="B131" s="240" t="s">
        <v>1764</v>
      </c>
      <c r="C131" s="241"/>
      <c r="D131" s="254" t="s">
        <v>1908</v>
      </c>
    </row>
    <row r="132">
      <c r="A132" s="250" t="s">
        <v>133</v>
      </c>
      <c r="B132" s="240" t="s">
        <v>1764</v>
      </c>
      <c r="C132" s="241"/>
      <c r="D132" s="254" t="s">
        <v>1909</v>
      </c>
    </row>
  </sheetData>
  <mergeCells count="1">
    <mergeCell ref="A1:D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57" t="s">
        <v>1910</v>
      </c>
    </row>
    <row r="2">
      <c r="A2" s="258" t="s">
        <v>1911</v>
      </c>
      <c r="B2" s="259" t="s">
        <v>1912</v>
      </c>
    </row>
    <row r="3">
      <c r="A3" s="257" t="s">
        <v>1913</v>
      </c>
      <c r="B3" s="259" t="s">
        <v>1914</v>
      </c>
    </row>
    <row r="4">
      <c r="B4" s="259" t="s">
        <v>1915</v>
      </c>
    </row>
  </sheetData>
  <hyperlinks>
    <hyperlink r:id="rId1" ref="B2"/>
    <hyperlink r:id="rId2" ref="B3"/>
    <hyperlink r:id="rId3" ref="B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0" t="s">
        <v>1916</v>
      </c>
    </row>
    <row r="2">
      <c r="A2" s="261" t="s">
        <v>2</v>
      </c>
      <c r="B2" s="262" t="s">
        <v>1917</v>
      </c>
      <c r="C2" s="263" t="s">
        <v>1918</v>
      </c>
      <c r="D2" s="264" t="s">
        <v>4</v>
      </c>
      <c r="E2" s="265" t="s">
        <v>6</v>
      </c>
      <c r="F2" s="265" t="s">
        <v>7</v>
      </c>
      <c r="G2" s="266" t="s">
        <v>8</v>
      </c>
      <c r="H2" s="266" t="s">
        <v>9</v>
      </c>
      <c r="I2" s="267" t="s">
        <v>10</v>
      </c>
      <c r="J2" s="266" t="s">
        <v>11</v>
      </c>
      <c r="K2" s="266" t="s">
        <v>12</v>
      </c>
      <c r="L2" s="268" t="s">
        <v>1919</v>
      </c>
      <c r="M2" s="269" t="s">
        <v>1920</v>
      </c>
      <c r="N2" s="268" t="s">
        <v>16</v>
      </c>
      <c r="O2" s="268" t="s">
        <v>17</v>
      </c>
      <c r="P2" s="268" t="s">
        <v>18</v>
      </c>
      <c r="Q2" s="268" t="s">
        <v>19</v>
      </c>
      <c r="R2" s="268" t="s">
        <v>20</v>
      </c>
      <c r="S2" s="268" t="s">
        <v>21</v>
      </c>
      <c r="T2" s="268" t="s">
        <v>22</v>
      </c>
      <c r="U2" s="268" t="s">
        <v>23</v>
      </c>
      <c r="V2" s="268" t="s">
        <v>24</v>
      </c>
      <c r="W2" s="268" t="s">
        <v>25</v>
      </c>
      <c r="X2" s="268" t="s">
        <v>26</v>
      </c>
      <c r="Y2" s="268" t="s">
        <v>27</v>
      </c>
      <c r="Z2" s="268" t="s">
        <v>28</v>
      </c>
      <c r="AA2" s="268" t="s">
        <v>1921</v>
      </c>
      <c r="AB2" s="268" t="s">
        <v>30</v>
      </c>
      <c r="AC2" s="268" t="s">
        <v>31</v>
      </c>
      <c r="AD2" s="268" t="s">
        <v>32</v>
      </c>
      <c r="AE2" s="268" t="s">
        <v>33</v>
      </c>
      <c r="AF2" s="268" t="s">
        <v>34</v>
      </c>
      <c r="AG2" s="268" t="s">
        <v>35</v>
      </c>
      <c r="AH2" s="268" t="s">
        <v>36</v>
      </c>
      <c r="AI2" s="270" t="s">
        <v>1922</v>
      </c>
      <c r="AJ2" s="270" t="s">
        <v>39</v>
      </c>
      <c r="AK2" s="270" t="s">
        <v>40</v>
      </c>
      <c r="AL2" s="270" t="s">
        <v>43</v>
      </c>
      <c r="AM2" s="270" t="s">
        <v>44</v>
      </c>
      <c r="AN2" s="271" t="s">
        <v>45</v>
      </c>
      <c r="AO2" s="270" t="s">
        <v>46</v>
      </c>
      <c r="AP2" s="271" t="s">
        <v>47</v>
      </c>
      <c r="AQ2" s="272" t="s">
        <v>48</v>
      </c>
      <c r="AR2" s="270" t="s">
        <v>49</v>
      </c>
      <c r="AS2" s="270" t="s">
        <v>50</v>
      </c>
      <c r="AT2" s="270" t="s">
        <v>51</v>
      </c>
      <c r="AU2" s="272" t="s">
        <v>52</v>
      </c>
      <c r="AV2" s="270" t="s">
        <v>1923</v>
      </c>
      <c r="AW2" s="270" t="s">
        <v>1924</v>
      </c>
      <c r="AX2" s="270" t="s">
        <v>1925</v>
      </c>
      <c r="AY2" s="270" t="s">
        <v>53</v>
      </c>
      <c r="AZ2" s="272" t="s">
        <v>54</v>
      </c>
      <c r="BA2" s="273" t="s">
        <v>55</v>
      </c>
      <c r="BB2" s="273" t="s">
        <v>56</v>
      </c>
      <c r="BC2" s="273" t="s">
        <v>57</v>
      </c>
      <c r="BD2" s="274" t="s">
        <v>58</v>
      </c>
      <c r="BE2" s="274" t="s">
        <v>59</v>
      </c>
      <c r="BF2" s="274" t="s">
        <v>60</v>
      </c>
      <c r="BG2" s="273" t="s">
        <v>61</v>
      </c>
      <c r="BH2" s="274" t="s">
        <v>62</v>
      </c>
      <c r="BI2" s="273" t="s">
        <v>63</v>
      </c>
      <c r="BJ2" s="274" t="s">
        <v>64</v>
      </c>
      <c r="BK2" s="274" t="s">
        <v>65</v>
      </c>
      <c r="BL2" s="274" t="s">
        <v>66</v>
      </c>
      <c r="BM2" s="274" t="s">
        <v>67</v>
      </c>
      <c r="BN2" s="274" t="s">
        <v>68</v>
      </c>
      <c r="BO2" s="274" t="s">
        <v>69</v>
      </c>
      <c r="BP2" s="274" t="s">
        <v>70</v>
      </c>
      <c r="BQ2" s="274" t="s">
        <v>63</v>
      </c>
      <c r="BR2" s="274" t="s">
        <v>64</v>
      </c>
      <c r="BS2" s="273" t="s">
        <v>65</v>
      </c>
      <c r="BT2" s="274" t="s">
        <v>66</v>
      </c>
      <c r="BU2" s="275" t="s">
        <v>81</v>
      </c>
      <c r="BV2" s="276" t="s">
        <v>82</v>
      </c>
      <c r="BW2" s="275" t="s">
        <v>79</v>
      </c>
      <c r="BX2" s="276" t="s">
        <v>80</v>
      </c>
      <c r="BY2" s="275" t="s">
        <v>85</v>
      </c>
      <c r="BZ2" s="276" t="s">
        <v>86</v>
      </c>
      <c r="CA2" s="276" t="s">
        <v>83</v>
      </c>
      <c r="CB2" s="276" t="s">
        <v>84</v>
      </c>
      <c r="CC2" s="276" t="s">
        <v>89</v>
      </c>
      <c r="CD2" s="276" t="s">
        <v>90</v>
      </c>
      <c r="CE2" s="276" t="s">
        <v>87</v>
      </c>
      <c r="CF2" s="276" t="s">
        <v>88</v>
      </c>
      <c r="CG2" s="277" t="s">
        <v>93</v>
      </c>
      <c r="CH2" s="277" t="s">
        <v>94</v>
      </c>
      <c r="CI2" s="277" t="s">
        <v>91</v>
      </c>
      <c r="CJ2" s="277" t="s">
        <v>92</v>
      </c>
      <c r="CK2" s="278" t="s">
        <v>101</v>
      </c>
      <c r="CL2" s="278" t="s">
        <v>102</v>
      </c>
      <c r="CM2" s="278" t="s">
        <v>99</v>
      </c>
      <c r="CN2" s="278" t="s">
        <v>100</v>
      </c>
      <c r="CO2" s="278" t="s">
        <v>105</v>
      </c>
      <c r="CP2" s="278" t="s">
        <v>106</v>
      </c>
      <c r="CQ2" s="278" t="s">
        <v>103</v>
      </c>
      <c r="CR2" s="278" t="s">
        <v>104</v>
      </c>
      <c r="CS2" s="279" t="s">
        <v>109</v>
      </c>
      <c r="CT2" s="279" t="s">
        <v>110</v>
      </c>
      <c r="CU2" s="279" t="s">
        <v>107</v>
      </c>
      <c r="CV2" s="279" t="s">
        <v>108</v>
      </c>
      <c r="CW2" s="274" t="s">
        <v>122</v>
      </c>
      <c r="CX2" s="274" t="s">
        <v>113</v>
      </c>
      <c r="CY2" s="274" t="s">
        <v>116</v>
      </c>
      <c r="CZ2" s="280" t="s">
        <v>120</v>
      </c>
      <c r="DA2" s="280" t="s">
        <v>118</v>
      </c>
      <c r="DB2" s="280" t="s">
        <v>119</v>
      </c>
      <c r="DC2" s="274" t="s">
        <v>1926</v>
      </c>
      <c r="DD2" s="281" t="s">
        <v>127</v>
      </c>
      <c r="DE2" s="282" t="s">
        <v>1927</v>
      </c>
      <c r="DF2" s="272" t="s">
        <v>129</v>
      </c>
      <c r="DG2" s="283" t="s">
        <v>131</v>
      </c>
      <c r="DH2" s="284" t="s">
        <v>132</v>
      </c>
      <c r="DI2" s="283" t="s">
        <v>133</v>
      </c>
      <c r="DJ2" s="285" t="s">
        <v>131</v>
      </c>
      <c r="DK2" s="285" t="s">
        <v>1928</v>
      </c>
      <c r="DL2" s="285" t="s">
        <v>1929</v>
      </c>
      <c r="DM2" s="285" t="s">
        <v>1930</v>
      </c>
      <c r="DN2" s="285" t="s">
        <v>1931</v>
      </c>
      <c r="DO2" s="285" t="s">
        <v>1932</v>
      </c>
      <c r="DP2" s="285" t="s">
        <v>1933</v>
      </c>
      <c r="DQ2" s="285" t="s">
        <v>1934</v>
      </c>
      <c r="DR2" s="285" t="s">
        <v>1935</v>
      </c>
      <c r="DS2" s="285" t="s">
        <v>1936</v>
      </c>
      <c r="DT2" s="285" t="s">
        <v>1937</v>
      </c>
      <c r="DU2" s="285" t="s">
        <v>1938</v>
      </c>
      <c r="DV2" s="285" t="s">
        <v>1939</v>
      </c>
      <c r="DW2" s="286" t="s">
        <v>1940</v>
      </c>
      <c r="DX2" s="286"/>
      <c r="DY2" s="286"/>
      <c r="DZ2" s="286"/>
      <c r="EA2" s="286"/>
      <c r="EB2" s="286"/>
      <c r="EC2" s="286"/>
      <c r="ED2" s="286"/>
      <c r="EE2" s="286"/>
      <c r="EF2" s="286"/>
      <c r="EG2" s="286"/>
      <c r="EH2" s="286"/>
      <c r="EI2" s="286"/>
    </row>
    <row r="3">
      <c r="A3" s="287" t="s">
        <v>134</v>
      </c>
      <c r="B3" s="288"/>
      <c r="C3" s="289" t="s">
        <v>1941</v>
      </c>
      <c r="D3" s="290" t="s">
        <v>135</v>
      </c>
      <c r="E3" s="290" t="s">
        <v>137</v>
      </c>
      <c r="F3" s="290" t="s">
        <v>1942</v>
      </c>
      <c r="G3" s="291" t="s">
        <v>139</v>
      </c>
      <c r="H3" s="291" t="s">
        <v>139</v>
      </c>
      <c r="I3" s="292"/>
      <c r="J3" s="292"/>
      <c r="K3" s="292" t="s">
        <v>140</v>
      </c>
      <c r="L3" s="292"/>
      <c r="M3" s="292" t="s">
        <v>141</v>
      </c>
      <c r="N3" s="292" t="s">
        <v>142</v>
      </c>
      <c r="O3" s="291" t="s">
        <v>143</v>
      </c>
      <c r="P3" s="291" t="s">
        <v>143</v>
      </c>
      <c r="Q3" s="292" t="s">
        <v>143</v>
      </c>
      <c r="R3" s="292"/>
      <c r="S3" s="292"/>
      <c r="T3" s="292" t="s">
        <v>145</v>
      </c>
      <c r="U3" s="292" t="s">
        <v>145</v>
      </c>
      <c r="V3" s="292" t="s">
        <v>145</v>
      </c>
      <c r="W3" s="292" t="s">
        <v>145</v>
      </c>
      <c r="X3" s="292" t="s">
        <v>145</v>
      </c>
      <c r="Y3" s="292" t="s">
        <v>145</v>
      </c>
      <c r="Z3" s="292" t="s">
        <v>145</v>
      </c>
      <c r="AA3" s="291" t="s">
        <v>145</v>
      </c>
      <c r="AB3" s="292" t="s">
        <v>145</v>
      </c>
      <c r="AC3" s="291" t="s">
        <v>145</v>
      </c>
      <c r="AD3" s="291" t="s">
        <v>145</v>
      </c>
      <c r="AE3" s="292" t="s">
        <v>145</v>
      </c>
      <c r="AF3" s="292" t="s">
        <v>145</v>
      </c>
      <c r="AG3" s="292"/>
      <c r="AH3" s="292"/>
      <c r="AI3" s="293"/>
      <c r="AJ3" s="293"/>
      <c r="AK3" s="293"/>
      <c r="AL3" s="294"/>
      <c r="AM3" s="294"/>
      <c r="AN3" s="295" t="s">
        <v>146</v>
      </c>
      <c r="AO3" s="293" t="s">
        <v>146</v>
      </c>
      <c r="AP3" s="295" t="s">
        <v>147</v>
      </c>
      <c r="AQ3" s="293" t="s">
        <v>147</v>
      </c>
      <c r="AR3" s="293" t="s">
        <v>148</v>
      </c>
      <c r="AS3" s="293" t="s">
        <v>148</v>
      </c>
      <c r="AT3" s="293" t="s">
        <v>149</v>
      </c>
      <c r="AU3" s="293" t="s">
        <v>149</v>
      </c>
      <c r="AV3" s="293" t="s">
        <v>141</v>
      </c>
      <c r="AW3" s="293" t="s">
        <v>141</v>
      </c>
      <c r="AX3" s="293"/>
      <c r="AY3" s="293"/>
      <c r="AZ3" s="294"/>
      <c r="BA3" s="296" t="s">
        <v>150</v>
      </c>
      <c r="BB3" s="296"/>
      <c r="BC3" s="297" t="s">
        <v>151</v>
      </c>
      <c r="BD3" s="297"/>
      <c r="BE3" s="297"/>
      <c r="BF3" s="297"/>
      <c r="BG3" s="296" t="s">
        <v>151</v>
      </c>
      <c r="BH3" s="296"/>
      <c r="BI3" s="296" t="s">
        <v>150</v>
      </c>
      <c r="BJ3" s="296"/>
      <c r="BK3" s="296" t="s">
        <v>151</v>
      </c>
      <c r="BL3" s="296"/>
      <c r="BM3" s="296" t="s">
        <v>150</v>
      </c>
      <c r="BN3" s="296" t="s">
        <v>150</v>
      </c>
      <c r="BO3" s="296" t="s">
        <v>151</v>
      </c>
      <c r="BP3" s="296" t="s">
        <v>151</v>
      </c>
      <c r="BQ3" s="296" t="s">
        <v>150</v>
      </c>
      <c r="BR3" s="296" t="s">
        <v>150</v>
      </c>
      <c r="BS3" s="296" t="s">
        <v>151</v>
      </c>
      <c r="BT3" s="296" t="s">
        <v>151</v>
      </c>
      <c r="BU3" s="298" t="s">
        <v>151</v>
      </c>
      <c r="BV3" s="298"/>
      <c r="BW3" s="298" t="s">
        <v>150</v>
      </c>
      <c r="BX3" s="298"/>
      <c r="BY3" s="298" t="s">
        <v>151</v>
      </c>
      <c r="BZ3" s="298"/>
      <c r="CA3" s="298" t="s">
        <v>150</v>
      </c>
      <c r="CB3" s="298"/>
      <c r="CC3" s="298"/>
      <c r="CD3" s="298"/>
      <c r="CE3" s="298"/>
      <c r="CF3" s="298"/>
      <c r="CG3" s="299" t="s">
        <v>151</v>
      </c>
      <c r="CH3" s="299"/>
      <c r="CI3" s="299" t="s">
        <v>150</v>
      </c>
      <c r="CJ3" s="299"/>
      <c r="CK3" s="300" t="s">
        <v>151</v>
      </c>
      <c r="CL3" s="300"/>
      <c r="CM3" s="300"/>
      <c r="CN3" s="300"/>
      <c r="CO3" s="300" t="s">
        <v>151</v>
      </c>
      <c r="CP3" s="300"/>
      <c r="CQ3" s="300" t="s">
        <v>150</v>
      </c>
      <c r="CR3" s="300"/>
      <c r="CS3" s="300" t="s">
        <v>151</v>
      </c>
      <c r="CT3" s="300"/>
      <c r="CU3" s="300" t="s">
        <v>150</v>
      </c>
      <c r="CV3" s="300"/>
      <c r="CW3" s="296" t="s">
        <v>150</v>
      </c>
      <c r="CX3" s="296" t="s">
        <v>151</v>
      </c>
      <c r="CY3" s="296" t="s">
        <v>151</v>
      </c>
      <c r="CZ3" s="296" t="s">
        <v>151</v>
      </c>
      <c r="DA3" s="301" t="s">
        <v>150</v>
      </c>
      <c r="DB3" s="301" t="s">
        <v>150</v>
      </c>
      <c r="DC3" s="296" t="s">
        <v>152</v>
      </c>
      <c r="DD3" s="293" t="s">
        <v>148</v>
      </c>
      <c r="DE3" s="302"/>
      <c r="DF3" s="293" t="s">
        <v>153</v>
      </c>
      <c r="DG3" s="294"/>
      <c r="DH3" s="294"/>
      <c r="DI3" s="294"/>
      <c r="DJ3" s="303"/>
      <c r="DK3" s="303"/>
      <c r="DL3" s="303" t="s">
        <v>146</v>
      </c>
      <c r="DM3" s="303" t="s">
        <v>147</v>
      </c>
      <c r="DN3" s="303" t="s">
        <v>149</v>
      </c>
      <c r="DO3" s="303" t="s">
        <v>148</v>
      </c>
      <c r="DP3" s="303" t="s">
        <v>1943</v>
      </c>
      <c r="DQ3" s="303" t="s">
        <v>153</v>
      </c>
      <c r="DR3" s="303" t="s">
        <v>148</v>
      </c>
      <c r="DS3" s="303" t="s">
        <v>153</v>
      </c>
      <c r="DT3" s="303" t="s">
        <v>148</v>
      </c>
      <c r="DU3" s="303" t="s">
        <v>153</v>
      </c>
      <c r="DV3" s="303" t="s">
        <v>148</v>
      </c>
      <c r="DW3" s="303" t="s">
        <v>153</v>
      </c>
      <c r="DX3" s="285"/>
      <c r="DY3" s="285"/>
      <c r="DZ3" s="285"/>
      <c r="EA3" s="285"/>
      <c r="EB3" s="285"/>
      <c r="EC3" s="285"/>
      <c r="ED3" s="285"/>
      <c r="EE3" s="285"/>
      <c r="EF3" s="285"/>
      <c r="EG3" s="285"/>
      <c r="EH3" s="285"/>
      <c r="EI3" s="285"/>
    </row>
    <row r="4">
      <c r="A4" s="304"/>
      <c r="B4" s="305" t="s">
        <v>1530</v>
      </c>
      <c r="C4" s="306"/>
      <c r="D4" s="307"/>
      <c r="E4" s="307"/>
      <c r="F4" s="307"/>
      <c r="G4" s="308"/>
      <c r="H4" s="308"/>
      <c r="I4" s="269"/>
      <c r="J4" s="269"/>
      <c r="K4" s="308"/>
      <c r="L4" s="268"/>
      <c r="M4" s="308"/>
      <c r="N4" s="308"/>
      <c r="O4" s="308"/>
      <c r="P4" s="308"/>
      <c r="Q4" s="308"/>
      <c r="R4" s="268"/>
      <c r="S4" s="268"/>
      <c r="T4" s="309"/>
      <c r="U4" s="268"/>
      <c r="V4" s="268"/>
      <c r="W4" s="268"/>
      <c r="X4" s="268"/>
      <c r="Y4" s="269"/>
      <c r="Z4" s="269"/>
      <c r="AA4" s="308"/>
      <c r="AB4" s="268"/>
      <c r="AC4" s="310"/>
      <c r="AD4" s="310"/>
      <c r="AE4" s="310"/>
      <c r="AF4" s="268"/>
      <c r="AG4" s="269"/>
      <c r="AH4" s="311"/>
      <c r="AI4" s="312"/>
      <c r="AJ4" s="313"/>
      <c r="AK4" s="270"/>
      <c r="AL4" s="314" t="s">
        <v>1471</v>
      </c>
      <c r="AM4" s="270"/>
      <c r="AN4" s="271"/>
      <c r="AO4" s="270"/>
      <c r="AP4" s="315"/>
      <c r="AQ4" s="270"/>
      <c r="AR4" s="272"/>
      <c r="AS4" s="270"/>
      <c r="AT4" s="316"/>
      <c r="AU4" s="270"/>
      <c r="AV4" s="272"/>
      <c r="AW4" s="272"/>
      <c r="AX4" s="272"/>
      <c r="AY4" s="270"/>
      <c r="AZ4" s="270"/>
      <c r="BA4" s="317"/>
      <c r="BB4" s="317"/>
      <c r="BC4" s="317"/>
      <c r="BD4" s="317"/>
      <c r="BE4" s="318">
        <v>-43.9</v>
      </c>
      <c r="BF4" s="317"/>
      <c r="BG4" s="319"/>
      <c r="BH4" s="317"/>
      <c r="BI4" s="318">
        <v>-23.3</v>
      </c>
      <c r="BJ4" s="317"/>
      <c r="BK4" s="317"/>
      <c r="BL4" s="317"/>
      <c r="BM4" s="318">
        <v>-8.3</v>
      </c>
      <c r="BN4" s="317"/>
      <c r="BO4" s="317"/>
      <c r="BP4" s="317"/>
      <c r="BQ4" s="318">
        <v>-38.0</v>
      </c>
      <c r="BR4" s="317"/>
      <c r="BS4" s="317"/>
      <c r="BT4" s="317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1"/>
      <c r="CH4" s="321"/>
      <c r="CI4" s="321"/>
      <c r="CJ4" s="321"/>
      <c r="CK4" s="322"/>
      <c r="CL4" s="322"/>
      <c r="CM4" s="322"/>
      <c r="CN4" s="322"/>
      <c r="CO4" s="322"/>
      <c r="CP4" s="322"/>
      <c r="CQ4" s="322"/>
      <c r="CR4" s="322"/>
      <c r="CS4" s="322"/>
      <c r="CT4" s="322"/>
      <c r="CU4" s="322"/>
      <c r="CV4" s="322"/>
      <c r="CW4" s="317"/>
      <c r="CX4" s="317"/>
      <c r="CY4" s="323"/>
      <c r="CZ4" s="324"/>
      <c r="DA4" s="324"/>
      <c r="DB4" s="324"/>
      <c r="DC4" s="324"/>
      <c r="DD4" s="316"/>
      <c r="DE4" s="282"/>
      <c r="DF4" s="325"/>
      <c r="DG4" s="314"/>
      <c r="DH4" s="270"/>
      <c r="DI4" s="270"/>
      <c r="DJ4" s="285"/>
      <c r="DK4" s="285"/>
      <c r="DL4" s="285"/>
      <c r="DM4" s="285"/>
      <c r="DN4" s="285"/>
      <c r="DO4" s="285"/>
      <c r="DP4" s="285"/>
      <c r="DQ4" s="285"/>
      <c r="DR4" s="285"/>
      <c r="DS4" s="285"/>
      <c r="DT4" s="285"/>
      <c r="DU4" s="285"/>
      <c r="DV4" s="285"/>
      <c r="DW4" s="285"/>
      <c r="DX4" s="285"/>
      <c r="DY4" s="285"/>
      <c r="DZ4" s="285"/>
      <c r="EA4" s="285"/>
      <c r="EB4" s="285"/>
      <c r="EC4" s="285"/>
      <c r="ED4" s="285"/>
      <c r="EE4" s="285"/>
      <c r="EF4" s="285"/>
      <c r="EG4" s="285"/>
      <c r="EH4" s="285"/>
      <c r="EI4" s="285"/>
    </row>
    <row r="5">
      <c r="A5" s="304"/>
      <c r="B5" s="305" t="s">
        <v>461</v>
      </c>
      <c r="C5" s="306"/>
      <c r="D5" s="307"/>
      <c r="E5" s="307"/>
      <c r="F5" s="307"/>
      <c r="G5" s="308"/>
      <c r="H5" s="308"/>
      <c r="I5" s="269"/>
      <c r="J5" s="269"/>
      <c r="K5" s="308"/>
      <c r="L5" s="268"/>
      <c r="M5" s="308"/>
      <c r="N5" s="308"/>
      <c r="O5" s="308"/>
      <c r="P5" s="308"/>
      <c r="Q5" s="308"/>
      <c r="R5" s="268"/>
      <c r="S5" s="268"/>
      <c r="T5" s="268"/>
      <c r="U5" s="268"/>
      <c r="V5" s="268"/>
      <c r="W5" s="268"/>
      <c r="X5" s="268"/>
      <c r="Y5" s="308"/>
      <c r="Z5" s="269"/>
      <c r="AA5" s="310"/>
      <c r="AB5" s="268"/>
      <c r="AC5" s="310"/>
      <c r="AD5" s="310"/>
      <c r="AE5" s="310"/>
      <c r="AF5" s="268"/>
      <c r="AG5" s="269"/>
      <c r="AH5" s="311"/>
      <c r="AI5" s="312"/>
      <c r="AJ5" s="313"/>
      <c r="AK5" s="270"/>
      <c r="AL5" s="314" t="s">
        <v>1944</v>
      </c>
      <c r="AM5" s="270"/>
      <c r="AN5" s="271"/>
      <c r="AO5" s="270"/>
      <c r="AP5" s="315"/>
      <c r="AQ5" s="270"/>
      <c r="AR5" s="272"/>
      <c r="AS5" s="270"/>
      <c r="AT5" s="316"/>
      <c r="AU5" s="270"/>
      <c r="AV5" s="272"/>
      <c r="AW5" s="272"/>
      <c r="AX5" s="272"/>
      <c r="AY5" s="270"/>
      <c r="AZ5" s="270"/>
      <c r="BA5" s="317"/>
      <c r="BB5" s="317"/>
      <c r="BC5" s="317"/>
      <c r="BD5" s="317"/>
      <c r="BE5" s="318">
        <v>-20.3</v>
      </c>
      <c r="BF5" s="317"/>
      <c r="BG5" s="319"/>
      <c r="BH5" s="317"/>
      <c r="BI5" s="318">
        <v>-9.9</v>
      </c>
      <c r="BJ5" s="317"/>
      <c r="BK5" s="317"/>
      <c r="BL5" s="317"/>
      <c r="BM5" s="318">
        <v>-4.1</v>
      </c>
      <c r="BN5" s="317"/>
      <c r="BO5" s="317"/>
      <c r="BP5" s="317"/>
      <c r="BQ5" s="318">
        <v>-19.6</v>
      </c>
      <c r="BR5" s="317"/>
      <c r="BS5" s="317"/>
      <c r="BT5" s="317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1"/>
      <c r="CH5" s="321"/>
      <c r="CI5" s="321"/>
      <c r="CJ5" s="321"/>
      <c r="CK5" s="322"/>
      <c r="CL5" s="322"/>
      <c r="CM5" s="322"/>
      <c r="CN5" s="322"/>
      <c r="CO5" s="322"/>
      <c r="CP5" s="322"/>
      <c r="CQ5" s="322"/>
      <c r="CR5" s="322"/>
      <c r="CS5" s="322"/>
      <c r="CT5" s="322"/>
      <c r="CU5" s="322"/>
      <c r="CV5" s="322"/>
      <c r="CW5" s="317"/>
      <c r="CX5" s="317"/>
      <c r="CY5" s="323"/>
      <c r="CZ5" s="324"/>
      <c r="DA5" s="324"/>
      <c r="DB5" s="324"/>
      <c r="DC5" s="324"/>
      <c r="DD5" s="316"/>
      <c r="DE5" s="282"/>
      <c r="DF5" s="316"/>
      <c r="DG5" s="270"/>
      <c r="DH5" s="270"/>
      <c r="DI5" s="270"/>
      <c r="DJ5" s="285"/>
      <c r="DK5" s="285"/>
      <c r="DL5" s="285"/>
      <c r="DM5" s="285"/>
      <c r="DN5" s="285"/>
      <c r="DO5" s="285"/>
      <c r="DP5" s="285"/>
      <c r="DQ5" s="285"/>
      <c r="DR5" s="285"/>
      <c r="DS5" s="285"/>
      <c r="DT5" s="285"/>
      <c r="DU5" s="285"/>
      <c r="DV5" s="285"/>
      <c r="DW5" s="285"/>
      <c r="DX5" s="285"/>
      <c r="DY5" s="285"/>
      <c r="DZ5" s="285"/>
      <c r="EA5" s="285"/>
      <c r="EB5" s="285"/>
      <c r="EC5" s="285"/>
      <c r="ED5" s="285"/>
      <c r="EE5" s="285"/>
      <c r="EF5" s="285"/>
      <c r="EG5" s="285"/>
      <c r="EH5" s="285"/>
      <c r="EI5" s="285"/>
    </row>
    <row r="6">
      <c r="A6" s="304"/>
      <c r="B6" s="305" t="s">
        <v>1518</v>
      </c>
      <c r="C6" s="306"/>
      <c r="D6" s="307"/>
      <c r="E6" s="307"/>
      <c r="F6" s="307"/>
      <c r="G6" s="308"/>
      <c r="H6" s="308"/>
      <c r="I6" s="269"/>
      <c r="J6" s="269"/>
      <c r="K6" s="308"/>
      <c r="L6" s="268"/>
      <c r="M6" s="308"/>
      <c r="N6" s="308"/>
      <c r="O6" s="308"/>
      <c r="P6" s="308"/>
      <c r="Q6" s="308"/>
      <c r="R6" s="268"/>
      <c r="S6" s="268"/>
      <c r="T6" s="268"/>
      <c r="U6" s="268"/>
      <c r="V6" s="268"/>
      <c r="W6" s="268"/>
      <c r="X6" s="268"/>
      <c r="Y6" s="308"/>
      <c r="Z6" s="269"/>
      <c r="AA6" s="308"/>
      <c r="AB6" s="268"/>
      <c r="AC6" s="310"/>
      <c r="AD6" s="310"/>
      <c r="AE6" s="310"/>
      <c r="AF6" s="268"/>
      <c r="AG6" s="269"/>
      <c r="AH6" s="311"/>
      <c r="AI6" s="312"/>
      <c r="AJ6" s="313"/>
      <c r="AK6" s="270"/>
      <c r="AL6" s="314" t="s">
        <v>434</v>
      </c>
      <c r="AM6" s="270"/>
      <c r="AN6" s="271"/>
      <c r="AO6" s="270"/>
      <c r="AP6" s="315"/>
      <c r="AQ6" s="270"/>
      <c r="AR6" s="272"/>
      <c r="AS6" s="270"/>
      <c r="AT6" s="316"/>
      <c r="AU6" s="270"/>
      <c r="AV6" s="272"/>
      <c r="AW6" s="272"/>
      <c r="AX6" s="272"/>
      <c r="AY6" s="270"/>
      <c r="AZ6" s="270"/>
      <c r="BA6" s="317"/>
      <c r="BB6" s="317"/>
      <c r="BC6" s="317"/>
      <c r="BD6" s="317"/>
      <c r="BE6" s="318">
        <v>-58.4</v>
      </c>
      <c r="BF6" s="317"/>
      <c r="BG6" s="319"/>
      <c r="BH6" s="317"/>
      <c r="BI6" s="318">
        <v>-33.5</v>
      </c>
      <c r="BJ6" s="317"/>
      <c r="BK6" s="317"/>
      <c r="BL6" s="317"/>
      <c r="BM6" s="318">
        <v>-28.0</v>
      </c>
      <c r="BN6" s="317"/>
      <c r="BO6" s="317"/>
      <c r="BP6" s="317"/>
      <c r="BQ6" s="318">
        <v>-75.4</v>
      </c>
      <c r="BR6" s="317"/>
      <c r="BS6" s="317"/>
      <c r="BT6" s="317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1"/>
      <c r="CH6" s="321"/>
      <c r="CI6" s="321"/>
      <c r="CJ6" s="321"/>
      <c r="CK6" s="322"/>
      <c r="CL6" s="322"/>
      <c r="CM6" s="322"/>
      <c r="CN6" s="322"/>
      <c r="CO6" s="322"/>
      <c r="CP6" s="322"/>
      <c r="CQ6" s="322"/>
      <c r="CR6" s="322"/>
      <c r="CS6" s="322"/>
      <c r="CT6" s="322"/>
      <c r="CU6" s="322"/>
      <c r="CV6" s="322"/>
      <c r="CW6" s="317"/>
      <c r="CX6" s="317"/>
      <c r="CY6" s="323"/>
      <c r="CZ6" s="324"/>
      <c r="DA6" s="324"/>
      <c r="DB6" s="324"/>
      <c r="DC6" s="324"/>
      <c r="DD6" s="316"/>
      <c r="DE6" s="282"/>
      <c r="DF6" s="325"/>
      <c r="DG6" s="270"/>
      <c r="DH6" s="270"/>
      <c r="DI6" s="270"/>
      <c r="DJ6" s="285"/>
      <c r="DK6" s="285"/>
      <c r="DL6" s="285"/>
      <c r="DM6" s="285"/>
      <c r="DN6" s="285"/>
      <c r="DO6" s="285"/>
      <c r="DP6" s="285"/>
      <c r="DQ6" s="285"/>
      <c r="DR6" s="285"/>
      <c r="DS6" s="285"/>
      <c r="DT6" s="285"/>
      <c r="DU6" s="285"/>
      <c r="DV6" s="285"/>
      <c r="DW6" s="285"/>
      <c r="DX6" s="285"/>
      <c r="DY6" s="285"/>
      <c r="DZ6" s="285"/>
      <c r="EA6" s="285"/>
      <c r="EB6" s="285"/>
      <c r="EC6" s="285"/>
      <c r="ED6" s="285"/>
      <c r="EE6" s="285"/>
      <c r="EF6" s="285"/>
      <c r="EG6" s="285"/>
      <c r="EH6" s="285"/>
      <c r="EI6" s="285"/>
    </row>
    <row r="7">
      <c r="A7" s="304"/>
      <c r="B7" s="305" t="s">
        <v>1487</v>
      </c>
      <c r="C7" s="306"/>
      <c r="D7" s="307"/>
      <c r="E7" s="307"/>
      <c r="F7" s="307"/>
      <c r="G7" s="308"/>
      <c r="H7" s="308"/>
      <c r="I7" s="269"/>
      <c r="J7" s="269"/>
      <c r="K7" s="308"/>
      <c r="L7" s="268"/>
      <c r="M7" s="308"/>
      <c r="N7" s="308"/>
      <c r="O7" s="308"/>
      <c r="P7" s="308"/>
      <c r="Q7" s="308"/>
      <c r="R7" s="268"/>
      <c r="S7" s="268"/>
      <c r="T7" s="268"/>
      <c r="U7" s="268"/>
      <c r="V7" s="268"/>
      <c r="W7" s="268"/>
      <c r="X7" s="268"/>
      <c r="Y7" s="308"/>
      <c r="Z7" s="269"/>
      <c r="AA7" s="308"/>
      <c r="AB7" s="268"/>
      <c r="AC7" s="310"/>
      <c r="AD7" s="310"/>
      <c r="AE7" s="310"/>
      <c r="AF7" s="268"/>
      <c r="AG7" s="269"/>
      <c r="AH7" s="311"/>
      <c r="AI7" s="312"/>
      <c r="AJ7" s="313"/>
      <c r="AK7" s="270"/>
      <c r="AL7" s="314" t="s">
        <v>434</v>
      </c>
      <c r="AM7" s="270"/>
      <c r="AN7" s="271"/>
      <c r="AO7" s="270"/>
      <c r="AP7" s="315"/>
      <c r="AQ7" s="270"/>
      <c r="AR7" s="272"/>
      <c r="AS7" s="270"/>
      <c r="AT7" s="316"/>
      <c r="AU7" s="270"/>
      <c r="AV7" s="272"/>
      <c r="AW7" s="272"/>
      <c r="AX7" s="272"/>
      <c r="AY7" s="270"/>
      <c r="AZ7" s="270"/>
      <c r="BA7" s="317"/>
      <c r="BB7" s="317"/>
      <c r="BC7" s="317"/>
      <c r="BD7" s="317"/>
      <c r="BE7" s="318">
        <v>-11.2</v>
      </c>
      <c r="BF7" s="317"/>
      <c r="BG7" s="319"/>
      <c r="BH7" s="317"/>
      <c r="BI7" s="318">
        <v>-5.5</v>
      </c>
      <c r="BJ7" s="317"/>
      <c r="BK7" s="317"/>
      <c r="BL7" s="317"/>
      <c r="BM7" s="318">
        <v>-3.3</v>
      </c>
      <c r="BN7" s="317"/>
      <c r="BO7" s="317"/>
      <c r="BP7" s="317"/>
      <c r="BQ7" s="318">
        <v>-9.7</v>
      </c>
      <c r="BR7" s="317"/>
      <c r="BS7" s="317"/>
      <c r="BT7" s="317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321"/>
      <c r="CH7" s="321"/>
      <c r="CI7" s="321"/>
      <c r="CJ7" s="321"/>
      <c r="CK7" s="322"/>
      <c r="CL7" s="322"/>
      <c r="CM7" s="322"/>
      <c r="CN7" s="322"/>
      <c r="CO7" s="322"/>
      <c r="CP7" s="322"/>
      <c r="CQ7" s="322"/>
      <c r="CR7" s="322"/>
      <c r="CS7" s="322"/>
      <c r="CT7" s="322"/>
      <c r="CU7" s="322"/>
      <c r="CV7" s="322"/>
      <c r="CW7" s="317"/>
      <c r="CX7" s="317"/>
      <c r="CY7" s="323"/>
      <c r="CZ7" s="324"/>
      <c r="DA7" s="324"/>
      <c r="DB7" s="324"/>
      <c r="DC7" s="324"/>
      <c r="DD7" s="316"/>
      <c r="DE7" s="282"/>
      <c r="DF7" s="325"/>
      <c r="DG7" s="270"/>
      <c r="DH7" s="270"/>
      <c r="DI7" s="270"/>
      <c r="DJ7" s="285"/>
      <c r="DK7" s="285"/>
      <c r="DL7" s="285"/>
      <c r="DM7" s="285"/>
      <c r="DN7" s="285"/>
      <c r="DO7" s="285"/>
      <c r="DP7" s="285"/>
      <c r="DQ7" s="285"/>
      <c r="DR7" s="285"/>
      <c r="DS7" s="285"/>
      <c r="DT7" s="285"/>
      <c r="DU7" s="285"/>
      <c r="DV7" s="285"/>
      <c r="DW7" s="285"/>
      <c r="DX7" s="285"/>
      <c r="DY7" s="285"/>
      <c r="DZ7" s="285"/>
      <c r="EA7" s="285"/>
      <c r="EB7" s="285"/>
      <c r="EC7" s="285"/>
      <c r="ED7" s="285"/>
      <c r="EE7" s="285"/>
      <c r="EF7" s="285"/>
      <c r="EG7" s="285"/>
      <c r="EH7" s="285"/>
      <c r="EI7" s="285"/>
    </row>
    <row r="8">
      <c r="A8" s="304"/>
      <c r="B8" s="305" t="s">
        <v>1945</v>
      </c>
      <c r="C8" s="306"/>
      <c r="D8" s="307"/>
      <c r="E8" s="307"/>
      <c r="F8" s="307"/>
      <c r="G8" s="308"/>
      <c r="H8" s="308"/>
      <c r="I8" s="269"/>
      <c r="J8" s="269"/>
      <c r="K8" s="308"/>
      <c r="L8" s="268"/>
      <c r="M8" s="308"/>
      <c r="N8" s="308"/>
      <c r="O8" s="308"/>
      <c r="P8" s="308"/>
      <c r="Q8" s="308"/>
      <c r="R8" s="268"/>
      <c r="S8" s="268"/>
      <c r="T8" s="268"/>
      <c r="U8" s="268"/>
      <c r="V8" s="268"/>
      <c r="W8" s="268"/>
      <c r="X8" s="268"/>
      <c r="Y8" s="308"/>
      <c r="Z8" s="269"/>
      <c r="AA8" s="308"/>
      <c r="AB8" s="268"/>
      <c r="AC8" s="310"/>
      <c r="AD8" s="310"/>
      <c r="AE8" s="310"/>
      <c r="AF8" s="268"/>
      <c r="AG8" s="269"/>
      <c r="AH8" s="311"/>
      <c r="AI8" s="312"/>
      <c r="AJ8" s="313"/>
      <c r="AK8" s="270"/>
      <c r="AL8" s="314" t="s">
        <v>427</v>
      </c>
      <c r="AM8" s="270"/>
      <c r="AN8" s="271"/>
      <c r="AO8" s="270"/>
      <c r="AP8" s="315"/>
      <c r="AQ8" s="270"/>
      <c r="AR8" s="272"/>
      <c r="AS8" s="270"/>
      <c r="AT8" s="316"/>
      <c r="AU8" s="270"/>
      <c r="AV8" s="272"/>
      <c r="AW8" s="272"/>
      <c r="AX8" s="272"/>
      <c r="AY8" s="270"/>
      <c r="AZ8" s="270"/>
      <c r="BA8" s="317"/>
      <c r="BB8" s="317"/>
      <c r="BC8" s="317"/>
      <c r="BD8" s="317"/>
      <c r="BE8" s="318">
        <v>-31.6</v>
      </c>
      <c r="BF8" s="317"/>
      <c r="BG8" s="319"/>
      <c r="BH8" s="317"/>
      <c r="BI8" s="318">
        <v>-20.3</v>
      </c>
      <c r="BJ8" s="317"/>
      <c r="BK8" s="317"/>
      <c r="BL8" s="317"/>
      <c r="BM8" s="318">
        <v>-16.8</v>
      </c>
      <c r="BN8" s="317"/>
      <c r="BO8" s="317"/>
      <c r="BP8" s="317"/>
      <c r="BQ8" s="318">
        <v>-19.2</v>
      </c>
      <c r="BR8" s="317"/>
      <c r="BS8" s="317"/>
      <c r="BT8" s="317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1"/>
      <c r="CH8" s="321"/>
      <c r="CI8" s="321"/>
      <c r="CJ8" s="321"/>
      <c r="CK8" s="322"/>
      <c r="CL8" s="322"/>
      <c r="CM8" s="322"/>
      <c r="CN8" s="322"/>
      <c r="CO8" s="322"/>
      <c r="CP8" s="322"/>
      <c r="CQ8" s="322"/>
      <c r="CR8" s="322"/>
      <c r="CS8" s="322"/>
      <c r="CT8" s="322"/>
      <c r="CU8" s="322"/>
      <c r="CV8" s="322"/>
      <c r="CW8" s="317"/>
      <c r="CX8" s="317"/>
      <c r="CY8" s="323"/>
      <c r="CZ8" s="324"/>
      <c r="DA8" s="324"/>
      <c r="DB8" s="324"/>
      <c r="DC8" s="324"/>
      <c r="DD8" s="316"/>
      <c r="DE8" s="282"/>
      <c r="DF8" s="325"/>
      <c r="DG8" s="270"/>
      <c r="DH8" s="270"/>
      <c r="DI8" s="270"/>
      <c r="DJ8" s="285"/>
      <c r="DK8" s="285"/>
      <c r="DL8" s="285"/>
      <c r="DM8" s="285"/>
      <c r="DN8" s="285"/>
      <c r="DO8" s="285"/>
      <c r="DP8" s="285"/>
      <c r="DQ8" s="285"/>
      <c r="DR8" s="285"/>
      <c r="DS8" s="285"/>
      <c r="DT8" s="285"/>
      <c r="DU8" s="285"/>
      <c r="DV8" s="285"/>
      <c r="DW8" s="285"/>
      <c r="DX8" s="285"/>
      <c r="DY8" s="285"/>
      <c r="DZ8" s="285"/>
      <c r="EA8" s="285"/>
      <c r="EB8" s="285"/>
      <c r="EC8" s="285"/>
      <c r="ED8" s="285"/>
      <c r="EE8" s="285"/>
      <c r="EF8" s="285"/>
      <c r="EG8" s="285"/>
      <c r="EH8" s="285"/>
      <c r="EI8" s="285"/>
    </row>
    <row r="9">
      <c r="A9" s="304"/>
      <c r="B9" s="305" t="s">
        <v>1284</v>
      </c>
      <c r="C9" s="306"/>
      <c r="D9" s="307"/>
      <c r="E9" s="307"/>
      <c r="F9" s="307"/>
      <c r="G9" s="308"/>
      <c r="H9" s="308"/>
      <c r="I9" s="269"/>
      <c r="J9" s="269"/>
      <c r="K9" s="308"/>
      <c r="L9" s="268"/>
      <c r="M9" s="308"/>
      <c r="N9" s="308"/>
      <c r="O9" s="308"/>
      <c r="P9" s="308"/>
      <c r="Q9" s="308"/>
      <c r="R9" s="268"/>
      <c r="S9" s="268"/>
      <c r="T9" s="268"/>
      <c r="U9" s="268"/>
      <c r="V9" s="268"/>
      <c r="W9" s="268"/>
      <c r="X9" s="268"/>
      <c r="Y9" s="308"/>
      <c r="Z9" s="269"/>
      <c r="AA9" s="308"/>
      <c r="AB9" s="268"/>
      <c r="AC9" s="310"/>
      <c r="AD9" s="310"/>
      <c r="AE9" s="310"/>
      <c r="AF9" s="268"/>
      <c r="AG9" s="269"/>
      <c r="AH9" s="311"/>
      <c r="AI9" s="312"/>
      <c r="AJ9" s="313"/>
      <c r="AK9" s="270"/>
      <c r="AL9" s="314" t="s">
        <v>395</v>
      </c>
      <c r="AM9" s="270"/>
      <c r="AN9" s="271"/>
      <c r="AO9" s="270"/>
      <c r="AP9" s="315"/>
      <c r="AQ9" s="270"/>
      <c r="AR9" s="272"/>
      <c r="AS9" s="270"/>
      <c r="AT9" s="316"/>
      <c r="AU9" s="270"/>
      <c r="AV9" s="272"/>
      <c r="AW9" s="272"/>
      <c r="AX9" s="272"/>
      <c r="AY9" s="270"/>
      <c r="AZ9" s="270"/>
      <c r="BA9" s="317"/>
      <c r="BB9" s="317"/>
      <c r="BC9" s="317"/>
      <c r="BD9" s="317"/>
      <c r="BE9" s="318">
        <v>-5.4</v>
      </c>
      <c r="BF9" s="317"/>
      <c r="BG9" s="319"/>
      <c r="BH9" s="317"/>
      <c r="BI9" s="318">
        <v>-8.2</v>
      </c>
      <c r="BJ9" s="317"/>
      <c r="BK9" s="317"/>
      <c r="BL9" s="317"/>
      <c r="BM9" s="318">
        <v>-8.5</v>
      </c>
      <c r="BN9" s="317"/>
      <c r="BO9" s="317"/>
      <c r="BP9" s="317"/>
      <c r="BQ9" s="318">
        <v>-18.9</v>
      </c>
      <c r="BR9" s="317"/>
      <c r="BS9" s="317"/>
      <c r="BT9" s="317"/>
      <c r="BU9" s="320"/>
      <c r="BV9" s="320"/>
      <c r="BW9" s="320"/>
      <c r="BX9" s="320"/>
      <c r="BY9" s="320"/>
      <c r="BZ9" s="320"/>
      <c r="CA9" s="320"/>
      <c r="CB9" s="320"/>
      <c r="CC9" s="320"/>
      <c r="CD9" s="320"/>
      <c r="CE9" s="320"/>
      <c r="CF9" s="320"/>
      <c r="CG9" s="321"/>
      <c r="CH9" s="321"/>
      <c r="CI9" s="321"/>
      <c r="CJ9" s="321"/>
      <c r="CK9" s="322"/>
      <c r="CL9" s="322"/>
      <c r="CM9" s="322"/>
      <c r="CN9" s="322"/>
      <c r="CO9" s="322"/>
      <c r="CP9" s="322"/>
      <c r="CQ9" s="322"/>
      <c r="CR9" s="322"/>
      <c r="CS9" s="322"/>
      <c r="CT9" s="322"/>
      <c r="CU9" s="322"/>
      <c r="CV9" s="322"/>
      <c r="CW9" s="317"/>
      <c r="CX9" s="317"/>
      <c r="CY9" s="323"/>
      <c r="CZ9" s="324"/>
      <c r="DA9" s="324"/>
      <c r="DB9" s="324"/>
      <c r="DC9" s="324"/>
      <c r="DD9" s="316"/>
      <c r="DE9" s="282"/>
      <c r="DF9" s="325"/>
      <c r="DG9" s="270"/>
      <c r="DH9" s="270"/>
      <c r="DI9" s="270"/>
      <c r="DJ9" s="285"/>
      <c r="DK9" s="285"/>
      <c r="DL9" s="285"/>
      <c r="DM9" s="285"/>
      <c r="DN9" s="285"/>
      <c r="DO9" s="285"/>
      <c r="DP9" s="285"/>
      <c r="DQ9" s="285"/>
      <c r="DR9" s="285"/>
      <c r="DS9" s="285"/>
      <c r="DT9" s="285"/>
      <c r="DU9" s="285"/>
      <c r="DV9" s="285"/>
      <c r="DW9" s="285"/>
      <c r="DX9" s="285"/>
      <c r="DY9" s="285"/>
      <c r="DZ9" s="285"/>
      <c r="EA9" s="285"/>
      <c r="EB9" s="285"/>
      <c r="EC9" s="285"/>
      <c r="ED9" s="285"/>
      <c r="EE9" s="285"/>
      <c r="EF9" s="285"/>
      <c r="EG9" s="285"/>
      <c r="EH9" s="285"/>
      <c r="EI9" s="285"/>
    </row>
    <row r="10">
      <c r="A10" s="304"/>
      <c r="B10" s="305" t="s">
        <v>1946</v>
      </c>
      <c r="C10" s="306"/>
      <c r="D10" s="307"/>
      <c r="E10" s="307"/>
      <c r="F10" s="307"/>
      <c r="G10" s="308"/>
      <c r="H10" s="308"/>
      <c r="I10" s="269"/>
      <c r="J10" s="269"/>
      <c r="K10" s="308"/>
      <c r="L10" s="268"/>
      <c r="M10" s="308"/>
      <c r="N10" s="308"/>
      <c r="O10" s="308"/>
      <c r="P10" s="308"/>
      <c r="Q10" s="308"/>
      <c r="R10" s="268"/>
      <c r="S10" s="268"/>
      <c r="T10" s="268"/>
      <c r="U10" s="268"/>
      <c r="V10" s="268"/>
      <c r="W10" s="268"/>
      <c r="X10" s="268"/>
      <c r="Y10" s="269"/>
      <c r="Z10" s="269"/>
      <c r="AA10" s="308"/>
      <c r="AB10" s="268"/>
      <c r="AC10" s="310"/>
      <c r="AD10" s="310"/>
      <c r="AE10" s="310"/>
      <c r="AF10" s="268"/>
      <c r="AG10" s="269"/>
      <c r="AH10" s="311"/>
      <c r="AI10" s="312"/>
      <c r="AJ10" s="313"/>
      <c r="AK10" s="270"/>
      <c r="AL10" s="314" t="s">
        <v>459</v>
      </c>
      <c r="AM10" s="270"/>
      <c r="AN10" s="271"/>
      <c r="AO10" s="270"/>
      <c r="AP10" s="315"/>
      <c r="AQ10" s="270"/>
      <c r="AR10" s="272"/>
      <c r="AS10" s="270"/>
      <c r="AT10" s="316"/>
      <c r="AU10" s="270"/>
      <c r="AV10" s="272"/>
      <c r="AW10" s="272"/>
      <c r="AX10" s="272"/>
      <c r="AY10" s="270"/>
      <c r="AZ10" s="270"/>
      <c r="BA10" s="317"/>
      <c r="BB10" s="317"/>
      <c r="BC10" s="317"/>
      <c r="BD10" s="317"/>
      <c r="BE10" s="318">
        <v>-0.6</v>
      </c>
      <c r="BF10" s="317"/>
      <c r="BG10" s="317"/>
      <c r="BH10" s="317"/>
      <c r="BI10" s="318">
        <v>0.0</v>
      </c>
      <c r="BJ10" s="317"/>
      <c r="BK10" s="317"/>
      <c r="BL10" s="317"/>
      <c r="BM10" s="318">
        <v>0.0</v>
      </c>
      <c r="BN10" s="317"/>
      <c r="BO10" s="317"/>
      <c r="BP10" s="317"/>
      <c r="BQ10" s="318">
        <v>2.1</v>
      </c>
      <c r="BR10" s="317"/>
      <c r="BS10" s="317"/>
      <c r="BT10" s="317"/>
      <c r="BU10" s="320"/>
      <c r="BV10" s="320"/>
      <c r="BW10" s="320"/>
      <c r="BX10" s="320"/>
      <c r="BY10" s="320"/>
      <c r="BZ10" s="320"/>
      <c r="CA10" s="320"/>
      <c r="CB10" s="320"/>
      <c r="CC10" s="320"/>
      <c r="CD10" s="320"/>
      <c r="CE10" s="320"/>
      <c r="CF10" s="320"/>
      <c r="CG10" s="321"/>
      <c r="CH10" s="321"/>
      <c r="CI10" s="321"/>
      <c r="CJ10" s="321"/>
      <c r="CK10" s="322"/>
      <c r="CL10" s="322"/>
      <c r="CM10" s="322"/>
      <c r="CN10" s="322"/>
      <c r="CO10" s="322"/>
      <c r="CP10" s="322"/>
      <c r="CQ10" s="322"/>
      <c r="CR10" s="322"/>
      <c r="CS10" s="322"/>
      <c r="CT10" s="322"/>
      <c r="CU10" s="322"/>
      <c r="CV10" s="322"/>
      <c r="CW10" s="317"/>
      <c r="CX10" s="317"/>
      <c r="CY10" s="323"/>
      <c r="CZ10" s="324"/>
      <c r="DA10" s="324"/>
      <c r="DB10" s="324"/>
      <c r="DC10" s="324"/>
      <c r="DD10" s="316"/>
      <c r="DE10" s="282"/>
      <c r="DF10" s="325"/>
      <c r="DG10" s="270"/>
      <c r="DH10" s="270"/>
      <c r="DI10" s="270"/>
      <c r="DJ10" s="285"/>
      <c r="DK10" s="285"/>
      <c r="DL10" s="285"/>
      <c r="DM10" s="285"/>
      <c r="DN10" s="285"/>
      <c r="DO10" s="285"/>
      <c r="DP10" s="285"/>
      <c r="DQ10" s="285"/>
      <c r="DR10" s="285"/>
      <c r="DS10" s="285"/>
      <c r="DT10" s="285"/>
      <c r="DU10" s="285"/>
      <c r="DV10" s="285"/>
      <c r="DW10" s="285"/>
      <c r="DX10" s="285"/>
      <c r="DY10" s="285"/>
      <c r="DZ10" s="285"/>
      <c r="EA10" s="285"/>
      <c r="EB10" s="285"/>
      <c r="EC10" s="285"/>
      <c r="ED10" s="285"/>
      <c r="EE10" s="285"/>
      <c r="EF10" s="285"/>
      <c r="EG10" s="285"/>
      <c r="EH10" s="285"/>
      <c r="EI10" s="285"/>
    </row>
    <row r="11">
      <c r="A11" s="326"/>
      <c r="B11" s="305" t="s">
        <v>1947</v>
      </c>
      <c r="C11" s="306"/>
      <c r="D11" s="307"/>
      <c r="E11" s="307"/>
      <c r="F11" s="307"/>
      <c r="G11" s="308"/>
      <c r="H11" s="308"/>
      <c r="I11" s="269"/>
      <c r="J11" s="269"/>
      <c r="K11" s="308"/>
      <c r="L11" s="268"/>
      <c r="M11" s="308"/>
      <c r="N11" s="308"/>
      <c r="O11" s="308"/>
      <c r="P11" s="308"/>
      <c r="Q11" s="308"/>
      <c r="R11" s="268"/>
      <c r="S11" s="268"/>
      <c r="T11" s="268"/>
      <c r="U11" s="268"/>
      <c r="V11" s="268"/>
      <c r="W11" s="268"/>
      <c r="X11" s="268"/>
      <c r="Y11" s="308"/>
      <c r="Z11" s="269"/>
      <c r="AA11" s="308"/>
      <c r="AB11" s="268"/>
      <c r="AC11" s="310"/>
      <c r="AD11" s="310"/>
      <c r="AE11" s="310"/>
      <c r="AF11" s="268"/>
      <c r="AG11" s="269"/>
      <c r="AH11" s="311"/>
      <c r="AI11" s="312"/>
      <c r="AJ11" s="313"/>
      <c r="AK11" s="270"/>
      <c r="AL11" s="314" t="s">
        <v>434</v>
      </c>
      <c r="AM11" s="270"/>
      <c r="AN11" s="271"/>
      <c r="AO11" s="270"/>
      <c r="AP11" s="315"/>
      <c r="AQ11" s="270"/>
      <c r="AR11" s="272"/>
      <c r="AS11" s="270"/>
      <c r="AT11" s="316"/>
      <c r="AU11" s="270"/>
      <c r="AV11" s="272"/>
      <c r="AW11" s="272"/>
      <c r="AX11" s="272"/>
      <c r="AY11" s="270"/>
      <c r="AZ11" s="270"/>
      <c r="BA11" s="317"/>
      <c r="BB11" s="317"/>
      <c r="BC11" s="317"/>
      <c r="BD11" s="317"/>
      <c r="BE11" s="318">
        <v>-2.0</v>
      </c>
      <c r="BF11" s="317"/>
      <c r="BG11" s="317"/>
      <c r="BH11" s="317"/>
      <c r="BI11" s="318">
        <v>-1.0</v>
      </c>
      <c r="BJ11" s="317"/>
      <c r="BK11" s="317"/>
      <c r="BL11" s="317"/>
      <c r="BM11" s="318">
        <v>-1.0</v>
      </c>
      <c r="BN11" s="317"/>
      <c r="BO11" s="317"/>
      <c r="BP11" s="317"/>
      <c r="BQ11" s="318">
        <v>-7.6</v>
      </c>
      <c r="BR11" s="317"/>
      <c r="BS11" s="317"/>
      <c r="BT11" s="317"/>
      <c r="BU11" s="320"/>
      <c r="BV11" s="320"/>
      <c r="BW11" s="320"/>
      <c r="BX11" s="320"/>
      <c r="BY11" s="320"/>
      <c r="BZ11" s="320"/>
      <c r="CA11" s="320"/>
      <c r="CB11" s="320"/>
      <c r="CC11" s="320"/>
      <c r="CD11" s="320"/>
      <c r="CE11" s="320"/>
      <c r="CF11" s="320"/>
      <c r="CG11" s="321"/>
      <c r="CH11" s="321"/>
      <c r="CI11" s="321"/>
      <c r="CJ11" s="321"/>
      <c r="CK11" s="322"/>
      <c r="CL11" s="322"/>
      <c r="CM11" s="322"/>
      <c r="CN11" s="322"/>
      <c r="CO11" s="322"/>
      <c r="CP11" s="322"/>
      <c r="CQ11" s="322"/>
      <c r="CR11" s="322"/>
      <c r="CS11" s="322"/>
      <c r="CT11" s="322"/>
      <c r="CU11" s="322"/>
      <c r="CV11" s="322"/>
      <c r="CW11" s="317"/>
      <c r="CX11" s="317"/>
      <c r="CY11" s="323"/>
      <c r="CZ11" s="324"/>
      <c r="DA11" s="324"/>
      <c r="DB11" s="324"/>
      <c r="DC11" s="324"/>
      <c r="DD11" s="316"/>
      <c r="DE11" s="282"/>
      <c r="DF11" s="325"/>
      <c r="DG11" s="270"/>
      <c r="DH11" s="270"/>
      <c r="DI11" s="270"/>
      <c r="DJ11" s="285"/>
      <c r="DK11" s="285"/>
      <c r="DL11" s="285"/>
      <c r="DM11" s="285"/>
      <c r="DN11" s="285"/>
      <c r="DO11" s="285"/>
      <c r="DP11" s="285"/>
      <c r="DQ11" s="285"/>
      <c r="DR11" s="285"/>
      <c r="DS11" s="285"/>
      <c r="DT11" s="285"/>
      <c r="DU11" s="285"/>
      <c r="DV11" s="285"/>
      <c r="DW11" s="285"/>
      <c r="DX11" s="285"/>
      <c r="DY11" s="285"/>
      <c r="DZ11" s="285"/>
      <c r="EA11" s="285"/>
      <c r="EB11" s="285"/>
      <c r="EC11" s="285"/>
      <c r="ED11" s="285"/>
      <c r="EE11" s="285"/>
      <c r="EF11" s="285"/>
      <c r="EG11" s="285"/>
      <c r="EH11" s="285"/>
      <c r="EI11" s="285"/>
    </row>
    <row r="12">
      <c r="A12" s="304"/>
      <c r="B12" s="305" t="s">
        <v>1948</v>
      </c>
      <c r="C12" s="306"/>
      <c r="D12" s="307"/>
      <c r="E12" s="307"/>
      <c r="F12" s="307"/>
      <c r="G12" s="308"/>
      <c r="H12" s="308"/>
      <c r="I12" s="269"/>
      <c r="J12" s="269"/>
      <c r="K12" s="308"/>
      <c r="L12" s="268"/>
      <c r="M12" s="308"/>
      <c r="N12" s="308"/>
      <c r="O12" s="308"/>
      <c r="P12" s="308"/>
      <c r="Q12" s="308"/>
      <c r="R12" s="268"/>
      <c r="S12" s="268"/>
      <c r="T12" s="268"/>
      <c r="U12" s="268"/>
      <c r="V12" s="268"/>
      <c r="W12" s="268"/>
      <c r="X12" s="268"/>
      <c r="Y12" s="308"/>
      <c r="Z12" s="269"/>
      <c r="AA12" s="308"/>
      <c r="AB12" s="268"/>
      <c r="AC12" s="310"/>
      <c r="AD12" s="310"/>
      <c r="AE12" s="310"/>
      <c r="AF12" s="268"/>
      <c r="AG12" s="269"/>
      <c r="AH12" s="311"/>
      <c r="AI12" s="312"/>
      <c r="AJ12" s="313"/>
      <c r="AK12" s="270"/>
      <c r="AL12" s="314" t="s">
        <v>1471</v>
      </c>
      <c r="AM12" s="270"/>
      <c r="AN12" s="271"/>
      <c r="AO12" s="270"/>
      <c r="AP12" s="315"/>
      <c r="AQ12" s="270"/>
      <c r="AR12" s="272"/>
      <c r="AS12" s="270"/>
      <c r="AT12" s="316"/>
      <c r="AU12" s="270"/>
      <c r="AV12" s="272"/>
      <c r="AW12" s="272"/>
      <c r="AX12" s="272"/>
      <c r="AY12" s="270"/>
      <c r="AZ12" s="270"/>
      <c r="BA12" s="317"/>
      <c r="BB12" s="317"/>
      <c r="BC12" s="317"/>
      <c r="BD12" s="317"/>
      <c r="BE12" s="318">
        <v>-8.4</v>
      </c>
      <c r="BF12" s="317"/>
      <c r="BG12" s="317"/>
      <c r="BH12" s="317"/>
      <c r="BI12" s="318">
        <v>-3.4</v>
      </c>
      <c r="BJ12" s="317"/>
      <c r="BK12" s="317"/>
      <c r="BL12" s="317"/>
      <c r="BM12" s="318">
        <v>-2.3</v>
      </c>
      <c r="BN12" s="317"/>
      <c r="BO12" s="317"/>
      <c r="BP12" s="317"/>
      <c r="BQ12" s="318">
        <v>-7.8</v>
      </c>
      <c r="BR12" s="317"/>
      <c r="BS12" s="317"/>
      <c r="BT12" s="317"/>
      <c r="BU12" s="320"/>
      <c r="BV12" s="320"/>
      <c r="BW12" s="320"/>
      <c r="BX12" s="320"/>
      <c r="BY12" s="320"/>
      <c r="BZ12" s="320"/>
      <c r="CA12" s="320"/>
      <c r="CB12" s="320"/>
      <c r="CC12" s="320"/>
      <c r="CD12" s="320"/>
      <c r="CE12" s="320"/>
      <c r="CF12" s="320"/>
      <c r="CG12" s="321"/>
      <c r="CH12" s="321"/>
      <c r="CI12" s="321"/>
      <c r="CJ12" s="321"/>
      <c r="CK12" s="322"/>
      <c r="CL12" s="322"/>
      <c r="CM12" s="322"/>
      <c r="CN12" s="322"/>
      <c r="CO12" s="322"/>
      <c r="CP12" s="322"/>
      <c r="CQ12" s="322"/>
      <c r="CR12" s="322"/>
      <c r="CS12" s="322"/>
      <c r="CT12" s="322"/>
      <c r="CU12" s="322"/>
      <c r="CV12" s="322"/>
      <c r="CW12" s="317"/>
      <c r="CX12" s="317"/>
      <c r="CY12" s="323"/>
      <c r="CZ12" s="324"/>
      <c r="DA12" s="324"/>
      <c r="DB12" s="324"/>
      <c r="DC12" s="324"/>
      <c r="DD12" s="316"/>
      <c r="DE12" s="282"/>
      <c r="DF12" s="325"/>
      <c r="DG12" s="270"/>
      <c r="DH12" s="270"/>
      <c r="DI12" s="270"/>
      <c r="DJ12" s="285"/>
      <c r="DK12" s="285"/>
      <c r="DL12" s="285"/>
      <c r="DM12" s="285"/>
      <c r="DN12" s="285"/>
      <c r="DO12" s="285"/>
      <c r="DP12" s="285"/>
      <c r="DQ12" s="285"/>
      <c r="DR12" s="285"/>
      <c r="DS12" s="285"/>
      <c r="DT12" s="285"/>
      <c r="DU12" s="285"/>
      <c r="DV12" s="285"/>
      <c r="DW12" s="285"/>
      <c r="DX12" s="285"/>
      <c r="DY12" s="285"/>
      <c r="DZ12" s="285"/>
      <c r="EA12" s="285"/>
      <c r="EB12" s="285"/>
      <c r="EC12" s="285"/>
      <c r="ED12" s="285"/>
      <c r="EE12" s="285"/>
      <c r="EF12" s="285"/>
      <c r="EG12" s="285"/>
      <c r="EH12" s="285"/>
      <c r="EI12" s="285"/>
    </row>
    <row r="13">
      <c r="A13" s="326"/>
      <c r="B13" s="305" t="s">
        <v>1949</v>
      </c>
      <c r="C13" s="306"/>
      <c r="D13" s="307"/>
      <c r="E13" s="307"/>
      <c r="F13" s="307"/>
      <c r="G13" s="308"/>
      <c r="H13" s="308"/>
      <c r="I13" s="269"/>
      <c r="J13" s="269"/>
      <c r="K13" s="308"/>
      <c r="L13" s="268"/>
      <c r="M13" s="308"/>
      <c r="N13" s="308"/>
      <c r="O13" s="308"/>
      <c r="P13" s="308"/>
      <c r="Q13" s="308"/>
      <c r="R13" s="268"/>
      <c r="S13" s="268"/>
      <c r="T13" s="268"/>
      <c r="U13" s="268"/>
      <c r="V13" s="268"/>
      <c r="W13" s="268"/>
      <c r="X13" s="268"/>
      <c r="Y13" s="308"/>
      <c r="Z13" s="269"/>
      <c r="AA13" s="308"/>
      <c r="AB13" s="268"/>
      <c r="AC13" s="310"/>
      <c r="AD13" s="310"/>
      <c r="AE13" s="310"/>
      <c r="AF13" s="268"/>
      <c r="AG13" s="269"/>
      <c r="AH13" s="311"/>
      <c r="AI13" s="312"/>
      <c r="AJ13" s="313"/>
      <c r="AK13" s="270"/>
      <c r="AL13" s="314" t="s">
        <v>434</v>
      </c>
      <c r="AM13" s="270"/>
      <c r="AN13" s="271"/>
      <c r="AO13" s="270"/>
      <c r="AP13" s="315"/>
      <c r="AQ13" s="270"/>
      <c r="AR13" s="272"/>
      <c r="AS13" s="270"/>
      <c r="AT13" s="316"/>
      <c r="AU13" s="270"/>
      <c r="AV13" s="272"/>
      <c r="AW13" s="272"/>
      <c r="AX13" s="272"/>
      <c r="AY13" s="270"/>
      <c r="AZ13" s="270"/>
      <c r="BA13" s="317"/>
      <c r="BB13" s="317"/>
      <c r="BC13" s="317"/>
      <c r="BD13" s="317"/>
      <c r="BE13" s="318">
        <v>-1.5</v>
      </c>
      <c r="BF13" s="317"/>
      <c r="BG13" s="317"/>
      <c r="BH13" s="317"/>
      <c r="BI13" s="318">
        <v>-1.0</v>
      </c>
      <c r="BJ13" s="317"/>
      <c r="BK13" s="317"/>
      <c r="BL13" s="317"/>
      <c r="BM13" s="318">
        <v>-1.0</v>
      </c>
      <c r="BN13" s="317"/>
      <c r="BO13" s="317"/>
      <c r="BP13" s="317"/>
      <c r="BQ13" s="318">
        <v>-4.5</v>
      </c>
      <c r="BR13" s="317"/>
      <c r="BS13" s="317"/>
      <c r="BT13" s="317"/>
      <c r="BU13" s="320"/>
      <c r="BV13" s="320"/>
      <c r="BW13" s="320"/>
      <c r="BX13" s="320"/>
      <c r="BY13" s="320"/>
      <c r="BZ13" s="320"/>
      <c r="CA13" s="320"/>
      <c r="CB13" s="320"/>
      <c r="CC13" s="320"/>
      <c r="CD13" s="320"/>
      <c r="CE13" s="320"/>
      <c r="CF13" s="320"/>
      <c r="CG13" s="321"/>
      <c r="CH13" s="321"/>
      <c r="CI13" s="321"/>
      <c r="CJ13" s="321"/>
      <c r="CK13" s="322"/>
      <c r="CL13" s="322"/>
      <c r="CM13" s="322"/>
      <c r="CN13" s="322"/>
      <c r="CO13" s="322"/>
      <c r="CP13" s="322"/>
      <c r="CQ13" s="322"/>
      <c r="CR13" s="322"/>
      <c r="CS13" s="322"/>
      <c r="CT13" s="322"/>
      <c r="CU13" s="322"/>
      <c r="CV13" s="322"/>
      <c r="CW13" s="317"/>
      <c r="CX13" s="317"/>
      <c r="CY13" s="323"/>
      <c r="CZ13" s="324"/>
      <c r="DA13" s="324"/>
      <c r="DB13" s="324"/>
      <c r="DC13" s="324"/>
      <c r="DD13" s="316"/>
      <c r="DE13" s="282"/>
      <c r="DF13" s="325"/>
      <c r="DG13" s="270"/>
      <c r="DH13" s="270"/>
      <c r="DI13" s="270"/>
      <c r="DJ13" s="285"/>
      <c r="DK13" s="285"/>
      <c r="DL13" s="285"/>
      <c r="DM13" s="285"/>
      <c r="DN13" s="285"/>
      <c r="DO13" s="285"/>
      <c r="DP13" s="285"/>
      <c r="DQ13" s="285"/>
      <c r="DR13" s="285"/>
      <c r="DS13" s="285"/>
      <c r="DT13" s="285"/>
      <c r="DU13" s="285"/>
      <c r="DV13" s="285"/>
      <c r="DW13" s="285"/>
      <c r="DX13" s="285"/>
      <c r="DY13" s="285"/>
      <c r="DZ13" s="285"/>
      <c r="EA13" s="285"/>
      <c r="EB13" s="285"/>
      <c r="EC13" s="285"/>
      <c r="ED13" s="285"/>
      <c r="EE13" s="285"/>
      <c r="EF13" s="285"/>
      <c r="EG13" s="285"/>
      <c r="EH13" s="285"/>
      <c r="EI13" s="285"/>
    </row>
    <row r="14">
      <c r="A14" s="304"/>
      <c r="B14" s="305" t="s">
        <v>464</v>
      </c>
      <c r="C14" s="306"/>
      <c r="D14" s="307"/>
      <c r="E14" s="307"/>
      <c r="F14" s="307"/>
      <c r="G14" s="308"/>
      <c r="H14" s="308"/>
      <c r="I14" s="269"/>
      <c r="J14" s="269"/>
      <c r="K14" s="308"/>
      <c r="L14" s="268"/>
      <c r="M14" s="308"/>
      <c r="N14" s="308"/>
      <c r="O14" s="308"/>
      <c r="P14" s="308"/>
      <c r="Q14" s="308"/>
      <c r="R14" s="268"/>
      <c r="S14" s="268"/>
      <c r="T14" s="268"/>
      <c r="U14" s="268"/>
      <c r="V14" s="268"/>
      <c r="W14" s="268"/>
      <c r="X14" s="268"/>
      <c r="Y14" s="308"/>
      <c r="Z14" s="269"/>
      <c r="AA14" s="308"/>
      <c r="AB14" s="268"/>
      <c r="AC14" s="310"/>
      <c r="AD14" s="310"/>
      <c r="AE14" s="310"/>
      <c r="AF14" s="268"/>
      <c r="AG14" s="269"/>
      <c r="AH14" s="311"/>
      <c r="AI14" s="312"/>
      <c r="AJ14" s="313"/>
      <c r="AK14" s="270"/>
      <c r="AL14" s="314" t="s">
        <v>434</v>
      </c>
      <c r="AM14" s="270"/>
      <c r="AN14" s="271"/>
      <c r="AO14" s="270"/>
      <c r="AP14" s="315"/>
      <c r="AQ14" s="270"/>
      <c r="AR14" s="272"/>
      <c r="AS14" s="270"/>
      <c r="AT14" s="316"/>
      <c r="AU14" s="270"/>
      <c r="AV14" s="272"/>
      <c r="AW14" s="272"/>
      <c r="AX14" s="272"/>
      <c r="AY14" s="270"/>
      <c r="AZ14" s="270"/>
      <c r="BA14" s="317"/>
      <c r="BB14" s="317"/>
      <c r="BC14" s="317"/>
      <c r="BD14" s="317"/>
      <c r="BE14" s="318">
        <v>2.1</v>
      </c>
      <c r="BF14" s="317"/>
      <c r="BG14" s="317"/>
      <c r="BH14" s="317"/>
      <c r="BI14" s="318">
        <v>-3.0</v>
      </c>
      <c r="BJ14" s="317"/>
      <c r="BK14" s="317"/>
      <c r="BL14" s="317"/>
      <c r="BM14" s="318">
        <v>-1.0</v>
      </c>
      <c r="BN14" s="317"/>
      <c r="BO14" s="317"/>
      <c r="BP14" s="317"/>
      <c r="BQ14" s="318">
        <v>-6.8</v>
      </c>
      <c r="BR14" s="317"/>
      <c r="BS14" s="317"/>
      <c r="BT14" s="317"/>
      <c r="BU14" s="320"/>
      <c r="BV14" s="320"/>
      <c r="BW14" s="320"/>
      <c r="BX14" s="320"/>
      <c r="BY14" s="320"/>
      <c r="BZ14" s="320"/>
      <c r="CA14" s="320"/>
      <c r="CB14" s="320"/>
      <c r="CC14" s="320"/>
      <c r="CD14" s="320"/>
      <c r="CE14" s="320"/>
      <c r="CF14" s="320"/>
      <c r="CG14" s="321"/>
      <c r="CH14" s="321"/>
      <c r="CI14" s="321"/>
      <c r="CJ14" s="321"/>
      <c r="CK14" s="322"/>
      <c r="CL14" s="322"/>
      <c r="CM14" s="322"/>
      <c r="CN14" s="322"/>
      <c r="CO14" s="322"/>
      <c r="CP14" s="322"/>
      <c r="CQ14" s="322"/>
      <c r="CR14" s="322"/>
      <c r="CS14" s="322"/>
      <c r="CT14" s="322"/>
      <c r="CU14" s="322"/>
      <c r="CV14" s="322"/>
      <c r="CW14" s="317"/>
      <c r="CX14" s="317"/>
      <c r="CY14" s="323"/>
      <c r="CZ14" s="324"/>
      <c r="DA14" s="324"/>
      <c r="DB14" s="324"/>
      <c r="DC14" s="324"/>
      <c r="DD14" s="316"/>
      <c r="DE14" s="282"/>
      <c r="DF14" s="325"/>
      <c r="DG14" s="270"/>
      <c r="DH14" s="270"/>
      <c r="DI14" s="270"/>
      <c r="DJ14" s="285"/>
      <c r="DK14" s="285"/>
      <c r="DL14" s="285"/>
      <c r="DM14" s="285"/>
      <c r="DN14" s="285"/>
      <c r="DO14" s="285"/>
      <c r="DP14" s="285"/>
      <c r="DQ14" s="285"/>
      <c r="DR14" s="285"/>
      <c r="DS14" s="285"/>
      <c r="DT14" s="285"/>
      <c r="DU14" s="285"/>
      <c r="DV14" s="285"/>
      <c r="DW14" s="285"/>
      <c r="DX14" s="285"/>
      <c r="DY14" s="285"/>
      <c r="DZ14" s="285"/>
      <c r="EA14" s="285"/>
      <c r="EB14" s="285"/>
      <c r="EC14" s="285"/>
      <c r="ED14" s="285"/>
      <c r="EE14" s="285"/>
      <c r="EF14" s="285"/>
      <c r="EG14" s="285"/>
      <c r="EH14" s="285"/>
      <c r="EI14" s="285"/>
    </row>
    <row r="15">
      <c r="A15" s="304" t="s">
        <v>1950</v>
      </c>
      <c r="B15" s="327" t="s">
        <v>1951</v>
      </c>
      <c r="C15" s="306"/>
      <c r="D15" s="307"/>
      <c r="E15" s="307"/>
      <c r="F15" s="307"/>
      <c r="G15" s="307"/>
      <c r="H15" s="308">
        <v>165.3833</v>
      </c>
      <c r="I15" s="308">
        <v>-77.3069</v>
      </c>
      <c r="J15" s="269" t="s">
        <v>268</v>
      </c>
      <c r="K15" s="269" t="s">
        <v>169</v>
      </c>
      <c r="L15" s="308">
        <v>2.0</v>
      </c>
      <c r="M15" s="269"/>
      <c r="N15" s="269"/>
      <c r="O15" s="308">
        <v>173.1301939</v>
      </c>
      <c r="P15" s="308">
        <v>-24.715</v>
      </c>
      <c r="Q15" s="308">
        <v>0.578</v>
      </c>
      <c r="R15" s="308">
        <v>1.682</v>
      </c>
      <c r="S15" s="308">
        <v>0.515</v>
      </c>
      <c r="T15" s="268"/>
      <c r="U15" s="268"/>
      <c r="V15" s="269"/>
      <c r="W15" s="269"/>
      <c r="X15" s="310">
        <v>14.63</v>
      </c>
      <c r="Y15" s="268"/>
      <c r="Z15" s="310"/>
      <c r="AA15" s="310"/>
      <c r="AB15" s="310">
        <v>13.54</v>
      </c>
      <c r="AC15" s="268"/>
      <c r="AD15" s="308">
        <v>0.0</v>
      </c>
      <c r="AE15" s="268"/>
      <c r="AF15" s="268"/>
      <c r="AG15" s="268"/>
      <c r="AH15" s="328" t="s">
        <v>628</v>
      </c>
      <c r="AI15" s="269"/>
      <c r="AJ15" s="269"/>
      <c r="AK15" s="329" t="s">
        <v>598</v>
      </c>
      <c r="AL15" s="330">
        <v>2003.0</v>
      </c>
      <c r="AM15" s="270"/>
      <c r="AN15" s="272" t="s">
        <v>318</v>
      </c>
      <c r="AO15" s="270"/>
      <c r="AP15" s="315">
        <v>2710.0</v>
      </c>
      <c r="AQ15" s="270"/>
      <c r="AR15" s="331">
        <v>0.035</v>
      </c>
      <c r="AS15" s="270"/>
      <c r="AT15" s="314">
        <v>0.0044</v>
      </c>
      <c r="AU15" s="270"/>
      <c r="AV15" s="316">
        <v>0.3</v>
      </c>
      <c r="AW15" s="270"/>
      <c r="AX15" s="332"/>
      <c r="AY15" s="272"/>
      <c r="AZ15" s="314" t="s">
        <v>226</v>
      </c>
      <c r="BA15" s="270" t="s">
        <v>596</v>
      </c>
      <c r="BB15" s="270" t="s">
        <v>597</v>
      </c>
      <c r="BC15" s="333">
        <v>-66.8</v>
      </c>
      <c r="BD15" s="334"/>
      <c r="BE15" s="334"/>
      <c r="BF15" s="334"/>
      <c r="BG15" s="335"/>
      <c r="BH15" s="335"/>
      <c r="BI15" s="335"/>
      <c r="BJ15" s="335"/>
      <c r="BK15" s="336"/>
      <c r="BL15" s="336"/>
      <c r="BM15" s="336"/>
      <c r="BN15" s="336"/>
      <c r="BO15" s="337"/>
      <c r="BP15" s="337"/>
      <c r="BQ15" s="337"/>
      <c r="BR15" s="337"/>
      <c r="BS15" s="338"/>
      <c r="BT15" s="338"/>
      <c r="BU15" s="338"/>
      <c r="BV15" s="338"/>
      <c r="BW15" s="339"/>
      <c r="BX15" s="339"/>
      <c r="BY15" s="339"/>
      <c r="BZ15" s="339"/>
      <c r="CA15" s="340"/>
      <c r="CB15" s="340"/>
      <c r="CC15" s="340"/>
      <c r="CD15" s="340"/>
      <c r="CE15" s="341"/>
      <c r="CF15" s="341"/>
      <c r="CG15" s="341"/>
      <c r="CH15" s="341"/>
      <c r="CI15" s="342"/>
      <c r="CJ15" s="342"/>
      <c r="CK15" s="342"/>
      <c r="CL15" s="342"/>
      <c r="CM15" s="343"/>
      <c r="CN15" s="343"/>
      <c r="CO15" s="343"/>
      <c r="CP15" s="343"/>
      <c r="CQ15" s="344"/>
      <c r="CR15" s="344"/>
      <c r="CS15" s="344"/>
      <c r="CT15" s="344"/>
      <c r="CU15" s="345"/>
      <c r="CV15" s="345"/>
      <c r="CW15" s="345"/>
      <c r="CX15" s="345"/>
      <c r="CY15" s="346"/>
      <c r="CZ15" s="346"/>
      <c r="DA15" s="346"/>
      <c r="DB15" s="346"/>
      <c r="DC15" s="347"/>
      <c r="DD15" s="347"/>
      <c r="DE15" s="348"/>
      <c r="DF15" s="348"/>
      <c r="DG15" s="348"/>
      <c r="DH15" s="324"/>
      <c r="DI15" s="317"/>
      <c r="DJ15" s="272"/>
      <c r="DK15" s="282"/>
      <c r="DL15" s="270"/>
      <c r="DM15" s="270"/>
      <c r="DN15" s="270"/>
      <c r="DO15" s="272"/>
      <c r="DP15" s="272"/>
      <c r="DQ15" s="285"/>
      <c r="DR15" s="285"/>
      <c r="DS15" s="285"/>
      <c r="DT15" s="349">
        <v>0.0258</v>
      </c>
      <c r="DU15" s="349">
        <v>0.35</v>
      </c>
      <c r="DV15" s="285"/>
      <c r="DW15" s="285"/>
      <c r="DX15" s="285"/>
      <c r="DY15" s="285"/>
      <c r="DZ15" s="285"/>
      <c r="EA15" s="285"/>
      <c r="EB15" s="285"/>
      <c r="EC15" s="285"/>
      <c r="ED15" s="285"/>
      <c r="EE15" s="285"/>
      <c r="EF15" s="285"/>
      <c r="EG15" s="285"/>
      <c r="EH15" s="285"/>
      <c r="EI15" s="285"/>
    </row>
    <row r="16">
      <c r="A16" s="304" t="s">
        <v>396</v>
      </c>
      <c r="B16" s="350" t="s">
        <v>396</v>
      </c>
      <c r="C16" s="306"/>
      <c r="D16" s="307"/>
      <c r="E16" s="264"/>
      <c r="F16" s="264" t="s">
        <v>137</v>
      </c>
      <c r="G16" s="307"/>
      <c r="H16" s="308">
        <v>73.94822</v>
      </c>
      <c r="I16" s="308">
        <v>30.468815</v>
      </c>
      <c r="J16" s="269" t="s">
        <v>199</v>
      </c>
      <c r="K16" s="269" t="s">
        <v>159</v>
      </c>
      <c r="L16" s="308">
        <v>1.0</v>
      </c>
      <c r="M16" s="268"/>
      <c r="N16" s="268"/>
      <c r="O16" s="308">
        <v>156.7373552</v>
      </c>
      <c r="P16" s="308">
        <v>3.477</v>
      </c>
      <c r="Q16" s="308">
        <v>0.223</v>
      </c>
      <c r="R16" s="308">
        <v>-23.996</v>
      </c>
      <c r="S16" s="308">
        <v>0.13</v>
      </c>
      <c r="T16" s="268"/>
      <c r="U16" s="268"/>
      <c r="V16" s="269"/>
      <c r="W16" s="269"/>
      <c r="X16" s="310">
        <v>11.05</v>
      </c>
      <c r="Y16" s="268"/>
      <c r="Z16" s="310"/>
      <c r="AA16" s="310"/>
      <c r="AB16" s="310">
        <v>9.98</v>
      </c>
      <c r="AC16" s="268"/>
      <c r="AD16" s="269"/>
      <c r="AE16" s="268"/>
      <c r="AF16" s="268"/>
      <c r="AG16" s="268"/>
      <c r="AH16" s="269"/>
      <c r="AI16" s="269"/>
      <c r="AJ16" s="311"/>
      <c r="AK16" s="329" t="s">
        <v>598</v>
      </c>
      <c r="AL16" s="330">
        <v>2003.0</v>
      </c>
      <c r="AM16" s="270"/>
      <c r="AN16" s="272" t="s">
        <v>398</v>
      </c>
      <c r="AO16" s="270"/>
      <c r="AP16" s="315">
        <v>3161.0</v>
      </c>
      <c r="AQ16" s="270"/>
      <c r="AR16" s="331">
        <v>0.2</v>
      </c>
      <c r="AS16" s="270"/>
      <c r="AT16" s="314">
        <v>0.098</v>
      </c>
      <c r="AU16" s="270"/>
      <c r="AV16" s="316">
        <v>1.0</v>
      </c>
      <c r="AW16" s="270"/>
      <c r="AX16" s="332"/>
      <c r="AY16" s="272"/>
      <c r="AZ16" s="314" t="s">
        <v>226</v>
      </c>
      <c r="BA16" s="270" t="s">
        <v>596</v>
      </c>
      <c r="BB16" s="270" t="s">
        <v>597</v>
      </c>
      <c r="BC16" s="351">
        <v>-24.5</v>
      </c>
      <c r="BD16" s="334"/>
      <c r="BE16" s="334"/>
      <c r="BF16" s="334"/>
      <c r="BG16" s="335"/>
      <c r="BH16" s="335"/>
      <c r="BI16" s="335"/>
      <c r="BJ16" s="335"/>
      <c r="BK16" s="336"/>
      <c r="BL16" s="336"/>
      <c r="BM16" s="336"/>
      <c r="BN16" s="336"/>
      <c r="BO16" s="337"/>
      <c r="BP16" s="337"/>
      <c r="BQ16" s="337"/>
      <c r="BR16" s="337"/>
      <c r="BS16" s="338"/>
      <c r="BT16" s="338"/>
      <c r="BU16" s="338"/>
      <c r="BV16" s="338"/>
      <c r="BW16" s="339"/>
      <c r="BX16" s="339"/>
      <c r="BY16" s="339"/>
      <c r="BZ16" s="339"/>
      <c r="CA16" s="340"/>
      <c r="CB16" s="340"/>
      <c r="CC16" s="340"/>
      <c r="CD16" s="340"/>
      <c r="CE16" s="341"/>
      <c r="CF16" s="341"/>
      <c r="CG16" s="341"/>
      <c r="CH16" s="341"/>
      <c r="CI16" s="342"/>
      <c r="CJ16" s="342"/>
      <c r="CK16" s="342"/>
      <c r="CL16" s="342"/>
      <c r="CM16" s="343"/>
      <c r="CN16" s="343"/>
      <c r="CO16" s="343"/>
      <c r="CP16" s="343"/>
      <c r="CQ16" s="344"/>
      <c r="CR16" s="344"/>
      <c r="CS16" s="344"/>
      <c r="CT16" s="344"/>
      <c r="CU16" s="345"/>
      <c r="CV16" s="345"/>
      <c r="CW16" s="345"/>
      <c r="CX16" s="345"/>
      <c r="CY16" s="346"/>
      <c r="CZ16" s="346"/>
      <c r="DA16" s="346"/>
      <c r="DB16" s="346"/>
      <c r="DC16" s="347"/>
      <c r="DD16" s="347"/>
      <c r="DE16" s="352"/>
      <c r="DF16" s="352"/>
      <c r="DG16" s="352"/>
      <c r="DH16" s="317"/>
      <c r="DI16" s="317"/>
      <c r="DJ16" s="270"/>
      <c r="DK16" s="282"/>
      <c r="DL16" s="270"/>
      <c r="DM16" s="270"/>
      <c r="DN16" s="270"/>
      <c r="DO16" s="353"/>
      <c r="DP16" s="353" t="s">
        <v>599</v>
      </c>
      <c r="DQ16" s="354"/>
      <c r="DR16" s="285"/>
      <c r="DS16" s="285"/>
      <c r="DT16" s="285"/>
      <c r="DU16" s="285"/>
      <c r="DV16" s="285"/>
      <c r="DW16" s="285"/>
      <c r="DX16" s="285"/>
      <c r="DY16" s="285"/>
      <c r="DZ16" s="285"/>
      <c r="EA16" s="285"/>
      <c r="EB16" s="285"/>
      <c r="EC16" s="285"/>
      <c r="ED16" s="285"/>
      <c r="EE16" s="285"/>
      <c r="EF16" s="285"/>
      <c r="EG16" s="285"/>
      <c r="EH16" s="285"/>
      <c r="EI16" s="285"/>
    </row>
    <row r="17">
      <c r="A17" s="304" t="s">
        <v>1952</v>
      </c>
      <c r="B17" s="350" t="s">
        <v>1953</v>
      </c>
      <c r="C17" s="306"/>
      <c r="D17" s="307"/>
      <c r="E17" s="307"/>
      <c r="F17" s="307" t="s">
        <v>137</v>
      </c>
      <c r="G17" s="307"/>
      <c r="H17" s="308">
        <v>167.9750083</v>
      </c>
      <c r="I17" s="308">
        <v>-76.3253167</v>
      </c>
      <c r="J17" s="269" t="s">
        <v>676</v>
      </c>
      <c r="K17" s="268" t="s">
        <v>189</v>
      </c>
      <c r="L17" s="308">
        <v>2.0</v>
      </c>
      <c r="M17" s="268"/>
      <c r="N17" s="268"/>
      <c r="O17" s="269"/>
      <c r="P17" s="269"/>
      <c r="Q17" s="269"/>
      <c r="R17" s="269"/>
      <c r="S17" s="269"/>
      <c r="T17" s="268"/>
      <c r="U17" s="268"/>
      <c r="V17" s="308">
        <v>13.98</v>
      </c>
      <c r="W17" s="269"/>
      <c r="X17" s="308">
        <v>10.2</v>
      </c>
      <c r="Y17" s="268"/>
      <c r="Z17" s="310"/>
      <c r="AA17" s="308"/>
      <c r="AB17" s="310">
        <v>9.23</v>
      </c>
      <c r="AC17" s="268"/>
      <c r="AD17" s="269"/>
      <c r="AE17" s="269"/>
      <c r="AF17" s="268"/>
      <c r="AG17" s="268"/>
      <c r="AH17" s="269"/>
      <c r="AI17" s="268"/>
      <c r="AJ17" s="268"/>
      <c r="AK17" s="329" t="s">
        <v>598</v>
      </c>
      <c r="AL17" s="330">
        <v>2003.0</v>
      </c>
      <c r="AM17" s="272"/>
      <c r="AN17" s="272" t="s">
        <v>1285</v>
      </c>
      <c r="AO17" s="270"/>
      <c r="AP17" s="315">
        <v>3430.0</v>
      </c>
      <c r="AQ17" s="270"/>
      <c r="AR17" s="331">
        <v>0.44</v>
      </c>
      <c r="AS17" s="270"/>
      <c r="AT17" s="314">
        <v>0.34</v>
      </c>
      <c r="AU17" s="270"/>
      <c r="AV17" s="316">
        <v>1.7</v>
      </c>
      <c r="AW17" s="270"/>
      <c r="AX17" s="332"/>
      <c r="AY17" s="272"/>
      <c r="AZ17" s="314" t="s">
        <v>226</v>
      </c>
      <c r="BA17" s="270" t="s">
        <v>596</v>
      </c>
      <c r="BB17" s="270" t="s">
        <v>597</v>
      </c>
      <c r="BC17" s="351">
        <v>0.0</v>
      </c>
      <c r="BD17" s="334"/>
      <c r="BE17" s="334"/>
      <c r="BF17" s="334"/>
      <c r="BG17" s="335"/>
      <c r="BH17" s="335"/>
      <c r="BI17" s="335"/>
      <c r="BJ17" s="335"/>
      <c r="BK17" s="336"/>
      <c r="BL17" s="336"/>
      <c r="BM17" s="336"/>
      <c r="BN17" s="336"/>
      <c r="BO17" s="337"/>
      <c r="BP17" s="337"/>
      <c r="BQ17" s="337"/>
      <c r="BR17" s="337"/>
      <c r="BS17" s="338"/>
      <c r="BT17" s="338"/>
      <c r="BU17" s="338"/>
      <c r="BV17" s="338"/>
      <c r="BW17" s="339"/>
      <c r="BX17" s="339"/>
      <c r="BY17" s="339"/>
      <c r="BZ17" s="339"/>
      <c r="CA17" s="340"/>
      <c r="CB17" s="340"/>
      <c r="CC17" s="340"/>
      <c r="CD17" s="340"/>
      <c r="CE17" s="341"/>
      <c r="CF17" s="341"/>
      <c r="CG17" s="341"/>
      <c r="CH17" s="341"/>
      <c r="CI17" s="342"/>
      <c r="CJ17" s="342"/>
      <c r="CK17" s="342"/>
      <c r="CL17" s="342"/>
      <c r="CM17" s="343"/>
      <c r="CN17" s="343"/>
      <c r="CO17" s="343"/>
      <c r="CP17" s="343"/>
      <c r="CQ17" s="344"/>
      <c r="CR17" s="344"/>
      <c r="CS17" s="344"/>
      <c r="CT17" s="344"/>
      <c r="CU17" s="345"/>
      <c r="CV17" s="345"/>
      <c r="CW17" s="345"/>
      <c r="CX17" s="345"/>
      <c r="CY17" s="346"/>
      <c r="CZ17" s="346"/>
      <c r="DA17" s="346"/>
      <c r="DB17" s="346"/>
      <c r="DC17" s="347"/>
      <c r="DD17" s="347"/>
      <c r="DE17" s="348"/>
      <c r="DF17" s="348"/>
      <c r="DG17" s="348"/>
      <c r="DH17" s="324"/>
      <c r="DI17" s="317"/>
      <c r="DJ17" s="272"/>
      <c r="DK17" s="282"/>
      <c r="DL17" s="270"/>
      <c r="DM17" s="270"/>
      <c r="DN17" s="270"/>
      <c r="DO17" s="272"/>
      <c r="DP17" s="272"/>
      <c r="DQ17" s="354"/>
      <c r="DR17" s="285"/>
      <c r="DS17" s="285"/>
      <c r="DT17" s="285"/>
      <c r="DU17" s="285"/>
      <c r="DV17" s="285"/>
      <c r="DW17" s="285"/>
      <c r="DX17" s="285"/>
      <c r="DY17" s="285"/>
      <c r="DZ17" s="285"/>
      <c r="EA17" s="285"/>
      <c r="EB17" s="285"/>
      <c r="EC17" s="285"/>
      <c r="ED17" s="285"/>
      <c r="EE17" s="285"/>
      <c r="EF17" s="285"/>
      <c r="EG17" s="285"/>
      <c r="EH17" s="285"/>
      <c r="EI17" s="285"/>
    </row>
    <row r="18">
      <c r="A18" s="304" t="s">
        <v>1954</v>
      </c>
      <c r="B18" s="350" t="s">
        <v>1955</v>
      </c>
      <c r="C18" s="306"/>
      <c r="D18" s="307"/>
      <c r="E18" s="307"/>
      <c r="F18" s="307" t="s">
        <v>137</v>
      </c>
      <c r="G18" s="307"/>
      <c r="H18" s="308">
        <v>166.7458</v>
      </c>
      <c r="I18" s="308">
        <v>-77.315</v>
      </c>
      <c r="J18" s="269" t="s">
        <v>676</v>
      </c>
      <c r="K18" s="269" t="s">
        <v>169</v>
      </c>
      <c r="L18" s="308">
        <v>2.0</v>
      </c>
      <c r="M18" s="268"/>
      <c r="N18" s="268"/>
      <c r="O18" s="308">
        <v>190.3384217</v>
      </c>
      <c r="P18" s="308">
        <v>-23.319</v>
      </c>
      <c r="Q18" s="308">
        <v>0.097</v>
      </c>
      <c r="R18" s="308">
        <v>1.714</v>
      </c>
      <c r="S18" s="308">
        <v>0.097</v>
      </c>
      <c r="T18" s="268"/>
      <c r="U18" s="268"/>
      <c r="V18" s="269"/>
      <c r="W18" s="269"/>
      <c r="X18" s="310">
        <v>11.2</v>
      </c>
      <c r="Y18" s="268"/>
      <c r="Z18" s="310"/>
      <c r="AA18" s="310"/>
      <c r="AB18" s="310">
        <v>10.0</v>
      </c>
      <c r="AC18" s="268"/>
      <c r="AD18" s="269"/>
      <c r="AE18" s="269"/>
      <c r="AF18" s="268"/>
      <c r="AG18" s="268"/>
      <c r="AH18" s="269"/>
      <c r="AI18" s="269"/>
      <c r="AJ18" s="311"/>
      <c r="AK18" s="329" t="s">
        <v>598</v>
      </c>
      <c r="AL18" s="330">
        <v>2003.0</v>
      </c>
      <c r="AM18" s="270"/>
      <c r="AN18" s="272" t="s">
        <v>1956</v>
      </c>
      <c r="AO18" s="270"/>
      <c r="AP18" s="315">
        <v>3138.0</v>
      </c>
      <c r="AQ18" s="270"/>
      <c r="AR18" s="331">
        <v>0.18</v>
      </c>
      <c r="AS18" s="270"/>
      <c r="AT18" s="314">
        <v>0.12</v>
      </c>
      <c r="AU18" s="270"/>
      <c r="AV18" s="316">
        <v>1.2</v>
      </c>
      <c r="AW18" s="270"/>
      <c r="AX18" s="332"/>
      <c r="AY18" s="272"/>
      <c r="AZ18" s="314" t="s">
        <v>226</v>
      </c>
      <c r="BA18" s="270" t="s">
        <v>596</v>
      </c>
      <c r="BB18" s="270" t="s">
        <v>597</v>
      </c>
      <c r="BC18" s="351">
        <v>-7.0</v>
      </c>
      <c r="BD18" s="334"/>
      <c r="BE18" s="334"/>
      <c r="BF18" s="334"/>
      <c r="BG18" s="335"/>
      <c r="BH18" s="335"/>
      <c r="BI18" s="335"/>
      <c r="BJ18" s="335"/>
      <c r="BK18" s="336"/>
      <c r="BL18" s="336"/>
      <c r="BM18" s="336"/>
      <c r="BN18" s="336"/>
      <c r="BO18" s="337"/>
      <c r="BP18" s="337"/>
      <c r="BQ18" s="337"/>
      <c r="BR18" s="337"/>
      <c r="BS18" s="338"/>
      <c r="BT18" s="338"/>
      <c r="BU18" s="338"/>
      <c r="BV18" s="338"/>
      <c r="BW18" s="339"/>
      <c r="BX18" s="339"/>
      <c r="BY18" s="339"/>
      <c r="BZ18" s="339"/>
      <c r="CA18" s="340"/>
      <c r="CB18" s="340"/>
      <c r="CC18" s="340"/>
      <c r="CD18" s="340"/>
      <c r="CE18" s="341"/>
      <c r="CF18" s="341"/>
      <c r="CG18" s="341"/>
      <c r="CH18" s="341"/>
      <c r="CI18" s="342"/>
      <c r="CJ18" s="342"/>
      <c r="CK18" s="342"/>
      <c r="CL18" s="342"/>
      <c r="CM18" s="343"/>
      <c r="CN18" s="343"/>
      <c r="CO18" s="343"/>
      <c r="CP18" s="343"/>
      <c r="CQ18" s="344"/>
      <c r="CR18" s="344"/>
      <c r="CS18" s="344"/>
      <c r="CT18" s="344"/>
      <c r="CU18" s="345"/>
      <c r="CV18" s="345"/>
      <c r="CW18" s="345"/>
      <c r="CX18" s="345"/>
      <c r="CY18" s="346"/>
      <c r="CZ18" s="346"/>
      <c r="DA18" s="346"/>
      <c r="DB18" s="346"/>
      <c r="DC18" s="347"/>
      <c r="DD18" s="347"/>
      <c r="DE18" s="348"/>
      <c r="DF18" s="348"/>
      <c r="DG18" s="348"/>
      <c r="DH18" s="324"/>
      <c r="DI18" s="317"/>
      <c r="DJ18" s="272"/>
      <c r="DK18" s="282"/>
      <c r="DL18" s="270"/>
      <c r="DM18" s="270"/>
      <c r="DN18" s="270"/>
      <c r="DO18" s="353"/>
      <c r="DP18" s="353" t="s">
        <v>629</v>
      </c>
      <c r="DQ18" s="354"/>
      <c r="DR18" s="285"/>
      <c r="DS18" s="285"/>
      <c r="DT18" s="285"/>
      <c r="DU18" s="285"/>
      <c r="DV18" s="285"/>
      <c r="DW18" s="285"/>
      <c r="DX18" s="285"/>
      <c r="DY18" s="285"/>
      <c r="DZ18" s="285"/>
      <c r="EA18" s="285"/>
      <c r="EB18" s="285"/>
      <c r="EC18" s="285"/>
      <c r="ED18" s="285"/>
      <c r="EE18" s="285"/>
      <c r="EF18" s="285"/>
      <c r="EG18" s="285"/>
      <c r="EH18" s="285"/>
      <c r="EI18" s="285"/>
    </row>
    <row r="19">
      <c r="A19" s="304" t="s">
        <v>1957</v>
      </c>
      <c r="B19" s="350" t="s">
        <v>1958</v>
      </c>
      <c r="C19" s="306"/>
      <c r="D19" s="307"/>
      <c r="E19" s="307"/>
      <c r="F19" s="307" t="s">
        <v>137</v>
      </c>
      <c r="G19" s="307"/>
      <c r="H19" s="308">
        <v>164.0</v>
      </c>
      <c r="I19" s="308">
        <v>-77.4111</v>
      </c>
      <c r="J19" s="269" t="s">
        <v>676</v>
      </c>
      <c r="K19" s="269" t="s">
        <v>189</v>
      </c>
      <c r="L19" s="308">
        <v>2.0</v>
      </c>
      <c r="M19" s="268"/>
      <c r="N19" s="268"/>
      <c r="O19" s="308">
        <v>185.0823617</v>
      </c>
      <c r="P19" s="308">
        <v>-23.813</v>
      </c>
      <c r="Q19" s="308">
        <v>0.059</v>
      </c>
      <c r="R19" s="308">
        <v>2.193</v>
      </c>
      <c r="S19" s="308">
        <v>0.053</v>
      </c>
      <c r="T19" s="268"/>
      <c r="U19" s="268"/>
      <c r="V19" s="308">
        <v>14.23</v>
      </c>
      <c r="W19" s="269"/>
      <c r="X19" s="268"/>
      <c r="Y19" s="268"/>
      <c r="Z19" s="310"/>
      <c r="AA19" s="310"/>
      <c r="AB19" s="310">
        <v>8.69</v>
      </c>
      <c r="AC19" s="268"/>
      <c r="AD19" s="269"/>
      <c r="AE19" s="268"/>
      <c r="AF19" s="268"/>
      <c r="AG19" s="268"/>
      <c r="AH19" s="269"/>
      <c r="AI19" s="269"/>
      <c r="AJ19" s="311"/>
      <c r="AK19" s="329" t="s">
        <v>598</v>
      </c>
      <c r="AL19" s="330">
        <v>2003.0</v>
      </c>
      <c r="AM19" s="272"/>
      <c r="AN19" s="272" t="s">
        <v>571</v>
      </c>
      <c r="AO19" s="270"/>
      <c r="AP19" s="315">
        <v>3342.0</v>
      </c>
      <c r="AQ19" s="270"/>
      <c r="AR19" s="331">
        <v>0.35</v>
      </c>
      <c r="AS19" s="270"/>
      <c r="AT19" s="314"/>
      <c r="AU19" s="270"/>
      <c r="AV19" s="270"/>
      <c r="AW19" s="270"/>
      <c r="AX19" s="332"/>
      <c r="AY19" s="272"/>
      <c r="AZ19" s="314" t="s">
        <v>226</v>
      </c>
      <c r="BA19" s="270" t="s">
        <v>596</v>
      </c>
      <c r="BB19" s="270" t="s">
        <v>597</v>
      </c>
      <c r="BC19" s="351">
        <v>-8.9</v>
      </c>
      <c r="BD19" s="334"/>
      <c r="BE19" s="334"/>
      <c r="BF19" s="334"/>
      <c r="BG19" s="335"/>
      <c r="BH19" s="335"/>
      <c r="BI19" s="335"/>
      <c r="BJ19" s="335"/>
      <c r="BK19" s="336"/>
      <c r="BL19" s="336"/>
      <c r="BM19" s="336"/>
      <c r="BN19" s="336"/>
      <c r="BO19" s="337"/>
      <c r="BP19" s="337"/>
      <c r="BQ19" s="337"/>
      <c r="BR19" s="337"/>
      <c r="BS19" s="338"/>
      <c r="BT19" s="338"/>
      <c r="BU19" s="338"/>
      <c r="BV19" s="338"/>
      <c r="BW19" s="339"/>
      <c r="BX19" s="339"/>
      <c r="BY19" s="339"/>
      <c r="BZ19" s="339"/>
      <c r="CA19" s="340"/>
      <c r="CB19" s="340"/>
      <c r="CC19" s="340"/>
      <c r="CD19" s="340"/>
      <c r="CE19" s="341"/>
      <c r="CF19" s="341"/>
      <c r="CG19" s="341"/>
      <c r="CH19" s="341"/>
      <c r="CI19" s="342"/>
      <c r="CJ19" s="342"/>
      <c r="CK19" s="342"/>
      <c r="CL19" s="342"/>
      <c r="CM19" s="343"/>
      <c r="CN19" s="343"/>
      <c r="CO19" s="343"/>
      <c r="CP19" s="343"/>
      <c r="CQ19" s="344"/>
      <c r="CR19" s="344"/>
      <c r="CS19" s="344"/>
      <c r="CT19" s="344"/>
      <c r="CU19" s="345"/>
      <c r="CV19" s="345"/>
      <c r="CW19" s="345"/>
      <c r="CX19" s="345"/>
      <c r="CY19" s="346"/>
      <c r="CZ19" s="346"/>
      <c r="DA19" s="346"/>
      <c r="DB19" s="346"/>
      <c r="DC19" s="347"/>
      <c r="DD19" s="347"/>
      <c r="DE19" s="348"/>
      <c r="DF19" s="348"/>
      <c r="DG19" s="348"/>
      <c r="DH19" s="324"/>
      <c r="DI19" s="317"/>
      <c r="DJ19" s="272"/>
      <c r="DK19" s="282"/>
      <c r="DL19" s="270"/>
      <c r="DM19" s="270"/>
      <c r="DN19" s="270"/>
      <c r="DO19" s="272"/>
      <c r="DP19" s="272"/>
      <c r="DQ19" s="354"/>
      <c r="DR19" s="285"/>
      <c r="DS19" s="285"/>
      <c r="DT19" s="285"/>
      <c r="DU19" s="285"/>
      <c r="DV19" s="285"/>
      <c r="DW19" s="285"/>
      <c r="DX19" s="285"/>
      <c r="DY19" s="285"/>
      <c r="DZ19" s="285"/>
      <c r="EA19" s="285"/>
      <c r="EB19" s="285"/>
      <c r="EC19" s="285"/>
      <c r="ED19" s="285"/>
      <c r="EE19" s="285"/>
      <c r="EF19" s="285"/>
      <c r="EG19" s="285"/>
      <c r="EH19" s="285"/>
      <c r="EI19" s="285"/>
    </row>
    <row r="20">
      <c r="A20" s="304" t="s">
        <v>1957</v>
      </c>
      <c r="B20" s="350" t="s">
        <v>1959</v>
      </c>
      <c r="C20" s="306"/>
      <c r="D20" s="307"/>
      <c r="E20" s="264"/>
      <c r="F20" s="264" t="s">
        <v>137</v>
      </c>
      <c r="G20" s="307"/>
      <c r="H20" s="308">
        <v>164.0</v>
      </c>
      <c r="I20" s="308">
        <v>-77.4111</v>
      </c>
      <c r="J20" s="269" t="s">
        <v>676</v>
      </c>
      <c r="K20" s="269" t="s">
        <v>189</v>
      </c>
      <c r="L20" s="308">
        <v>2.0</v>
      </c>
      <c r="M20" s="268"/>
      <c r="N20" s="268"/>
      <c r="O20" s="308">
        <v>185.0823617</v>
      </c>
      <c r="P20" s="308">
        <v>-23.813</v>
      </c>
      <c r="Q20" s="308">
        <v>0.059</v>
      </c>
      <c r="R20" s="308">
        <v>2.193</v>
      </c>
      <c r="S20" s="308">
        <v>0.053</v>
      </c>
      <c r="T20" s="268"/>
      <c r="U20" s="268"/>
      <c r="V20" s="308">
        <v>14.23</v>
      </c>
      <c r="W20" s="269"/>
      <c r="X20" s="268"/>
      <c r="Y20" s="268"/>
      <c r="Z20" s="310"/>
      <c r="AA20" s="310"/>
      <c r="AB20" s="310">
        <v>8.69</v>
      </c>
      <c r="AC20" s="268"/>
      <c r="AD20" s="268"/>
      <c r="AE20" s="268"/>
      <c r="AF20" s="268"/>
      <c r="AG20" s="268"/>
      <c r="AH20" s="268"/>
      <c r="AI20" s="269"/>
      <c r="AJ20" s="311"/>
      <c r="AK20" s="329" t="s">
        <v>598</v>
      </c>
      <c r="AL20" s="330">
        <v>2003.0</v>
      </c>
      <c r="AM20" s="270"/>
      <c r="AN20" s="272" t="s">
        <v>422</v>
      </c>
      <c r="AO20" s="270"/>
      <c r="AP20" s="315">
        <v>3850.0</v>
      </c>
      <c r="AQ20" s="270"/>
      <c r="AR20" s="331">
        <v>0.73</v>
      </c>
      <c r="AS20" s="270"/>
      <c r="AT20" s="314">
        <v>0.27</v>
      </c>
      <c r="AU20" s="270"/>
      <c r="AV20" s="316">
        <v>1.2</v>
      </c>
      <c r="AW20" s="270"/>
      <c r="AX20" s="332"/>
      <c r="AY20" s="272"/>
      <c r="AZ20" s="314" t="s">
        <v>226</v>
      </c>
      <c r="BA20" s="270" t="s">
        <v>596</v>
      </c>
      <c r="BB20" s="270" t="s">
        <v>597</v>
      </c>
      <c r="BC20" s="351">
        <v>-9.5</v>
      </c>
      <c r="BD20" s="334"/>
      <c r="BE20" s="334"/>
      <c r="BF20" s="334"/>
      <c r="BG20" s="335"/>
      <c r="BH20" s="335"/>
      <c r="BI20" s="335"/>
      <c r="BJ20" s="335"/>
      <c r="BK20" s="336"/>
      <c r="BL20" s="336"/>
      <c r="BM20" s="336"/>
      <c r="BN20" s="336"/>
      <c r="BO20" s="337"/>
      <c r="BP20" s="337"/>
      <c r="BQ20" s="337"/>
      <c r="BR20" s="337"/>
      <c r="BS20" s="338"/>
      <c r="BT20" s="338"/>
      <c r="BU20" s="338"/>
      <c r="BV20" s="338"/>
      <c r="BW20" s="339"/>
      <c r="BX20" s="339"/>
      <c r="BY20" s="339"/>
      <c r="BZ20" s="339"/>
      <c r="CA20" s="340"/>
      <c r="CB20" s="340"/>
      <c r="CC20" s="340"/>
      <c r="CD20" s="340"/>
      <c r="CE20" s="341"/>
      <c r="CF20" s="341"/>
      <c r="CG20" s="341"/>
      <c r="CH20" s="341"/>
      <c r="CI20" s="342"/>
      <c r="CJ20" s="342"/>
      <c r="CK20" s="342"/>
      <c r="CL20" s="342"/>
      <c r="CM20" s="343"/>
      <c r="CN20" s="343"/>
      <c r="CO20" s="343"/>
      <c r="CP20" s="343"/>
      <c r="CQ20" s="344"/>
      <c r="CR20" s="344"/>
      <c r="CS20" s="344"/>
      <c r="CT20" s="344"/>
      <c r="CU20" s="345"/>
      <c r="CV20" s="345"/>
      <c r="CW20" s="345"/>
      <c r="CX20" s="345"/>
      <c r="CY20" s="346"/>
      <c r="CZ20" s="346"/>
      <c r="DA20" s="346"/>
      <c r="DB20" s="346"/>
      <c r="DC20" s="347"/>
      <c r="DD20" s="347"/>
      <c r="DE20" s="352"/>
      <c r="DF20" s="352"/>
      <c r="DG20" s="352"/>
      <c r="DH20" s="317"/>
      <c r="DI20" s="317"/>
      <c r="DJ20" s="272"/>
      <c r="DK20" s="282"/>
      <c r="DL20" s="270"/>
      <c r="DM20" s="270"/>
      <c r="DN20" s="270"/>
      <c r="DO20" s="270"/>
      <c r="DP20" s="270"/>
      <c r="DQ20" s="285"/>
      <c r="DR20" s="285"/>
      <c r="DS20" s="285"/>
      <c r="DT20" s="285"/>
      <c r="DU20" s="285"/>
      <c r="DV20" s="285"/>
      <c r="DW20" s="285"/>
      <c r="DX20" s="285"/>
      <c r="DY20" s="285"/>
      <c r="DZ20" s="285"/>
      <c r="EA20" s="285"/>
      <c r="EB20" s="285"/>
      <c r="EC20" s="285"/>
      <c r="ED20" s="285"/>
      <c r="EE20" s="285"/>
      <c r="EF20" s="285"/>
      <c r="EG20" s="285"/>
      <c r="EH20" s="285"/>
      <c r="EI20" s="285"/>
    </row>
    <row r="21">
      <c r="A21" s="304" t="s">
        <v>1960</v>
      </c>
      <c r="B21" s="350" t="s">
        <v>1961</v>
      </c>
      <c r="C21" s="306"/>
      <c r="D21" s="307"/>
      <c r="E21" s="307"/>
      <c r="F21" s="307"/>
      <c r="G21" s="307"/>
      <c r="H21" s="308">
        <v>246.5388463</v>
      </c>
      <c r="I21" s="308">
        <v>-24.57004911</v>
      </c>
      <c r="J21" s="269" t="s">
        <v>158</v>
      </c>
      <c r="K21" s="269" t="s">
        <v>159</v>
      </c>
      <c r="L21" s="308">
        <v>1.0</v>
      </c>
      <c r="M21" s="268"/>
      <c r="N21" s="268"/>
      <c r="O21" s="355">
        <v>141.681188988538</v>
      </c>
      <c r="P21" s="355">
        <v>-7.337</v>
      </c>
      <c r="Q21" s="355">
        <v>0.182</v>
      </c>
      <c r="R21" s="355">
        <v>-27.457</v>
      </c>
      <c r="S21" s="355">
        <v>0.119</v>
      </c>
      <c r="T21" s="309" t="s">
        <v>1962</v>
      </c>
      <c r="U21" s="309" t="s">
        <v>1962</v>
      </c>
      <c r="V21" s="309" t="s">
        <v>1962</v>
      </c>
      <c r="W21" s="309" t="s">
        <v>1962</v>
      </c>
      <c r="X21" s="309">
        <v>7.741</v>
      </c>
      <c r="Y21" s="309">
        <v>0.024</v>
      </c>
      <c r="Z21" s="309">
        <v>6.95</v>
      </c>
      <c r="AA21" s="309">
        <v>0.04</v>
      </c>
      <c r="AB21" s="309">
        <v>6.504</v>
      </c>
      <c r="AC21" s="309">
        <v>0.018</v>
      </c>
      <c r="AD21" s="268"/>
      <c r="AE21" s="268"/>
      <c r="AF21" s="309">
        <v>0.1</v>
      </c>
      <c r="AG21" s="268"/>
      <c r="AH21" s="121" t="s">
        <v>160</v>
      </c>
      <c r="AI21" s="269"/>
      <c r="AJ21" s="269"/>
      <c r="AK21" s="329" t="s">
        <v>160</v>
      </c>
      <c r="AL21" s="270" t="s">
        <v>1963</v>
      </c>
      <c r="AM21" s="270"/>
      <c r="AN21" s="272"/>
      <c r="AO21" s="270"/>
      <c r="AP21" s="356">
        <v>4466.835922</v>
      </c>
      <c r="AQ21" s="270"/>
      <c r="AR21" s="357">
        <v>0.954992586</v>
      </c>
      <c r="AS21" s="270"/>
      <c r="AT21" s="314">
        <v>4.073802778</v>
      </c>
      <c r="AU21" s="270"/>
      <c r="AV21" s="270"/>
      <c r="AW21" s="270"/>
      <c r="AX21" s="332"/>
      <c r="AY21" s="272"/>
      <c r="AZ21" s="272" t="s">
        <v>1964</v>
      </c>
      <c r="BA21" s="270" t="s">
        <v>162</v>
      </c>
      <c r="BB21" s="314" t="s">
        <v>1965</v>
      </c>
      <c r="BC21" s="334"/>
      <c r="BD21" s="334"/>
      <c r="BE21" s="334"/>
      <c r="BF21" s="334"/>
      <c r="BG21" s="335"/>
      <c r="BH21" s="335"/>
      <c r="BI21" s="335"/>
      <c r="BJ21" s="335"/>
      <c r="BK21" s="336"/>
      <c r="BL21" s="336"/>
      <c r="BM21" s="336"/>
      <c r="BN21" s="336"/>
      <c r="BO21" s="337"/>
      <c r="BP21" s="337"/>
      <c r="BQ21" s="337"/>
      <c r="BR21" s="337"/>
      <c r="BS21" s="338"/>
      <c r="BT21" s="338"/>
      <c r="BU21" s="338"/>
      <c r="BV21" s="338"/>
      <c r="BW21" s="339">
        <f>+5.7</f>
        <v>5.7</v>
      </c>
      <c r="BX21" s="339"/>
      <c r="BY21" s="339"/>
      <c r="BZ21" s="339"/>
      <c r="CA21" s="340"/>
      <c r="CB21" s="340"/>
      <c r="CC21" s="340"/>
      <c r="CD21" s="340"/>
      <c r="CE21" s="341"/>
      <c r="CF21" s="341"/>
      <c r="CG21" s="341"/>
      <c r="CH21" s="341"/>
      <c r="CI21" s="342"/>
      <c r="CJ21" s="342"/>
      <c r="CK21" s="342"/>
      <c r="CL21" s="342"/>
      <c r="CM21" s="343"/>
      <c r="CN21" s="343"/>
      <c r="CO21" s="343"/>
      <c r="CP21" s="343"/>
      <c r="CQ21" s="344"/>
      <c r="CR21" s="344"/>
      <c r="CS21" s="344"/>
      <c r="CT21" s="344"/>
      <c r="CU21" s="345"/>
      <c r="CV21" s="345"/>
      <c r="CW21" s="345"/>
      <c r="CX21" s="345"/>
      <c r="CY21" s="346"/>
      <c r="CZ21" s="346"/>
      <c r="DA21" s="346"/>
      <c r="DB21" s="346"/>
      <c r="DC21" s="358"/>
      <c r="DD21" s="358"/>
      <c r="DE21" s="348"/>
      <c r="DF21" s="348"/>
      <c r="DG21" s="348"/>
      <c r="DH21" s="324"/>
      <c r="DI21" s="317"/>
      <c r="DJ21" s="314" t="s">
        <v>1966</v>
      </c>
      <c r="DK21" s="282"/>
      <c r="DL21" s="270"/>
      <c r="DM21" s="270"/>
      <c r="DN21" s="270"/>
      <c r="DO21" s="270"/>
      <c r="DP21" s="270"/>
      <c r="DQ21" s="285"/>
      <c r="DR21" s="285"/>
      <c r="DS21" s="285"/>
      <c r="DT21" s="285"/>
      <c r="DU21" s="285"/>
      <c r="DV21" s="285"/>
      <c r="DW21" s="285"/>
      <c r="DX21" s="285"/>
      <c r="DY21" s="285"/>
      <c r="DZ21" s="285"/>
      <c r="EA21" s="285"/>
      <c r="EB21" s="285"/>
      <c r="EC21" s="285"/>
      <c r="ED21" s="285"/>
      <c r="EE21" s="285"/>
      <c r="EF21" s="285"/>
      <c r="EG21" s="285"/>
      <c r="EH21" s="285"/>
      <c r="EI21" s="285"/>
    </row>
    <row r="22">
      <c r="A22" s="304" t="s">
        <v>1967</v>
      </c>
      <c r="B22" s="304" t="s">
        <v>1967</v>
      </c>
      <c r="C22" s="306"/>
      <c r="D22" s="307"/>
      <c r="E22" s="264"/>
      <c r="F22" s="264"/>
      <c r="G22" s="307"/>
      <c r="H22" s="308">
        <v>246.595649</v>
      </c>
      <c r="I22" s="308">
        <v>-24.479486</v>
      </c>
      <c r="J22" s="269" t="s">
        <v>158</v>
      </c>
      <c r="K22" s="269" t="s">
        <v>169</v>
      </c>
      <c r="L22" s="308">
        <v>1.0</v>
      </c>
      <c r="M22" s="268"/>
      <c r="N22" s="268"/>
      <c r="O22" s="309" t="s">
        <v>1962</v>
      </c>
      <c r="P22" s="309" t="s">
        <v>1962</v>
      </c>
      <c r="Q22" s="309" t="s">
        <v>1962</v>
      </c>
      <c r="R22" s="309" t="s">
        <v>1962</v>
      </c>
      <c r="S22" s="309" t="s">
        <v>1962</v>
      </c>
      <c r="T22" s="309" t="s">
        <v>1962</v>
      </c>
      <c r="U22" s="309" t="s">
        <v>1962</v>
      </c>
      <c r="V22" s="309" t="s">
        <v>1962</v>
      </c>
      <c r="W22" s="309" t="s">
        <v>1962</v>
      </c>
      <c r="X22" s="309">
        <v>14.932</v>
      </c>
      <c r="Y22" s="309">
        <v>0.043</v>
      </c>
      <c r="Z22" s="309">
        <v>12.798</v>
      </c>
      <c r="AA22" s="309">
        <v>0.024</v>
      </c>
      <c r="AB22" s="309">
        <v>11.533</v>
      </c>
      <c r="AC22" s="309">
        <v>0.021</v>
      </c>
      <c r="AD22" s="269"/>
      <c r="AE22" s="268"/>
      <c r="AF22" s="355">
        <v>3.2</v>
      </c>
      <c r="AG22" s="268"/>
      <c r="AH22" s="121" t="s">
        <v>160</v>
      </c>
      <c r="AI22" s="269"/>
      <c r="AJ22" s="269"/>
      <c r="AK22" s="329" t="s">
        <v>160</v>
      </c>
      <c r="AL22" s="270" t="s">
        <v>1963</v>
      </c>
      <c r="AM22" s="270"/>
      <c r="AN22" s="272"/>
      <c r="AO22" s="270"/>
      <c r="AP22" s="359">
        <v>2818.382931</v>
      </c>
      <c r="AQ22" s="270"/>
      <c r="AR22" s="357">
        <v>0.087096359</v>
      </c>
      <c r="AS22" s="270"/>
      <c r="AT22" s="314">
        <v>0.0758577575</v>
      </c>
      <c r="AU22" s="270"/>
      <c r="AV22" s="316">
        <v>1.16</v>
      </c>
      <c r="AW22" s="270"/>
      <c r="AX22" s="332"/>
      <c r="AY22" s="272"/>
      <c r="AZ22" s="272" t="s">
        <v>1964</v>
      </c>
      <c r="BA22" s="270" t="s">
        <v>162</v>
      </c>
      <c r="BB22" s="314" t="s">
        <v>1965</v>
      </c>
      <c r="BC22" s="334"/>
      <c r="BD22" s="334"/>
      <c r="BE22" s="334"/>
      <c r="BF22" s="334"/>
      <c r="BG22" s="335"/>
      <c r="BH22" s="335"/>
      <c r="BI22" s="335"/>
      <c r="BJ22" s="335"/>
      <c r="BK22" s="336"/>
      <c r="BL22" s="336"/>
      <c r="BM22" s="336"/>
      <c r="BN22" s="336"/>
      <c r="BO22" s="337"/>
      <c r="BP22" s="337"/>
      <c r="BQ22" s="337"/>
      <c r="BR22" s="337"/>
      <c r="BS22" s="338"/>
      <c r="BT22" s="338"/>
      <c r="BU22" s="338"/>
      <c r="BV22" s="338"/>
      <c r="BW22" s="339">
        <f>+0.6</f>
        <v>0.6</v>
      </c>
      <c r="BX22" s="339"/>
      <c r="BY22" s="339"/>
      <c r="BZ22" s="339"/>
      <c r="CA22" s="340"/>
      <c r="CB22" s="340"/>
      <c r="CC22" s="340"/>
      <c r="CD22" s="340"/>
      <c r="CE22" s="341"/>
      <c r="CF22" s="341"/>
      <c r="CG22" s="341"/>
      <c r="CH22" s="341"/>
      <c r="CI22" s="342"/>
      <c r="CJ22" s="342"/>
      <c r="CK22" s="342"/>
      <c r="CL22" s="342"/>
      <c r="CM22" s="343"/>
      <c r="CN22" s="343"/>
      <c r="CO22" s="343"/>
      <c r="CP22" s="343"/>
      <c r="CQ22" s="344"/>
      <c r="CR22" s="344"/>
      <c r="CS22" s="344"/>
      <c r="CT22" s="344"/>
      <c r="CU22" s="345"/>
      <c r="CV22" s="345"/>
      <c r="CW22" s="345"/>
      <c r="CX22" s="345"/>
      <c r="CY22" s="346"/>
      <c r="CZ22" s="346"/>
      <c r="DA22" s="346"/>
      <c r="DB22" s="346"/>
      <c r="DC22" s="347"/>
      <c r="DD22" s="347"/>
      <c r="DE22" s="352"/>
      <c r="DF22" s="352"/>
      <c r="DG22" s="352"/>
      <c r="DH22" s="317"/>
      <c r="DI22" s="317"/>
      <c r="DJ22" s="314" t="s">
        <v>1966</v>
      </c>
      <c r="DK22" s="282"/>
      <c r="DL22" s="270"/>
      <c r="DM22" s="270"/>
      <c r="DN22" s="270"/>
      <c r="DO22" s="270"/>
      <c r="DP22" s="270"/>
      <c r="DQ22" s="285"/>
      <c r="DR22" s="285"/>
      <c r="DS22" s="285"/>
      <c r="DT22" s="285"/>
      <c r="DU22" s="285"/>
      <c r="DV22" s="285"/>
      <c r="DW22" s="285"/>
      <c r="DX22" s="285"/>
      <c r="DY22" s="285"/>
      <c r="DZ22" s="285"/>
      <c r="EA22" s="285"/>
      <c r="EB22" s="285"/>
      <c r="EC22" s="285"/>
      <c r="ED22" s="285"/>
      <c r="EE22" s="285"/>
      <c r="EF22" s="285"/>
      <c r="EG22" s="285"/>
      <c r="EH22" s="285"/>
      <c r="EI22" s="285"/>
    </row>
    <row r="23">
      <c r="A23" s="304" t="s">
        <v>1968</v>
      </c>
      <c r="B23" s="304" t="s">
        <v>1968</v>
      </c>
      <c r="C23" s="306"/>
      <c r="D23" s="307"/>
      <c r="E23" s="264"/>
      <c r="F23" s="264"/>
      <c r="G23" s="307"/>
      <c r="H23" s="308">
        <v>246.7129623</v>
      </c>
      <c r="I23" s="308">
        <v>-24.34743136</v>
      </c>
      <c r="J23" s="269" t="s">
        <v>158</v>
      </c>
      <c r="K23" s="269" t="s">
        <v>159</v>
      </c>
      <c r="L23" s="308">
        <v>1.0</v>
      </c>
      <c r="M23" s="268"/>
      <c r="N23" s="268"/>
      <c r="O23" s="309" t="s">
        <v>1962</v>
      </c>
      <c r="P23" s="309" t="s">
        <v>1962</v>
      </c>
      <c r="Q23" s="309" t="s">
        <v>1962</v>
      </c>
      <c r="R23" s="309" t="s">
        <v>1962</v>
      </c>
      <c r="S23" s="309" t="s">
        <v>1962</v>
      </c>
      <c r="T23" s="309" t="s">
        <v>1962</v>
      </c>
      <c r="U23" s="309" t="s">
        <v>1962</v>
      </c>
      <c r="V23" s="309" t="s">
        <v>1962</v>
      </c>
      <c r="W23" s="309" t="s">
        <v>1962</v>
      </c>
      <c r="X23" s="309">
        <v>13.81</v>
      </c>
      <c r="Y23" s="309">
        <v>0.026</v>
      </c>
      <c r="Z23" s="309">
        <v>11.482</v>
      </c>
      <c r="AA23" s="309">
        <v>0.026</v>
      </c>
      <c r="AB23" s="309">
        <v>10.212</v>
      </c>
      <c r="AC23" s="309">
        <v>0.019</v>
      </c>
      <c r="AD23" s="268"/>
      <c r="AE23" s="268"/>
      <c r="AF23" s="309">
        <v>3.9</v>
      </c>
      <c r="AG23" s="268"/>
      <c r="AH23" s="121" t="s">
        <v>160</v>
      </c>
      <c r="AI23" s="269"/>
      <c r="AJ23" s="269"/>
      <c r="AK23" s="329" t="s">
        <v>160</v>
      </c>
      <c r="AL23" s="270" t="s">
        <v>1963</v>
      </c>
      <c r="AM23" s="270"/>
      <c r="AN23" s="272"/>
      <c r="AO23" s="270"/>
      <c r="AP23" s="356">
        <v>3311.311215</v>
      </c>
      <c r="AQ23" s="270"/>
      <c r="AR23" s="360">
        <v>0.2691534804</v>
      </c>
      <c r="AS23" s="270"/>
      <c r="AT23" s="314">
        <v>0.4897788194</v>
      </c>
      <c r="AU23" s="270"/>
      <c r="AV23" s="270"/>
      <c r="AW23" s="270"/>
      <c r="AX23" s="332"/>
      <c r="AY23" s="272"/>
      <c r="AZ23" s="272" t="s">
        <v>1964</v>
      </c>
      <c r="BA23" s="270" t="s">
        <v>162</v>
      </c>
      <c r="BB23" s="314" t="s">
        <v>1965</v>
      </c>
      <c r="BC23" s="334"/>
      <c r="BD23" s="334"/>
      <c r="BE23" s="334"/>
      <c r="BF23" s="334"/>
      <c r="BG23" s="335"/>
      <c r="BH23" s="335"/>
      <c r="BI23" s="335"/>
      <c r="BJ23" s="335"/>
      <c r="BK23" s="336"/>
      <c r="BL23" s="336"/>
      <c r="BM23" s="336"/>
      <c r="BN23" s="336"/>
      <c r="BO23" s="337"/>
      <c r="BP23" s="337"/>
      <c r="BQ23" s="337"/>
      <c r="BR23" s="337"/>
      <c r="BS23" s="338"/>
      <c r="BT23" s="338"/>
      <c r="BU23" s="338"/>
      <c r="BV23" s="338"/>
      <c r="BW23" s="339">
        <f>+1.5</f>
        <v>1.5</v>
      </c>
      <c r="BX23" s="339"/>
      <c r="BY23" s="339"/>
      <c r="BZ23" s="339"/>
      <c r="CA23" s="340"/>
      <c r="CB23" s="340"/>
      <c r="CC23" s="340"/>
      <c r="CD23" s="340"/>
      <c r="CE23" s="341"/>
      <c r="CF23" s="341"/>
      <c r="CG23" s="341"/>
      <c r="CH23" s="341"/>
      <c r="CI23" s="342"/>
      <c r="CJ23" s="342"/>
      <c r="CK23" s="342"/>
      <c r="CL23" s="342"/>
      <c r="CM23" s="343"/>
      <c r="CN23" s="343"/>
      <c r="CO23" s="343"/>
      <c r="CP23" s="343"/>
      <c r="CQ23" s="344"/>
      <c r="CR23" s="344"/>
      <c r="CS23" s="344"/>
      <c r="CT23" s="344"/>
      <c r="CU23" s="345"/>
      <c r="CV23" s="345"/>
      <c r="CW23" s="345"/>
      <c r="CX23" s="345"/>
      <c r="CY23" s="346"/>
      <c r="CZ23" s="346"/>
      <c r="DA23" s="346"/>
      <c r="DB23" s="346"/>
      <c r="DC23" s="358"/>
      <c r="DD23" s="358"/>
      <c r="DE23" s="348"/>
      <c r="DF23" s="348"/>
      <c r="DG23" s="348"/>
      <c r="DH23" s="324"/>
      <c r="DI23" s="317"/>
      <c r="DJ23" s="314" t="s">
        <v>1966</v>
      </c>
      <c r="DK23" s="282"/>
      <c r="DL23" s="270"/>
      <c r="DM23" s="270"/>
      <c r="DN23" s="270"/>
      <c r="DO23" s="270"/>
      <c r="DP23" s="270"/>
      <c r="DQ23" s="285"/>
      <c r="DR23" s="285"/>
      <c r="DS23" s="285"/>
      <c r="DT23" s="285"/>
      <c r="DU23" s="285"/>
      <c r="DV23" s="285"/>
      <c r="DW23" s="285"/>
      <c r="DX23" s="285"/>
      <c r="DY23" s="285"/>
      <c r="DZ23" s="285"/>
      <c r="EA23" s="285"/>
      <c r="EB23" s="285"/>
      <c r="EC23" s="285"/>
      <c r="ED23" s="285"/>
      <c r="EE23" s="285"/>
      <c r="EF23" s="285"/>
      <c r="EG23" s="285"/>
      <c r="EH23" s="285"/>
      <c r="EI23" s="285"/>
    </row>
    <row r="24">
      <c r="A24" s="304" t="s">
        <v>1969</v>
      </c>
      <c r="B24" s="304" t="s">
        <v>1970</v>
      </c>
      <c r="C24" s="306"/>
      <c r="D24" s="307"/>
      <c r="E24" s="307"/>
      <c r="F24" s="307"/>
      <c r="G24" s="307"/>
      <c r="H24" s="308">
        <v>246.728212</v>
      </c>
      <c r="I24" s="308">
        <v>-24.450624</v>
      </c>
      <c r="J24" s="269" t="s">
        <v>158</v>
      </c>
      <c r="K24" s="269" t="s">
        <v>169</v>
      </c>
      <c r="L24" s="308">
        <v>1.0</v>
      </c>
      <c r="M24" s="268"/>
      <c r="N24" s="268"/>
      <c r="O24" s="309" t="s">
        <v>1962</v>
      </c>
      <c r="P24" s="309" t="s">
        <v>1962</v>
      </c>
      <c r="Q24" s="309" t="s">
        <v>1962</v>
      </c>
      <c r="R24" s="309" t="s">
        <v>1962</v>
      </c>
      <c r="S24" s="309" t="s">
        <v>1962</v>
      </c>
      <c r="T24" s="309" t="s">
        <v>1962</v>
      </c>
      <c r="U24" s="309" t="s">
        <v>1962</v>
      </c>
      <c r="V24" s="309" t="s">
        <v>1962</v>
      </c>
      <c r="W24" s="309" t="s">
        <v>1962</v>
      </c>
      <c r="X24" s="309">
        <v>17.92</v>
      </c>
      <c r="Y24" s="309">
        <v>0.05</v>
      </c>
      <c r="Z24" s="309">
        <v>14.874</v>
      </c>
      <c r="AA24" s="309">
        <v>0.065</v>
      </c>
      <c r="AB24" s="309">
        <v>12.869</v>
      </c>
      <c r="AC24" s="309">
        <v>0.033</v>
      </c>
      <c r="AD24" s="310">
        <v>21.0</v>
      </c>
      <c r="AE24" s="268"/>
      <c r="AF24" s="355">
        <v>6.0</v>
      </c>
      <c r="AG24" s="268"/>
      <c r="AH24" s="121" t="s">
        <v>160</v>
      </c>
      <c r="AI24" s="269"/>
      <c r="AJ24" s="269"/>
      <c r="AK24" s="329" t="s">
        <v>160</v>
      </c>
      <c r="AL24" s="270" t="s">
        <v>1963</v>
      </c>
      <c r="AM24" s="270"/>
      <c r="AN24" s="272"/>
      <c r="AO24" s="270"/>
      <c r="AP24" s="359">
        <v>2754.228703</v>
      </c>
      <c r="AQ24" s="270"/>
      <c r="AR24" s="357">
        <v>0.07413102413</v>
      </c>
      <c r="AS24" s="270"/>
      <c r="AT24" s="314">
        <v>0.05754399373</v>
      </c>
      <c r="AU24" s="270"/>
      <c r="AV24" s="316">
        <v>1.06</v>
      </c>
      <c r="AW24" s="270"/>
      <c r="AX24" s="332"/>
      <c r="AY24" s="272"/>
      <c r="AZ24" s="272" t="s">
        <v>1964</v>
      </c>
      <c r="BA24" s="270" t="s">
        <v>162</v>
      </c>
      <c r="BB24" s="314" t="s">
        <v>1965</v>
      </c>
      <c r="BC24" s="334"/>
      <c r="BD24" s="334"/>
      <c r="BE24" s="334"/>
      <c r="BF24" s="334"/>
      <c r="BG24" s="335"/>
      <c r="BH24" s="335"/>
      <c r="BI24" s="335"/>
      <c r="BJ24" s="335"/>
      <c r="BK24" s="336"/>
      <c r="BL24" s="336"/>
      <c r="BM24" s="336"/>
      <c r="BN24" s="336"/>
      <c r="BO24" s="337"/>
      <c r="BP24" s="337"/>
      <c r="BQ24" s="337"/>
      <c r="BR24" s="337"/>
      <c r="BS24" s="338"/>
      <c r="BT24" s="338"/>
      <c r="BU24" s="338"/>
      <c r="BV24" s="338"/>
      <c r="BW24" s="361" t="s">
        <v>181</v>
      </c>
      <c r="BX24" s="339"/>
      <c r="BY24" s="339"/>
      <c r="BZ24" s="339"/>
      <c r="CA24" s="340"/>
      <c r="CB24" s="340"/>
      <c r="CC24" s="340"/>
      <c r="CD24" s="340"/>
      <c r="CE24" s="341"/>
      <c r="CF24" s="341"/>
      <c r="CG24" s="341"/>
      <c r="CH24" s="341"/>
      <c r="CI24" s="342"/>
      <c r="CJ24" s="342"/>
      <c r="CK24" s="342"/>
      <c r="CL24" s="342"/>
      <c r="CM24" s="343"/>
      <c r="CN24" s="343"/>
      <c r="CO24" s="343"/>
      <c r="CP24" s="343"/>
      <c r="CQ24" s="344"/>
      <c r="CR24" s="344"/>
      <c r="CS24" s="344"/>
      <c r="CT24" s="344"/>
      <c r="CU24" s="345"/>
      <c r="CV24" s="345"/>
      <c r="CW24" s="345"/>
      <c r="CX24" s="345"/>
      <c r="CY24" s="346"/>
      <c r="CZ24" s="346"/>
      <c r="DA24" s="346"/>
      <c r="DB24" s="346"/>
      <c r="DC24" s="358"/>
      <c r="DD24" s="358"/>
      <c r="DE24" s="348"/>
      <c r="DF24" s="348"/>
      <c r="DG24" s="348"/>
      <c r="DH24" s="324"/>
      <c r="DI24" s="317"/>
      <c r="DJ24" s="314" t="s">
        <v>1966</v>
      </c>
      <c r="DK24" s="282"/>
      <c r="DL24" s="270"/>
      <c r="DM24" s="270"/>
      <c r="DN24" s="270"/>
      <c r="DO24" s="270"/>
      <c r="DP24" s="270"/>
      <c r="DQ24" s="285"/>
      <c r="DR24" s="285"/>
      <c r="DS24" s="285"/>
      <c r="DT24" s="285"/>
      <c r="DU24" s="285"/>
      <c r="DV24" s="285"/>
      <c r="DW24" s="285"/>
      <c r="DX24" s="285"/>
      <c r="DY24" s="285"/>
      <c r="DZ24" s="285"/>
      <c r="EA24" s="285"/>
      <c r="EB24" s="285"/>
      <c r="EC24" s="285"/>
      <c r="ED24" s="285"/>
      <c r="EE24" s="285"/>
      <c r="EF24" s="285"/>
      <c r="EG24" s="285"/>
      <c r="EH24" s="285"/>
      <c r="EI24" s="285"/>
    </row>
    <row r="25">
      <c r="A25" s="304" t="s">
        <v>1971</v>
      </c>
      <c r="B25" s="304" t="s">
        <v>1971</v>
      </c>
      <c r="C25" s="306"/>
      <c r="D25" s="307"/>
      <c r="E25" s="264"/>
      <c r="F25" s="264"/>
      <c r="G25" s="307"/>
      <c r="H25" s="308">
        <v>246.738875</v>
      </c>
      <c r="I25" s="308">
        <v>-24.594112</v>
      </c>
      <c r="J25" s="269" t="s">
        <v>158</v>
      </c>
      <c r="K25" s="269" t="s">
        <v>169</v>
      </c>
      <c r="L25" s="308">
        <v>1.0</v>
      </c>
      <c r="M25" s="268"/>
      <c r="N25" s="268"/>
      <c r="O25" s="309" t="s">
        <v>1962</v>
      </c>
      <c r="P25" s="309" t="s">
        <v>1962</v>
      </c>
      <c r="Q25" s="309" t="s">
        <v>1962</v>
      </c>
      <c r="R25" s="309" t="s">
        <v>1962</v>
      </c>
      <c r="S25" s="309" t="s">
        <v>1962</v>
      </c>
      <c r="T25" s="309" t="s">
        <v>1962</v>
      </c>
      <c r="U25" s="309" t="s">
        <v>1962</v>
      </c>
      <c r="V25" s="309" t="s">
        <v>1962</v>
      </c>
      <c r="W25" s="309" t="s">
        <v>1962</v>
      </c>
      <c r="X25" s="309">
        <v>19.198</v>
      </c>
      <c r="Y25" s="309">
        <v>0.053</v>
      </c>
      <c r="Z25" s="309">
        <v>15.086</v>
      </c>
      <c r="AA25" s="309">
        <v>0.074</v>
      </c>
      <c r="AB25" s="309">
        <v>12.806</v>
      </c>
      <c r="AC25" s="309">
        <v>0.03</v>
      </c>
      <c r="AD25" s="268"/>
      <c r="AE25" s="268"/>
      <c r="AF25" s="355">
        <v>7.1</v>
      </c>
      <c r="AG25" s="268"/>
      <c r="AH25" s="121" t="s">
        <v>160</v>
      </c>
      <c r="AI25" s="269"/>
      <c r="AJ25" s="269"/>
      <c r="AK25" s="329" t="s">
        <v>160</v>
      </c>
      <c r="AL25" s="270" t="s">
        <v>1963</v>
      </c>
      <c r="AM25" s="270"/>
      <c r="AN25" s="272"/>
      <c r="AO25" s="270"/>
      <c r="AP25" s="359">
        <v>2818.382931</v>
      </c>
      <c r="AQ25" s="270"/>
      <c r="AR25" s="357">
        <v>0.1047128548</v>
      </c>
      <c r="AS25" s="270"/>
      <c r="AT25" s="314">
        <v>0.1023292992</v>
      </c>
      <c r="AU25" s="270"/>
      <c r="AV25" s="316">
        <v>1.35</v>
      </c>
      <c r="AW25" s="270"/>
      <c r="AX25" s="332"/>
      <c r="AY25" s="272"/>
      <c r="AZ25" s="272" t="s">
        <v>1964</v>
      </c>
      <c r="BA25" s="270" t="s">
        <v>162</v>
      </c>
      <c r="BB25" s="314" t="s">
        <v>1965</v>
      </c>
      <c r="BC25" s="334"/>
      <c r="BD25" s="334"/>
      <c r="BE25" s="334"/>
      <c r="BF25" s="334"/>
      <c r="BG25" s="335"/>
      <c r="BH25" s="335"/>
      <c r="BI25" s="335"/>
      <c r="BJ25" s="335"/>
      <c r="BK25" s="336"/>
      <c r="BL25" s="336"/>
      <c r="BM25" s="336"/>
      <c r="BN25" s="336"/>
      <c r="BO25" s="337"/>
      <c r="BP25" s="337"/>
      <c r="BQ25" s="337"/>
      <c r="BR25" s="337"/>
      <c r="BS25" s="338"/>
      <c r="BT25" s="338"/>
      <c r="BU25" s="338"/>
      <c r="BV25" s="338"/>
      <c r="BW25" s="361" t="s">
        <v>1972</v>
      </c>
      <c r="BX25" s="339"/>
      <c r="BY25" s="339"/>
      <c r="BZ25" s="339"/>
      <c r="CA25" s="340"/>
      <c r="CB25" s="340"/>
      <c r="CC25" s="340"/>
      <c r="CD25" s="340"/>
      <c r="CE25" s="341"/>
      <c r="CF25" s="341"/>
      <c r="CG25" s="341"/>
      <c r="CH25" s="341"/>
      <c r="CI25" s="342"/>
      <c r="CJ25" s="342"/>
      <c r="CK25" s="342"/>
      <c r="CL25" s="342"/>
      <c r="CM25" s="343"/>
      <c r="CN25" s="343"/>
      <c r="CO25" s="343"/>
      <c r="CP25" s="343"/>
      <c r="CQ25" s="344"/>
      <c r="CR25" s="344"/>
      <c r="CS25" s="344"/>
      <c r="CT25" s="344"/>
      <c r="CU25" s="345"/>
      <c r="CV25" s="345"/>
      <c r="CW25" s="345"/>
      <c r="CX25" s="345"/>
      <c r="CY25" s="346"/>
      <c r="CZ25" s="346"/>
      <c r="DA25" s="346"/>
      <c r="DB25" s="346"/>
      <c r="DC25" s="358"/>
      <c r="DD25" s="358"/>
      <c r="DE25" s="362"/>
      <c r="DF25" s="362"/>
      <c r="DG25" s="362"/>
      <c r="DH25" s="323"/>
      <c r="DI25" s="317"/>
      <c r="DJ25" s="314" t="s">
        <v>1966</v>
      </c>
      <c r="DK25" s="282"/>
      <c r="DL25" s="270"/>
      <c r="DM25" s="270"/>
      <c r="DN25" s="270"/>
      <c r="DO25" s="270"/>
      <c r="DP25" s="270"/>
      <c r="DQ25" s="285"/>
      <c r="DR25" s="285"/>
      <c r="DS25" s="285"/>
      <c r="DT25" s="285"/>
      <c r="DU25" s="285"/>
      <c r="DV25" s="285"/>
      <c r="DW25" s="285"/>
      <c r="DX25" s="285"/>
      <c r="DY25" s="285"/>
      <c r="DZ25" s="285"/>
      <c r="EA25" s="285"/>
      <c r="EB25" s="285"/>
      <c r="EC25" s="285"/>
      <c r="ED25" s="285"/>
      <c r="EE25" s="285"/>
      <c r="EF25" s="285"/>
      <c r="EG25" s="285"/>
      <c r="EH25" s="285"/>
      <c r="EI25" s="285"/>
    </row>
    <row r="26">
      <c r="A26" s="304" t="s">
        <v>1973</v>
      </c>
      <c r="B26" s="304" t="s">
        <v>1973</v>
      </c>
      <c r="C26" s="306"/>
      <c r="D26" s="307"/>
      <c r="E26" s="264"/>
      <c r="F26" s="264"/>
      <c r="G26" s="307"/>
      <c r="H26" s="308">
        <v>246.742828</v>
      </c>
      <c r="I26" s="308">
        <v>-24.628044</v>
      </c>
      <c r="J26" s="269" t="s">
        <v>158</v>
      </c>
      <c r="K26" s="269" t="s">
        <v>169</v>
      </c>
      <c r="L26" s="308">
        <v>1.0</v>
      </c>
      <c r="M26" s="268"/>
      <c r="N26" s="268"/>
      <c r="O26" s="309" t="s">
        <v>1962</v>
      </c>
      <c r="P26" s="309" t="s">
        <v>1962</v>
      </c>
      <c r="Q26" s="309" t="s">
        <v>1962</v>
      </c>
      <c r="R26" s="309" t="s">
        <v>1962</v>
      </c>
      <c r="S26" s="309" t="s">
        <v>1962</v>
      </c>
      <c r="T26" s="309" t="s">
        <v>1962</v>
      </c>
      <c r="U26" s="309" t="s">
        <v>1962</v>
      </c>
      <c r="V26" s="309" t="s">
        <v>1962</v>
      </c>
      <c r="W26" s="309" t="s">
        <v>1962</v>
      </c>
      <c r="X26" s="309" t="s">
        <v>1962</v>
      </c>
      <c r="Y26" s="309" t="s">
        <v>1962</v>
      </c>
      <c r="Z26" s="309">
        <v>18.05</v>
      </c>
      <c r="AA26" s="309" t="s">
        <v>1962</v>
      </c>
      <c r="AB26" s="309">
        <v>14.407</v>
      </c>
      <c r="AC26" s="309">
        <v>0.079</v>
      </c>
      <c r="AD26" s="268"/>
      <c r="AE26" s="268"/>
      <c r="AF26" s="355"/>
      <c r="AG26" s="268"/>
      <c r="AH26" s="121" t="s">
        <v>160</v>
      </c>
      <c r="AI26" s="269"/>
      <c r="AJ26" s="269"/>
      <c r="AK26" s="329" t="s">
        <v>160</v>
      </c>
      <c r="AL26" s="270" t="s">
        <v>1963</v>
      </c>
      <c r="AM26" s="270"/>
      <c r="AN26" s="272"/>
      <c r="AO26" s="270"/>
      <c r="AP26" s="359">
        <v>3162.27766</v>
      </c>
      <c r="AQ26" s="270"/>
      <c r="AR26" s="360">
        <v>0.213796209</v>
      </c>
      <c r="AS26" s="270"/>
      <c r="AT26" s="314">
        <v>0.3311311215</v>
      </c>
      <c r="AU26" s="270"/>
      <c r="AV26" s="316">
        <v>1.92</v>
      </c>
      <c r="AW26" s="270"/>
      <c r="AX26" s="332"/>
      <c r="AY26" s="272"/>
      <c r="AZ26" s="272" t="s">
        <v>1964</v>
      </c>
      <c r="BA26" s="270" t="s">
        <v>162</v>
      </c>
      <c r="BB26" s="314" t="s">
        <v>1974</v>
      </c>
      <c r="BC26" s="334"/>
      <c r="BD26" s="334"/>
      <c r="BE26" s="334"/>
      <c r="BF26" s="334"/>
      <c r="BG26" s="335"/>
      <c r="BH26" s="335"/>
      <c r="BI26" s="335"/>
      <c r="BJ26" s="335"/>
      <c r="BK26" s="336"/>
      <c r="BL26" s="336"/>
      <c r="BM26" s="336"/>
      <c r="BN26" s="336"/>
      <c r="BO26" s="337"/>
      <c r="BP26" s="337"/>
      <c r="BQ26" s="337"/>
      <c r="BR26" s="337"/>
      <c r="BS26" s="338"/>
      <c r="BT26" s="338"/>
      <c r="BU26" s="338"/>
      <c r="BV26" s="338"/>
      <c r="BW26" s="339"/>
      <c r="BX26" s="339"/>
      <c r="BY26" s="339"/>
      <c r="BZ26" s="339"/>
      <c r="CA26" s="340"/>
      <c r="CB26" s="340"/>
      <c r="CC26" s="340"/>
      <c r="CD26" s="340"/>
      <c r="CE26" s="341"/>
      <c r="CF26" s="341"/>
      <c r="CG26" s="341"/>
      <c r="CH26" s="341"/>
      <c r="CI26" s="363" t="s">
        <v>1975</v>
      </c>
      <c r="CJ26" s="342"/>
      <c r="CK26" s="342"/>
      <c r="CL26" s="342"/>
      <c r="CM26" s="343"/>
      <c r="CN26" s="343"/>
      <c r="CO26" s="343"/>
      <c r="CP26" s="343"/>
      <c r="CQ26" s="344"/>
      <c r="CR26" s="344"/>
      <c r="CS26" s="344"/>
      <c r="CT26" s="344"/>
      <c r="CU26" s="345"/>
      <c r="CV26" s="345"/>
      <c r="CW26" s="345"/>
      <c r="CX26" s="345"/>
      <c r="CY26" s="346"/>
      <c r="CZ26" s="346"/>
      <c r="DA26" s="346"/>
      <c r="DB26" s="346"/>
      <c r="DC26" s="358"/>
      <c r="DD26" s="358"/>
      <c r="DE26" s="362"/>
      <c r="DF26" s="362"/>
      <c r="DG26" s="362"/>
      <c r="DH26" s="323"/>
      <c r="DI26" s="317"/>
      <c r="DJ26" s="314" t="s">
        <v>1966</v>
      </c>
      <c r="DK26" s="282"/>
      <c r="DL26" s="270"/>
      <c r="DM26" s="270"/>
      <c r="DN26" s="270"/>
      <c r="DO26" s="270"/>
      <c r="DP26" s="270"/>
      <c r="DQ26" s="285"/>
      <c r="DR26" s="285"/>
      <c r="DS26" s="285"/>
      <c r="DT26" s="285"/>
      <c r="DU26" s="285"/>
      <c r="DV26" s="285"/>
      <c r="DW26" s="285"/>
      <c r="DX26" s="285"/>
      <c r="DY26" s="285"/>
      <c r="DZ26" s="285"/>
      <c r="EA26" s="285"/>
      <c r="EB26" s="285"/>
      <c r="EC26" s="285"/>
      <c r="ED26" s="285"/>
      <c r="EE26" s="285"/>
      <c r="EF26" s="285"/>
      <c r="EG26" s="285"/>
      <c r="EH26" s="285"/>
      <c r="EI26" s="285"/>
    </row>
    <row r="27">
      <c r="A27" s="304" t="s">
        <v>1976</v>
      </c>
      <c r="B27" s="304" t="s">
        <v>1976</v>
      </c>
      <c r="C27" s="306"/>
      <c r="D27" s="307"/>
      <c r="E27" s="264"/>
      <c r="F27" s="264"/>
      <c r="G27" s="307"/>
      <c r="H27" s="308">
        <v>246.756744</v>
      </c>
      <c r="I27" s="308">
        <v>-24.360289</v>
      </c>
      <c r="J27" s="269" t="s">
        <v>158</v>
      </c>
      <c r="K27" s="269" t="s">
        <v>159</v>
      </c>
      <c r="L27" s="308">
        <v>1.0</v>
      </c>
      <c r="M27" s="268"/>
      <c r="N27" s="268"/>
      <c r="O27" s="309" t="s">
        <v>1962</v>
      </c>
      <c r="P27" s="309" t="s">
        <v>1962</v>
      </c>
      <c r="Q27" s="309" t="s">
        <v>1962</v>
      </c>
      <c r="R27" s="309" t="s">
        <v>1962</v>
      </c>
      <c r="S27" s="309" t="s">
        <v>1962</v>
      </c>
      <c r="T27" s="309" t="s">
        <v>1962</v>
      </c>
      <c r="U27" s="309" t="s">
        <v>1962</v>
      </c>
      <c r="V27" s="309" t="s">
        <v>1962</v>
      </c>
      <c r="W27" s="309" t="s">
        <v>1962</v>
      </c>
      <c r="X27" s="309">
        <v>14.251</v>
      </c>
      <c r="Y27" s="309">
        <v>0.032</v>
      </c>
      <c r="Z27" s="309">
        <v>11.073</v>
      </c>
      <c r="AA27" s="309">
        <v>0.023</v>
      </c>
      <c r="AB27" s="309">
        <v>9.389</v>
      </c>
      <c r="AC27" s="309">
        <v>0.021</v>
      </c>
      <c r="AD27" s="268"/>
      <c r="AE27" s="268"/>
      <c r="AF27" s="355">
        <v>6.1</v>
      </c>
      <c r="AG27" s="268"/>
      <c r="AH27" s="121" t="s">
        <v>160</v>
      </c>
      <c r="AI27" s="269"/>
      <c r="AJ27" s="269"/>
      <c r="AK27" s="329" t="s">
        <v>160</v>
      </c>
      <c r="AL27" s="270" t="s">
        <v>1963</v>
      </c>
      <c r="AM27" s="270"/>
      <c r="AN27" s="272"/>
      <c r="AO27" s="270"/>
      <c r="AP27" s="359">
        <v>4265.795188</v>
      </c>
      <c r="AQ27" s="270"/>
      <c r="AR27" s="357">
        <v>0.8128305162</v>
      </c>
      <c r="AS27" s="270"/>
      <c r="AT27" s="314">
        <v>3.090295433</v>
      </c>
      <c r="AU27" s="270"/>
      <c r="AV27" s="316">
        <v>3.23</v>
      </c>
      <c r="AW27" s="270"/>
      <c r="AX27" s="332"/>
      <c r="AY27" s="272"/>
      <c r="AZ27" s="272" t="s">
        <v>1964</v>
      </c>
      <c r="BA27" s="270" t="s">
        <v>162</v>
      </c>
      <c r="BB27" s="314" t="s">
        <v>1965</v>
      </c>
      <c r="BC27" s="334"/>
      <c r="BD27" s="334"/>
      <c r="BE27" s="334"/>
      <c r="BF27" s="334"/>
      <c r="BG27" s="335"/>
      <c r="BH27" s="335"/>
      <c r="BI27" s="335"/>
      <c r="BJ27" s="335"/>
      <c r="BK27" s="336"/>
      <c r="BL27" s="336"/>
      <c r="BM27" s="336"/>
      <c r="BN27" s="336"/>
      <c r="BO27" s="337"/>
      <c r="BP27" s="337"/>
      <c r="BQ27" s="337"/>
      <c r="BR27" s="337"/>
      <c r="BS27" s="338"/>
      <c r="BT27" s="338"/>
      <c r="BU27" s="338"/>
      <c r="BV27" s="338"/>
      <c r="BW27" s="339">
        <f>+0.9</f>
        <v>0.9</v>
      </c>
      <c r="BX27" s="339"/>
      <c r="BY27" s="339"/>
      <c r="BZ27" s="339"/>
      <c r="CA27" s="340"/>
      <c r="CB27" s="340"/>
      <c r="CC27" s="340"/>
      <c r="CD27" s="340"/>
      <c r="CE27" s="341"/>
      <c r="CF27" s="341"/>
      <c r="CG27" s="341"/>
      <c r="CH27" s="341"/>
      <c r="CI27" s="342"/>
      <c r="CJ27" s="342"/>
      <c r="CK27" s="342"/>
      <c r="CL27" s="342"/>
      <c r="CM27" s="343"/>
      <c r="CN27" s="343"/>
      <c r="CO27" s="343"/>
      <c r="CP27" s="343"/>
      <c r="CQ27" s="344"/>
      <c r="CR27" s="344"/>
      <c r="CS27" s="344"/>
      <c r="CT27" s="344"/>
      <c r="CU27" s="345"/>
      <c r="CV27" s="345"/>
      <c r="CW27" s="345"/>
      <c r="CX27" s="345"/>
      <c r="CY27" s="346"/>
      <c r="CZ27" s="346"/>
      <c r="DA27" s="346"/>
      <c r="DB27" s="346"/>
      <c r="DC27" s="358"/>
      <c r="DD27" s="358"/>
      <c r="DE27" s="348"/>
      <c r="DF27" s="348"/>
      <c r="DG27" s="348"/>
      <c r="DH27" s="324"/>
      <c r="DI27" s="317"/>
      <c r="DJ27" s="314" t="s">
        <v>1966</v>
      </c>
      <c r="DK27" s="282"/>
      <c r="DL27" s="270"/>
      <c r="DM27" s="270"/>
      <c r="DN27" s="270"/>
      <c r="DO27" s="270"/>
      <c r="DP27" s="270"/>
      <c r="DQ27" s="285"/>
      <c r="DR27" s="285"/>
      <c r="DS27" s="285"/>
      <c r="DT27" s="285"/>
      <c r="DU27" s="285"/>
      <c r="DV27" s="285"/>
      <c r="DW27" s="285"/>
      <c r="DX27" s="285"/>
      <c r="DY27" s="285"/>
      <c r="DZ27" s="285"/>
      <c r="EA27" s="285"/>
      <c r="EB27" s="285"/>
      <c r="EC27" s="285"/>
      <c r="ED27" s="285"/>
      <c r="EE27" s="285"/>
      <c r="EF27" s="285"/>
      <c r="EG27" s="285"/>
      <c r="EH27" s="285"/>
      <c r="EI27" s="285"/>
    </row>
    <row r="28">
      <c r="A28" s="304" t="s">
        <v>1977</v>
      </c>
      <c r="B28" s="304" t="s">
        <v>1977</v>
      </c>
      <c r="C28" s="306"/>
      <c r="D28" s="307"/>
      <c r="E28" s="307"/>
      <c r="F28" s="307"/>
      <c r="G28" s="307"/>
      <c r="H28" s="308">
        <v>246.778234</v>
      </c>
      <c r="I28" s="308">
        <v>-24.637499</v>
      </c>
      <c r="J28" s="269" t="s">
        <v>158</v>
      </c>
      <c r="K28" s="269" t="s">
        <v>169</v>
      </c>
      <c r="L28" s="308">
        <v>1.0</v>
      </c>
      <c r="M28" s="268"/>
      <c r="N28" s="268"/>
      <c r="O28" s="269" t="s">
        <v>1962</v>
      </c>
      <c r="P28" s="308">
        <v>-10.0</v>
      </c>
      <c r="Q28" s="308">
        <v>0.5</v>
      </c>
      <c r="R28" s="308">
        <v>-27.9</v>
      </c>
      <c r="S28" s="308">
        <v>0.4</v>
      </c>
      <c r="T28" s="308">
        <v>-3.8</v>
      </c>
      <c r="U28" s="308">
        <v>1.5</v>
      </c>
      <c r="V28" s="269" t="s">
        <v>1962</v>
      </c>
      <c r="W28" s="269" t="s">
        <v>1962</v>
      </c>
      <c r="X28" s="308">
        <v>18.9</v>
      </c>
      <c r="Y28" s="308">
        <v>0.11</v>
      </c>
      <c r="Z28" s="308">
        <v>14.296</v>
      </c>
      <c r="AA28" s="308">
        <v>0.053</v>
      </c>
      <c r="AB28" s="308">
        <v>10.971</v>
      </c>
      <c r="AC28" s="308">
        <v>0.023</v>
      </c>
      <c r="AD28" s="268"/>
      <c r="AE28" s="268"/>
      <c r="AF28" s="308">
        <v>11.6</v>
      </c>
      <c r="AG28" s="268"/>
      <c r="AH28" s="364" t="s">
        <v>160</v>
      </c>
      <c r="AI28" s="269"/>
      <c r="AJ28" s="269"/>
      <c r="AK28" s="365" t="s">
        <v>160</v>
      </c>
      <c r="AL28" s="270" t="s">
        <v>1963</v>
      </c>
      <c r="AM28" s="270"/>
      <c r="AN28" s="272"/>
      <c r="AO28" s="270"/>
      <c r="AP28" s="315">
        <v>4570.881896</v>
      </c>
      <c r="AQ28" s="270"/>
      <c r="AR28" s="331">
        <v>1.096478196</v>
      </c>
      <c r="AS28" s="270"/>
      <c r="AT28" s="330">
        <v>5.12861384</v>
      </c>
      <c r="AU28" s="270"/>
      <c r="AV28" s="316">
        <v>3.62</v>
      </c>
      <c r="AW28" s="270"/>
      <c r="AX28" s="332"/>
      <c r="AY28" s="272"/>
      <c r="AZ28" s="272" t="s">
        <v>1964</v>
      </c>
      <c r="BA28" s="270" t="s">
        <v>162</v>
      </c>
      <c r="BB28" s="272" t="s">
        <v>1965</v>
      </c>
      <c r="BC28" s="334"/>
      <c r="BD28" s="334"/>
      <c r="BE28" s="334"/>
      <c r="BF28" s="334"/>
      <c r="BG28" s="335"/>
      <c r="BH28" s="335"/>
      <c r="BI28" s="335"/>
      <c r="BJ28" s="335"/>
      <c r="BK28" s="336"/>
      <c r="BL28" s="336"/>
      <c r="BM28" s="336"/>
      <c r="BN28" s="336"/>
      <c r="BO28" s="337"/>
      <c r="BP28" s="337"/>
      <c r="BQ28" s="337"/>
      <c r="BR28" s="337"/>
      <c r="BS28" s="338"/>
      <c r="BT28" s="338"/>
      <c r="BU28" s="338"/>
      <c r="BV28" s="338"/>
      <c r="BW28" s="339" t="s">
        <v>179</v>
      </c>
      <c r="BX28" s="339"/>
      <c r="BY28" s="339"/>
      <c r="BZ28" s="339"/>
      <c r="CA28" s="340"/>
      <c r="CB28" s="340"/>
      <c r="CC28" s="340"/>
      <c r="CD28" s="340"/>
      <c r="CE28" s="341"/>
      <c r="CF28" s="341"/>
      <c r="CG28" s="341"/>
      <c r="CH28" s="341"/>
      <c r="CI28" s="342"/>
      <c r="CJ28" s="342"/>
      <c r="CK28" s="342"/>
      <c r="CL28" s="342"/>
      <c r="CM28" s="343"/>
      <c r="CN28" s="343"/>
      <c r="CO28" s="343"/>
      <c r="CP28" s="343"/>
      <c r="CQ28" s="344"/>
      <c r="CR28" s="344"/>
      <c r="CS28" s="344"/>
      <c r="CT28" s="344"/>
      <c r="CU28" s="345"/>
      <c r="CV28" s="345"/>
      <c r="CW28" s="345"/>
      <c r="CX28" s="345"/>
      <c r="CY28" s="346"/>
      <c r="CZ28" s="346"/>
      <c r="DA28" s="346"/>
      <c r="DB28" s="346"/>
      <c r="DC28" s="358"/>
      <c r="DD28" s="358"/>
      <c r="DE28" s="348"/>
      <c r="DF28" s="348"/>
      <c r="DG28" s="348"/>
      <c r="DH28" s="324"/>
      <c r="DI28" s="317"/>
      <c r="DJ28" s="272" t="s">
        <v>1966</v>
      </c>
      <c r="DK28" s="282"/>
      <c r="DL28" s="270"/>
      <c r="DM28" s="270"/>
      <c r="DN28" s="270"/>
      <c r="DO28" s="270"/>
      <c r="DP28" s="270"/>
      <c r="DQ28" s="285"/>
      <c r="DR28" s="285"/>
      <c r="DS28" s="285"/>
      <c r="DT28" s="285"/>
      <c r="DU28" s="285"/>
      <c r="DV28" s="285"/>
      <c r="DW28" s="285"/>
      <c r="DX28" s="285"/>
      <c r="DY28" s="285"/>
      <c r="DZ28" s="285"/>
      <c r="EA28" s="285"/>
      <c r="EB28" s="285"/>
      <c r="EC28" s="285"/>
      <c r="ED28" s="285"/>
      <c r="EE28" s="285"/>
      <c r="EF28" s="285"/>
      <c r="EG28" s="285"/>
      <c r="EH28" s="285"/>
      <c r="EI28" s="285"/>
    </row>
    <row r="29">
      <c r="A29" s="304" t="s">
        <v>1978</v>
      </c>
      <c r="B29" s="304" t="s">
        <v>1978</v>
      </c>
      <c r="C29" s="306"/>
      <c r="D29" s="307"/>
      <c r="E29" s="307"/>
      <c r="F29" s="307"/>
      <c r="G29" s="307"/>
      <c r="H29" s="308">
        <v>246.788972</v>
      </c>
      <c r="I29" s="308">
        <v>-24.672897</v>
      </c>
      <c r="J29" s="269" t="s">
        <v>158</v>
      </c>
      <c r="K29" s="269" t="s">
        <v>169</v>
      </c>
      <c r="L29" s="308">
        <v>1.0</v>
      </c>
      <c r="M29" s="268"/>
      <c r="N29" s="268"/>
      <c r="O29" s="269" t="s">
        <v>1962</v>
      </c>
      <c r="P29" s="308">
        <v>-7.3</v>
      </c>
      <c r="Q29" s="308">
        <v>0.3</v>
      </c>
      <c r="R29" s="308">
        <v>-26.8</v>
      </c>
      <c r="S29" s="308">
        <v>0.4</v>
      </c>
      <c r="T29" s="269" t="s">
        <v>1962</v>
      </c>
      <c r="U29" s="269" t="s">
        <v>1962</v>
      </c>
      <c r="V29" s="269" t="s">
        <v>1962</v>
      </c>
      <c r="W29" s="269" t="s">
        <v>1962</v>
      </c>
      <c r="X29" s="308">
        <v>17.41</v>
      </c>
      <c r="Y29" s="308">
        <v>0.06</v>
      </c>
      <c r="Z29" s="308">
        <v>13.554</v>
      </c>
      <c r="AA29" s="308">
        <v>0.032</v>
      </c>
      <c r="AB29" s="308">
        <v>11.302</v>
      </c>
      <c r="AC29" s="308">
        <v>0.023</v>
      </c>
      <c r="AD29" s="268"/>
      <c r="AE29" s="268"/>
      <c r="AF29" s="308">
        <v>7.0</v>
      </c>
      <c r="AG29" s="268"/>
      <c r="AH29" s="364" t="s">
        <v>160</v>
      </c>
      <c r="AI29" s="269"/>
      <c r="AJ29" s="269"/>
      <c r="AK29" s="365" t="s">
        <v>160</v>
      </c>
      <c r="AL29" s="270" t="s">
        <v>1963</v>
      </c>
      <c r="AM29" s="270"/>
      <c r="AN29" s="272"/>
      <c r="AO29" s="270"/>
      <c r="AP29" s="315">
        <v>3311.311215</v>
      </c>
      <c r="AQ29" s="270"/>
      <c r="AR29" s="331">
        <v>0.2754228703</v>
      </c>
      <c r="AS29" s="270"/>
      <c r="AT29" s="330">
        <v>0.5011872336</v>
      </c>
      <c r="AU29" s="270"/>
      <c r="AV29" s="316">
        <v>2.16</v>
      </c>
      <c r="AW29" s="270"/>
      <c r="AX29" s="332"/>
      <c r="AY29" s="272"/>
      <c r="AZ29" s="272" t="s">
        <v>1964</v>
      </c>
      <c r="BA29" s="270" t="s">
        <v>162</v>
      </c>
      <c r="BB29" s="272" t="s">
        <v>1965</v>
      </c>
      <c r="BC29" s="334"/>
      <c r="BD29" s="334"/>
      <c r="BE29" s="334"/>
      <c r="BF29" s="334"/>
      <c r="BG29" s="335"/>
      <c r="BH29" s="335"/>
      <c r="BI29" s="335"/>
      <c r="BJ29" s="335"/>
      <c r="BK29" s="336"/>
      <c r="BL29" s="336"/>
      <c r="BM29" s="336"/>
      <c r="BN29" s="336"/>
      <c r="BO29" s="337"/>
      <c r="BP29" s="337"/>
      <c r="BQ29" s="337"/>
      <c r="BR29" s="337"/>
      <c r="BS29" s="338"/>
      <c r="BT29" s="338"/>
      <c r="BU29" s="338"/>
      <c r="BV29" s="338"/>
      <c r="BW29" s="339" t="s">
        <v>1979</v>
      </c>
      <c r="BX29" s="339"/>
      <c r="BY29" s="339"/>
      <c r="BZ29" s="339"/>
      <c r="CA29" s="340"/>
      <c r="CB29" s="340"/>
      <c r="CC29" s="340"/>
      <c r="CD29" s="340"/>
      <c r="CE29" s="341"/>
      <c r="CF29" s="341"/>
      <c r="CG29" s="341"/>
      <c r="CH29" s="341"/>
      <c r="CI29" s="342"/>
      <c r="CJ29" s="342"/>
      <c r="CK29" s="342"/>
      <c r="CL29" s="342"/>
      <c r="CM29" s="343"/>
      <c r="CN29" s="343"/>
      <c r="CO29" s="343"/>
      <c r="CP29" s="343"/>
      <c r="CQ29" s="344"/>
      <c r="CR29" s="344"/>
      <c r="CS29" s="344"/>
      <c r="CT29" s="344"/>
      <c r="CU29" s="345"/>
      <c r="CV29" s="345"/>
      <c r="CW29" s="345"/>
      <c r="CX29" s="345"/>
      <c r="CY29" s="346"/>
      <c r="CZ29" s="346"/>
      <c r="DA29" s="346"/>
      <c r="DB29" s="346"/>
      <c r="DC29" s="358"/>
      <c r="DD29" s="358"/>
      <c r="DE29" s="348"/>
      <c r="DF29" s="348"/>
      <c r="DG29" s="348"/>
      <c r="DH29" s="324"/>
      <c r="DI29" s="317"/>
      <c r="DJ29" s="272" t="s">
        <v>1966</v>
      </c>
      <c r="DK29" s="282"/>
      <c r="DL29" s="270"/>
      <c r="DM29" s="270"/>
      <c r="DN29" s="270"/>
      <c r="DO29" s="270"/>
      <c r="DP29" s="270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85"/>
      <c r="EB29" s="285"/>
      <c r="EC29" s="285"/>
      <c r="ED29" s="285"/>
      <c r="EE29" s="285"/>
      <c r="EF29" s="285"/>
      <c r="EG29" s="285"/>
      <c r="EH29" s="285"/>
      <c r="EI29" s="285"/>
    </row>
    <row r="30">
      <c r="A30" s="304" t="s">
        <v>1980</v>
      </c>
      <c r="B30" s="304" t="s">
        <v>1980</v>
      </c>
      <c r="C30" s="306"/>
      <c r="D30" s="307"/>
      <c r="E30" s="307"/>
      <c r="F30" s="307"/>
      <c r="G30" s="307"/>
      <c r="H30" s="308">
        <v>246.796583</v>
      </c>
      <c r="I30" s="308">
        <v>-24.67963</v>
      </c>
      <c r="J30" s="269" t="s">
        <v>158</v>
      </c>
      <c r="K30" s="269" t="s">
        <v>169</v>
      </c>
      <c r="L30" s="308">
        <v>1.0</v>
      </c>
      <c r="M30" s="268"/>
      <c r="N30" s="268"/>
      <c r="O30" s="309" t="s">
        <v>1962</v>
      </c>
      <c r="P30" s="309">
        <v>-5.6</v>
      </c>
      <c r="Q30" s="309">
        <v>0.4</v>
      </c>
      <c r="R30" s="309">
        <v>-22.1</v>
      </c>
      <c r="S30" s="309">
        <v>0.4</v>
      </c>
      <c r="T30" s="309">
        <v>-5.8</v>
      </c>
      <c r="U30" s="309">
        <v>1.5</v>
      </c>
      <c r="V30" s="309" t="s">
        <v>1962</v>
      </c>
      <c r="W30" s="309" t="s">
        <v>1962</v>
      </c>
      <c r="X30" s="309">
        <v>17.81</v>
      </c>
      <c r="Y30" s="309">
        <v>0.07</v>
      </c>
      <c r="Z30" s="309">
        <v>12.881</v>
      </c>
      <c r="AA30" s="309">
        <v>0.027</v>
      </c>
      <c r="AB30" s="309">
        <v>10.196</v>
      </c>
      <c r="AC30" s="309">
        <v>0.023</v>
      </c>
      <c r="AD30" s="268"/>
      <c r="AE30" s="268"/>
      <c r="AF30" s="355">
        <v>8.9</v>
      </c>
      <c r="AG30" s="268"/>
      <c r="AH30" s="121" t="s">
        <v>160</v>
      </c>
      <c r="AI30" s="269"/>
      <c r="AJ30" s="269"/>
      <c r="AK30" s="329" t="s">
        <v>160</v>
      </c>
      <c r="AL30" s="270" t="s">
        <v>1963</v>
      </c>
      <c r="AM30" s="270"/>
      <c r="AN30" s="272"/>
      <c r="AO30" s="270"/>
      <c r="AP30" s="359">
        <v>4365.158322</v>
      </c>
      <c r="AQ30" s="270"/>
      <c r="AR30" s="357">
        <v>0.9120108394</v>
      </c>
      <c r="AS30" s="270"/>
      <c r="AT30" s="314">
        <v>3.715352291</v>
      </c>
      <c r="AU30" s="270"/>
      <c r="AV30" s="316">
        <v>3.38</v>
      </c>
      <c r="AW30" s="270"/>
      <c r="AX30" s="332"/>
      <c r="AY30" s="272"/>
      <c r="AZ30" s="272" t="s">
        <v>1964</v>
      </c>
      <c r="BA30" s="270" t="s">
        <v>162</v>
      </c>
      <c r="BB30" s="314" t="s">
        <v>1965</v>
      </c>
      <c r="BC30" s="334"/>
      <c r="BD30" s="334"/>
      <c r="BE30" s="334"/>
      <c r="BF30" s="334"/>
      <c r="BG30" s="335"/>
      <c r="BH30" s="335"/>
      <c r="BI30" s="335"/>
      <c r="BJ30" s="335"/>
      <c r="BK30" s="336"/>
      <c r="BL30" s="336"/>
      <c r="BM30" s="336"/>
      <c r="BN30" s="336"/>
      <c r="BO30" s="337"/>
      <c r="BP30" s="337"/>
      <c r="BQ30" s="337"/>
      <c r="BR30" s="337"/>
      <c r="BS30" s="338"/>
      <c r="BT30" s="338"/>
      <c r="BU30" s="338"/>
      <c r="BV30" s="338"/>
      <c r="BW30" s="361">
        <v>-17.9</v>
      </c>
      <c r="BX30" s="339"/>
      <c r="BY30" s="339"/>
      <c r="BZ30" s="339"/>
      <c r="CA30" s="340"/>
      <c r="CB30" s="340"/>
      <c r="CC30" s="340"/>
      <c r="CD30" s="340"/>
      <c r="CE30" s="341"/>
      <c r="CF30" s="341"/>
      <c r="CG30" s="341"/>
      <c r="CH30" s="341"/>
      <c r="CI30" s="342"/>
      <c r="CJ30" s="342"/>
      <c r="CK30" s="342"/>
      <c r="CL30" s="342"/>
      <c r="CM30" s="343"/>
      <c r="CN30" s="343"/>
      <c r="CO30" s="343"/>
      <c r="CP30" s="343"/>
      <c r="CQ30" s="344"/>
      <c r="CR30" s="344"/>
      <c r="CS30" s="344"/>
      <c r="CT30" s="344"/>
      <c r="CU30" s="345"/>
      <c r="CV30" s="345"/>
      <c r="CW30" s="345"/>
      <c r="CX30" s="345"/>
      <c r="CY30" s="346"/>
      <c r="CZ30" s="346"/>
      <c r="DA30" s="346"/>
      <c r="DB30" s="346"/>
      <c r="DC30" s="358"/>
      <c r="DD30" s="358"/>
      <c r="DE30" s="362"/>
      <c r="DF30" s="362"/>
      <c r="DG30" s="362"/>
      <c r="DH30" s="323"/>
      <c r="DI30" s="317"/>
      <c r="DJ30" s="314" t="s">
        <v>1966</v>
      </c>
      <c r="DK30" s="282"/>
      <c r="DL30" s="270"/>
      <c r="DM30" s="270"/>
      <c r="DN30" s="270"/>
      <c r="DO30" s="270"/>
      <c r="DP30" s="270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85"/>
      <c r="EB30" s="285"/>
      <c r="EC30" s="285"/>
      <c r="ED30" s="285"/>
      <c r="EE30" s="285"/>
      <c r="EF30" s="285"/>
      <c r="EG30" s="285"/>
      <c r="EH30" s="285"/>
      <c r="EI30" s="285"/>
    </row>
    <row r="31">
      <c r="A31" s="304" t="s">
        <v>1981</v>
      </c>
      <c r="B31" s="304" t="s">
        <v>1981</v>
      </c>
      <c r="C31" s="306"/>
      <c r="D31" s="307"/>
      <c r="E31" s="264"/>
      <c r="F31" s="264"/>
      <c r="G31" s="307"/>
      <c r="H31" s="308">
        <v>246.798676</v>
      </c>
      <c r="I31" s="308">
        <v>-24.394993</v>
      </c>
      <c r="J31" s="269" t="s">
        <v>158</v>
      </c>
      <c r="K31" s="269" t="s">
        <v>159</v>
      </c>
      <c r="L31" s="308">
        <v>1.0</v>
      </c>
      <c r="M31" s="268"/>
      <c r="N31" s="268"/>
      <c r="O31" s="309" t="s">
        <v>1962</v>
      </c>
      <c r="P31" s="309" t="s">
        <v>1962</v>
      </c>
      <c r="Q31" s="309" t="s">
        <v>1962</v>
      </c>
      <c r="R31" s="309" t="s">
        <v>1962</v>
      </c>
      <c r="S31" s="309" t="s">
        <v>1962</v>
      </c>
      <c r="T31" s="309" t="s">
        <v>1962</v>
      </c>
      <c r="U31" s="309" t="s">
        <v>1962</v>
      </c>
      <c r="V31" s="309" t="s">
        <v>1962</v>
      </c>
      <c r="W31" s="309" t="s">
        <v>1962</v>
      </c>
      <c r="X31" s="309">
        <v>14.207</v>
      </c>
      <c r="Y31" s="309">
        <v>0.029</v>
      </c>
      <c r="Z31" s="309">
        <v>11.624</v>
      </c>
      <c r="AA31" s="309">
        <v>0.022</v>
      </c>
      <c r="AB31" s="309">
        <v>10.107</v>
      </c>
      <c r="AC31" s="309">
        <v>0.021</v>
      </c>
      <c r="AD31" s="268"/>
      <c r="AE31" s="268"/>
      <c r="AF31" s="309">
        <v>4.3</v>
      </c>
      <c r="AG31" s="268"/>
      <c r="AH31" s="121" t="s">
        <v>160</v>
      </c>
      <c r="AI31" s="269"/>
      <c r="AJ31" s="269"/>
      <c r="AK31" s="329" t="s">
        <v>160</v>
      </c>
      <c r="AL31" s="272" t="s">
        <v>1963</v>
      </c>
      <c r="AM31" s="270"/>
      <c r="AN31" s="272"/>
      <c r="AO31" s="270"/>
      <c r="AP31" s="356">
        <v>3311.311215</v>
      </c>
      <c r="AQ31" s="270"/>
      <c r="AR31" s="360">
        <v>0.2691534804</v>
      </c>
      <c r="AS31" s="270"/>
      <c r="AT31" s="314">
        <v>0.4897788194</v>
      </c>
      <c r="AU31" s="270"/>
      <c r="AV31" s="270"/>
      <c r="AW31" s="270"/>
      <c r="AX31" s="332"/>
      <c r="AY31" s="272"/>
      <c r="AZ31" s="272" t="s">
        <v>1964</v>
      </c>
      <c r="BA31" s="270" t="s">
        <v>162</v>
      </c>
      <c r="BB31" s="314" t="s">
        <v>1965</v>
      </c>
      <c r="BC31" s="334"/>
      <c r="BD31" s="334"/>
      <c r="BE31" s="334"/>
      <c r="BF31" s="334"/>
      <c r="BG31" s="335"/>
      <c r="BH31" s="335"/>
      <c r="BI31" s="335"/>
      <c r="BJ31" s="335"/>
      <c r="BK31" s="336"/>
      <c r="BL31" s="336"/>
      <c r="BM31" s="336"/>
      <c r="BN31" s="336"/>
      <c r="BO31" s="337"/>
      <c r="BP31" s="337"/>
      <c r="BQ31" s="337"/>
      <c r="BR31" s="337"/>
      <c r="BS31" s="338"/>
      <c r="BT31" s="338"/>
      <c r="BU31" s="338"/>
      <c r="BV31" s="338"/>
      <c r="BW31" s="339">
        <f>+4</f>
        <v>4</v>
      </c>
      <c r="BX31" s="339"/>
      <c r="BY31" s="339"/>
      <c r="BZ31" s="339"/>
      <c r="CA31" s="340"/>
      <c r="CB31" s="340"/>
      <c r="CC31" s="340"/>
      <c r="CD31" s="340"/>
      <c r="CE31" s="341"/>
      <c r="CF31" s="341"/>
      <c r="CG31" s="341"/>
      <c r="CH31" s="341"/>
      <c r="CI31" s="342">
        <f>+5.6</f>
        <v>5.6</v>
      </c>
      <c r="CJ31" s="342"/>
      <c r="CK31" s="342"/>
      <c r="CL31" s="342"/>
      <c r="CM31" s="343"/>
      <c r="CN31" s="343"/>
      <c r="CO31" s="343"/>
      <c r="CP31" s="343"/>
      <c r="CQ31" s="344"/>
      <c r="CR31" s="344"/>
      <c r="CS31" s="344"/>
      <c r="CT31" s="344"/>
      <c r="CU31" s="345"/>
      <c r="CV31" s="345"/>
      <c r="CW31" s="345"/>
      <c r="CX31" s="345"/>
      <c r="CY31" s="346"/>
      <c r="CZ31" s="346"/>
      <c r="DA31" s="346"/>
      <c r="DB31" s="346"/>
      <c r="DC31" s="358"/>
      <c r="DD31" s="358"/>
      <c r="DE31" s="348"/>
      <c r="DF31" s="348"/>
      <c r="DG31" s="348"/>
      <c r="DH31" s="324"/>
      <c r="DI31" s="317"/>
      <c r="DJ31" s="314" t="s">
        <v>1966</v>
      </c>
      <c r="DK31" s="282"/>
      <c r="DL31" s="270"/>
      <c r="DM31" s="270"/>
      <c r="DN31" s="270"/>
      <c r="DO31" s="270"/>
      <c r="DP31" s="270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85"/>
      <c r="EB31" s="285"/>
      <c r="EC31" s="285"/>
      <c r="ED31" s="285"/>
      <c r="EE31" s="285"/>
      <c r="EF31" s="285"/>
      <c r="EG31" s="285"/>
      <c r="EH31" s="285"/>
      <c r="EI31" s="285"/>
    </row>
    <row r="32">
      <c r="A32" s="304" t="s">
        <v>1982</v>
      </c>
      <c r="B32" s="304" t="s">
        <v>1982</v>
      </c>
      <c r="C32" s="306"/>
      <c r="D32" s="307"/>
      <c r="E32" s="307"/>
      <c r="F32" s="307"/>
      <c r="G32" s="307"/>
      <c r="H32" s="308">
        <v>246.798809</v>
      </c>
      <c r="I32" s="308">
        <v>-24.642239</v>
      </c>
      <c r="J32" s="269" t="s">
        <v>158</v>
      </c>
      <c r="K32" s="269" t="s">
        <v>159</v>
      </c>
      <c r="L32" s="308">
        <v>1.0</v>
      </c>
      <c r="M32" s="268"/>
      <c r="N32" s="268"/>
      <c r="O32" s="309" t="s">
        <v>1962</v>
      </c>
      <c r="P32" s="309">
        <v>-6.4</v>
      </c>
      <c r="Q32" s="309">
        <v>0.5</v>
      </c>
      <c r="R32" s="309">
        <v>-22.8</v>
      </c>
      <c r="S32" s="309">
        <v>0.4</v>
      </c>
      <c r="T32" s="309">
        <v>-27.4</v>
      </c>
      <c r="U32" s="309">
        <v>1.7</v>
      </c>
      <c r="V32" s="309" t="s">
        <v>1962</v>
      </c>
      <c r="W32" s="309" t="s">
        <v>1962</v>
      </c>
      <c r="X32" s="309">
        <v>21.1</v>
      </c>
      <c r="Y32" s="309" t="s">
        <v>1962</v>
      </c>
      <c r="Z32" s="309">
        <v>15.057</v>
      </c>
      <c r="AA32" s="309">
        <v>0.066</v>
      </c>
      <c r="AB32" s="309">
        <v>11.057</v>
      </c>
      <c r="AC32" s="309">
        <v>0.019</v>
      </c>
      <c r="AD32" s="268"/>
      <c r="AE32" s="268"/>
      <c r="AF32" s="355">
        <v>16.2</v>
      </c>
      <c r="AG32" s="268"/>
      <c r="AH32" s="121" t="s">
        <v>160</v>
      </c>
      <c r="AI32" s="269"/>
      <c r="AJ32" s="269"/>
      <c r="AK32" s="329" t="s">
        <v>160</v>
      </c>
      <c r="AL32" s="270" t="s">
        <v>1963</v>
      </c>
      <c r="AM32" s="270"/>
      <c r="AN32" s="272"/>
      <c r="AO32" s="270"/>
      <c r="AP32" s="359">
        <v>6165.950019</v>
      </c>
      <c r="AQ32" s="270"/>
      <c r="AR32" s="357">
        <v>4.365158322</v>
      </c>
      <c r="AS32" s="270"/>
      <c r="AT32" s="314">
        <v>51.2861384</v>
      </c>
      <c r="AU32" s="270"/>
      <c r="AV32" s="316">
        <v>6.29</v>
      </c>
      <c r="AW32" s="270"/>
      <c r="AX32" s="332"/>
      <c r="AY32" s="272"/>
      <c r="AZ32" s="272" t="s">
        <v>1964</v>
      </c>
      <c r="BA32" s="270" t="s">
        <v>162</v>
      </c>
      <c r="BB32" s="314" t="s">
        <v>1965</v>
      </c>
      <c r="BC32" s="334"/>
      <c r="BD32" s="334"/>
      <c r="BE32" s="334"/>
      <c r="BF32" s="334"/>
      <c r="BG32" s="335"/>
      <c r="BH32" s="335"/>
      <c r="BI32" s="335"/>
      <c r="BJ32" s="335"/>
      <c r="BK32" s="336"/>
      <c r="BL32" s="336"/>
      <c r="BM32" s="336"/>
      <c r="BN32" s="336"/>
      <c r="BO32" s="337"/>
      <c r="BP32" s="337"/>
      <c r="BQ32" s="337"/>
      <c r="BR32" s="337"/>
      <c r="BS32" s="338"/>
      <c r="BT32" s="338"/>
      <c r="BU32" s="338"/>
      <c r="BV32" s="338"/>
      <c r="BW32" s="361" t="s">
        <v>1975</v>
      </c>
      <c r="BX32" s="339"/>
      <c r="BY32" s="339"/>
      <c r="BZ32" s="339"/>
      <c r="CA32" s="340"/>
      <c r="CB32" s="340"/>
      <c r="CC32" s="340"/>
      <c r="CD32" s="340"/>
      <c r="CE32" s="341"/>
      <c r="CF32" s="341"/>
      <c r="CG32" s="341"/>
      <c r="CH32" s="341"/>
      <c r="CI32" s="342"/>
      <c r="CJ32" s="342"/>
      <c r="CK32" s="342"/>
      <c r="CL32" s="342"/>
      <c r="CM32" s="343"/>
      <c r="CN32" s="343"/>
      <c r="CO32" s="343"/>
      <c r="CP32" s="343"/>
      <c r="CQ32" s="344"/>
      <c r="CR32" s="344"/>
      <c r="CS32" s="344"/>
      <c r="CT32" s="344"/>
      <c r="CU32" s="345"/>
      <c r="CV32" s="345"/>
      <c r="CW32" s="345"/>
      <c r="CX32" s="345"/>
      <c r="CY32" s="346"/>
      <c r="CZ32" s="346"/>
      <c r="DA32" s="346"/>
      <c r="DB32" s="346"/>
      <c r="DC32" s="347"/>
      <c r="DD32" s="347"/>
      <c r="DE32" s="352"/>
      <c r="DF32" s="352"/>
      <c r="DG32" s="352"/>
      <c r="DH32" s="317"/>
      <c r="DI32" s="317"/>
      <c r="DJ32" s="314" t="s">
        <v>1966</v>
      </c>
      <c r="DK32" s="282"/>
      <c r="DL32" s="270"/>
      <c r="DM32" s="270"/>
      <c r="DN32" s="270"/>
      <c r="DO32" s="270"/>
      <c r="DP32" s="270"/>
      <c r="DQ32" s="285"/>
      <c r="DR32" s="285"/>
      <c r="DS32" s="285"/>
      <c r="DT32" s="285"/>
      <c r="DU32" s="285"/>
      <c r="DV32" s="285"/>
      <c r="DW32" s="285"/>
      <c r="DX32" s="285"/>
      <c r="DY32" s="285"/>
      <c r="DZ32" s="285"/>
      <c r="EA32" s="285"/>
      <c r="EB32" s="285"/>
      <c r="EC32" s="285"/>
      <c r="ED32" s="285"/>
      <c r="EE32" s="285"/>
      <c r="EF32" s="285"/>
      <c r="EG32" s="285"/>
      <c r="EH32" s="285"/>
      <c r="EI32" s="285"/>
    </row>
    <row r="33">
      <c r="A33" s="304" t="s">
        <v>1983</v>
      </c>
      <c r="B33" s="304" t="s">
        <v>1983</v>
      </c>
      <c r="C33" s="306"/>
      <c r="D33" s="307"/>
      <c r="E33" s="307"/>
      <c r="F33" s="307"/>
      <c r="G33" s="307"/>
      <c r="H33" s="308">
        <v>246.810438</v>
      </c>
      <c r="I33" s="308">
        <v>-24.446135</v>
      </c>
      <c r="J33" s="269" t="s">
        <v>158</v>
      </c>
      <c r="K33" s="269" t="s">
        <v>169</v>
      </c>
      <c r="L33" s="308">
        <v>1.0</v>
      </c>
      <c r="M33" s="268"/>
      <c r="N33" s="268"/>
      <c r="O33" s="269" t="s">
        <v>1962</v>
      </c>
      <c r="P33" s="269" t="s">
        <v>1962</v>
      </c>
      <c r="Q33" s="269" t="s">
        <v>1962</v>
      </c>
      <c r="R33" s="269" t="s">
        <v>1962</v>
      </c>
      <c r="S33" s="269" t="s">
        <v>1962</v>
      </c>
      <c r="T33" s="269" t="s">
        <v>1962</v>
      </c>
      <c r="U33" s="269" t="s">
        <v>1962</v>
      </c>
      <c r="V33" s="269" t="s">
        <v>1962</v>
      </c>
      <c r="W33" s="269" t="s">
        <v>1962</v>
      </c>
      <c r="X33" s="308">
        <v>20.52</v>
      </c>
      <c r="Y33" s="269" t="s">
        <v>1962</v>
      </c>
      <c r="Z33" s="308">
        <v>15.339</v>
      </c>
      <c r="AA33" s="308">
        <v>0.083</v>
      </c>
      <c r="AB33" s="308">
        <v>12.263</v>
      </c>
      <c r="AC33" s="308">
        <v>0.027</v>
      </c>
      <c r="AD33" s="268"/>
      <c r="AE33" s="268"/>
      <c r="AF33" s="308">
        <v>10.5</v>
      </c>
      <c r="AG33" s="268"/>
      <c r="AH33" s="364" t="s">
        <v>160</v>
      </c>
      <c r="AI33" s="269"/>
      <c r="AJ33" s="269"/>
      <c r="AK33" s="365" t="s">
        <v>160</v>
      </c>
      <c r="AL33" s="270" t="s">
        <v>1963</v>
      </c>
      <c r="AM33" s="270"/>
      <c r="AN33" s="272"/>
      <c r="AO33" s="270"/>
      <c r="AP33" s="315">
        <v>3548.133892</v>
      </c>
      <c r="AQ33" s="270"/>
      <c r="AR33" s="331">
        <v>0.3548133892</v>
      </c>
      <c r="AS33" s="270"/>
      <c r="AT33" s="330">
        <v>0.7762471166</v>
      </c>
      <c r="AU33" s="270"/>
      <c r="AV33" s="316">
        <v>2.34</v>
      </c>
      <c r="AW33" s="270"/>
      <c r="AX33" s="332"/>
      <c r="AY33" s="272"/>
      <c r="AZ33" s="272" t="s">
        <v>1964</v>
      </c>
      <c r="BA33" s="270" t="s">
        <v>162</v>
      </c>
      <c r="BB33" s="272" t="s">
        <v>1965</v>
      </c>
      <c r="BC33" s="334"/>
      <c r="BD33" s="334"/>
      <c r="BE33" s="334"/>
      <c r="BF33" s="334"/>
      <c r="BG33" s="335"/>
      <c r="BH33" s="335"/>
      <c r="BI33" s="335"/>
      <c r="BJ33" s="335"/>
      <c r="BK33" s="336"/>
      <c r="BL33" s="336"/>
      <c r="BM33" s="336"/>
      <c r="BN33" s="336"/>
      <c r="BO33" s="337"/>
      <c r="BP33" s="337"/>
      <c r="BQ33" s="337"/>
      <c r="BR33" s="337"/>
      <c r="BS33" s="338"/>
      <c r="BT33" s="338"/>
      <c r="BU33" s="338"/>
      <c r="BV33" s="338"/>
      <c r="BW33" s="339" t="s">
        <v>1393</v>
      </c>
      <c r="BX33" s="339"/>
      <c r="BY33" s="339"/>
      <c r="BZ33" s="339"/>
      <c r="CA33" s="340"/>
      <c r="CB33" s="340"/>
      <c r="CC33" s="340"/>
      <c r="CD33" s="340"/>
      <c r="CE33" s="341"/>
      <c r="CF33" s="341"/>
      <c r="CG33" s="341"/>
      <c r="CH33" s="341"/>
      <c r="CI33" s="342"/>
      <c r="CJ33" s="342"/>
      <c r="CK33" s="342"/>
      <c r="CL33" s="342"/>
      <c r="CM33" s="343"/>
      <c r="CN33" s="343"/>
      <c r="CO33" s="343"/>
      <c r="CP33" s="343"/>
      <c r="CQ33" s="344"/>
      <c r="CR33" s="344"/>
      <c r="CS33" s="344"/>
      <c r="CT33" s="344"/>
      <c r="CU33" s="345"/>
      <c r="CV33" s="345"/>
      <c r="CW33" s="345"/>
      <c r="CX33" s="345"/>
      <c r="CY33" s="346"/>
      <c r="CZ33" s="346"/>
      <c r="DA33" s="346"/>
      <c r="DB33" s="346"/>
      <c r="DC33" s="358"/>
      <c r="DD33" s="358"/>
      <c r="DE33" s="348"/>
      <c r="DF33" s="348"/>
      <c r="DG33" s="348"/>
      <c r="DH33" s="324"/>
      <c r="DI33" s="317"/>
      <c r="DJ33" s="272" t="s">
        <v>1966</v>
      </c>
      <c r="DK33" s="282"/>
      <c r="DL33" s="270"/>
      <c r="DM33" s="270"/>
      <c r="DN33" s="270"/>
      <c r="DO33" s="270"/>
      <c r="DP33" s="270"/>
      <c r="DQ33" s="285"/>
      <c r="DR33" s="285"/>
      <c r="DS33" s="285"/>
      <c r="DT33" s="285"/>
      <c r="DU33" s="285"/>
      <c r="DV33" s="285"/>
      <c r="DW33" s="285"/>
      <c r="DX33" s="285"/>
      <c r="DY33" s="285"/>
      <c r="DZ33" s="285"/>
      <c r="EA33" s="285"/>
      <c r="EB33" s="285"/>
      <c r="EC33" s="285"/>
      <c r="ED33" s="285"/>
      <c r="EE33" s="285"/>
      <c r="EF33" s="285"/>
      <c r="EG33" s="285"/>
      <c r="EH33" s="285"/>
      <c r="EI33" s="285"/>
    </row>
    <row r="34">
      <c r="A34" s="304" t="s">
        <v>1984</v>
      </c>
      <c r="B34" s="304" t="s">
        <v>1984</v>
      </c>
      <c r="C34" s="306"/>
      <c r="D34" s="307"/>
      <c r="E34" s="307"/>
      <c r="F34" s="307"/>
      <c r="G34" s="307"/>
      <c r="H34" s="308">
        <v>246.823215</v>
      </c>
      <c r="I34" s="308">
        <v>-24.482304</v>
      </c>
      <c r="J34" s="269" t="s">
        <v>158</v>
      </c>
      <c r="K34" s="269" t="s">
        <v>169</v>
      </c>
      <c r="L34" s="308">
        <v>1.0</v>
      </c>
      <c r="M34" s="268"/>
      <c r="N34" s="268"/>
      <c r="O34" s="269" t="s">
        <v>1962</v>
      </c>
      <c r="P34" s="269" t="s">
        <v>1962</v>
      </c>
      <c r="Q34" s="269" t="s">
        <v>1962</v>
      </c>
      <c r="R34" s="269" t="s">
        <v>1962</v>
      </c>
      <c r="S34" s="269" t="s">
        <v>1962</v>
      </c>
      <c r="T34" s="269" t="s">
        <v>1962</v>
      </c>
      <c r="U34" s="269" t="s">
        <v>1962</v>
      </c>
      <c r="V34" s="269" t="s">
        <v>1962</v>
      </c>
      <c r="W34" s="269" t="s">
        <v>1962</v>
      </c>
      <c r="X34" s="308">
        <v>19.78</v>
      </c>
      <c r="Y34" s="308">
        <v>0.18</v>
      </c>
      <c r="Z34" s="308">
        <v>14.417</v>
      </c>
      <c r="AA34" s="308">
        <v>0.097</v>
      </c>
      <c r="AB34" s="308">
        <v>11.584</v>
      </c>
      <c r="AC34" s="308">
        <v>0.04</v>
      </c>
      <c r="AD34" s="268"/>
      <c r="AE34" s="268"/>
      <c r="AF34" s="308">
        <v>9.5</v>
      </c>
      <c r="AG34" s="268"/>
      <c r="AH34" s="364" t="s">
        <v>160</v>
      </c>
      <c r="AI34" s="269"/>
      <c r="AJ34" s="269"/>
      <c r="AK34" s="365" t="s">
        <v>160</v>
      </c>
      <c r="AL34" s="270" t="s">
        <v>1963</v>
      </c>
      <c r="AM34" s="270"/>
      <c r="AN34" s="272"/>
      <c r="AO34" s="270"/>
      <c r="AP34" s="315">
        <v>3715.352291</v>
      </c>
      <c r="AQ34" s="270"/>
      <c r="AR34" s="331">
        <v>0.4265795188</v>
      </c>
      <c r="AS34" s="270"/>
      <c r="AT34" s="330">
        <v>1.071519305</v>
      </c>
      <c r="AU34" s="270"/>
      <c r="AV34" s="316">
        <v>2.51</v>
      </c>
      <c r="AW34" s="270"/>
      <c r="AX34" s="332"/>
      <c r="AY34" s="272"/>
      <c r="AZ34" s="272" t="s">
        <v>1964</v>
      </c>
      <c r="BA34" s="270" t="s">
        <v>162</v>
      </c>
      <c r="BB34" s="272" t="s">
        <v>1965</v>
      </c>
      <c r="BC34" s="334"/>
      <c r="BD34" s="334"/>
      <c r="BE34" s="334"/>
      <c r="BF34" s="334"/>
      <c r="BG34" s="335"/>
      <c r="BH34" s="335"/>
      <c r="BI34" s="335"/>
      <c r="BJ34" s="335"/>
      <c r="BK34" s="336"/>
      <c r="BL34" s="336"/>
      <c r="BM34" s="336"/>
      <c r="BN34" s="336"/>
      <c r="BO34" s="337"/>
      <c r="BP34" s="337"/>
      <c r="BQ34" s="337"/>
      <c r="BR34" s="337"/>
      <c r="BS34" s="338"/>
      <c r="BT34" s="338"/>
      <c r="BU34" s="338"/>
      <c r="BV34" s="338"/>
      <c r="BW34" s="339" t="s">
        <v>1985</v>
      </c>
      <c r="BX34" s="339"/>
      <c r="BY34" s="339"/>
      <c r="BZ34" s="339"/>
      <c r="CA34" s="340"/>
      <c r="CB34" s="340"/>
      <c r="CC34" s="340"/>
      <c r="CD34" s="340"/>
      <c r="CE34" s="341"/>
      <c r="CF34" s="341"/>
      <c r="CG34" s="341"/>
      <c r="CH34" s="341"/>
      <c r="CI34" s="342"/>
      <c r="CJ34" s="342"/>
      <c r="CK34" s="342"/>
      <c r="CL34" s="342"/>
      <c r="CM34" s="343"/>
      <c r="CN34" s="343"/>
      <c r="CO34" s="343"/>
      <c r="CP34" s="343"/>
      <c r="CQ34" s="344"/>
      <c r="CR34" s="344"/>
      <c r="CS34" s="344"/>
      <c r="CT34" s="344"/>
      <c r="CU34" s="345"/>
      <c r="CV34" s="345"/>
      <c r="CW34" s="345"/>
      <c r="CX34" s="345"/>
      <c r="CY34" s="346"/>
      <c r="CZ34" s="346"/>
      <c r="DA34" s="346"/>
      <c r="DB34" s="346"/>
      <c r="DC34" s="358"/>
      <c r="DD34" s="358"/>
      <c r="DE34" s="348"/>
      <c r="DF34" s="348"/>
      <c r="DG34" s="348"/>
      <c r="DH34" s="324"/>
      <c r="DI34" s="317"/>
      <c r="DJ34" s="272" t="s">
        <v>1966</v>
      </c>
      <c r="DK34" s="282"/>
      <c r="DL34" s="270"/>
      <c r="DM34" s="270"/>
      <c r="DN34" s="270"/>
      <c r="DO34" s="270"/>
      <c r="DP34" s="270"/>
      <c r="DQ34" s="285"/>
      <c r="DR34" s="285"/>
      <c r="DS34" s="285"/>
      <c r="DT34" s="285"/>
      <c r="DU34" s="285"/>
      <c r="DV34" s="285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</row>
    <row r="35">
      <c r="A35" s="304" t="s">
        <v>1986</v>
      </c>
      <c r="B35" s="304" t="s">
        <v>1986</v>
      </c>
      <c r="C35" s="306"/>
      <c r="D35" s="307"/>
      <c r="E35" s="307"/>
      <c r="F35" s="307"/>
      <c r="G35" s="307"/>
      <c r="H35" s="308">
        <v>246.830066</v>
      </c>
      <c r="I35" s="308">
        <v>-24.478848</v>
      </c>
      <c r="J35" s="269" t="s">
        <v>158</v>
      </c>
      <c r="K35" s="269" t="s">
        <v>169</v>
      </c>
      <c r="L35" s="308">
        <v>1.0</v>
      </c>
      <c r="M35" s="268"/>
      <c r="N35" s="268"/>
      <c r="O35" s="269" t="s">
        <v>1962</v>
      </c>
      <c r="P35" s="308">
        <v>-4.7</v>
      </c>
      <c r="Q35" s="308">
        <v>3.2</v>
      </c>
      <c r="R35" s="308">
        <v>-29.2</v>
      </c>
      <c r="S35" s="308">
        <v>2.5</v>
      </c>
      <c r="T35" s="308">
        <v>-6.9</v>
      </c>
      <c r="U35" s="308">
        <v>1.4</v>
      </c>
      <c r="V35" s="269" t="s">
        <v>1962</v>
      </c>
      <c r="W35" s="269" t="s">
        <v>1962</v>
      </c>
      <c r="X35" s="308">
        <v>19.45</v>
      </c>
      <c r="Y35" s="308">
        <v>0.16</v>
      </c>
      <c r="Z35" s="308">
        <v>14.662</v>
      </c>
      <c r="AA35" s="308">
        <v>0.089</v>
      </c>
      <c r="AB35" s="308">
        <v>11.493</v>
      </c>
      <c r="AC35" s="308">
        <v>0.027</v>
      </c>
      <c r="AD35" s="268"/>
      <c r="AE35" s="268"/>
      <c r="AF35" s="308">
        <v>10.9</v>
      </c>
      <c r="AG35" s="268"/>
      <c r="AH35" s="364" t="s">
        <v>160</v>
      </c>
      <c r="AI35" s="269"/>
      <c r="AJ35" s="269"/>
      <c r="AK35" s="365" t="s">
        <v>160</v>
      </c>
      <c r="AL35" s="270" t="s">
        <v>1963</v>
      </c>
      <c r="AM35" s="270"/>
      <c r="AN35" s="272" t="s">
        <v>434</v>
      </c>
      <c r="AO35" s="270"/>
      <c r="AP35" s="315">
        <v>4073.802778</v>
      </c>
      <c r="AQ35" s="270"/>
      <c r="AR35" s="331">
        <v>0.645654229</v>
      </c>
      <c r="AS35" s="270"/>
      <c r="AT35" s="330">
        <v>2.13796209</v>
      </c>
      <c r="AU35" s="270"/>
      <c r="AV35" s="316">
        <v>2.94</v>
      </c>
      <c r="AW35" s="270"/>
      <c r="AX35" s="332"/>
      <c r="AY35" s="272"/>
      <c r="AZ35" s="272" t="s">
        <v>1964</v>
      </c>
      <c r="BA35" s="270" t="s">
        <v>162</v>
      </c>
      <c r="BB35" s="272" t="s">
        <v>1965</v>
      </c>
      <c r="BC35" s="334"/>
      <c r="BD35" s="334"/>
      <c r="BE35" s="334"/>
      <c r="BF35" s="334"/>
      <c r="BG35" s="335"/>
      <c r="BH35" s="335"/>
      <c r="BI35" s="335"/>
      <c r="BJ35" s="335"/>
      <c r="BK35" s="336"/>
      <c r="BL35" s="336"/>
      <c r="BM35" s="336"/>
      <c r="BN35" s="336"/>
      <c r="BO35" s="337"/>
      <c r="BP35" s="337"/>
      <c r="BQ35" s="337"/>
      <c r="BR35" s="337"/>
      <c r="BS35" s="338"/>
      <c r="BT35" s="338"/>
      <c r="BU35" s="338"/>
      <c r="BV35" s="338"/>
      <c r="BW35" s="339" t="s">
        <v>1987</v>
      </c>
      <c r="BX35" s="339"/>
      <c r="BY35" s="339"/>
      <c r="BZ35" s="339"/>
      <c r="CA35" s="340"/>
      <c r="CB35" s="340"/>
      <c r="CC35" s="340"/>
      <c r="CD35" s="340"/>
      <c r="CE35" s="341"/>
      <c r="CF35" s="341"/>
      <c r="CG35" s="341"/>
      <c r="CH35" s="341"/>
      <c r="CI35" s="342"/>
      <c r="CJ35" s="342"/>
      <c r="CK35" s="342"/>
      <c r="CL35" s="342"/>
      <c r="CM35" s="343"/>
      <c r="CN35" s="343"/>
      <c r="CO35" s="343"/>
      <c r="CP35" s="343"/>
      <c r="CQ35" s="344"/>
      <c r="CR35" s="344"/>
      <c r="CS35" s="344"/>
      <c r="CT35" s="344"/>
      <c r="CU35" s="345"/>
      <c r="CV35" s="345"/>
      <c r="CW35" s="345"/>
      <c r="CX35" s="345"/>
      <c r="CY35" s="346"/>
      <c r="CZ35" s="346"/>
      <c r="DA35" s="346"/>
      <c r="DB35" s="346"/>
      <c r="DC35" s="358"/>
      <c r="DD35" s="358"/>
      <c r="DE35" s="348"/>
      <c r="DF35" s="348"/>
      <c r="DG35" s="348"/>
      <c r="DH35" s="324"/>
      <c r="DI35" s="317"/>
      <c r="DJ35" s="272" t="s">
        <v>1966</v>
      </c>
      <c r="DK35" s="282"/>
      <c r="DL35" s="270"/>
      <c r="DM35" s="270"/>
      <c r="DN35" s="270"/>
      <c r="DO35" s="270"/>
      <c r="DP35" s="366" t="s">
        <v>1368</v>
      </c>
      <c r="DQ35" s="367"/>
      <c r="DR35" s="285"/>
      <c r="DS35" s="285"/>
      <c r="DT35" s="285"/>
      <c r="DU35" s="285"/>
      <c r="DV35" s="28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</row>
    <row r="36">
      <c r="A36" s="304" t="s">
        <v>1988</v>
      </c>
      <c r="B36" s="304" t="s">
        <v>1988</v>
      </c>
      <c r="C36" s="306"/>
      <c r="D36" s="307"/>
      <c r="E36" s="307"/>
      <c r="F36" s="307"/>
      <c r="G36" s="307"/>
      <c r="H36" s="308">
        <v>246.8454763</v>
      </c>
      <c r="I36" s="308">
        <v>-24.29928628</v>
      </c>
      <c r="J36" s="269" t="s">
        <v>158</v>
      </c>
      <c r="K36" s="269" t="s">
        <v>159</v>
      </c>
      <c r="L36" s="308">
        <v>1.0</v>
      </c>
      <c r="M36" s="268"/>
      <c r="N36" s="268"/>
      <c r="O36" s="308">
        <v>165.639700523421</v>
      </c>
      <c r="P36" s="308">
        <v>4.795</v>
      </c>
      <c r="Q36" s="308">
        <v>2.464</v>
      </c>
      <c r="R36" s="308">
        <v>-20.485</v>
      </c>
      <c r="S36" s="308">
        <v>1.552</v>
      </c>
      <c r="T36" s="269" t="s">
        <v>1962</v>
      </c>
      <c r="U36" s="269" t="s">
        <v>1962</v>
      </c>
      <c r="V36" s="269" t="s">
        <v>1962</v>
      </c>
      <c r="W36" s="269" t="s">
        <v>1962</v>
      </c>
      <c r="X36" s="308">
        <v>13.329</v>
      </c>
      <c r="Y36" s="308">
        <v>0.027</v>
      </c>
      <c r="Z36" s="308">
        <v>10.761</v>
      </c>
      <c r="AA36" s="308">
        <v>0.026</v>
      </c>
      <c r="AB36" s="308">
        <v>9.454</v>
      </c>
      <c r="AC36" s="308">
        <v>0.019</v>
      </c>
      <c r="AD36" s="268"/>
      <c r="AE36" s="268"/>
      <c r="AF36" s="308">
        <v>4.7</v>
      </c>
      <c r="AG36" s="268"/>
      <c r="AH36" s="364" t="s">
        <v>160</v>
      </c>
      <c r="AI36" s="269"/>
      <c r="AJ36" s="269"/>
      <c r="AK36" s="365" t="s">
        <v>160</v>
      </c>
      <c r="AL36" s="270" t="s">
        <v>1963</v>
      </c>
      <c r="AM36" s="270"/>
      <c r="AN36" s="272"/>
      <c r="AO36" s="270"/>
      <c r="AP36" s="315">
        <v>3981.071706</v>
      </c>
      <c r="AQ36" s="270"/>
      <c r="AR36" s="331">
        <v>0.5888436554</v>
      </c>
      <c r="AS36" s="270"/>
      <c r="AT36" s="330">
        <v>1.819700859</v>
      </c>
      <c r="AU36" s="270"/>
      <c r="AV36" s="270"/>
      <c r="AW36" s="270"/>
      <c r="AX36" s="332"/>
      <c r="AY36" s="272"/>
      <c r="AZ36" s="272" t="s">
        <v>1964</v>
      </c>
      <c r="BA36" s="270" t="s">
        <v>162</v>
      </c>
      <c r="BB36" s="272" t="s">
        <v>1965</v>
      </c>
      <c r="BC36" s="334"/>
      <c r="BD36" s="334"/>
      <c r="BE36" s="334"/>
      <c r="BF36" s="334"/>
      <c r="BG36" s="335"/>
      <c r="BH36" s="335"/>
      <c r="BI36" s="335"/>
      <c r="BJ36" s="335"/>
      <c r="BK36" s="336"/>
      <c r="BL36" s="336"/>
      <c r="BM36" s="336"/>
      <c r="BN36" s="336"/>
      <c r="BO36" s="337"/>
      <c r="BP36" s="337"/>
      <c r="BQ36" s="337"/>
      <c r="BR36" s="337"/>
      <c r="BS36" s="338"/>
      <c r="BT36" s="338"/>
      <c r="BU36" s="338"/>
      <c r="BV36" s="338"/>
      <c r="BW36" s="368">
        <f>+1.3</f>
        <v>1.3</v>
      </c>
      <c r="BX36" s="339"/>
      <c r="BY36" s="339"/>
      <c r="BZ36" s="339"/>
      <c r="CA36" s="340"/>
      <c r="CB36" s="340"/>
      <c r="CC36" s="340"/>
      <c r="CD36" s="340"/>
      <c r="CE36" s="341"/>
      <c r="CF36" s="341"/>
      <c r="CG36" s="341"/>
      <c r="CH36" s="341"/>
      <c r="CI36" s="342"/>
      <c r="CJ36" s="342"/>
      <c r="CK36" s="342"/>
      <c r="CL36" s="342"/>
      <c r="CM36" s="343"/>
      <c r="CN36" s="343"/>
      <c r="CO36" s="343"/>
      <c r="CP36" s="343"/>
      <c r="CQ36" s="344"/>
      <c r="CR36" s="344"/>
      <c r="CS36" s="344"/>
      <c r="CT36" s="344"/>
      <c r="CU36" s="345"/>
      <c r="CV36" s="345"/>
      <c r="CW36" s="345"/>
      <c r="CX36" s="345"/>
      <c r="CY36" s="346"/>
      <c r="CZ36" s="346"/>
      <c r="DA36" s="346"/>
      <c r="DB36" s="346"/>
      <c r="DC36" s="358"/>
      <c r="DD36" s="358"/>
      <c r="DE36" s="348"/>
      <c r="DF36" s="348"/>
      <c r="DG36" s="348"/>
      <c r="DH36" s="324"/>
      <c r="DI36" s="317"/>
      <c r="DJ36" s="272" t="s">
        <v>1966</v>
      </c>
      <c r="DK36" s="282"/>
      <c r="DL36" s="270"/>
      <c r="DM36" s="270"/>
      <c r="DN36" s="270"/>
      <c r="DO36" s="270"/>
      <c r="DP36" s="270"/>
      <c r="DQ36" s="285"/>
      <c r="DR36" s="285"/>
      <c r="DS36" s="285"/>
      <c r="DT36" s="285"/>
      <c r="DU36" s="285"/>
      <c r="DV36" s="285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</row>
    <row r="37">
      <c r="A37" s="304" t="s">
        <v>1354</v>
      </c>
      <c r="B37" s="350" t="s">
        <v>1989</v>
      </c>
      <c r="C37" s="306"/>
      <c r="D37" s="307" t="s">
        <v>156</v>
      </c>
      <c r="E37" s="307"/>
      <c r="F37" s="307"/>
      <c r="G37" s="307"/>
      <c r="H37" s="308">
        <v>246.925</v>
      </c>
      <c r="I37" s="308">
        <v>-24.5939</v>
      </c>
      <c r="J37" s="269" t="s">
        <v>158</v>
      </c>
      <c r="K37" s="269" t="s">
        <v>159</v>
      </c>
      <c r="L37" s="308">
        <v>1.0</v>
      </c>
      <c r="M37" s="268"/>
      <c r="N37" s="268"/>
      <c r="O37" s="269" t="s">
        <v>1962</v>
      </c>
      <c r="P37" s="269" t="s">
        <v>1962</v>
      </c>
      <c r="Q37" s="269" t="s">
        <v>1962</v>
      </c>
      <c r="R37" s="269" t="s">
        <v>1962</v>
      </c>
      <c r="S37" s="269" t="s">
        <v>1962</v>
      </c>
      <c r="T37" s="269" t="s">
        <v>1962</v>
      </c>
      <c r="U37" s="269" t="s">
        <v>1962</v>
      </c>
      <c r="V37" s="269" t="s">
        <v>1962</v>
      </c>
      <c r="W37" s="269" t="s">
        <v>1962</v>
      </c>
      <c r="X37" s="308">
        <v>14.296</v>
      </c>
      <c r="Y37" s="308">
        <v>0.059</v>
      </c>
      <c r="Z37" s="308">
        <v>11.833</v>
      </c>
      <c r="AA37" s="308">
        <v>0.052</v>
      </c>
      <c r="AB37" s="308">
        <v>10.565</v>
      </c>
      <c r="AC37" s="308">
        <v>0.047</v>
      </c>
      <c r="AD37" s="268"/>
      <c r="AE37" s="268"/>
      <c r="AF37" s="308">
        <v>4.4</v>
      </c>
      <c r="AG37" s="268"/>
      <c r="AH37" s="364" t="s">
        <v>160</v>
      </c>
      <c r="AI37" s="269"/>
      <c r="AJ37" s="269"/>
      <c r="AK37" s="365" t="s">
        <v>160</v>
      </c>
      <c r="AL37" s="316">
        <v>2004.0</v>
      </c>
      <c r="AM37" s="270"/>
      <c r="AN37" s="272"/>
      <c r="AO37" s="270"/>
      <c r="AP37" s="315">
        <v>3311.311215</v>
      </c>
      <c r="AQ37" s="270"/>
      <c r="AR37" s="331">
        <v>0.2691534804</v>
      </c>
      <c r="AS37" s="270"/>
      <c r="AT37" s="330">
        <v>0.5011872336</v>
      </c>
      <c r="AU37" s="270"/>
      <c r="AV37" s="316">
        <v>2.16</v>
      </c>
      <c r="AW37" s="270"/>
      <c r="AX37" s="332"/>
      <c r="AY37" s="272"/>
      <c r="AZ37" s="272" t="s">
        <v>1964</v>
      </c>
      <c r="BA37" s="270" t="s">
        <v>162</v>
      </c>
      <c r="BB37" s="272" t="s">
        <v>1965</v>
      </c>
      <c r="BC37" s="334"/>
      <c r="BD37" s="334"/>
      <c r="BE37" s="334"/>
      <c r="BF37" s="334"/>
      <c r="BG37" s="335"/>
      <c r="BH37" s="335"/>
      <c r="BI37" s="335"/>
      <c r="BJ37" s="335"/>
      <c r="BK37" s="336"/>
      <c r="BL37" s="336"/>
      <c r="BM37" s="336"/>
      <c r="BN37" s="336"/>
      <c r="BO37" s="337"/>
      <c r="BP37" s="337"/>
      <c r="BQ37" s="337"/>
      <c r="BR37" s="337"/>
      <c r="BS37" s="338"/>
      <c r="BT37" s="338"/>
      <c r="BU37" s="338"/>
      <c r="BV37" s="338"/>
      <c r="BW37" s="368">
        <f>+0.7</f>
        <v>0.7</v>
      </c>
      <c r="BX37" s="339"/>
      <c r="BY37" s="339"/>
      <c r="BZ37" s="339"/>
      <c r="CA37" s="340"/>
      <c r="CB37" s="340"/>
      <c r="CC37" s="340"/>
      <c r="CD37" s="340"/>
      <c r="CE37" s="341"/>
      <c r="CF37" s="341"/>
      <c r="CG37" s="341"/>
      <c r="CH37" s="341"/>
      <c r="CI37" s="342"/>
      <c r="CJ37" s="342"/>
      <c r="CK37" s="342"/>
      <c r="CL37" s="342"/>
      <c r="CM37" s="343"/>
      <c r="CN37" s="343"/>
      <c r="CO37" s="343"/>
      <c r="CP37" s="343"/>
      <c r="CQ37" s="344"/>
      <c r="CR37" s="344"/>
      <c r="CS37" s="344"/>
      <c r="CT37" s="344"/>
      <c r="CU37" s="345"/>
      <c r="CV37" s="345"/>
      <c r="CW37" s="345"/>
      <c r="CX37" s="345"/>
      <c r="CY37" s="346"/>
      <c r="CZ37" s="346"/>
      <c r="DA37" s="346"/>
      <c r="DB37" s="346"/>
      <c r="DC37" s="358"/>
      <c r="DD37" s="358"/>
      <c r="DE37" s="348"/>
      <c r="DF37" s="348"/>
      <c r="DG37" s="348"/>
      <c r="DH37" s="324"/>
      <c r="DI37" s="317"/>
      <c r="DJ37" s="272" t="s">
        <v>1966</v>
      </c>
      <c r="DK37" s="282"/>
      <c r="DL37" s="270"/>
      <c r="DM37" s="270"/>
      <c r="DN37" s="270"/>
      <c r="DO37" s="270"/>
      <c r="DP37" s="366" t="s">
        <v>1990</v>
      </c>
      <c r="DQ37" s="285"/>
      <c r="DR37" s="285"/>
      <c r="DS37" s="285"/>
      <c r="DT37" s="349">
        <v>0.2691535</v>
      </c>
      <c r="DU37" s="349">
        <v>2.16</v>
      </c>
      <c r="DV37" s="285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</row>
    <row r="38">
      <c r="A38" s="304" t="s">
        <v>1991</v>
      </c>
      <c r="B38" s="304" t="s">
        <v>1991</v>
      </c>
      <c r="C38" s="306"/>
      <c r="D38" s="307"/>
      <c r="E38" s="307"/>
      <c r="F38" s="307"/>
      <c r="G38" s="307"/>
      <c r="H38" s="308">
        <v>246.92397</v>
      </c>
      <c r="I38" s="308">
        <v>-24.726694</v>
      </c>
      <c r="J38" s="269" t="s">
        <v>158</v>
      </c>
      <c r="K38" s="269" t="s">
        <v>169</v>
      </c>
      <c r="L38" s="308">
        <v>1.0</v>
      </c>
      <c r="M38" s="268"/>
      <c r="N38" s="268"/>
      <c r="O38" s="269" t="s">
        <v>1962</v>
      </c>
      <c r="P38" s="308">
        <v>-2.4</v>
      </c>
      <c r="Q38" s="308">
        <v>2.0</v>
      </c>
      <c r="R38" s="308">
        <v>-21.7</v>
      </c>
      <c r="S38" s="308">
        <v>2.0</v>
      </c>
      <c r="T38" s="269" t="s">
        <v>1962</v>
      </c>
      <c r="U38" s="269" t="s">
        <v>1962</v>
      </c>
      <c r="V38" s="269" t="s">
        <v>1962</v>
      </c>
      <c r="W38" s="269" t="s">
        <v>1962</v>
      </c>
      <c r="X38" s="269" t="s">
        <v>1962</v>
      </c>
      <c r="Y38" s="269" t="s">
        <v>1962</v>
      </c>
      <c r="Z38" s="308">
        <v>14.88</v>
      </c>
      <c r="AA38" s="308">
        <v>0.059</v>
      </c>
      <c r="AB38" s="308">
        <v>12.286</v>
      </c>
      <c r="AC38" s="308">
        <v>0.028</v>
      </c>
      <c r="AD38" s="268"/>
      <c r="AE38" s="268"/>
      <c r="AF38" s="308">
        <v>8.5</v>
      </c>
      <c r="AG38" s="268"/>
      <c r="AH38" s="364" t="s">
        <v>160</v>
      </c>
      <c r="AI38" s="269"/>
      <c r="AJ38" s="269"/>
      <c r="AK38" s="365" t="s">
        <v>160</v>
      </c>
      <c r="AL38" s="270" t="s">
        <v>1963</v>
      </c>
      <c r="AM38" s="270"/>
      <c r="AN38" s="272"/>
      <c r="AO38" s="270"/>
      <c r="AP38" s="315">
        <v>3162.27766</v>
      </c>
      <c r="AQ38" s="270"/>
      <c r="AR38" s="331">
        <v>0.2089296131</v>
      </c>
      <c r="AS38" s="270"/>
      <c r="AT38" s="330">
        <v>0.316227766</v>
      </c>
      <c r="AU38" s="270"/>
      <c r="AV38" s="316">
        <v>1.88</v>
      </c>
      <c r="AW38" s="270"/>
      <c r="AX38" s="332"/>
      <c r="AY38" s="272"/>
      <c r="AZ38" s="272" t="s">
        <v>1964</v>
      </c>
      <c r="BA38" s="270" t="s">
        <v>162</v>
      </c>
      <c r="BB38" s="272" t="s">
        <v>1965</v>
      </c>
      <c r="BC38" s="334"/>
      <c r="BD38" s="334"/>
      <c r="BE38" s="334"/>
      <c r="BF38" s="334"/>
      <c r="BG38" s="335"/>
      <c r="BH38" s="335"/>
      <c r="BI38" s="335"/>
      <c r="BJ38" s="335"/>
      <c r="BK38" s="336"/>
      <c r="BL38" s="336"/>
      <c r="BM38" s="336"/>
      <c r="BN38" s="336"/>
      <c r="BO38" s="337"/>
      <c r="BP38" s="337"/>
      <c r="BQ38" s="337"/>
      <c r="BR38" s="337"/>
      <c r="BS38" s="338"/>
      <c r="BT38" s="338"/>
      <c r="BU38" s="338"/>
      <c r="BV38" s="338"/>
      <c r="BW38" s="339" t="s">
        <v>1992</v>
      </c>
      <c r="BX38" s="339"/>
      <c r="BY38" s="339"/>
      <c r="BZ38" s="339"/>
      <c r="CA38" s="340"/>
      <c r="CB38" s="340"/>
      <c r="CC38" s="340"/>
      <c r="CD38" s="340"/>
      <c r="CE38" s="341"/>
      <c r="CF38" s="341"/>
      <c r="CG38" s="341"/>
      <c r="CH38" s="341"/>
      <c r="CI38" s="342"/>
      <c r="CJ38" s="342"/>
      <c r="CK38" s="342"/>
      <c r="CL38" s="342"/>
      <c r="CM38" s="343"/>
      <c r="CN38" s="343"/>
      <c r="CO38" s="343"/>
      <c r="CP38" s="343"/>
      <c r="CQ38" s="344"/>
      <c r="CR38" s="344"/>
      <c r="CS38" s="344"/>
      <c r="CT38" s="344"/>
      <c r="CU38" s="345"/>
      <c r="CV38" s="345"/>
      <c r="CW38" s="345"/>
      <c r="CX38" s="345"/>
      <c r="CY38" s="346"/>
      <c r="CZ38" s="346"/>
      <c r="DA38" s="346"/>
      <c r="DB38" s="346"/>
      <c r="DC38" s="358"/>
      <c r="DD38" s="358"/>
      <c r="DE38" s="348"/>
      <c r="DF38" s="348"/>
      <c r="DG38" s="348"/>
      <c r="DH38" s="324"/>
      <c r="DI38" s="317"/>
      <c r="DJ38" s="272" t="s">
        <v>1966</v>
      </c>
      <c r="DK38" s="282"/>
      <c r="DL38" s="270"/>
      <c r="DM38" s="270"/>
      <c r="DN38" s="270"/>
      <c r="DO38" s="270"/>
      <c r="DP38" s="270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</row>
    <row r="39">
      <c r="A39" s="304" t="s">
        <v>1993</v>
      </c>
      <c r="B39" s="304" t="s">
        <v>1993</v>
      </c>
      <c r="C39" s="306"/>
      <c r="D39" s="307"/>
      <c r="E39" s="307"/>
      <c r="F39" s="307"/>
      <c r="G39" s="307"/>
      <c r="H39" s="308">
        <v>246.9578208</v>
      </c>
      <c r="I39" s="308">
        <v>-24.42784383</v>
      </c>
      <c r="J39" s="269" t="s">
        <v>158</v>
      </c>
      <c r="K39" s="269" t="s">
        <v>159</v>
      </c>
      <c r="L39" s="308">
        <v>1.0</v>
      </c>
      <c r="M39" s="268"/>
      <c r="N39" s="268"/>
      <c r="O39" s="308">
        <v>141.997046461433</v>
      </c>
      <c r="P39" s="308">
        <v>-12.226</v>
      </c>
      <c r="Q39" s="308">
        <v>0.132</v>
      </c>
      <c r="R39" s="308">
        <v>-24.374</v>
      </c>
      <c r="S39" s="308">
        <v>0.093</v>
      </c>
      <c r="T39" s="269" t="s">
        <v>1962</v>
      </c>
      <c r="U39" s="269" t="s">
        <v>1962</v>
      </c>
      <c r="V39" s="308">
        <v>13.69</v>
      </c>
      <c r="W39" s="269" t="s">
        <v>1962</v>
      </c>
      <c r="X39" s="308">
        <v>9.441</v>
      </c>
      <c r="Y39" s="308">
        <v>0.022</v>
      </c>
      <c r="Z39" s="308">
        <v>8.12</v>
      </c>
      <c r="AA39" s="308">
        <v>0.04</v>
      </c>
      <c r="AB39" s="308">
        <v>7.301</v>
      </c>
      <c r="AC39" s="308">
        <v>0.029</v>
      </c>
      <c r="AD39" s="268"/>
      <c r="AE39" s="268"/>
      <c r="AF39" s="308">
        <v>1.2</v>
      </c>
      <c r="AG39" s="268"/>
      <c r="AH39" s="364" t="s">
        <v>160</v>
      </c>
      <c r="AI39" s="269"/>
      <c r="AJ39" s="269"/>
      <c r="AK39" s="365" t="s">
        <v>160</v>
      </c>
      <c r="AL39" s="270" t="s">
        <v>1963</v>
      </c>
      <c r="AM39" s="270"/>
      <c r="AN39" s="272" t="s">
        <v>1994</v>
      </c>
      <c r="AO39" s="270"/>
      <c r="AP39" s="315">
        <v>4168.693835</v>
      </c>
      <c r="AQ39" s="270"/>
      <c r="AR39" s="331">
        <v>0.7079457844</v>
      </c>
      <c r="AS39" s="270"/>
      <c r="AT39" s="330">
        <v>2.454708916</v>
      </c>
      <c r="AU39" s="270"/>
      <c r="AV39" s="270"/>
      <c r="AW39" s="270"/>
      <c r="AX39" s="332"/>
      <c r="AY39" s="272"/>
      <c r="AZ39" s="272" t="s">
        <v>1964</v>
      </c>
      <c r="BA39" s="270" t="s">
        <v>162</v>
      </c>
      <c r="BB39" s="272" t="s">
        <v>1965</v>
      </c>
      <c r="BC39" s="334"/>
      <c r="BD39" s="334"/>
      <c r="BE39" s="334"/>
      <c r="BF39" s="334"/>
      <c r="BG39" s="335"/>
      <c r="BH39" s="335"/>
      <c r="BI39" s="335"/>
      <c r="BJ39" s="335"/>
      <c r="BK39" s="336"/>
      <c r="BL39" s="336"/>
      <c r="BM39" s="336"/>
      <c r="BN39" s="336"/>
      <c r="BO39" s="337"/>
      <c r="BP39" s="337"/>
      <c r="BQ39" s="337"/>
      <c r="BR39" s="337"/>
      <c r="BS39" s="338"/>
      <c r="BT39" s="338"/>
      <c r="BU39" s="338"/>
      <c r="BV39" s="338"/>
      <c r="BW39" s="368">
        <f>+6.3</f>
        <v>6.3</v>
      </c>
      <c r="BX39" s="339"/>
      <c r="BY39" s="339"/>
      <c r="BZ39" s="339"/>
      <c r="CA39" s="340"/>
      <c r="CB39" s="340"/>
      <c r="CC39" s="340"/>
      <c r="CD39" s="340"/>
      <c r="CE39" s="341"/>
      <c r="CF39" s="341"/>
      <c r="CG39" s="341"/>
      <c r="CH39" s="341"/>
      <c r="CI39" s="342"/>
      <c r="CJ39" s="342"/>
      <c r="CK39" s="342"/>
      <c r="CL39" s="342"/>
      <c r="CM39" s="343"/>
      <c r="CN39" s="343"/>
      <c r="CO39" s="343"/>
      <c r="CP39" s="343"/>
      <c r="CQ39" s="344"/>
      <c r="CR39" s="344"/>
      <c r="CS39" s="344"/>
      <c r="CT39" s="344"/>
      <c r="CU39" s="345"/>
      <c r="CV39" s="345"/>
      <c r="CW39" s="345"/>
      <c r="CX39" s="345"/>
      <c r="CY39" s="346"/>
      <c r="CZ39" s="346"/>
      <c r="DA39" s="346"/>
      <c r="DB39" s="346"/>
      <c r="DC39" s="358"/>
      <c r="DD39" s="358"/>
      <c r="DE39" s="348"/>
      <c r="DF39" s="348"/>
      <c r="DG39" s="348"/>
      <c r="DH39" s="324"/>
      <c r="DI39" s="317"/>
      <c r="DJ39" s="272" t="s">
        <v>1966</v>
      </c>
      <c r="DK39" s="282"/>
      <c r="DL39" s="270"/>
      <c r="DM39" s="270"/>
      <c r="DN39" s="270"/>
      <c r="DO39" s="270"/>
      <c r="DP39" s="366" t="s">
        <v>1332</v>
      </c>
      <c r="DQ39" s="367"/>
      <c r="DR39" s="285"/>
      <c r="DS39" s="285"/>
      <c r="DT39" s="285"/>
      <c r="DU39" s="285"/>
      <c r="DV39" s="285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</row>
    <row r="40">
      <c r="A40" s="304" t="s">
        <v>1995</v>
      </c>
      <c r="B40" s="304" t="s">
        <v>1995</v>
      </c>
      <c r="C40" s="306"/>
      <c r="D40" s="307"/>
      <c r="E40" s="307"/>
      <c r="F40" s="307"/>
      <c r="G40" s="307"/>
      <c r="H40" s="308">
        <v>246.9604402</v>
      </c>
      <c r="I40" s="308">
        <v>-24.65085566</v>
      </c>
      <c r="J40" s="269" t="s">
        <v>158</v>
      </c>
      <c r="K40" s="269" t="s">
        <v>159</v>
      </c>
      <c r="L40" s="308">
        <v>1.0</v>
      </c>
      <c r="M40" s="268"/>
      <c r="N40" s="268"/>
      <c r="O40" s="308">
        <v>496.968492197594</v>
      </c>
      <c r="P40" s="308">
        <v>1.378</v>
      </c>
      <c r="Q40" s="308">
        <v>2.019</v>
      </c>
      <c r="R40" s="308">
        <v>0.626</v>
      </c>
      <c r="S40" s="308">
        <v>1.411</v>
      </c>
      <c r="T40" s="269" t="s">
        <v>1962</v>
      </c>
      <c r="U40" s="269" t="s">
        <v>1962</v>
      </c>
      <c r="V40" s="269" t="s">
        <v>1962</v>
      </c>
      <c r="W40" s="269" t="s">
        <v>1962</v>
      </c>
      <c r="X40" s="308">
        <v>14.468</v>
      </c>
      <c r="Y40" s="308">
        <v>0.029</v>
      </c>
      <c r="Z40" s="308">
        <v>12.741</v>
      </c>
      <c r="AA40" s="308">
        <v>0.027</v>
      </c>
      <c r="AB40" s="308">
        <v>11.851</v>
      </c>
      <c r="AC40" s="308">
        <v>0.025</v>
      </c>
      <c r="AD40" s="268"/>
      <c r="AE40" s="268"/>
      <c r="AF40" s="308">
        <v>2.5</v>
      </c>
      <c r="AG40" s="268"/>
      <c r="AH40" s="364" t="s">
        <v>160</v>
      </c>
      <c r="AI40" s="269"/>
      <c r="AJ40" s="269"/>
      <c r="AK40" s="365" t="s">
        <v>160</v>
      </c>
      <c r="AL40" s="270" t="s">
        <v>1963</v>
      </c>
      <c r="AM40" s="270"/>
      <c r="AN40" s="272"/>
      <c r="AO40" s="270"/>
      <c r="AP40" s="315">
        <v>2754.228703</v>
      </c>
      <c r="AQ40" s="270"/>
      <c r="AR40" s="331">
        <v>0.0758577575</v>
      </c>
      <c r="AS40" s="270"/>
      <c r="AT40" s="330">
        <v>0.05888436554</v>
      </c>
      <c r="AU40" s="270"/>
      <c r="AV40" s="270"/>
      <c r="AW40" s="270"/>
      <c r="AX40" s="332"/>
      <c r="AY40" s="272"/>
      <c r="AZ40" s="272" t="s">
        <v>1964</v>
      </c>
      <c r="BA40" s="270" t="s">
        <v>162</v>
      </c>
      <c r="BB40" s="272" t="s">
        <v>1965</v>
      </c>
      <c r="BC40" s="334"/>
      <c r="BD40" s="334"/>
      <c r="BE40" s="334"/>
      <c r="BF40" s="334"/>
      <c r="BG40" s="335"/>
      <c r="BH40" s="335"/>
      <c r="BI40" s="335"/>
      <c r="BJ40" s="335"/>
      <c r="BK40" s="336"/>
      <c r="BL40" s="336"/>
      <c r="BM40" s="336"/>
      <c r="BN40" s="336"/>
      <c r="BO40" s="337"/>
      <c r="BP40" s="337"/>
      <c r="BQ40" s="337"/>
      <c r="BR40" s="337"/>
      <c r="BS40" s="338"/>
      <c r="BT40" s="338"/>
      <c r="BU40" s="338"/>
      <c r="BV40" s="338"/>
      <c r="BW40" s="368">
        <f>+5.5</f>
        <v>5.5</v>
      </c>
      <c r="BX40" s="339"/>
      <c r="BY40" s="339"/>
      <c r="BZ40" s="339"/>
      <c r="CA40" s="340"/>
      <c r="CB40" s="340"/>
      <c r="CC40" s="340"/>
      <c r="CD40" s="340"/>
      <c r="CE40" s="341"/>
      <c r="CF40" s="341"/>
      <c r="CG40" s="341"/>
      <c r="CH40" s="341"/>
      <c r="CI40" s="342"/>
      <c r="CJ40" s="342"/>
      <c r="CK40" s="342"/>
      <c r="CL40" s="342"/>
      <c r="CM40" s="343"/>
      <c r="CN40" s="343"/>
      <c r="CO40" s="343"/>
      <c r="CP40" s="343"/>
      <c r="CQ40" s="344"/>
      <c r="CR40" s="344"/>
      <c r="CS40" s="344"/>
      <c r="CT40" s="344"/>
      <c r="CU40" s="345"/>
      <c r="CV40" s="345"/>
      <c r="CW40" s="345"/>
      <c r="CX40" s="345"/>
      <c r="CY40" s="346"/>
      <c r="CZ40" s="346"/>
      <c r="DA40" s="346"/>
      <c r="DB40" s="346"/>
      <c r="DC40" s="358"/>
      <c r="DD40" s="358"/>
      <c r="DE40" s="348"/>
      <c r="DF40" s="348"/>
      <c r="DG40" s="348"/>
      <c r="DH40" s="324"/>
      <c r="DI40" s="317"/>
      <c r="DJ40" s="272" t="s">
        <v>1966</v>
      </c>
      <c r="DK40" s="282"/>
      <c r="DL40" s="270"/>
      <c r="DM40" s="270"/>
      <c r="DN40" s="270"/>
      <c r="DO40" s="270"/>
      <c r="DP40" s="270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</row>
    <row r="41">
      <c r="A41" s="304" t="s">
        <v>1996</v>
      </c>
      <c r="B41" s="304" t="s">
        <v>1996</v>
      </c>
      <c r="C41" s="306"/>
      <c r="D41" s="307"/>
      <c r="E41" s="264"/>
      <c r="F41" s="264"/>
      <c r="G41" s="307"/>
      <c r="H41" s="308">
        <v>247.014815</v>
      </c>
      <c r="I41" s="308">
        <v>-24.577393</v>
      </c>
      <c r="J41" s="269" t="s">
        <v>158</v>
      </c>
      <c r="K41" s="269" t="s">
        <v>169</v>
      </c>
      <c r="L41" s="308">
        <v>1.0</v>
      </c>
      <c r="M41" s="268"/>
      <c r="N41" s="268"/>
      <c r="O41" s="309" t="s">
        <v>1962</v>
      </c>
      <c r="P41" s="309" t="s">
        <v>1962</v>
      </c>
      <c r="Q41" s="309" t="s">
        <v>1962</v>
      </c>
      <c r="R41" s="309" t="s">
        <v>1962</v>
      </c>
      <c r="S41" s="309" t="s">
        <v>1962</v>
      </c>
      <c r="T41" s="309" t="s">
        <v>1962</v>
      </c>
      <c r="U41" s="309" t="s">
        <v>1962</v>
      </c>
      <c r="V41" s="309" t="s">
        <v>1962</v>
      </c>
      <c r="W41" s="309" t="s">
        <v>1962</v>
      </c>
      <c r="X41" s="309">
        <v>19.17</v>
      </c>
      <c r="Y41" s="309">
        <v>0.13</v>
      </c>
      <c r="Z41" s="309">
        <v>15.241</v>
      </c>
      <c r="AA41" s="309">
        <v>0.068</v>
      </c>
      <c r="AB41" s="309">
        <v>13.203</v>
      </c>
      <c r="AC41" s="309">
        <v>0.041</v>
      </c>
      <c r="AD41" s="268"/>
      <c r="AE41" s="268"/>
      <c r="AF41" s="355">
        <v>6.1</v>
      </c>
      <c r="AG41" s="268"/>
      <c r="AH41" s="121" t="s">
        <v>160</v>
      </c>
      <c r="AI41" s="269"/>
      <c r="AJ41" s="269"/>
      <c r="AK41" s="329" t="s">
        <v>160</v>
      </c>
      <c r="AL41" s="270" t="s">
        <v>1963</v>
      </c>
      <c r="AM41" s="270"/>
      <c r="AN41" s="272"/>
      <c r="AO41" s="270"/>
      <c r="AP41" s="359">
        <v>2754.228703</v>
      </c>
      <c r="AQ41" s="270"/>
      <c r="AR41" s="360">
        <v>0.06165950019</v>
      </c>
      <c r="AS41" s="270"/>
      <c r="AT41" s="314">
        <v>0.04265795188</v>
      </c>
      <c r="AU41" s="270"/>
      <c r="AV41" s="316">
        <v>0.91</v>
      </c>
      <c r="AW41" s="270"/>
      <c r="AX41" s="332"/>
      <c r="AY41" s="272"/>
      <c r="AZ41" s="272" t="s">
        <v>1964</v>
      </c>
      <c r="BA41" s="270" t="s">
        <v>162</v>
      </c>
      <c r="BB41" s="314" t="s">
        <v>1965</v>
      </c>
      <c r="BC41" s="334"/>
      <c r="BD41" s="334"/>
      <c r="BE41" s="334"/>
      <c r="BF41" s="334"/>
      <c r="BG41" s="335"/>
      <c r="BH41" s="335"/>
      <c r="BI41" s="335"/>
      <c r="BJ41" s="335"/>
      <c r="BK41" s="336"/>
      <c r="BL41" s="336"/>
      <c r="BM41" s="336"/>
      <c r="BN41" s="336"/>
      <c r="BO41" s="337"/>
      <c r="BP41" s="337"/>
      <c r="BQ41" s="337"/>
      <c r="BR41" s="337"/>
      <c r="BS41" s="338"/>
      <c r="BT41" s="338"/>
      <c r="BU41" s="338"/>
      <c r="BV41" s="338"/>
      <c r="BW41" s="361" t="s">
        <v>1972</v>
      </c>
      <c r="BX41" s="339"/>
      <c r="BY41" s="339"/>
      <c r="BZ41" s="339"/>
      <c r="CA41" s="340"/>
      <c r="CB41" s="340"/>
      <c r="CC41" s="340"/>
      <c r="CD41" s="340"/>
      <c r="CE41" s="341"/>
      <c r="CF41" s="341"/>
      <c r="CG41" s="341"/>
      <c r="CH41" s="341"/>
      <c r="CI41" s="342"/>
      <c r="CJ41" s="342"/>
      <c r="CK41" s="342"/>
      <c r="CL41" s="342"/>
      <c r="CM41" s="343"/>
      <c r="CN41" s="343"/>
      <c r="CO41" s="343"/>
      <c r="CP41" s="343"/>
      <c r="CQ41" s="344"/>
      <c r="CR41" s="344"/>
      <c r="CS41" s="344"/>
      <c r="CT41" s="344"/>
      <c r="CU41" s="345"/>
      <c r="CV41" s="345"/>
      <c r="CW41" s="345"/>
      <c r="CX41" s="345"/>
      <c r="CY41" s="346"/>
      <c r="CZ41" s="346"/>
      <c r="DA41" s="346"/>
      <c r="DB41" s="346"/>
      <c r="DC41" s="358"/>
      <c r="DD41" s="358"/>
      <c r="DE41" s="348"/>
      <c r="DF41" s="348"/>
      <c r="DG41" s="348"/>
      <c r="DH41" s="324"/>
      <c r="DI41" s="317"/>
      <c r="DJ41" s="314" t="s">
        <v>1966</v>
      </c>
      <c r="DK41" s="282"/>
      <c r="DL41" s="270"/>
      <c r="DM41" s="270"/>
      <c r="DN41" s="270"/>
      <c r="DO41" s="270"/>
      <c r="DP41" s="270"/>
      <c r="DQ41" s="285"/>
      <c r="DR41" s="285"/>
      <c r="DS41" s="285"/>
      <c r="DT41" s="285"/>
      <c r="DU41" s="285"/>
      <c r="DV41" s="285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</row>
    <row r="42">
      <c r="A42" s="304" t="s">
        <v>1997</v>
      </c>
      <c r="B42" s="304" t="s">
        <v>1998</v>
      </c>
      <c r="C42" s="306"/>
      <c r="D42" s="307"/>
      <c r="E42" s="264"/>
      <c r="F42" s="264" t="s">
        <v>137</v>
      </c>
      <c r="G42" s="307"/>
      <c r="H42" s="308">
        <v>84.61349</v>
      </c>
      <c r="I42" s="308">
        <v>-2.75263</v>
      </c>
      <c r="J42" s="269" t="s">
        <v>350</v>
      </c>
      <c r="K42" s="269" t="s">
        <v>169</v>
      </c>
      <c r="L42" s="308">
        <v>3.0</v>
      </c>
      <c r="M42" s="268"/>
      <c r="N42" s="310">
        <v>2.0</v>
      </c>
      <c r="O42" s="308">
        <v>397.393101255762</v>
      </c>
      <c r="P42" s="308">
        <v>1.129</v>
      </c>
      <c r="Q42" s="308">
        <v>0.064</v>
      </c>
      <c r="R42" s="308">
        <v>-0.675</v>
      </c>
      <c r="S42" s="308">
        <v>0.058</v>
      </c>
      <c r="T42" s="308">
        <v>30.4575</v>
      </c>
      <c r="U42" s="308">
        <v>0.298676</v>
      </c>
      <c r="V42" s="308">
        <v>13.54</v>
      </c>
      <c r="W42" s="308">
        <v>0.02</v>
      </c>
      <c r="X42" s="308">
        <v>11.955</v>
      </c>
      <c r="Y42" s="308">
        <v>0.028</v>
      </c>
      <c r="Z42" s="308">
        <v>10.792</v>
      </c>
      <c r="AA42" s="308">
        <v>0.026</v>
      </c>
      <c r="AB42" s="308">
        <v>9.944</v>
      </c>
      <c r="AC42" s="308">
        <v>0.028</v>
      </c>
      <c r="AD42" s="268"/>
      <c r="AE42" s="268"/>
      <c r="AF42" s="308">
        <v>0.2003</v>
      </c>
      <c r="AG42" s="268"/>
      <c r="AH42" s="369" t="s">
        <v>351</v>
      </c>
      <c r="AI42" s="269"/>
      <c r="AJ42" s="269"/>
      <c r="AK42" s="365" t="s">
        <v>702</v>
      </c>
      <c r="AL42" s="270" t="s">
        <v>1999</v>
      </c>
      <c r="AM42" s="316">
        <v>4.0</v>
      </c>
      <c r="AN42" s="272" t="s">
        <v>434</v>
      </c>
      <c r="AO42" s="270"/>
      <c r="AP42" s="315">
        <v>4000.0</v>
      </c>
      <c r="AQ42" s="316">
        <v>150.0</v>
      </c>
      <c r="AR42" s="331">
        <v>1.0</v>
      </c>
      <c r="AS42" s="270"/>
      <c r="AT42" s="330">
        <v>0.41</v>
      </c>
      <c r="AU42" s="270"/>
      <c r="AV42" s="316">
        <v>1.34</v>
      </c>
      <c r="AW42" s="270"/>
      <c r="AX42" s="370">
        <v>360.0</v>
      </c>
      <c r="AY42" s="272"/>
      <c r="AZ42" s="272" t="s">
        <v>2000</v>
      </c>
      <c r="BA42" s="270" t="s">
        <v>1632</v>
      </c>
      <c r="BB42" s="272" t="s">
        <v>1633</v>
      </c>
      <c r="BC42" s="334"/>
      <c r="BD42" s="334"/>
      <c r="BE42" s="334"/>
      <c r="BF42" s="334"/>
      <c r="BG42" s="335"/>
      <c r="BH42" s="335"/>
      <c r="BI42" s="335"/>
      <c r="BJ42" s="335"/>
      <c r="BK42" s="336"/>
      <c r="BL42" s="336"/>
      <c r="BM42" s="336"/>
      <c r="BN42" s="336"/>
      <c r="BO42" s="337"/>
      <c r="BP42" s="337"/>
      <c r="BQ42" s="337"/>
      <c r="BR42" s="337"/>
      <c r="BS42" s="338"/>
      <c r="BT42" s="338"/>
      <c r="BU42" s="338"/>
      <c r="BV42" s="338"/>
      <c r="BW42" s="371"/>
      <c r="BX42" s="339"/>
      <c r="BY42" s="339"/>
      <c r="BZ42" s="339"/>
      <c r="CA42" s="340"/>
      <c r="CB42" s="340"/>
      <c r="CC42" s="340"/>
      <c r="CD42" s="340"/>
      <c r="CE42" s="341"/>
      <c r="CF42" s="341"/>
      <c r="CG42" s="341"/>
      <c r="CH42" s="341"/>
      <c r="CI42" s="342"/>
      <c r="CJ42" s="342"/>
      <c r="CK42" s="342"/>
      <c r="CL42" s="342"/>
      <c r="CM42" s="343"/>
      <c r="CN42" s="343"/>
      <c r="CO42" s="343"/>
      <c r="CP42" s="343"/>
      <c r="CQ42" s="344"/>
      <c r="CR42" s="344"/>
      <c r="CS42" s="344"/>
      <c r="CT42" s="344"/>
      <c r="CU42" s="345"/>
      <c r="CV42" s="345"/>
      <c r="CW42" s="345"/>
      <c r="CX42" s="345"/>
      <c r="CY42" s="346"/>
      <c r="CZ42" s="346"/>
      <c r="DA42" s="346"/>
      <c r="DB42" s="346"/>
      <c r="DC42" s="358"/>
      <c r="DD42" s="358"/>
      <c r="DE42" s="372"/>
      <c r="DF42" s="348"/>
      <c r="DG42" s="348"/>
      <c r="DH42" s="348"/>
      <c r="DI42" s="324"/>
      <c r="DJ42" s="323"/>
      <c r="DK42" s="282"/>
      <c r="DL42" s="282"/>
      <c r="DM42" s="270"/>
      <c r="DN42" s="270"/>
      <c r="DO42" s="270" t="s">
        <v>1634</v>
      </c>
      <c r="DP42" s="270" t="s">
        <v>354</v>
      </c>
      <c r="DQ42" s="366" t="s">
        <v>1676</v>
      </c>
      <c r="DR42" s="367"/>
      <c r="DS42" s="367"/>
      <c r="DT42" s="285"/>
      <c r="DU42" s="285"/>
      <c r="DV42" s="285"/>
      <c r="DW42" s="285"/>
      <c r="DX42" s="285"/>
      <c r="DY42" s="285"/>
      <c r="DZ42" s="285"/>
      <c r="EA42" s="285"/>
      <c r="EB42" s="285"/>
      <c r="EC42" s="285"/>
      <c r="ED42" s="285"/>
      <c r="EE42" s="285"/>
      <c r="EF42" s="285"/>
      <c r="EG42" s="285"/>
      <c r="EH42" s="285"/>
      <c r="EI42" s="285"/>
    </row>
    <row r="43">
      <c r="A43" s="304" t="s">
        <v>2001</v>
      </c>
      <c r="B43" s="304" t="s">
        <v>2002</v>
      </c>
      <c r="C43" s="306"/>
      <c r="D43" s="307"/>
      <c r="E43" s="264"/>
      <c r="F43" s="264" t="s">
        <v>137</v>
      </c>
      <c r="G43" s="307"/>
      <c r="H43" s="308">
        <v>84.62143</v>
      </c>
      <c r="I43" s="308">
        <v>-2.27104</v>
      </c>
      <c r="J43" s="269" t="s">
        <v>350</v>
      </c>
      <c r="K43" s="269" t="s">
        <v>169</v>
      </c>
      <c r="L43" s="308">
        <v>3.0</v>
      </c>
      <c r="M43" s="268"/>
      <c r="N43" s="310">
        <v>2.0</v>
      </c>
      <c r="O43" s="308">
        <v>414.593698175787</v>
      </c>
      <c r="P43" s="308">
        <v>0.345</v>
      </c>
      <c r="Q43" s="308">
        <v>0.047</v>
      </c>
      <c r="R43" s="308">
        <v>0.769</v>
      </c>
      <c r="S43" s="308">
        <v>0.042</v>
      </c>
      <c r="T43" s="308">
        <v>26.4433</v>
      </c>
      <c r="U43" s="308">
        <v>0.151611</v>
      </c>
      <c r="V43" s="308">
        <v>13.2</v>
      </c>
      <c r="W43" s="269" t="s">
        <v>1962</v>
      </c>
      <c r="X43" s="308">
        <v>11.697</v>
      </c>
      <c r="Y43" s="308">
        <v>0.024</v>
      </c>
      <c r="Z43" s="308">
        <v>11.021</v>
      </c>
      <c r="AA43" s="308">
        <v>0.024</v>
      </c>
      <c r="AB43" s="308">
        <v>10.759</v>
      </c>
      <c r="AC43" s="308">
        <v>0.019</v>
      </c>
      <c r="AD43" s="268"/>
      <c r="AE43" s="268"/>
      <c r="AF43" s="308">
        <v>0.1274</v>
      </c>
      <c r="AG43" s="268"/>
      <c r="AH43" s="369" t="s">
        <v>351</v>
      </c>
      <c r="AI43" s="269"/>
      <c r="AJ43" s="269"/>
      <c r="AK43" s="365" t="s">
        <v>702</v>
      </c>
      <c r="AL43" s="270" t="s">
        <v>1999</v>
      </c>
      <c r="AM43" s="316">
        <v>4.0</v>
      </c>
      <c r="AN43" s="272" t="s">
        <v>716</v>
      </c>
      <c r="AO43" s="270"/>
      <c r="AP43" s="315">
        <v>4000.0</v>
      </c>
      <c r="AQ43" s="316">
        <v>150.0</v>
      </c>
      <c r="AR43" s="331">
        <v>1.0</v>
      </c>
      <c r="AS43" s="270"/>
      <c r="AT43" s="330">
        <v>0.43</v>
      </c>
      <c r="AU43" s="270"/>
      <c r="AV43" s="316">
        <v>1.37</v>
      </c>
      <c r="AW43" s="270"/>
      <c r="AX43" s="370">
        <v>360.0</v>
      </c>
      <c r="AY43" s="272"/>
      <c r="AZ43" s="272" t="s">
        <v>2000</v>
      </c>
      <c r="BA43" s="270" t="s">
        <v>1632</v>
      </c>
      <c r="BB43" s="272" t="s">
        <v>1633</v>
      </c>
      <c r="BC43" s="334"/>
      <c r="BD43" s="334"/>
      <c r="BE43" s="334"/>
      <c r="BF43" s="334"/>
      <c r="BG43" s="335"/>
      <c r="BH43" s="335"/>
      <c r="BI43" s="335"/>
      <c r="BJ43" s="335"/>
      <c r="BK43" s="336"/>
      <c r="BL43" s="336"/>
      <c r="BM43" s="336"/>
      <c r="BN43" s="336"/>
      <c r="BO43" s="337"/>
      <c r="BP43" s="337"/>
      <c r="BQ43" s="337"/>
      <c r="BR43" s="337"/>
      <c r="BS43" s="338"/>
      <c r="BT43" s="338"/>
      <c r="BU43" s="338"/>
      <c r="BV43" s="338"/>
      <c r="BW43" s="371"/>
      <c r="BX43" s="339"/>
      <c r="BY43" s="339"/>
      <c r="BZ43" s="339"/>
      <c r="CA43" s="340"/>
      <c r="CB43" s="340"/>
      <c r="CC43" s="340"/>
      <c r="CD43" s="340"/>
      <c r="CE43" s="341"/>
      <c r="CF43" s="341"/>
      <c r="CG43" s="341"/>
      <c r="CH43" s="341"/>
      <c r="CI43" s="342"/>
      <c r="CJ43" s="342"/>
      <c r="CK43" s="342"/>
      <c r="CL43" s="342"/>
      <c r="CM43" s="343"/>
      <c r="CN43" s="343"/>
      <c r="CO43" s="343"/>
      <c r="CP43" s="343"/>
      <c r="CQ43" s="344"/>
      <c r="CR43" s="344"/>
      <c r="CS43" s="344"/>
      <c r="CT43" s="344"/>
      <c r="CU43" s="345"/>
      <c r="CV43" s="345"/>
      <c r="CW43" s="345"/>
      <c r="CX43" s="345"/>
      <c r="CY43" s="346"/>
      <c r="CZ43" s="346"/>
      <c r="DA43" s="346"/>
      <c r="DB43" s="346"/>
      <c r="DC43" s="358"/>
      <c r="DD43" s="358"/>
      <c r="DE43" s="372"/>
      <c r="DF43" s="348"/>
      <c r="DG43" s="348"/>
      <c r="DH43" s="348"/>
      <c r="DI43" s="324"/>
      <c r="DJ43" s="323"/>
      <c r="DK43" s="282"/>
      <c r="DL43" s="282"/>
      <c r="DM43" s="270"/>
      <c r="DN43" s="270"/>
      <c r="DO43" s="270" t="s">
        <v>1634</v>
      </c>
      <c r="DP43" s="270" t="s">
        <v>354</v>
      </c>
      <c r="DQ43" s="366" t="s">
        <v>705</v>
      </c>
      <c r="DR43" s="367"/>
      <c r="DS43" s="285"/>
      <c r="DT43" s="285"/>
      <c r="DU43" s="285"/>
      <c r="DV43" s="285"/>
      <c r="DW43" s="285"/>
      <c r="DX43" s="285"/>
      <c r="DY43" s="285"/>
      <c r="DZ43" s="285"/>
      <c r="EA43" s="285"/>
      <c r="EB43" s="285"/>
      <c r="EC43" s="285"/>
      <c r="ED43" s="285"/>
      <c r="EE43" s="285"/>
      <c r="EF43" s="285"/>
      <c r="EG43" s="285"/>
      <c r="EH43" s="285"/>
      <c r="EI43" s="285"/>
    </row>
    <row r="44">
      <c r="A44" s="304" t="s">
        <v>2003</v>
      </c>
      <c r="B44" s="304" t="s">
        <v>2004</v>
      </c>
      <c r="C44" s="306"/>
      <c r="D44" s="307"/>
      <c r="E44" s="264"/>
      <c r="F44" s="264" t="s">
        <v>2005</v>
      </c>
      <c r="G44" s="307"/>
      <c r="H44" s="308">
        <v>84.64026</v>
      </c>
      <c r="I44" s="308">
        <v>-2.73726</v>
      </c>
      <c r="J44" s="269" t="s">
        <v>350</v>
      </c>
      <c r="K44" s="269" t="s">
        <v>169</v>
      </c>
      <c r="L44" s="308">
        <v>3.0</v>
      </c>
      <c r="M44" s="268"/>
      <c r="N44" s="310">
        <v>2.0</v>
      </c>
      <c r="O44" s="308">
        <v>571.886080292805</v>
      </c>
      <c r="P44" s="308">
        <v>-1.29</v>
      </c>
      <c r="Q44" s="308">
        <v>0.461</v>
      </c>
      <c r="R44" s="308">
        <v>-2.701</v>
      </c>
      <c r="S44" s="308">
        <v>0.39</v>
      </c>
      <c r="T44" s="308">
        <v>30.09</v>
      </c>
      <c r="U44" s="308">
        <v>0.221</v>
      </c>
      <c r="V44" s="308">
        <v>11.38</v>
      </c>
      <c r="W44" s="308">
        <v>0.01</v>
      </c>
      <c r="X44" s="308">
        <v>10.131</v>
      </c>
      <c r="Y44" s="308">
        <v>0.026</v>
      </c>
      <c r="Z44" s="308">
        <v>9.28</v>
      </c>
      <c r="AA44" s="308">
        <v>0.024</v>
      </c>
      <c r="AB44" s="308">
        <v>8.666</v>
      </c>
      <c r="AC44" s="308">
        <v>0.024</v>
      </c>
      <c r="AD44" s="268"/>
      <c r="AE44" s="268"/>
      <c r="AF44" s="308">
        <v>0.2098</v>
      </c>
      <c r="AG44" s="268"/>
      <c r="AH44" s="369" t="s">
        <v>351</v>
      </c>
      <c r="AI44" s="269"/>
      <c r="AJ44" s="269"/>
      <c r="AK44" s="365" t="s">
        <v>702</v>
      </c>
      <c r="AL44" s="270" t="s">
        <v>1999</v>
      </c>
      <c r="AM44" s="316">
        <v>4.0</v>
      </c>
      <c r="AN44" s="272" t="s">
        <v>2006</v>
      </c>
      <c r="AO44" s="270"/>
      <c r="AP44" s="315">
        <v>3600.0</v>
      </c>
      <c r="AQ44" s="316">
        <v>150.0</v>
      </c>
      <c r="AR44" s="331">
        <v>0.75</v>
      </c>
      <c r="AS44" s="270"/>
      <c r="AT44" s="330">
        <v>1.52</v>
      </c>
      <c r="AU44" s="270"/>
      <c r="AV44" s="316">
        <v>3.18</v>
      </c>
      <c r="AW44" s="270"/>
      <c r="AX44" s="370">
        <v>360.0</v>
      </c>
      <c r="AY44" s="272"/>
      <c r="AZ44" s="272" t="s">
        <v>2000</v>
      </c>
      <c r="BA44" s="270" t="s">
        <v>1632</v>
      </c>
      <c r="BB44" s="272" t="s">
        <v>1633</v>
      </c>
      <c r="BC44" s="334"/>
      <c r="BD44" s="334"/>
      <c r="BE44" s="334"/>
      <c r="BF44" s="334"/>
      <c r="BG44" s="335"/>
      <c r="BH44" s="335"/>
      <c r="BI44" s="335"/>
      <c r="BJ44" s="335"/>
      <c r="BK44" s="336"/>
      <c r="BL44" s="336"/>
      <c r="BM44" s="336"/>
      <c r="BN44" s="336"/>
      <c r="BO44" s="337"/>
      <c r="BP44" s="337"/>
      <c r="BQ44" s="337"/>
      <c r="BR44" s="337"/>
      <c r="BS44" s="338"/>
      <c r="BT44" s="338"/>
      <c r="BU44" s="338"/>
      <c r="BV44" s="338"/>
      <c r="BW44" s="371"/>
      <c r="BX44" s="339"/>
      <c r="BY44" s="339"/>
      <c r="BZ44" s="339"/>
      <c r="CA44" s="340"/>
      <c r="CB44" s="340"/>
      <c r="CC44" s="340"/>
      <c r="CD44" s="340"/>
      <c r="CE44" s="341"/>
      <c r="CF44" s="341"/>
      <c r="CG44" s="341"/>
      <c r="CH44" s="341"/>
      <c r="CI44" s="342"/>
      <c r="CJ44" s="342"/>
      <c r="CK44" s="342"/>
      <c r="CL44" s="342"/>
      <c r="CM44" s="343"/>
      <c r="CN44" s="343"/>
      <c r="CO44" s="343"/>
      <c r="CP44" s="343"/>
      <c r="CQ44" s="344"/>
      <c r="CR44" s="344"/>
      <c r="CS44" s="344"/>
      <c r="CT44" s="344"/>
      <c r="CU44" s="345"/>
      <c r="CV44" s="345"/>
      <c r="CW44" s="345"/>
      <c r="CX44" s="345"/>
      <c r="CY44" s="346"/>
      <c r="CZ44" s="346"/>
      <c r="DA44" s="346"/>
      <c r="DB44" s="346"/>
      <c r="DC44" s="358"/>
      <c r="DD44" s="358"/>
      <c r="DE44" s="372"/>
      <c r="DF44" s="348"/>
      <c r="DG44" s="348"/>
      <c r="DH44" s="348"/>
      <c r="DI44" s="317"/>
      <c r="DJ44" s="323"/>
      <c r="DK44" s="282"/>
      <c r="DL44" s="282"/>
      <c r="DM44" s="270"/>
      <c r="DN44" s="270"/>
      <c r="DO44" s="270" t="s">
        <v>1634</v>
      </c>
      <c r="DP44" s="270" t="s">
        <v>354</v>
      </c>
      <c r="DQ44" s="366" t="s">
        <v>705</v>
      </c>
      <c r="DR44" s="367"/>
      <c r="DS44" s="285"/>
      <c r="DT44" s="285"/>
      <c r="DU44" s="285"/>
      <c r="DV44" s="285"/>
      <c r="DW44" s="285"/>
      <c r="DX44" s="285"/>
      <c r="DY44" s="285"/>
      <c r="DZ44" s="285"/>
      <c r="EA44" s="285"/>
      <c r="EB44" s="285"/>
      <c r="EC44" s="285"/>
      <c r="ED44" s="285"/>
      <c r="EE44" s="285"/>
      <c r="EF44" s="285"/>
      <c r="EG44" s="285"/>
      <c r="EH44" s="285"/>
      <c r="EI44" s="285"/>
    </row>
    <row r="45">
      <c r="A45" s="304" t="s">
        <v>2007</v>
      </c>
      <c r="B45" s="304" t="s">
        <v>2008</v>
      </c>
      <c r="C45" s="306"/>
      <c r="D45" s="307"/>
      <c r="E45" s="264"/>
      <c r="F45" s="264" t="s">
        <v>2009</v>
      </c>
      <c r="G45" s="307"/>
      <c r="H45" s="308">
        <v>84.66028</v>
      </c>
      <c r="I45" s="308">
        <v>-2.58193</v>
      </c>
      <c r="J45" s="269" t="s">
        <v>350</v>
      </c>
      <c r="K45" s="269" t="s">
        <v>515</v>
      </c>
      <c r="L45" s="308">
        <v>3.0</v>
      </c>
      <c r="M45" s="268"/>
      <c r="N45" s="310">
        <v>2.0</v>
      </c>
      <c r="O45" s="308">
        <v>413.291453132749</v>
      </c>
      <c r="P45" s="308">
        <v>0.85</v>
      </c>
      <c r="Q45" s="308">
        <v>0.063</v>
      </c>
      <c r="R45" s="308">
        <v>-0.22</v>
      </c>
      <c r="S45" s="308">
        <v>0.061</v>
      </c>
      <c r="T45" s="308">
        <v>28.6828</v>
      </c>
      <c r="U45" s="308">
        <v>0.376586</v>
      </c>
      <c r="V45" s="308">
        <v>11.73</v>
      </c>
      <c r="W45" s="269" t="s">
        <v>1962</v>
      </c>
      <c r="X45" s="308">
        <v>9.907</v>
      </c>
      <c r="Y45" s="308">
        <v>0.027</v>
      </c>
      <c r="Z45" s="308">
        <v>9.28</v>
      </c>
      <c r="AA45" s="308">
        <v>0.024</v>
      </c>
      <c r="AB45" s="308">
        <v>9.119</v>
      </c>
      <c r="AC45" s="308">
        <v>0.025</v>
      </c>
      <c r="AD45" s="268"/>
      <c r="AE45" s="268"/>
      <c r="AF45" s="308">
        <v>0.1917</v>
      </c>
      <c r="AG45" s="268"/>
      <c r="AH45" s="369" t="s">
        <v>351</v>
      </c>
      <c r="AI45" s="269"/>
      <c r="AJ45" s="269"/>
      <c r="AK45" s="365" t="s">
        <v>702</v>
      </c>
      <c r="AL45" s="270" t="s">
        <v>1999</v>
      </c>
      <c r="AM45" s="316">
        <v>4.0</v>
      </c>
      <c r="AN45" s="272" t="s">
        <v>2010</v>
      </c>
      <c r="AO45" s="270"/>
      <c r="AP45" s="315">
        <v>3900.0</v>
      </c>
      <c r="AQ45" s="316">
        <v>150.0</v>
      </c>
      <c r="AR45" s="331">
        <v>1.0</v>
      </c>
      <c r="AS45" s="270"/>
      <c r="AT45" s="330">
        <v>0.46</v>
      </c>
      <c r="AU45" s="270"/>
      <c r="AV45" s="316">
        <v>1.49</v>
      </c>
      <c r="AW45" s="270"/>
      <c r="AX45" s="370">
        <v>360.0</v>
      </c>
      <c r="AY45" s="272"/>
      <c r="AZ45" s="272" t="s">
        <v>2000</v>
      </c>
      <c r="BA45" s="270" t="s">
        <v>1632</v>
      </c>
      <c r="BB45" s="272" t="s">
        <v>1633</v>
      </c>
      <c r="BC45" s="334"/>
      <c r="BD45" s="334"/>
      <c r="BE45" s="334"/>
      <c r="BF45" s="334"/>
      <c r="BG45" s="335"/>
      <c r="BH45" s="335"/>
      <c r="BI45" s="335"/>
      <c r="BJ45" s="335"/>
      <c r="BK45" s="336"/>
      <c r="BL45" s="336"/>
      <c r="BM45" s="336"/>
      <c r="BN45" s="336"/>
      <c r="BO45" s="337"/>
      <c r="BP45" s="337"/>
      <c r="BQ45" s="337"/>
      <c r="BR45" s="337"/>
      <c r="BS45" s="338"/>
      <c r="BT45" s="338"/>
      <c r="BU45" s="338"/>
      <c r="BV45" s="338"/>
      <c r="BW45" s="371"/>
      <c r="BX45" s="339"/>
      <c r="BY45" s="339"/>
      <c r="BZ45" s="339"/>
      <c r="CA45" s="340"/>
      <c r="CB45" s="340"/>
      <c r="CC45" s="340"/>
      <c r="CD45" s="340"/>
      <c r="CE45" s="341"/>
      <c r="CF45" s="341"/>
      <c r="CG45" s="341"/>
      <c r="CH45" s="341"/>
      <c r="CI45" s="342"/>
      <c r="CJ45" s="342"/>
      <c r="CK45" s="342"/>
      <c r="CL45" s="342"/>
      <c r="CM45" s="343"/>
      <c r="CN45" s="343"/>
      <c r="CO45" s="343"/>
      <c r="CP45" s="343"/>
      <c r="CQ45" s="344"/>
      <c r="CR45" s="344"/>
      <c r="CS45" s="344"/>
      <c r="CT45" s="344"/>
      <c r="CU45" s="345"/>
      <c r="CV45" s="345"/>
      <c r="CW45" s="345"/>
      <c r="CX45" s="345"/>
      <c r="CY45" s="346"/>
      <c r="CZ45" s="346"/>
      <c r="DA45" s="346"/>
      <c r="DB45" s="346"/>
      <c r="DC45" s="358"/>
      <c r="DD45" s="358"/>
      <c r="DE45" s="372"/>
      <c r="DF45" s="348"/>
      <c r="DG45" s="348"/>
      <c r="DH45" s="348"/>
      <c r="DI45" s="324"/>
      <c r="DJ45" s="323"/>
      <c r="DK45" s="282" t="s">
        <v>2011</v>
      </c>
      <c r="DL45" s="282"/>
      <c r="DM45" s="270" t="s">
        <v>2011</v>
      </c>
      <c r="DN45" s="270"/>
      <c r="DO45" s="270" t="s">
        <v>1634</v>
      </c>
      <c r="DP45" s="270" t="s">
        <v>354</v>
      </c>
      <c r="DQ45" s="366" t="s">
        <v>1676</v>
      </c>
      <c r="DR45" s="367"/>
      <c r="DS45" s="367"/>
      <c r="DT45" s="285"/>
      <c r="DU45" s="285"/>
      <c r="DV45" s="285"/>
      <c r="DW45" s="285"/>
      <c r="DX45" s="285"/>
      <c r="DY45" s="285"/>
      <c r="DZ45" s="285"/>
      <c r="EA45" s="285"/>
      <c r="EB45" s="285"/>
      <c r="EC45" s="285"/>
      <c r="ED45" s="285"/>
      <c r="EE45" s="285"/>
      <c r="EF45" s="285"/>
      <c r="EG45" s="285"/>
      <c r="EH45" s="285"/>
      <c r="EI45" s="285"/>
    </row>
    <row r="46">
      <c r="A46" s="304" t="s">
        <v>2012</v>
      </c>
      <c r="B46" s="304" t="s">
        <v>2013</v>
      </c>
      <c r="C46" s="306"/>
      <c r="D46" s="307"/>
      <c r="E46" s="264"/>
      <c r="F46" s="264" t="s">
        <v>2009</v>
      </c>
      <c r="G46" s="307"/>
      <c r="H46" s="308">
        <v>84.70019</v>
      </c>
      <c r="I46" s="308">
        <v>-2.45398</v>
      </c>
      <c r="J46" s="269" t="s">
        <v>350</v>
      </c>
      <c r="K46" s="269" t="s">
        <v>169</v>
      </c>
      <c r="L46" s="308">
        <v>3.0</v>
      </c>
      <c r="M46" s="268"/>
      <c r="N46" s="268"/>
      <c r="O46" s="269" t="s">
        <v>1962</v>
      </c>
      <c r="P46" s="308">
        <v>3.5</v>
      </c>
      <c r="Q46" s="308">
        <v>6.0</v>
      </c>
      <c r="R46" s="308">
        <v>-2.8</v>
      </c>
      <c r="S46" s="308">
        <v>6.0</v>
      </c>
      <c r="T46" s="308">
        <v>30.87</v>
      </c>
      <c r="U46" s="308">
        <v>0.313</v>
      </c>
      <c r="V46" s="308">
        <v>12.41</v>
      </c>
      <c r="W46" s="308">
        <v>0.01</v>
      </c>
      <c r="X46" s="308">
        <v>10.156</v>
      </c>
      <c r="Y46" s="308">
        <v>0.023</v>
      </c>
      <c r="Z46" s="308">
        <v>9.463</v>
      </c>
      <c r="AA46" s="308">
        <v>0.026</v>
      </c>
      <c r="AB46" s="308">
        <v>9.187</v>
      </c>
      <c r="AC46" s="308">
        <v>0.019</v>
      </c>
      <c r="AD46" s="268"/>
      <c r="AE46" s="268"/>
      <c r="AF46" s="308">
        <v>0.1738</v>
      </c>
      <c r="AG46" s="268"/>
      <c r="AH46" s="369" t="s">
        <v>351</v>
      </c>
      <c r="AI46" s="269"/>
      <c r="AJ46" s="269"/>
      <c r="AK46" s="365" t="s">
        <v>702</v>
      </c>
      <c r="AL46" s="270" t="s">
        <v>1999</v>
      </c>
      <c r="AM46" s="316">
        <v>4.0</v>
      </c>
      <c r="AN46" s="272" t="s">
        <v>434</v>
      </c>
      <c r="AO46" s="270"/>
      <c r="AP46" s="315">
        <v>3700.0</v>
      </c>
      <c r="AQ46" s="316">
        <v>150.0</v>
      </c>
      <c r="AR46" s="331">
        <v>0.8</v>
      </c>
      <c r="AS46" s="270"/>
      <c r="AT46" s="330">
        <v>1.73</v>
      </c>
      <c r="AU46" s="270"/>
      <c r="AV46" s="316">
        <v>3.21</v>
      </c>
      <c r="AW46" s="270"/>
      <c r="AX46" s="370">
        <v>360.0</v>
      </c>
      <c r="AY46" s="272"/>
      <c r="AZ46" s="272" t="s">
        <v>2000</v>
      </c>
      <c r="BA46" s="270" t="s">
        <v>1632</v>
      </c>
      <c r="BB46" s="272" t="s">
        <v>1633</v>
      </c>
      <c r="BC46" s="334"/>
      <c r="BD46" s="334"/>
      <c r="BE46" s="334"/>
      <c r="BF46" s="334"/>
      <c r="BG46" s="335"/>
      <c r="BH46" s="335"/>
      <c r="BI46" s="335"/>
      <c r="BJ46" s="335"/>
      <c r="BK46" s="336"/>
      <c r="BL46" s="336"/>
      <c r="BM46" s="336"/>
      <c r="BN46" s="336"/>
      <c r="BO46" s="337"/>
      <c r="BP46" s="337"/>
      <c r="BQ46" s="337"/>
      <c r="BR46" s="337"/>
      <c r="BS46" s="338"/>
      <c r="BT46" s="338"/>
      <c r="BU46" s="338"/>
      <c r="BV46" s="338"/>
      <c r="BW46" s="371"/>
      <c r="BX46" s="339"/>
      <c r="BY46" s="339"/>
      <c r="BZ46" s="339"/>
      <c r="CA46" s="340"/>
      <c r="CB46" s="340"/>
      <c r="CC46" s="340"/>
      <c r="CD46" s="340"/>
      <c r="CE46" s="341"/>
      <c r="CF46" s="341"/>
      <c r="CG46" s="341"/>
      <c r="CH46" s="341"/>
      <c r="CI46" s="342"/>
      <c r="CJ46" s="342"/>
      <c r="CK46" s="342"/>
      <c r="CL46" s="342"/>
      <c r="CM46" s="343"/>
      <c r="CN46" s="343"/>
      <c r="CO46" s="343"/>
      <c r="CP46" s="343"/>
      <c r="CQ46" s="344"/>
      <c r="CR46" s="344"/>
      <c r="CS46" s="344"/>
      <c r="CT46" s="344"/>
      <c r="CU46" s="345"/>
      <c r="CV46" s="345"/>
      <c r="CW46" s="345"/>
      <c r="CX46" s="345"/>
      <c r="CY46" s="346"/>
      <c r="CZ46" s="346"/>
      <c r="DA46" s="346"/>
      <c r="DB46" s="346"/>
      <c r="DC46" s="358"/>
      <c r="DD46" s="358"/>
      <c r="DE46" s="372"/>
      <c r="DF46" s="348"/>
      <c r="DG46" s="348"/>
      <c r="DH46" s="348"/>
      <c r="DI46" s="324"/>
      <c r="DJ46" s="323"/>
      <c r="DK46" s="282" t="s">
        <v>2011</v>
      </c>
      <c r="DL46" s="282"/>
      <c r="DM46" s="270" t="s">
        <v>2011</v>
      </c>
      <c r="DN46" s="270"/>
      <c r="DO46" s="270" t="s">
        <v>1634</v>
      </c>
      <c r="DP46" s="270" t="s">
        <v>354</v>
      </c>
      <c r="DQ46" s="366" t="s">
        <v>1676</v>
      </c>
      <c r="DR46" s="367"/>
      <c r="DS46" s="367"/>
      <c r="DT46" s="285"/>
      <c r="DU46" s="285"/>
      <c r="DV46" s="285"/>
      <c r="DW46" s="285"/>
      <c r="DX46" s="285"/>
      <c r="DY46" s="285"/>
      <c r="DZ46" s="285"/>
      <c r="EA46" s="285"/>
      <c r="EB46" s="285"/>
      <c r="EC46" s="285"/>
      <c r="ED46" s="285"/>
      <c r="EE46" s="285"/>
      <c r="EF46" s="285"/>
      <c r="EG46" s="285"/>
      <c r="EH46" s="285"/>
      <c r="EI46" s="285"/>
    </row>
    <row r="47">
      <c r="A47" s="304" t="s">
        <v>2014</v>
      </c>
      <c r="B47" s="304" t="s">
        <v>2015</v>
      </c>
      <c r="C47" s="306"/>
      <c r="D47" s="307"/>
      <c r="E47" s="264"/>
      <c r="F47" s="264" t="s">
        <v>137</v>
      </c>
      <c r="G47" s="307"/>
      <c r="H47" s="308">
        <v>84.82534</v>
      </c>
      <c r="I47" s="308">
        <v>-2.49126</v>
      </c>
      <c r="J47" s="269" t="s">
        <v>350</v>
      </c>
      <c r="K47" s="269" t="s">
        <v>515</v>
      </c>
      <c r="L47" s="308">
        <v>3.0</v>
      </c>
      <c r="M47" s="268"/>
      <c r="N47" s="310">
        <v>2.0</v>
      </c>
      <c r="O47" s="308">
        <v>373.468778010158</v>
      </c>
      <c r="P47" s="308">
        <v>2.072</v>
      </c>
      <c r="Q47" s="308">
        <v>0.069</v>
      </c>
      <c r="R47" s="308">
        <v>-1.369</v>
      </c>
      <c r="S47" s="308">
        <v>0.069</v>
      </c>
      <c r="T47" s="308">
        <v>23.19</v>
      </c>
      <c r="U47" s="308">
        <v>0.593</v>
      </c>
      <c r="V47" s="308">
        <v>12.05</v>
      </c>
      <c r="W47" s="308">
        <v>0.01</v>
      </c>
      <c r="X47" s="308">
        <v>10.721</v>
      </c>
      <c r="Y47" s="308">
        <v>0.027</v>
      </c>
      <c r="Z47" s="308">
        <v>10.27</v>
      </c>
      <c r="AA47" s="308">
        <v>0.026</v>
      </c>
      <c r="AB47" s="308">
        <v>10.117</v>
      </c>
      <c r="AC47" s="308">
        <v>0.023</v>
      </c>
      <c r="AD47" s="268"/>
      <c r="AE47" s="268"/>
      <c r="AF47" s="308">
        <v>0.187</v>
      </c>
      <c r="AG47" s="268"/>
      <c r="AH47" s="373" t="s">
        <v>351</v>
      </c>
      <c r="AI47" s="269"/>
      <c r="AJ47" s="269"/>
      <c r="AK47" s="365" t="s">
        <v>702</v>
      </c>
      <c r="AL47" s="270" t="s">
        <v>1999</v>
      </c>
      <c r="AM47" s="316">
        <v>4.0</v>
      </c>
      <c r="AN47" s="272" t="s">
        <v>2016</v>
      </c>
      <c r="AO47" s="270"/>
      <c r="AP47" s="315">
        <v>4200.0</v>
      </c>
      <c r="AQ47" s="316">
        <v>150.0</v>
      </c>
      <c r="AR47" s="331">
        <v>1.3</v>
      </c>
      <c r="AS47" s="270"/>
      <c r="AT47" s="330">
        <v>1.17</v>
      </c>
      <c r="AU47" s="270"/>
      <c r="AV47" s="316">
        <v>2.05</v>
      </c>
      <c r="AW47" s="270"/>
      <c r="AX47" s="370">
        <v>360.0</v>
      </c>
      <c r="AY47" s="272"/>
      <c r="AZ47" s="272" t="s">
        <v>2000</v>
      </c>
      <c r="BA47" s="270" t="s">
        <v>1632</v>
      </c>
      <c r="BB47" s="272" t="s">
        <v>1633</v>
      </c>
      <c r="BC47" s="334"/>
      <c r="BD47" s="334"/>
      <c r="BE47" s="334"/>
      <c r="BF47" s="334"/>
      <c r="BG47" s="335"/>
      <c r="BH47" s="335"/>
      <c r="BI47" s="335"/>
      <c r="BJ47" s="335"/>
      <c r="BK47" s="336"/>
      <c r="BL47" s="336"/>
      <c r="BM47" s="336"/>
      <c r="BN47" s="336"/>
      <c r="BO47" s="337"/>
      <c r="BP47" s="337"/>
      <c r="BQ47" s="337"/>
      <c r="BR47" s="337"/>
      <c r="BS47" s="338"/>
      <c r="BT47" s="338"/>
      <c r="BU47" s="338"/>
      <c r="BV47" s="338"/>
      <c r="BW47" s="371"/>
      <c r="BX47" s="339"/>
      <c r="BY47" s="339"/>
      <c r="BZ47" s="339"/>
      <c r="CA47" s="340"/>
      <c r="CB47" s="340"/>
      <c r="CC47" s="340"/>
      <c r="CD47" s="340"/>
      <c r="CE47" s="341"/>
      <c r="CF47" s="341"/>
      <c r="CG47" s="341"/>
      <c r="CH47" s="341"/>
      <c r="CI47" s="342"/>
      <c r="CJ47" s="342"/>
      <c r="CK47" s="342"/>
      <c r="CL47" s="342"/>
      <c r="CM47" s="343"/>
      <c r="CN47" s="343"/>
      <c r="CO47" s="343"/>
      <c r="CP47" s="343"/>
      <c r="CQ47" s="344"/>
      <c r="CR47" s="344"/>
      <c r="CS47" s="344"/>
      <c r="CT47" s="344"/>
      <c r="CU47" s="345"/>
      <c r="CV47" s="345"/>
      <c r="CW47" s="345"/>
      <c r="CX47" s="345"/>
      <c r="CY47" s="346"/>
      <c r="CZ47" s="346"/>
      <c r="DA47" s="346"/>
      <c r="DB47" s="346"/>
      <c r="DC47" s="358"/>
      <c r="DD47" s="358"/>
      <c r="DE47" s="372"/>
      <c r="DF47" s="348"/>
      <c r="DG47" s="348"/>
      <c r="DH47" s="348"/>
      <c r="DI47" s="324"/>
      <c r="DJ47" s="323"/>
      <c r="DK47" s="282"/>
      <c r="DL47" s="282"/>
      <c r="DM47" s="270"/>
      <c r="DN47" s="270"/>
      <c r="DO47" s="270" t="s">
        <v>1634</v>
      </c>
      <c r="DP47" s="270" t="s">
        <v>354</v>
      </c>
      <c r="DQ47" s="366" t="s">
        <v>705</v>
      </c>
      <c r="DR47" s="367"/>
      <c r="DS47" s="285"/>
      <c r="DT47" s="285"/>
      <c r="DU47" s="285"/>
      <c r="DV47" s="285"/>
      <c r="DW47" s="285"/>
      <c r="DX47" s="285"/>
      <c r="DY47" s="285"/>
      <c r="DZ47" s="285"/>
      <c r="EA47" s="285"/>
      <c r="EB47" s="285"/>
      <c r="EC47" s="285"/>
      <c r="ED47" s="285"/>
      <c r="EE47" s="285"/>
      <c r="EF47" s="285"/>
      <c r="EG47" s="285"/>
      <c r="EH47" s="285"/>
      <c r="EI47" s="285"/>
    </row>
    <row r="48">
      <c r="A48" s="304" t="s">
        <v>2017</v>
      </c>
      <c r="B48" s="304" t="s">
        <v>2018</v>
      </c>
      <c r="C48" s="306"/>
      <c r="D48" s="307"/>
      <c r="E48" s="264"/>
      <c r="F48" s="264" t="s">
        <v>137</v>
      </c>
      <c r="G48" s="307"/>
      <c r="H48" s="308">
        <v>84.9174</v>
      </c>
      <c r="I48" s="308">
        <v>-2.34667</v>
      </c>
      <c r="J48" s="269" t="s">
        <v>350</v>
      </c>
      <c r="K48" s="269" t="s">
        <v>169</v>
      </c>
      <c r="L48" s="308">
        <v>3.0</v>
      </c>
      <c r="M48" s="268"/>
      <c r="N48" s="310">
        <v>2.0</v>
      </c>
      <c r="O48" s="308">
        <v>397.883261051207</v>
      </c>
      <c r="P48" s="308">
        <v>2.405</v>
      </c>
      <c r="Q48" s="308">
        <v>0.04</v>
      </c>
      <c r="R48" s="308">
        <v>-0.167</v>
      </c>
      <c r="S48" s="308">
        <v>0.041</v>
      </c>
      <c r="T48" s="308">
        <v>29.4394</v>
      </c>
      <c r="U48" s="308">
        <v>0.292645</v>
      </c>
      <c r="V48" s="269" t="s">
        <v>1962</v>
      </c>
      <c r="W48" s="269" t="s">
        <v>1962</v>
      </c>
      <c r="X48" s="308">
        <v>11.495</v>
      </c>
      <c r="Y48" s="308">
        <v>0.024</v>
      </c>
      <c r="Z48" s="308">
        <v>10.632</v>
      </c>
      <c r="AA48" s="308">
        <v>0.024</v>
      </c>
      <c r="AB48" s="308">
        <v>10.029</v>
      </c>
      <c r="AC48" s="308">
        <v>0.021</v>
      </c>
      <c r="AD48" s="268"/>
      <c r="AE48" s="268"/>
      <c r="AF48" s="308">
        <v>0.1756</v>
      </c>
      <c r="AG48" s="268"/>
      <c r="AH48" s="373" t="s">
        <v>351</v>
      </c>
      <c r="AI48" s="269"/>
      <c r="AJ48" s="269"/>
      <c r="AK48" s="365" t="s">
        <v>702</v>
      </c>
      <c r="AL48" s="270" t="s">
        <v>1999</v>
      </c>
      <c r="AM48" s="316">
        <v>4.0</v>
      </c>
      <c r="AN48" s="272" t="s">
        <v>459</v>
      </c>
      <c r="AO48" s="270"/>
      <c r="AP48" s="315">
        <v>3900.0</v>
      </c>
      <c r="AQ48" s="316">
        <v>150.0</v>
      </c>
      <c r="AR48" s="331">
        <v>1.0</v>
      </c>
      <c r="AS48" s="270"/>
      <c r="AT48" s="330">
        <v>0.63</v>
      </c>
      <c r="AU48" s="270"/>
      <c r="AV48" s="316">
        <v>1.74</v>
      </c>
      <c r="AW48" s="270"/>
      <c r="AX48" s="370">
        <v>360.0</v>
      </c>
      <c r="AY48" s="272"/>
      <c r="AZ48" s="272" t="s">
        <v>2000</v>
      </c>
      <c r="BA48" s="270" t="s">
        <v>1632</v>
      </c>
      <c r="BB48" s="272" t="s">
        <v>1633</v>
      </c>
      <c r="BC48" s="334"/>
      <c r="BD48" s="334"/>
      <c r="BE48" s="334"/>
      <c r="BF48" s="334"/>
      <c r="BG48" s="335"/>
      <c r="BH48" s="335"/>
      <c r="BI48" s="335"/>
      <c r="BJ48" s="335"/>
      <c r="BK48" s="336"/>
      <c r="BL48" s="336"/>
      <c r="BM48" s="336"/>
      <c r="BN48" s="336"/>
      <c r="BO48" s="337"/>
      <c r="BP48" s="337"/>
      <c r="BQ48" s="337"/>
      <c r="BR48" s="337"/>
      <c r="BS48" s="338"/>
      <c r="BT48" s="338"/>
      <c r="BU48" s="338"/>
      <c r="BV48" s="338"/>
      <c r="BW48" s="371"/>
      <c r="BX48" s="339"/>
      <c r="BY48" s="339"/>
      <c r="BZ48" s="339"/>
      <c r="CA48" s="340"/>
      <c r="CB48" s="340"/>
      <c r="CC48" s="340"/>
      <c r="CD48" s="340"/>
      <c r="CE48" s="341"/>
      <c r="CF48" s="341"/>
      <c r="CG48" s="341"/>
      <c r="CH48" s="341"/>
      <c r="CI48" s="342"/>
      <c r="CJ48" s="342"/>
      <c r="CK48" s="342"/>
      <c r="CL48" s="342"/>
      <c r="CM48" s="343"/>
      <c r="CN48" s="343"/>
      <c r="CO48" s="343"/>
      <c r="CP48" s="343"/>
      <c r="CQ48" s="344"/>
      <c r="CR48" s="344"/>
      <c r="CS48" s="344"/>
      <c r="CT48" s="344"/>
      <c r="CU48" s="345"/>
      <c r="CV48" s="345"/>
      <c r="CW48" s="345"/>
      <c r="CX48" s="345"/>
      <c r="CY48" s="346"/>
      <c r="CZ48" s="346"/>
      <c r="DA48" s="346"/>
      <c r="DB48" s="346"/>
      <c r="DC48" s="358"/>
      <c r="DD48" s="358"/>
      <c r="DE48" s="372"/>
      <c r="DF48" s="348"/>
      <c r="DG48" s="348"/>
      <c r="DH48" s="348"/>
      <c r="DI48" s="324"/>
      <c r="DJ48" s="323"/>
      <c r="DK48" s="282"/>
      <c r="DL48" s="282"/>
      <c r="DM48" s="270"/>
      <c r="DN48" s="270"/>
      <c r="DO48" s="270" t="s">
        <v>1634</v>
      </c>
      <c r="DP48" s="270" t="s">
        <v>354</v>
      </c>
      <c r="DQ48" s="366" t="s">
        <v>705</v>
      </c>
      <c r="DR48" s="367"/>
      <c r="DS48" s="285"/>
      <c r="DT48" s="285"/>
      <c r="DU48" s="285"/>
      <c r="DV48" s="285"/>
      <c r="DW48" s="285"/>
      <c r="DX48" s="285"/>
      <c r="DY48" s="285"/>
      <c r="DZ48" s="285"/>
      <c r="EA48" s="285"/>
      <c r="EB48" s="285"/>
      <c r="EC48" s="285"/>
      <c r="ED48" s="285"/>
      <c r="EE48" s="285"/>
      <c r="EF48" s="285"/>
      <c r="EG48" s="285"/>
      <c r="EH48" s="285"/>
      <c r="EI48" s="285"/>
    </row>
    <row r="49">
      <c r="A49" s="326" t="s">
        <v>2019</v>
      </c>
      <c r="B49" s="374" t="s">
        <v>2020</v>
      </c>
      <c r="C49" s="306"/>
      <c r="D49" s="307"/>
      <c r="E49" s="307"/>
      <c r="F49" s="307" t="s">
        <v>137</v>
      </c>
      <c r="G49" s="307"/>
      <c r="H49" s="355">
        <v>277.4925154</v>
      </c>
      <c r="I49" s="355">
        <v>1.256000833</v>
      </c>
      <c r="J49" s="269"/>
      <c r="K49" s="309" t="s">
        <v>169</v>
      </c>
      <c r="L49" s="308">
        <v>1.0</v>
      </c>
      <c r="M49" s="268"/>
      <c r="N49" s="309">
        <v>2.0</v>
      </c>
      <c r="O49" s="308">
        <v>413.018338</v>
      </c>
      <c r="P49" s="308">
        <v>1.775</v>
      </c>
      <c r="Q49" s="308">
        <v>0.404</v>
      </c>
      <c r="R49" s="308">
        <v>-8.501</v>
      </c>
      <c r="S49" s="308">
        <v>0.384</v>
      </c>
      <c r="T49" s="268"/>
      <c r="U49" s="268"/>
      <c r="V49" s="269"/>
      <c r="W49" s="269"/>
      <c r="X49" s="310">
        <v>13.07</v>
      </c>
      <c r="Y49" s="268"/>
      <c r="Z49" s="310"/>
      <c r="AA49" s="310"/>
      <c r="AB49" s="310">
        <v>9.86</v>
      </c>
      <c r="AC49" s="268"/>
      <c r="AD49" s="309">
        <v>12.8</v>
      </c>
      <c r="AE49" s="268"/>
      <c r="AF49" s="268"/>
      <c r="AG49" s="268"/>
      <c r="AH49" s="375" t="s">
        <v>1479</v>
      </c>
      <c r="AI49" s="269"/>
      <c r="AJ49" s="269"/>
      <c r="AK49" s="376" t="s">
        <v>1479</v>
      </c>
      <c r="AL49" s="314">
        <v>2006.0</v>
      </c>
      <c r="AM49" s="270"/>
      <c r="AN49" s="314" t="s">
        <v>1471</v>
      </c>
      <c r="AO49" s="270"/>
      <c r="AP49" s="359">
        <v>4730.0</v>
      </c>
      <c r="AQ49" s="270"/>
      <c r="AR49" s="282"/>
      <c r="AS49" s="270"/>
      <c r="AT49" s="272"/>
      <c r="AU49" s="270"/>
      <c r="AV49" s="270"/>
      <c r="AW49" s="270"/>
      <c r="AX49" s="377">
        <v>260.0</v>
      </c>
      <c r="AY49" s="272"/>
      <c r="AZ49" s="314" t="s">
        <v>1484</v>
      </c>
      <c r="BA49" s="270" t="s">
        <v>162</v>
      </c>
      <c r="BB49" s="314" t="s">
        <v>2021</v>
      </c>
      <c r="BC49" s="334"/>
      <c r="BD49" s="334"/>
      <c r="BE49" s="334"/>
      <c r="BF49" s="334"/>
      <c r="BG49" s="335"/>
      <c r="BH49" s="335"/>
      <c r="BI49" s="335"/>
      <c r="BJ49" s="335"/>
      <c r="BK49" s="336"/>
      <c r="BL49" s="336"/>
      <c r="BM49" s="336"/>
      <c r="BN49" s="336"/>
      <c r="BO49" s="337"/>
      <c r="BP49" s="337"/>
      <c r="BQ49" s="337"/>
      <c r="BR49" s="337"/>
      <c r="BS49" s="338"/>
      <c r="BT49" s="338"/>
      <c r="BU49" s="338"/>
      <c r="BV49" s="338"/>
      <c r="BW49" s="339"/>
      <c r="BX49" s="339"/>
      <c r="BY49" s="339"/>
      <c r="BZ49" s="339"/>
      <c r="CA49" s="340"/>
      <c r="CB49" s="340"/>
      <c r="CC49" s="340"/>
      <c r="CD49" s="340"/>
      <c r="CE49" s="341"/>
      <c r="CF49" s="341"/>
      <c r="CG49" s="341"/>
      <c r="CH49" s="341"/>
      <c r="CI49" s="342"/>
      <c r="CJ49" s="342"/>
      <c r="CK49" s="342"/>
      <c r="CL49" s="342"/>
      <c r="CM49" s="378">
        <v>-12.67</v>
      </c>
      <c r="CN49" s="379"/>
      <c r="CO49" s="379"/>
      <c r="CP49" s="379"/>
      <c r="CQ49" s="343"/>
      <c r="CR49" s="343"/>
      <c r="CS49" s="343"/>
      <c r="CT49" s="343"/>
      <c r="CU49" s="344"/>
      <c r="CV49" s="344"/>
      <c r="CW49" s="344"/>
      <c r="CX49" s="344"/>
      <c r="CY49" s="345"/>
      <c r="CZ49" s="345"/>
      <c r="DA49" s="345"/>
      <c r="DB49" s="345"/>
      <c r="DC49" s="346"/>
      <c r="DD49" s="346"/>
      <c r="DE49" s="346"/>
      <c r="DF49" s="346"/>
      <c r="DG49" s="358"/>
      <c r="DH49" s="358"/>
      <c r="DI49" s="358"/>
      <c r="DJ49" s="348"/>
      <c r="DK49" s="348"/>
      <c r="DL49" s="348"/>
      <c r="DM49" s="324"/>
      <c r="DN49" s="317"/>
      <c r="DO49" s="380">
        <v>-0.37</v>
      </c>
      <c r="DP49" s="282"/>
      <c r="DQ49" s="381"/>
      <c r="DR49" s="270"/>
      <c r="DS49" s="382" t="s">
        <v>1479</v>
      </c>
      <c r="DT49" s="314" t="s">
        <v>2022</v>
      </c>
      <c r="DU49" s="270"/>
      <c r="DV49" s="285"/>
      <c r="DW49" s="285"/>
      <c r="DX49" s="285"/>
      <c r="DY49" s="285"/>
      <c r="DZ49" s="285"/>
      <c r="EA49" s="285"/>
      <c r="EB49" s="285"/>
      <c r="EC49" s="285"/>
      <c r="ED49" s="285"/>
      <c r="EE49" s="285"/>
      <c r="EF49" s="285"/>
      <c r="EG49" s="285"/>
      <c r="EH49" s="285"/>
      <c r="EI49" s="285"/>
    </row>
    <row r="50">
      <c r="A50" s="326" t="s">
        <v>2023</v>
      </c>
      <c r="B50" s="374" t="s">
        <v>2024</v>
      </c>
      <c r="C50" s="306"/>
      <c r="D50" s="307"/>
      <c r="E50" s="307"/>
      <c r="F50" s="307" t="s">
        <v>137</v>
      </c>
      <c r="G50" s="307"/>
      <c r="H50" s="355"/>
      <c r="I50" s="355"/>
      <c r="J50" s="309" t="s">
        <v>2025</v>
      </c>
      <c r="K50" s="309" t="s">
        <v>257</v>
      </c>
      <c r="L50" s="308">
        <v>1.0</v>
      </c>
      <c r="M50" s="268"/>
      <c r="N50" s="268"/>
      <c r="O50" s="269"/>
      <c r="P50" s="269"/>
      <c r="Q50" s="269"/>
      <c r="R50" s="269"/>
      <c r="S50" s="269"/>
      <c r="T50" s="268"/>
      <c r="U50" s="268"/>
      <c r="V50" s="269"/>
      <c r="W50" s="269"/>
      <c r="X50" s="310">
        <v>13.75</v>
      </c>
      <c r="Y50" s="268"/>
      <c r="Z50" s="310"/>
      <c r="AA50" s="310"/>
      <c r="AB50" s="310">
        <v>7.07</v>
      </c>
      <c r="AC50" s="268"/>
      <c r="AD50" s="309">
        <v>20.0</v>
      </c>
      <c r="AE50" s="268"/>
      <c r="AF50" s="268"/>
      <c r="AG50" s="268"/>
      <c r="AH50" s="375" t="s">
        <v>1479</v>
      </c>
      <c r="AI50" s="269"/>
      <c r="AJ50" s="269"/>
      <c r="AK50" s="376" t="s">
        <v>1479</v>
      </c>
      <c r="AL50" s="314">
        <v>2007.0</v>
      </c>
      <c r="AM50" s="270"/>
      <c r="AN50" s="314" t="s">
        <v>589</v>
      </c>
      <c r="AO50" s="270"/>
      <c r="AP50" s="359">
        <v>4900.0</v>
      </c>
      <c r="AQ50" s="270"/>
      <c r="AR50" s="282"/>
      <c r="AS50" s="270"/>
      <c r="AT50" s="272"/>
      <c r="AU50" s="270"/>
      <c r="AV50" s="270"/>
      <c r="AW50" s="270"/>
      <c r="AX50" s="377">
        <v>130.0</v>
      </c>
      <c r="AY50" s="272"/>
      <c r="AZ50" s="314" t="s">
        <v>1489</v>
      </c>
      <c r="BA50" s="270" t="s">
        <v>162</v>
      </c>
      <c r="BB50" s="314" t="s">
        <v>2021</v>
      </c>
      <c r="BC50" s="334"/>
      <c r="BD50" s="334"/>
      <c r="BE50" s="334"/>
      <c r="BF50" s="334"/>
      <c r="BG50" s="335"/>
      <c r="BH50" s="335"/>
      <c r="BI50" s="335"/>
      <c r="BJ50" s="335"/>
      <c r="BK50" s="336"/>
      <c r="BL50" s="336"/>
      <c r="BM50" s="336"/>
      <c r="BN50" s="336"/>
      <c r="BO50" s="337"/>
      <c r="BP50" s="337"/>
      <c r="BQ50" s="337"/>
      <c r="BR50" s="337"/>
      <c r="BS50" s="338"/>
      <c r="BT50" s="338"/>
      <c r="BU50" s="338"/>
      <c r="BV50" s="338"/>
      <c r="BW50" s="339"/>
      <c r="BX50" s="339"/>
      <c r="BY50" s="339"/>
      <c r="BZ50" s="339"/>
      <c r="CA50" s="340"/>
      <c r="CB50" s="340"/>
      <c r="CC50" s="340"/>
      <c r="CD50" s="340"/>
      <c r="CE50" s="341"/>
      <c r="CF50" s="341"/>
      <c r="CG50" s="341"/>
      <c r="CH50" s="341"/>
      <c r="CI50" s="342"/>
      <c r="CJ50" s="342"/>
      <c r="CK50" s="342"/>
      <c r="CL50" s="342"/>
      <c r="CM50" s="378">
        <v>-7.56</v>
      </c>
      <c r="CN50" s="379"/>
      <c r="CO50" s="379"/>
      <c r="CP50" s="379"/>
      <c r="CQ50" s="343"/>
      <c r="CR50" s="343"/>
      <c r="CS50" s="343"/>
      <c r="CT50" s="343"/>
      <c r="CU50" s="344"/>
      <c r="CV50" s="344"/>
      <c r="CW50" s="344"/>
      <c r="CX50" s="344"/>
      <c r="CY50" s="345"/>
      <c r="CZ50" s="345"/>
      <c r="DA50" s="345"/>
      <c r="DB50" s="345"/>
      <c r="DC50" s="346"/>
      <c r="DD50" s="346"/>
      <c r="DE50" s="346"/>
      <c r="DF50" s="346"/>
      <c r="DG50" s="358"/>
      <c r="DH50" s="358"/>
      <c r="DI50" s="358"/>
      <c r="DJ50" s="348"/>
      <c r="DK50" s="348"/>
      <c r="DL50" s="348"/>
      <c r="DM50" s="324"/>
      <c r="DN50" s="317"/>
      <c r="DO50" s="380">
        <v>0.28</v>
      </c>
      <c r="DP50" s="282"/>
      <c r="DQ50" s="381"/>
      <c r="DR50" s="270"/>
      <c r="DS50" s="382" t="s">
        <v>1479</v>
      </c>
      <c r="DT50" s="314" t="s">
        <v>2022</v>
      </c>
      <c r="DU50" s="270"/>
      <c r="DV50" s="285"/>
      <c r="DW50" s="285"/>
      <c r="DX50" s="285"/>
      <c r="DY50" s="285"/>
      <c r="DZ50" s="285"/>
      <c r="EA50" s="285"/>
      <c r="EB50" s="285"/>
      <c r="EC50" s="285"/>
      <c r="ED50" s="285"/>
      <c r="EE50" s="285"/>
      <c r="EF50" s="285"/>
      <c r="EG50" s="285"/>
      <c r="EH50" s="285"/>
      <c r="EI50" s="285"/>
    </row>
    <row r="51">
      <c r="A51" s="383" t="s">
        <v>1490</v>
      </c>
      <c r="B51" s="384" t="s">
        <v>1491</v>
      </c>
      <c r="C51" s="385"/>
      <c r="D51" s="264"/>
      <c r="E51" s="307"/>
      <c r="F51" s="307"/>
      <c r="G51" s="386"/>
      <c r="H51" s="355"/>
      <c r="I51" s="355"/>
      <c r="J51" s="309"/>
      <c r="K51" s="309" t="s">
        <v>169</v>
      </c>
      <c r="L51" s="355"/>
      <c r="M51" s="309"/>
      <c r="N51" s="268"/>
      <c r="O51" s="355"/>
      <c r="P51" s="355"/>
      <c r="Q51" s="355"/>
      <c r="R51" s="355"/>
      <c r="S51" s="355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55">
        <v>5.7</v>
      </c>
      <c r="AE51" s="268"/>
      <c r="AF51" s="268"/>
      <c r="AG51" s="268"/>
      <c r="AH51" s="375" t="s">
        <v>1479</v>
      </c>
      <c r="AI51" s="309"/>
      <c r="AJ51" s="309"/>
      <c r="AK51" s="376" t="s">
        <v>1479</v>
      </c>
      <c r="AL51" s="380">
        <v>2007.0</v>
      </c>
      <c r="AM51" s="270"/>
      <c r="AN51" s="314" t="s">
        <v>584</v>
      </c>
      <c r="AO51" s="272"/>
      <c r="AP51" s="359">
        <v>5250.0</v>
      </c>
      <c r="AQ51" s="330"/>
      <c r="AR51" s="357">
        <v>0.47</v>
      </c>
      <c r="AS51" s="380"/>
      <c r="AT51" s="314">
        <v>8.78</v>
      </c>
      <c r="AU51" s="272"/>
      <c r="AV51" s="316"/>
      <c r="AW51" s="316"/>
      <c r="AX51" s="377">
        <v>120.0</v>
      </c>
      <c r="AY51" s="314"/>
      <c r="AZ51" s="314" t="s">
        <v>1489</v>
      </c>
      <c r="BA51" s="270" t="s">
        <v>162</v>
      </c>
      <c r="BB51" s="314" t="s">
        <v>2021</v>
      </c>
      <c r="BC51" s="351"/>
      <c r="BD51" s="351"/>
      <c r="BE51" s="334"/>
      <c r="BF51" s="334"/>
      <c r="BG51" s="335"/>
      <c r="BH51" s="335"/>
      <c r="BI51" s="335"/>
      <c r="BJ51" s="335"/>
      <c r="BK51" s="336"/>
      <c r="BL51" s="336"/>
      <c r="BM51" s="336"/>
      <c r="BN51" s="336"/>
      <c r="BO51" s="337"/>
      <c r="BP51" s="337"/>
      <c r="BQ51" s="337"/>
      <c r="BR51" s="337"/>
      <c r="BS51" s="338"/>
      <c r="BT51" s="338"/>
      <c r="BU51" s="338"/>
      <c r="BV51" s="338"/>
      <c r="BW51" s="339"/>
      <c r="BX51" s="339"/>
      <c r="BY51" s="339"/>
      <c r="BZ51" s="339"/>
      <c r="CA51" s="340"/>
      <c r="CB51" s="340"/>
      <c r="CC51" s="340"/>
      <c r="CD51" s="340"/>
      <c r="CE51" s="341"/>
      <c r="CF51" s="341"/>
      <c r="CG51" s="341"/>
      <c r="CH51" s="341"/>
      <c r="CI51" s="342"/>
      <c r="CJ51" s="342"/>
      <c r="CK51" s="342"/>
      <c r="CL51" s="342"/>
      <c r="CM51" s="378">
        <v>-4.02</v>
      </c>
      <c r="CN51" s="379"/>
      <c r="CO51" s="379"/>
      <c r="CP51" s="379"/>
      <c r="CQ51" s="343"/>
      <c r="CR51" s="343"/>
      <c r="CS51" s="343"/>
      <c r="CT51" s="343"/>
      <c r="CU51" s="344"/>
      <c r="CV51" s="344"/>
      <c r="CW51" s="344"/>
      <c r="CX51" s="344"/>
      <c r="CY51" s="345"/>
      <c r="CZ51" s="345"/>
      <c r="DA51" s="345"/>
      <c r="DB51" s="345"/>
      <c r="DC51" s="346"/>
      <c r="DD51" s="346"/>
      <c r="DE51" s="346"/>
      <c r="DF51" s="346"/>
      <c r="DG51" s="358"/>
      <c r="DH51" s="358"/>
      <c r="DI51" s="358"/>
      <c r="DJ51" s="348"/>
      <c r="DK51" s="348"/>
      <c r="DL51" s="348"/>
      <c r="DM51" s="324"/>
      <c r="DN51" s="317"/>
      <c r="DO51" s="380">
        <v>-0.8</v>
      </c>
      <c r="DP51" s="360"/>
      <c r="DQ51" s="387"/>
      <c r="DR51" s="381"/>
      <c r="DS51" s="314" t="s">
        <v>1479</v>
      </c>
      <c r="DT51" s="314" t="s">
        <v>2022</v>
      </c>
      <c r="DU51" s="388" t="s">
        <v>2026</v>
      </c>
      <c r="DV51" s="285"/>
      <c r="DW51" s="285"/>
      <c r="DX51" s="285"/>
      <c r="DY51" s="285"/>
      <c r="DZ51" s="285"/>
      <c r="EA51" s="285"/>
      <c r="EB51" s="285"/>
      <c r="EC51" s="285"/>
      <c r="ED51" s="285"/>
      <c r="EE51" s="285"/>
      <c r="EF51" s="285"/>
      <c r="EG51" s="285"/>
      <c r="EH51" s="285"/>
      <c r="EI51" s="285"/>
    </row>
    <row r="52">
      <c r="A52" s="383"/>
      <c r="B52" s="374" t="s">
        <v>2027</v>
      </c>
      <c r="C52" s="385"/>
      <c r="D52" s="264"/>
      <c r="E52" s="307"/>
      <c r="F52" s="307"/>
      <c r="G52" s="386"/>
      <c r="H52" s="355"/>
      <c r="I52" s="355"/>
      <c r="J52" s="309"/>
      <c r="K52" s="309" t="s">
        <v>257</v>
      </c>
      <c r="L52" s="355"/>
      <c r="M52" s="309"/>
      <c r="N52" s="268"/>
      <c r="O52" s="355"/>
      <c r="P52" s="355"/>
      <c r="Q52" s="355"/>
      <c r="R52" s="355"/>
      <c r="S52" s="355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55">
        <v>4.0</v>
      </c>
      <c r="AE52" s="268"/>
      <c r="AF52" s="268"/>
      <c r="AG52" s="268"/>
      <c r="AH52" s="375" t="s">
        <v>1479</v>
      </c>
      <c r="AI52" s="309"/>
      <c r="AJ52" s="309"/>
      <c r="AK52" s="376" t="s">
        <v>1479</v>
      </c>
      <c r="AL52" s="380">
        <v>2007.0</v>
      </c>
      <c r="AM52" s="270"/>
      <c r="AN52" s="314" t="s">
        <v>371</v>
      </c>
      <c r="AO52" s="272"/>
      <c r="AP52" s="359">
        <v>3270.0</v>
      </c>
      <c r="AQ52" s="330"/>
      <c r="AR52" s="357"/>
      <c r="AS52" s="380"/>
      <c r="AT52" s="272"/>
      <c r="AU52" s="272"/>
      <c r="AV52" s="316"/>
      <c r="AW52" s="316"/>
      <c r="AX52" s="377">
        <v>415.0</v>
      </c>
      <c r="AY52" s="314"/>
      <c r="AZ52" s="314" t="s">
        <v>1489</v>
      </c>
      <c r="BA52" s="270" t="s">
        <v>162</v>
      </c>
      <c r="BB52" s="314" t="s">
        <v>2021</v>
      </c>
      <c r="BC52" s="351"/>
      <c r="BD52" s="351"/>
      <c r="BE52" s="334"/>
      <c r="BF52" s="334"/>
      <c r="BG52" s="335"/>
      <c r="BH52" s="335"/>
      <c r="BI52" s="335"/>
      <c r="BJ52" s="335"/>
      <c r="BK52" s="336"/>
      <c r="BL52" s="336"/>
      <c r="BM52" s="336"/>
      <c r="BN52" s="336"/>
      <c r="BO52" s="337"/>
      <c r="BP52" s="337"/>
      <c r="BQ52" s="337"/>
      <c r="BR52" s="337"/>
      <c r="BS52" s="338"/>
      <c r="BT52" s="338"/>
      <c r="BU52" s="338"/>
      <c r="BV52" s="338"/>
      <c r="BW52" s="339"/>
      <c r="BX52" s="339"/>
      <c r="BY52" s="339"/>
      <c r="BZ52" s="339"/>
      <c r="CA52" s="340"/>
      <c r="CB52" s="340"/>
      <c r="CC52" s="340"/>
      <c r="CD52" s="340"/>
      <c r="CE52" s="341"/>
      <c r="CF52" s="341"/>
      <c r="CG52" s="341"/>
      <c r="CH52" s="341"/>
      <c r="CI52" s="342"/>
      <c r="CJ52" s="342"/>
      <c r="CK52" s="342"/>
      <c r="CL52" s="342"/>
      <c r="CM52" s="378">
        <v>-7.71</v>
      </c>
      <c r="CN52" s="379"/>
      <c r="CO52" s="379"/>
      <c r="CP52" s="379"/>
      <c r="CQ52" s="343"/>
      <c r="CR52" s="343"/>
      <c r="CS52" s="343"/>
      <c r="CT52" s="343"/>
      <c r="CU52" s="344"/>
      <c r="CV52" s="344"/>
      <c r="CW52" s="344"/>
      <c r="CX52" s="344"/>
      <c r="CY52" s="345"/>
      <c r="CZ52" s="345"/>
      <c r="DA52" s="345"/>
      <c r="DB52" s="345"/>
      <c r="DC52" s="346"/>
      <c r="DD52" s="346"/>
      <c r="DE52" s="346"/>
      <c r="DF52" s="346"/>
      <c r="DG52" s="358"/>
      <c r="DH52" s="358"/>
      <c r="DI52" s="358"/>
      <c r="DJ52" s="348"/>
      <c r="DK52" s="348"/>
      <c r="DL52" s="348"/>
      <c r="DM52" s="324"/>
      <c r="DN52" s="317"/>
      <c r="DO52" s="380">
        <v>0.37</v>
      </c>
      <c r="DP52" s="360"/>
      <c r="DQ52" s="387"/>
      <c r="DR52" s="381"/>
      <c r="DS52" s="314" t="s">
        <v>1479</v>
      </c>
      <c r="DT52" s="314" t="s">
        <v>2022</v>
      </c>
      <c r="DU52" s="389"/>
      <c r="DV52" s="285"/>
      <c r="DW52" s="285"/>
      <c r="DX52" s="285"/>
      <c r="DY52" s="285"/>
      <c r="DZ52" s="285"/>
      <c r="EA52" s="285"/>
      <c r="EB52" s="285"/>
      <c r="EC52" s="285"/>
      <c r="ED52" s="285"/>
      <c r="EE52" s="285"/>
      <c r="EF52" s="285"/>
      <c r="EG52" s="285"/>
      <c r="EH52" s="285"/>
      <c r="EI52" s="285"/>
    </row>
    <row r="53">
      <c r="A53" s="383"/>
      <c r="B53" s="374" t="s">
        <v>2028</v>
      </c>
      <c r="C53" s="385"/>
      <c r="D53" s="264"/>
      <c r="E53" s="307"/>
      <c r="F53" s="307"/>
      <c r="G53" s="386"/>
      <c r="H53" s="355"/>
      <c r="I53" s="355"/>
      <c r="J53" s="309"/>
      <c r="K53" s="309" t="s">
        <v>257</v>
      </c>
      <c r="L53" s="355"/>
      <c r="M53" s="309"/>
      <c r="N53" s="268"/>
      <c r="O53" s="355"/>
      <c r="P53" s="355"/>
      <c r="Q53" s="355"/>
      <c r="R53" s="355"/>
      <c r="S53" s="355"/>
      <c r="T53" s="309"/>
      <c r="U53" s="309"/>
      <c r="V53" s="309"/>
      <c r="W53" s="309"/>
      <c r="X53" s="309"/>
      <c r="Y53" s="309"/>
      <c r="Z53" s="309"/>
      <c r="AA53" s="309"/>
      <c r="AB53" s="309"/>
      <c r="AC53" s="309"/>
      <c r="AD53" s="355">
        <v>30.0</v>
      </c>
      <c r="AE53" s="268"/>
      <c r="AF53" s="268"/>
      <c r="AG53" s="268"/>
      <c r="AH53" s="375" t="s">
        <v>1479</v>
      </c>
      <c r="AI53" s="309"/>
      <c r="AJ53" s="309"/>
      <c r="AK53" s="376" t="s">
        <v>1479</v>
      </c>
      <c r="AL53" s="380">
        <v>2007.0</v>
      </c>
      <c r="AM53" s="270"/>
      <c r="AN53" s="314" t="s">
        <v>1469</v>
      </c>
      <c r="AO53" s="272"/>
      <c r="AP53" s="359">
        <v>5900.0</v>
      </c>
      <c r="AQ53" s="330"/>
      <c r="AR53" s="357"/>
      <c r="AS53" s="380"/>
      <c r="AT53" s="272"/>
      <c r="AU53" s="272"/>
      <c r="AV53" s="316"/>
      <c r="AW53" s="316"/>
      <c r="AX53" s="377">
        <v>415.0</v>
      </c>
      <c r="AY53" s="314"/>
      <c r="AZ53" s="314" t="s">
        <v>1489</v>
      </c>
      <c r="BA53" s="270" t="s">
        <v>162</v>
      </c>
      <c r="BB53" s="314" t="s">
        <v>2021</v>
      </c>
      <c r="BC53" s="351"/>
      <c r="BD53" s="351"/>
      <c r="BE53" s="334"/>
      <c r="BF53" s="334"/>
      <c r="BG53" s="335"/>
      <c r="BH53" s="335"/>
      <c r="BI53" s="335"/>
      <c r="BJ53" s="335"/>
      <c r="BK53" s="336"/>
      <c r="BL53" s="336"/>
      <c r="BM53" s="336"/>
      <c r="BN53" s="336"/>
      <c r="BO53" s="337"/>
      <c r="BP53" s="337"/>
      <c r="BQ53" s="337"/>
      <c r="BR53" s="337"/>
      <c r="BS53" s="338"/>
      <c r="BT53" s="338"/>
      <c r="BU53" s="338"/>
      <c r="BV53" s="338"/>
      <c r="BW53" s="339"/>
      <c r="BX53" s="339"/>
      <c r="BY53" s="339"/>
      <c r="BZ53" s="339"/>
      <c r="CA53" s="340"/>
      <c r="CB53" s="340"/>
      <c r="CC53" s="340"/>
      <c r="CD53" s="340"/>
      <c r="CE53" s="341"/>
      <c r="CF53" s="341"/>
      <c r="CG53" s="341"/>
      <c r="CH53" s="341"/>
      <c r="CI53" s="342"/>
      <c r="CJ53" s="342"/>
      <c r="CK53" s="342"/>
      <c r="CL53" s="342"/>
      <c r="CM53" s="378">
        <v>-2.21</v>
      </c>
      <c r="CN53" s="379"/>
      <c r="CO53" s="379"/>
      <c r="CP53" s="379"/>
      <c r="CQ53" s="343"/>
      <c r="CR53" s="343"/>
      <c r="CS53" s="343"/>
      <c r="CT53" s="343"/>
      <c r="CU53" s="344"/>
      <c r="CV53" s="344"/>
      <c r="CW53" s="344"/>
      <c r="CX53" s="344"/>
      <c r="CY53" s="345"/>
      <c r="CZ53" s="345"/>
      <c r="DA53" s="345"/>
      <c r="DB53" s="345"/>
      <c r="DC53" s="346"/>
      <c r="DD53" s="346"/>
      <c r="DE53" s="346"/>
      <c r="DF53" s="346"/>
      <c r="DG53" s="358"/>
      <c r="DH53" s="358"/>
      <c r="DI53" s="358"/>
      <c r="DJ53" s="348"/>
      <c r="DK53" s="348"/>
      <c r="DL53" s="348"/>
      <c r="DM53" s="324"/>
      <c r="DN53" s="317"/>
      <c r="DO53" s="380">
        <v>0.69</v>
      </c>
      <c r="DP53" s="360"/>
      <c r="DQ53" s="387"/>
      <c r="DR53" s="381"/>
      <c r="DS53" s="314" t="s">
        <v>1479</v>
      </c>
      <c r="DT53" s="314" t="s">
        <v>2022</v>
      </c>
      <c r="DU53" s="389"/>
      <c r="DV53" s="285"/>
      <c r="DW53" s="285"/>
      <c r="DX53" s="285"/>
      <c r="DY53" s="285"/>
      <c r="DZ53" s="285"/>
      <c r="EA53" s="285"/>
      <c r="EB53" s="285"/>
      <c r="EC53" s="285"/>
      <c r="ED53" s="285"/>
      <c r="EE53" s="285"/>
      <c r="EF53" s="285"/>
      <c r="EG53" s="285"/>
      <c r="EH53" s="285"/>
      <c r="EI53" s="285"/>
    </row>
    <row r="54">
      <c r="A54" s="383" t="s">
        <v>2029</v>
      </c>
      <c r="B54" s="374" t="s">
        <v>2030</v>
      </c>
      <c r="C54" s="385"/>
      <c r="D54" s="264"/>
      <c r="E54" s="307"/>
      <c r="F54" s="307"/>
      <c r="G54" s="386"/>
      <c r="H54" s="355"/>
      <c r="I54" s="355"/>
      <c r="J54" s="309"/>
      <c r="K54" s="309" t="s">
        <v>257</v>
      </c>
      <c r="L54" s="355"/>
      <c r="M54" s="309"/>
      <c r="N54" s="268"/>
      <c r="O54" s="355"/>
      <c r="P54" s="355"/>
      <c r="Q54" s="355"/>
      <c r="R54" s="355"/>
      <c r="S54" s="355"/>
      <c r="T54" s="309"/>
      <c r="U54" s="309"/>
      <c r="V54" s="309"/>
      <c r="W54" s="309"/>
      <c r="X54" s="309"/>
      <c r="Y54" s="309"/>
      <c r="Z54" s="309"/>
      <c r="AA54" s="309"/>
      <c r="AB54" s="309"/>
      <c r="AC54" s="309"/>
      <c r="AD54" s="355">
        <v>9.8</v>
      </c>
      <c r="AE54" s="268"/>
      <c r="AF54" s="268"/>
      <c r="AG54" s="268"/>
      <c r="AH54" s="375" t="s">
        <v>1479</v>
      </c>
      <c r="AI54" s="309"/>
      <c r="AJ54" s="309"/>
      <c r="AK54" s="376" t="s">
        <v>1479</v>
      </c>
      <c r="AL54" s="380">
        <v>2008.0</v>
      </c>
      <c r="AM54" s="270"/>
      <c r="AN54" s="272"/>
      <c r="AO54" s="272"/>
      <c r="AP54" s="315"/>
      <c r="AQ54" s="330"/>
      <c r="AR54" s="357"/>
      <c r="AS54" s="380"/>
      <c r="AT54" s="272"/>
      <c r="AU54" s="272"/>
      <c r="AV54" s="316"/>
      <c r="AW54" s="316"/>
      <c r="AX54" s="377">
        <v>120.0</v>
      </c>
      <c r="AY54" s="314"/>
      <c r="AZ54" s="314" t="s">
        <v>1489</v>
      </c>
      <c r="BA54" s="270" t="s">
        <v>162</v>
      </c>
      <c r="BB54" s="314" t="s">
        <v>2021</v>
      </c>
      <c r="BC54" s="351"/>
      <c r="BD54" s="351"/>
      <c r="BE54" s="334"/>
      <c r="BF54" s="334"/>
      <c r="BG54" s="335"/>
      <c r="BH54" s="335"/>
      <c r="BI54" s="335"/>
      <c r="BJ54" s="335"/>
      <c r="BK54" s="336"/>
      <c r="BL54" s="336"/>
      <c r="BM54" s="336"/>
      <c r="BN54" s="336"/>
      <c r="BO54" s="337"/>
      <c r="BP54" s="337"/>
      <c r="BQ54" s="337"/>
      <c r="BR54" s="337"/>
      <c r="BS54" s="338"/>
      <c r="BT54" s="338"/>
      <c r="BU54" s="338"/>
      <c r="BV54" s="338"/>
      <c r="BW54" s="339"/>
      <c r="BX54" s="339"/>
      <c r="BY54" s="339"/>
      <c r="BZ54" s="339"/>
      <c r="CA54" s="340"/>
      <c r="CB54" s="340"/>
      <c r="CC54" s="340"/>
      <c r="CD54" s="340"/>
      <c r="CE54" s="341"/>
      <c r="CF54" s="341"/>
      <c r="CG54" s="341"/>
      <c r="CH54" s="341"/>
      <c r="CI54" s="342"/>
      <c r="CJ54" s="342"/>
      <c r="CK54" s="342"/>
      <c r="CL54" s="342"/>
      <c r="CM54" s="378">
        <v>-3.1</v>
      </c>
      <c r="CN54" s="379"/>
      <c r="CO54" s="379"/>
      <c r="CP54" s="379"/>
      <c r="CQ54" s="343"/>
      <c r="CR54" s="343"/>
      <c r="CS54" s="343"/>
      <c r="CT54" s="343"/>
      <c r="CU54" s="344"/>
      <c r="CV54" s="344"/>
      <c r="CW54" s="344"/>
      <c r="CX54" s="344"/>
      <c r="CY54" s="345"/>
      <c r="CZ54" s="345"/>
      <c r="DA54" s="345"/>
      <c r="DB54" s="345"/>
      <c r="DC54" s="346"/>
      <c r="DD54" s="346"/>
      <c r="DE54" s="346"/>
      <c r="DF54" s="346"/>
      <c r="DG54" s="358"/>
      <c r="DH54" s="358"/>
      <c r="DI54" s="358"/>
      <c r="DJ54" s="348"/>
      <c r="DK54" s="348"/>
      <c r="DL54" s="348"/>
      <c r="DM54" s="324"/>
      <c r="DN54" s="317"/>
      <c r="DO54" s="380">
        <v>0.31</v>
      </c>
      <c r="DP54" s="360"/>
      <c r="DQ54" s="387"/>
      <c r="DR54" s="381"/>
      <c r="DS54" s="314" t="s">
        <v>1479</v>
      </c>
      <c r="DT54" s="314" t="s">
        <v>2022</v>
      </c>
      <c r="DU54" s="389"/>
      <c r="DV54" s="285"/>
      <c r="DW54" s="285"/>
      <c r="DX54" s="285"/>
      <c r="DY54" s="285"/>
      <c r="DZ54" s="285"/>
      <c r="EA54" s="285"/>
      <c r="EB54" s="285"/>
      <c r="EC54" s="285"/>
      <c r="ED54" s="285"/>
      <c r="EE54" s="285"/>
      <c r="EF54" s="285"/>
      <c r="EG54" s="285"/>
      <c r="EH54" s="285"/>
      <c r="EI54" s="285"/>
    </row>
    <row r="55">
      <c r="A55" s="383" t="s">
        <v>2031</v>
      </c>
      <c r="B55" s="374" t="s">
        <v>573</v>
      </c>
      <c r="C55" s="385"/>
      <c r="D55" s="264"/>
      <c r="E55" s="307"/>
      <c r="F55" s="307"/>
      <c r="G55" s="386"/>
      <c r="H55" s="355">
        <v>240.7728808</v>
      </c>
      <c r="I55" s="355">
        <v>-40.30706278</v>
      </c>
      <c r="J55" s="309"/>
      <c r="K55" s="309" t="s">
        <v>169</v>
      </c>
      <c r="L55" s="355"/>
      <c r="M55" s="309"/>
      <c r="N55" s="268"/>
      <c r="O55" s="355"/>
      <c r="P55" s="355"/>
      <c r="Q55" s="355"/>
      <c r="R55" s="355"/>
      <c r="S55" s="355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  <c r="AD55" s="355">
        <v>0.0</v>
      </c>
      <c r="AE55" s="268"/>
      <c r="AF55" s="268"/>
      <c r="AG55" s="268"/>
      <c r="AH55" s="375" t="s">
        <v>1479</v>
      </c>
      <c r="AI55" s="309"/>
      <c r="AJ55" s="309"/>
      <c r="AK55" s="376" t="s">
        <v>1479</v>
      </c>
      <c r="AL55" s="380">
        <v>2008.0</v>
      </c>
      <c r="AM55" s="270"/>
      <c r="AN55" s="314" t="s">
        <v>427</v>
      </c>
      <c r="AO55" s="272"/>
      <c r="AP55" s="359">
        <v>3802.0</v>
      </c>
      <c r="AQ55" s="330"/>
      <c r="AR55" s="357"/>
      <c r="AS55" s="380"/>
      <c r="AT55" s="314">
        <v>0.39</v>
      </c>
      <c r="AU55" s="272"/>
      <c r="AV55" s="316"/>
      <c r="AW55" s="316"/>
      <c r="AX55" s="377">
        <v>140.0</v>
      </c>
      <c r="AY55" s="314"/>
      <c r="AZ55" s="314" t="s">
        <v>1489</v>
      </c>
      <c r="BA55" s="270" t="s">
        <v>162</v>
      </c>
      <c r="BB55" s="314" t="s">
        <v>2021</v>
      </c>
      <c r="BC55" s="351"/>
      <c r="BD55" s="351"/>
      <c r="BE55" s="334"/>
      <c r="BF55" s="334"/>
      <c r="BG55" s="335"/>
      <c r="BH55" s="335"/>
      <c r="BI55" s="335"/>
      <c r="BJ55" s="335"/>
      <c r="BK55" s="336"/>
      <c r="BL55" s="336"/>
      <c r="BM55" s="336"/>
      <c r="BN55" s="336"/>
      <c r="BO55" s="337"/>
      <c r="BP55" s="337"/>
      <c r="BQ55" s="337"/>
      <c r="BR55" s="337"/>
      <c r="BS55" s="338"/>
      <c r="BT55" s="338"/>
      <c r="BU55" s="338"/>
      <c r="BV55" s="338"/>
      <c r="BW55" s="339"/>
      <c r="BX55" s="339"/>
      <c r="BY55" s="339"/>
      <c r="BZ55" s="339"/>
      <c r="CA55" s="340"/>
      <c r="CB55" s="340"/>
      <c r="CC55" s="340"/>
      <c r="CD55" s="340"/>
      <c r="CE55" s="341"/>
      <c r="CF55" s="341"/>
      <c r="CG55" s="341"/>
      <c r="CH55" s="341"/>
      <c r="CI55" s="342"/>
      <c r="CJ55" s="342"/>
      <c r="CK55" s="342"/>
      <c r="CL55" s="342"/>
      <c r="CM55" s="378">
        <v>-3.7</v>
      </c>
      <c r="CN55" s="379"/>
      <c r="CO55" s="379"/>
      <c r="CP55" s="379"/>
      <c r="CQ55" s="343"/>
      <c r="CR55" s="343"/>
      <c r="CS55" s="343"/>
      <c r="CT55" s="343"/>
      <c r="CU55" s="344"/>
      <c r="CV55" s="344"/>
      <c r="CW55" s="344"/>
      <c r="CX55" s="344"/>
      <c r="CY55" s="345"/>
      <c r="CZ55" s="345"/>
      <c r="DA55" s="345"/>
      <c r="DB55" s="345"/>
      <c r="DC55" s="346"/>
      <c r="DD55" s="346"/>
      <c r="DE55" s="346"/>
      <c r="DF55" s="346"/>
      <c r="DG55" s="358"/>
      <c r="DH55" s="358"/>
      <c r="DI55" s="358"/>
      <c r="DJ55" s="348"/>
      <c r="DK55" s="348"/>
      <c r="DL55" s="348"/>
      <c r="DM55" s="324"/>
      <c r="DN55" s="317"/>
      <c r="DO55" s="380">
        <v>-0.17</v>
      </c>
      <c r="DP55" s="360"/>
      <c r="DQ55" s="387"/>
      <c r="DR55" s="381"/>
      <c r="DS55" s="314" t="s">
        <v>1479</v>
      </c>
      <c r="DT55" s="314" t="s">
        <v>2022</v>
      </c>
      <c r="DU55" s="389"/>
      <c r="DV55" s="285"/>
      <c r="DW55" s="285"/>
      <c r="DX55" s="285"/>
      <c r="DY55" s="285"/>
      <c r="DZ55" s="285"/>
      <c r="EA55" s="285"/>
      <c r="EB55" s="285"/>
      <c r="EC55" s="285"/>
      <c r="ED55" s="285"/>
      <c r="EE55" s="285"/>
      <c r="EF55" s="285"/>
      <c r="EG55" s="285"/>
      <c r="EH55" s="285"/>
      <c r="EI55" s="285"/>
    </row>
    <row r="56">
      <c r="A56" s="383" t="s">
        <v>2032</v>
      </c>
      <c r="B56" s="374" t="s">
        <v>2033</v>
      </c>
      <c r="C56" s="385"/>
      <c r="D56" s="264"/>
      <c r="E56" s="307"/>
      <c r="F56" s="307"/>
      <c r="G56" s="386"/>
      <c r="H56" s="355">
        <v>97.07259125</v>
      </c>
      <c r="I56" s="355">
        <v>-13.05309167</v>
      </c>
      <c r="J56" s="309"/>
      <c r="K56" s="309" t="s">
        <v>169</v>
      </c>
      <c r="L56" s="355"/>
      <c r="M56" s="309"/>
      <c r="N56" s="268"/>
      <c r="O56" s="355"/>
      <c r="P56" s="355"/>
      <c r="Q56" s="355"/>
      <c r="R56" s="355"/>
      <c r="S56" s="355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  <c r="AD56" s="355">
        <v>1.0</v>
      </c>
      <c r="AE56" s="268"/>
      <c r="AF56" s="268"/>
      <c r="AG56" s="268"/>
      <c r="AH56" s="375" t="s">
        <v>1479</v>
      </c>
      <c r="AI56" s="309"/>
      <c r="AJ56" s="309"/>
      <c r="AK56" s="376" t="s">
        <v>1479</v>
      </c>
      <c r="AL56" s="380">
        <v>2002.0</v>
      </c>
      <c r="AM56" s="270"/>
      <c r="AN56" s="272"/>
      <c r="AO56" s="272"/>
      <c r="AP56" s="359">
        <v>21878.0</v>
      </c>
      <c r="AQ56" s="330"/>
      <c r="AR56" s="357"/>
      <c r="AS56" s="380"/>
      <c r="AT56" s="314">
        <v>3162.0</v>
      </c>
      <c r="AU56" s="272"/>
      <c r="AV56" s="316"/>
      <c r="AW56" s="316"/>
      <c r="AX56" s="377">
        <v>500.0</v>
      </c>
      <c r="AY56" s="314"/>
      <c r="AZ56" s="314" t="s">
        <v>1484</v>
      </c>
      <c r="BA56" s="270" t="s">
        <v>162</v>
      </c>
      <c r="BB56" s="314" t="s">
        <v>2021</v>
      </c>
      <c r="BC56" s="351"/>
      <c r="BD56" s="351"/>
      <c r="BE56" s="334"/>
      <c r="BF56" s="334"/>
      <c r="BG56" s="335"/>
      <c r="BH56" s="335"/>
      <c r="BI56" s="335"/>
      <c r="BJ56" s="335"/>
      <c r="BK56" s="336"/>
      <c r="BL56" s="336"/>
      <c r="BM56" s="336"/>
      <c r="BN56" s="336"/>
      <c r="BO56" s="337"/>
      <c r="BP56" s="337"/>
      <c r="BQ56" s="337"/>
      <c r="BR56" s="337"/>
      <c r="BS56" s="338"/>
      <c r="BT56" s="338"/>
      <c r="BU56" s="338"/>
      <c r="BV56" s="338"/>
      <c r="BW56" s="339"/>
      <c r="BX56" s="339"/>
      <c r="BY56" s="339"/>
      <c r="BZ56" s="339"/>
      <c r="CA56" s="340"/>
      <c r="CB56" s="340"/>
      <c r="CC56" s="340"/>
      <c r="CD56" s="340"/>
      <c r="CE56" s="341"/>
      <c r="CF56" s="341"/>
      <c r="CG56" s="341"/>
      <c r="CH56" s="341"/>
      <c r="CI56" s="342"/>
      <c r="CJ56" s="342"/>
      <c r="CK56" s="342"/>
      <c r="CL56" s="342"/>
      <c r="CM56" s="378">
        <v>-5.59</v>
      </c>
      <c r="CN56" s="379"/>
      <c r="CO56" s="379"/>
      <c r="CP56" s="379"/>
      <c r="CQ56" s="343"/>
      <c r="CR56" s="343"/>
      <c r="CS56" s="343"/>
      <c r="CT56" s="343"/>
      <c r="CU56" s="344"/>
      <c r="CV56" s="344"/>
      <c r="CW56" s="344"/>
      <c r="CX56" s="344"/>
      <c r="CY56" s="345"/>
      <c r="CZ56" s="345"/>
      <c r="DA56" s="345"/>
      <c r="DB56" s="345"/>
      <c r="DC56" s="346"/>
      <c r="DD56" s="346"/>
      <c r="DE56" s="346"/>
      <c r="DF56" s="346"/>
      <c r="DG56" s="358"/>
      <c r="DH56" s="358"/>
      <c r="DI56" s="358"/>
      <c r="DJ56" s="348"/>
      <c r="DK56" s="348"/>
      <c r="DL56" s="348"/>
      <c r="DM56" s="324"/>
      <c r="DN56" s="317"/>
      <c r="DO56" s="380">
        <v>1.79</v>
      </c>
      <c r="DP56" s="360"/>
      <c r="DQ56" s="387"/>
      <c r="DR56" s="381"/>
      <c r="DS56" s="314" t="s">
        <v>1479</v>
      </c>
      <c r="DT56" s="314" t="s">
        <v>2022</v>
      </c>
      <c r="DU56" s="389"/>
      <c r="DV56" s="285"/>
      <c r="DW56" s="285"/>
      <c r="DX56" s="285"/>
      <c r="DY56" s="285"/>
      <c r="DZ56" s="285"/>
      <c r="EA56" s="285"/>
      <c r="EB56" s="285"/>
      <c r="EC56" s="285"/>
      <c r="ED56" s="285"/>
      <c r="EE56" s="285"/>
      <c r="EF56" s="285"/>
      <c r="EG56" s="285"/>
      <c r="EH56" s="285"/>
      <c r="EI56" s="285"/>
    </row>
    <row r="57">
      <c r="A57" s="383" t="s">
        <v>2034</v>
      </c>
      <c r="B57" s="374" t="s">
        <v>2035</v>
      </c>
      <c r="C57" s="385"/>
      <c r="D57" s="264"/>
      <c r="E57" s="307"/>
      <c r="F57" s="307"/>
      <c r="G57" s="386"/>
      <c r="H57" s="355">
        <v>65.91328917</v>
      </c>
      <c r="I57" s="355">
        <v>24.93729111</v>
      </c>
      <c r="J57" s="309"/>
      <c r="K57" s="309" t="s">
        <v>169</v>
      </c>
      <c r="L57" s="355"/>
      <c r="M57" s="309"/>
      <c r="N57" s="268"/>
      <c r="O57" s="355"/>
      <c r="P57" s="355"/>
      <c r="Q57" s="355"/>
      <c r="R57" s="355"/>
      <c r="S57" s="355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  <c r="AD57" s="355">
        <v>0.0</v>
      </c>
      <c r="AE57" s="268"/>
      <c r="AF57" s="268"/>
      <c r="AG57" s="268"/>
      <c r="AH57" s="375" t="s">
        <v>1479</v>
      </c>
      <c r="AI57" s="309"/>
      <c r="AJ57" s="309"/>
      <c r="AK57" s="376" t="s">
        <v>1479</v>
      </c>
      <c r="AL57" s="380">
        <v>2008.0</v>
      </c>
      <c r="AM57" s="270"/>
      <c r="AN57" s="314" t="s">
        <v>2036</v>
      </c>
      <c r="AO57" s="272"/>
      <c r="AP57" s="359">
        <v>3890.0</v>
      </c>
      <c r="AQ57" s="330"/>
      <c r="AR57" s="357"/>
      <c r="AS57" s="380"/>
      <c r="AT57" s="272"/>
      <c r="AU57" s="272"/>
      <c r="AV57" s="316"/>
      <c r="AW57" s="316"/>
      <c r="AX57" s="377">
        <v>140.0</v>
      </c>
      <c r="AY57" s="314"/>
      <c r="AZ57" s="314" t="s">
        <v>1484</v>
      </c>
      <c r="BA57" s="270" t="s">
        <v>162</v>
      </c>
      <c r="BB57" s="314" t="s">
        <v>2021</v>
      </c>
      <c r="BC57" s="351"/>
      <c r="BD57" s="351"/>
      <c r="BE57" s="334"/>
      <c r="BF57" s="334"/>
      <c r="BG57" s="335"/>
      <c r="BH57" s="335"/>
      <c r="BI57" s="335"/>
      <c r="BJ57" s="335"/>
      <c r="BK57" s="336"/>
      <c r="BL57" s="336"/>
      <c r="BM57" s="336"/>
      <c r="BN57" s="336"/>
      <c r="BO57" s="337"/>
      <c r="BP57" s="337"/>
      <c r="BQ57" s="337"/>
      <c r="BR57" s="337"/>
      <c r="BS57" s="338"/>
      <c r="BT57" s="338"/>
      <c r="BU57" s="338"/>
      <c r="BV57" s="338"/>
      <c r="BW57" s="339"/>
      <c r="BX57" s="339"/>
      <c r="BY57" s="339"/>
      <c r="BZ57" s="339"/>
      <c r="CA57" s="340"/>
      <c r="CB57" s="340"/>
      <c r="CC57" s="340"/>
      <c r="CD57" s="340"/>
      <c r="CE57" s="341"/>
      <c r="CF57" s="341"/>
      <c r="CG57" s="341"/>
      <c r="CH57" s="341"/>
      <c r="CI57" s="342"/>
      <c r="CJ57" s="342"/>
      <c r="CK57" s="342"/>
      <c r="CL57" s="342"/>
      <c r="CM57" s="378">
        <v>-6.91</v>
      </c>
      <c r="CN57" s="379"/>
      <c r="CO57" s="379"/>
      <c r="CP57" s="379"/>
      <c r="CQ57" s="343"/>
      <c r="CR57" s="343"/>
      <c r="CS57" s="343"/>
      <c r="CT57" s="343"/>
      <c r="CU57" s="344"/>
      <c r="CV57" s="344"/>
      <c r="CW57" s="344"/>
      <c r="CX57" s="344"/>
      <c r="CY57" s="345"/>
      <c r="CZ57" s="345"/>
      <c r="DA57" s="345"/>
      <c r="DB57" s="345"/>
      <c r="DC57" s="346"/>
      <c r="DD57" s="346"/>
      <c r="DE57" s="346"/>
      <c r="DF57" s="346"/>
      <c r="DG57" s="358"/>
      <c r="DH57" s="358"/>
      <c r="DI57" s="358"/>
      <c r="DJ57" s="348"/>
      <c r="DK57" s="348"/>
      <c r="DL57" s="348"/>
      <c r="DM57" s="324"/>
      <c r="DN57" s="317"/>
      <c r="DO57" s="380">
        <v>-1.11</v>
      </c>
      <c r="DP57" s="360"/>
      <c r="DQ57" s="387"/>
      <c r="DR57" s="381"/>
      <c r="DS57" s="314" t="s">
        <v>1479</v>
      </c>
      <c r="DT57" s="314" t="s">
        <v>2022</v>
      </c>
      <c r="DU57" s="389"/>
      <c r="DV57" s="285"/>
      <c r="DW57" s="285"/>
      <c r="DX57" s="285"/>
      <c r="DY57" s="285"/>
      <c r="DZ57" s="285"/>
      <c r="EA57" s="285"/>
      <c r="EB57" s="285"/>
      <c r="EC57" s="285"/>
      <c r="ED57" s="285"/>
      <c r="EE57" s="285"/>
      <c r="EF57" s="285"/>
      <c r="EG57" s="285"/>
      <c r="EH57" s="285"/>
      <c r="EI57" s="285"/>
    </row>
    <row r="58">
      <c r="A58" s="383" t="s">
        <v>2037</v>
      </c>
      <c r="B58" s="374" t="s">
        <v>2038</v>
      </c>
      <c r="C58" s="385"/>
      <c r="D58" s="264"/>
      <c r="E58" s="307"/>
      <c r="F58" s="307"/>
      <c r="G58" s="386"/>
      <c r="H58" s="355">
        <v>67.34879375</v>
      </c>
      <c r="I58" s="355">
        <v>24.54961583</v>
      </c>
      <c r="J58" s="309"/>
      <c r="K58" s="309" t="s">
        <v>257</v>
      </c>
      <c r="L58" s="355"/>
      <c r="M58" s="309"/>
      <c r="N58" s="268"/>
      <c r="O58" s="355"/>
      <c r="P58" s="355"/>
      <c r="Q58" s="355"/>
      <c r="R58" s="355"/>
      <c r="S58" s="355"/>
      <c r="T58" s="309"/>
      <c r="U58" s="309"/>
      <c r="V58" s="309"/>
      <c r="W58" s="309"/>
      <c r="X58" s="309"/>
      <c r="Y58" s="309"/>
      <c r="Z58" s="309"/>
      <c r="AA58" s="309"/>
      <c r="AB58" s="309"/>
      <c r="AC58" s="309"/>
      <c r="AD58" s="355">
        <v>30.0</v>
      </c>
      <c r="AE58" s="268"/>
      <c r="AF58" s="268"/>
      <c r="AG58" s="268"/>
      <c r="AH58" s="375" t="s">
        <v>1479</v>
      </c>
      <c r="AI58" s="309"/>
      <c r="AJ58" s="309"/>
      <c r="AK58" s="376" t="s">
        <v>1479</v>
      </c>
      <c r="AL58" s="380">
        <v>2008.0</v>
      </c>
      <c r="AM58" s="270"/>
      <c r="AN58" s="314" t="s">
        <v>1437</v>
      </c>
      <c r="AO58" s="272"/>
      <c r="AP58" s="359">
        <v>4500.0</v>
      </c>
      <c r="AQ58" s="330"/>
      <c r="AR58" s="357"/>
      <c r="AS58" s="380"/>
      <c r="AT58" s="314">
        <v>4.9</v>
      </c>
      <c r="AU58" s="272"/>
      <c r="AV58" s="316"/>
      <c r="AW58" s="316"/>
      <c r="AX58" s="377">
        <v>140.0</v>
      </c>
      <c r="AY58" s="314"/>
      <c r="AZ58" s="314" t="s">
        <v>1484</v>
      </c>
      <c r="BA58" s="270" t="s">
        <v>162</v>
      </c>
      <c r="BB58" s="314" t="s">
        <v>2021</v>
      </c>
      <c r="BC58" s="351"/>
      <c r="BD58" s="351"/>
      <c r="BE58" s="334"/>
      <c r="BF58" s="334"/>
      <c r="BG58" s="335"/>
      <c r="BH58" s="335"/>
      <c r="BI58" s="335"/>
      <c r="BJ58" s="335"/>
      <c r="BK58" s="336"/>
      <c r="BL58" s="336"/>
      <c r="BM58" s="336"/>
      <c r="BN58" s="336"/>
      <c r="BO58" s="337"/>
      <c r="BP58" s="337"/>
      <c r="BQ58" s="337"/>
      <c r="BR58" s="337"/>
      <c r="BS58" s="338"/>
      <c r="BT58" s="338"/>
      <c r="BU58" s="338"/>
      <c r="BV58" s="338"/>
      <c r="BW58" s="339"/>
      <c r="BX58" s="339"/>
      <c r="BY58" s="339"/>
      <c r="BZ58" s="339"/>
      <c r="CA58" s="340"/>
      <c r="CB58" s="340"/>
      <c r="CC58" s="340"/>
      <c r="CD58" s="340"/>
      <c r="CE58" s="341"/>
      <c r="CF58" s="341"/>
      <c r="CG58" s="341"/>
      <c r="CH58" s="341"/>
      <c r="CI58" s="342"/>
      <c r="CJ58" s="342"/>
      <c r="CK58" s="342"/>
      <c r="CL58" s="342"/>
      <c r="CM58" s="378">
        <v>-8.32</v>
      </c>
      <c r="CN58" s="379"/>
      <c r="CO58" s="379"/>
      <c r="CP58" s="379"/>
      <c r="CQ58" s="343"/>
      <c r="CR58" s="343"/>
      <c r="CS58" s="343"/>
      <c r="CT58" s="343"/>
      <c r="CU58" s="344"/>
      <c r="CV58" s="344"/>
      <c r="CW58" s="344"/>
      <c r="CX58" s="344"/>
      <c r="CY58" s="345"/>
      <c r="CZ58" s="345"/>
      <c r="DA58" s="345"/>
      <c r="DB58" s="345"/>
      <c r="DC58" s="346"/>
      <c r="DD58" s="346"/>
      <c r="DE58" s="346"/>
      <c r="DF58" s="346"/>
      <c r="DG58" s="358"/>
      <c r="DH58" s="358"/>
      <c r="DI58" s="358"/>
      <c r="DJ58" s="348"/>
      <c r="DK58" s="348"/>
      <c r="DL58" s="348"/>
      <c r="DM58" s="324"/>
      <c r="DN58" s="317"/>
      <c r="DO58" s="380">
        <v>0.13</v>
      </c>
      <c r="DP58" s="360"/>
      <c r="DQ58" s="387"/>
      <c r="DR58" s="381"/>
      <c r="DS58" s="314" t="s">
        <v>1479</v>
      </c>
      <c r="DT58" s="314"/>
      <c r="DU58" s="389"/>
      <c r="DV58" s="285"/>
      <c r="DW58" s="285"/>
      <c r="DX58" s="285"/>
      <c r="DY58" s="285"/>
      <c r="DZ58" s="285"/>
      <c r="EA58" s="285"/>
      <c r="EB58" s="285"/>
      <c r="EC58" s="285"/>
      <c r="ED58" s="285"/>
      <c r="EE58" s="285"/>
      <c r="EF58" s="285"/>
      <c r="EG58" s="285"/>
      <c r="EH58" s="285"/>
      <c r="EI58" s="285"/>
    </row>
    <row r="59">
      <c r="A59" s="383" t="s">
        <v>2039</v>
      </c>
      <c r="B59" s="374" t="s">
        <v>2039</v>
      </c>
      <c r="C59" s="385"/>
      <c r="D59" s="264"/>
      <c r="E59" s="307"/>
      <c r="F59" s="307"/>
      <c r="G59" s="386"/>
      <c r="H59" s="355">
        <v>245.3946025</v>
      </c>
      <c r="I59" s="355">
        <v>-26.20747611</v>
      </c>
      <c r="J59" s="309"/>
      <c r="K59" s="309" t="s">
        <v>169</v>
      </c>
      <c r="L59" s="355"/>
      <c r="M59" s="309"/>
      <c r="N59" s="268"/>
      <c r="O59" s="355"/>
      <c r="P59" s="355"/>
      <c r="Q59" s="355"/>
      <c r="R59" s="355"/>
      <c r="S59" s="355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55">
        <v>1.67</v>
      </c>
      <c r="AE59" s="268"/>
      <c r="AF59" s="268"/>
      <c r="AG59" s="268"/>
      <c r="AH59" s="375" t="s">
        <v>1479</v>
      </c>
      <c r="AI59" s="309"/>
      <c r="AJ59" s="309"/>
      <c r="AK59" s="376" t="s">
        <v>1479</v>
      </c>
      <c r="AL59" s="380">
        <v>2005.0</v>
      </c>
      <c r="AM59" s="270"/>
      <c r="AN59" s="314" t="s">
        <v>2040</v>
      </c>
      <c r="AO59" s="272"/>
      <c r="AP59" s="359">
        <v>4205.0</v>
      </c>
      <c r="AQ59" s="330"/>
      <c r="AR59" s="357"/>
      <c r="AS59" s="380"/>
      <c r="AT59" s="272"/>
      <c r="AU59" s="272"/>
      <c r="AV59" s="316"/>
      <c r="AW59" s="316"/>
      <c r="AX59" s="377">
        <v>120.0</v>
      </c>
      <c r="AY59" s="314"/>
      <c r="AZ59" s="314" t="s">
        <v>1484</v>
      </c>
      <c r="BA59" s="270" t="s">
        <v>162</v>
      </c>
      <c r="BB59" s="314" t="s">
        <v>2021</v>
      </c>
      <c r="BC59" s="351"/>
      <c r="BD59" s="351"/>
      <c r="BE59" s="334"/>
      <c r="BF59" s="334"/>
      <c r="BG59" s="335"/>
      <c r="BH59" s="335"/>
      <c r="BI59" s="335"/>
      <c r="BJ59" s="335"/>
      <c r="BK59" s="336"/>
      <c r="BL59" s="336"/>
      <c r="BM59" s="336"/>
      <c r="BN59" s="336"/>
      <c r="BO59" s="337"/>
      <c r="BP59" s="337"/>
      <c r="BQ59" s="337"/>
      <c r="BR59" s="337"/>
      <c r="BS59" s="338"/>
      <c r="BT59" s="338"/>
      <c r="BU59" s="338"/>
      <c r="BV59" s="338"/>
      <c r="BW59" s="339"/>
      <c r="BX59" s="339"/>
      <c r="BY59" s="339"/>
      <c r="BZ59" s="339"/>
      <c r="CA59" s="340"/>
      <c r="CB59" s="340"/>
      <c r="CC59" s="340"/>
      <c r="CD59" s="340"/>
      <c r="CE59" s="341"/>
      <c r="CF59" s="341"/>
      <c r="CG59" s="341"/>
      <c r="CH59" s="341"/>
      <c r="CI59" s="342"/>
      <c r="CJ59" s="342"/>
      <c r="CK59" s="342"/>
      <c r="CL59" s="342"/>
      <c r="CM59" s="378">
        <v>-46.9</v>
      </c>
      <c r="CN59" s="379"/>
      <c r="CO59" s="379"/>
      <c r="CP59" s="379"/>
      <c r="CQ59" s="343"/>
      <c r="CR59" s="343"/>
      <c r="CS59" s="343"/>
      <c r="CT59" s="343"/>
      <c r="CU59" s="344"/>
      <c r="CV59" s="344"/>
      <c r="CW59" s="344"/>
      <c r="CX59" s="344"/>
      <c r="CY59" s="345"/>
      <c r="CZ59" s="345"/>
      <c r="DA59" s="345"/>
      <c r="DB59" s="345"/>
      <c r="DC59" s="346"/>
      <c r="DD59" s="346"/>
      <c r="DE59" s="346"/>
      <c r="DF59" s="346"/>
      <c r="DG59" s="358"/>
      <c r="DH59" s="358"/>
      <c r="DI59" s="358"/>
      <c r="DJ59" s="348"/>
      <c r="DK59" s="348"/>
      <c r="DL59" s="348"/>
      <c r="DM59" s="324"/>
      <c r="DN59" s="317"/>
      <c r="DO59" s="380">
        <v>-0.78</v>
      </c>
      <c r="DP59" s="360"/>
      <c r="DQ59" s="387"/>
      <c r="DR59" s="381"/>
      <c r="DS59" s="314" t="s">
        <v>1479</v>
      </c>
      <c r="DT59" s="314"/>
      <c r="DU59" s="389"/>
      <c r="DV59" s="285"/>
      <c r="DW59" s="285"/>
      <c r="DX59" s="285"/>
      <c r="DY59" s="285"/>
      <c r="DZ59" s="285"/>
      <c r="EA59" s="285"/>
      <c r="EB59" s="285"/>
      <c r="EC59" s="285"/>
      <c r="ED59" s="285"/>
      <c r="EE59" s="285"/>
      <c r="EF59" s="285"/>
      <c r="EG59" s="285"/>
      <c r="EH59" s="285"/>
      <c r="EI59" s="285"/>
    </row>
    <row r="60">
      <c r="A60" s="383" t="s">
        <v>2041</v>
      </c>
      <c r="B60" s="374" t="s">
        <v>2041</v>
      </c>
      <c r="C60" s="385"/>
      <c r="D60" s="264"/>
      <c r="E60" s="307"/>
      <c r="F60" s="307"/>
      <c r="G60" s="386"/>
      <c r="H60" s="355">
        <v>246.2937837</v>
      </c>
      <c r="I60" s="355">
        <v>-23.32077444</v>
      </c>
      <c r="J60" s="309"/>
      <c r="K60" s="309" t="s">
        <v>169</v>
      </c>
      <c r="L60" s="355"/>
      <c r="M60" s="309"/>
      <c r="N60" s="268"/>
      <c r="O60" s="355"/>
      <c r="P60" s="355"/>
      <c r="Q60" s="355"/>
      <c r="R60" s="355"/>
      <c r="S60" s="355"/>
      <c r="T60" s="309"/>
      <c r="U60" s="309"/>
      <c r="V60" s="309"/>
      <c r="W60" s="309"/>
      <c r="X60" s="309"/>
      <c r="Y60" s="309"/>
      <c r="Z60" s="309"/>
      <c r="AA60" s="309"/>
      <c r="AB60" s="309"/>
      <c r="AC60" s="309"/>
      <c r="AD60" s="355">
        <v>3.8</v>
      </c>
      <c r="AE60" s="268"/>
      <c r="AF60" s="268"/>
      <c r="AG60" s="268"/>
      <c r="AH60" s="375" t="s">
        <v>1479</v>
      </c>
      <c r="AI60" s="309"/>
      <c r="AJ60" s="309"/>
      <c r="AK60" s="376" t="s">
        <v>1479</v>
      </c>
      <c r="AL60" s="380">
        <v>2009.0</v>
      </c>
      <c r="AM60" s="270"/>
      <c r="AN60" s="314" t="s">
        <v>2042</v>
      </c>
      <c r="AO60" s="272"/>
      <c r="AP60" s="359">
        <v>4350.0</v>
      </c>
      <c r="AQ60" s="330"/>
      <c r="AR60" s="357"/>
      <c r="AS60" s="380"/>
      <c r="AT60" s="272"/>
      <c r="AU60" s="272"/>
      <c r="AV60" s="316"/>
      <c r="AW60" s="316"/>
      <c r="AX60" s="377">
        <v>120.0</v>
      </c>
      <c r="AY60" s="314"/>
      <c r="AZ60" s="314" t="s">
        <v>1480</v>
      </c>
      <c r="BA60" s="270" t="s">
        <v>162</v>
      </c>
      <c r="BB60" s="314" t="s">
        <v>2021</v>
      </c>
      <c r="BC60" s="351"/>
      <c r="BD60" s="351"/>
      <c r="BE60" s="334"/>
      <c r="BF60" s="334"/>
      <c r="BG60" s="335"/>
      <c r="BH60" s="335"/>
      <c r="BI60" s="335"/>
      <c r="BJ60" s="335"/>
      <c r="BK60" s="336"/>
      <c r="BL60" s="336"/>
      <c r="BM60" s="336"/>
      <c r="BN60" s="336"/>
      <c r="BO60" s="337"/>
      <c r="BP60" s="337"/>
      <c r="BQ60" s="337"/>
      <c r="BR60" s="337"/>
      <c r="BS60" s="338"/>
      <c r="BT60" s="338"/>
      <c r="BU60" s="338"/>
      <c r="BV60" s="338"/>
      <c r="BW60" s="339"/>
      <c r="BX60" s="339"/>
      <c r="BY60" s="339"/>
      <c r="BZ60" s="339"/>
      <c r="CA60" s="340"/>
      <c r="CB60" s="340"/>
      <c r="CC60" s="340"/>
      <c r="CD60" s="340"/>
      <c r="CE60" s="341"/>
      <c r="CF60" s="341"/>
      <c r="CG60" s="341"/>
      <c r="CH60" s="341"/>
      <c r="CI60" s="342"/>
      <c r="CJ60" s="342"/>
      <c r="CK60" s="342"/>
      <c r="CL60" s="342"/>
      <c r="CM60" s="378">
        <v>-15.4</v>
      </c>
      <c r="CN60" s="379"/>
      <c r="CO60" s="379"/>
      <c r="CP60" s="379"/>
      <c r="CQ60" s="343"/>
      <c r="CR60" s="343"/>
      <c r="CS60" s="343"/>
      <c r="CT60" s="343"/>
      <c r="CU60" s="344"/>
      <c r="CV60" s="344"/>
      <c r="CW60" s="344"/>
      <c r="CX60" s="344"/>
      <c r="CY60" s="345"/>
      <c r="CZ60" s="345"/>
      <c r="DA60" s="345"/>
      <c r="DB60" s="345"/>
      <c r="DC60" s="346"/>
      <c r="DD60" s="346"/>
      <c r="DE60" s="346"/>
      <c r="DF60" s="346"/>
      <c r="DG60" s="358"/>
      <c r="DH60" s="358"/>
      <c r="DI60" s="358"/>
      <c r="DJ60" s="348"/>
      <c r="DK60" s="348"/>
      <c r="DL60" s="348"/>
      <c r="DM60" s="324"/>
      <c r="DN60" s="317"/>
      <c r="DO60" s="380">
        <v>-0.84</v>
      </c>
      <c r="DP60" s="360"/>
      <c r="DQ60" s="387"/>
      <c r="DR60" s="381"/>
      <c r="DS60" s="314" t="s">
        <v>1479</v>
      </c>
      <c r="DT60" s="314"/>
      <c r="DU60" s="389"/>
      <c r="DV60" s="285"/>
      <c r="DW60" s="285"/>
      <c r="DX60" s="285"/>
      <c r="DY60" s="285"/>
      <c r="DZ60" s="285"/>
      <c r="EA60" s="285"/>
      <c r="EB60" s="285"/>
      <c r="EC60" s="285"/>
      <c r="ED60" s="285"/>
      <c r="EE60" s="285"/>
      <c r="EF60" s="285"/>
      <c r="EG60" s="285"/>
      <c r="EH60" s="285"/>
      <c r="EI60" s="285"/>
    </row>
    <row r="61">
      <c r="A61" s="383" t="s">
        <v>2043</v>
      </c>
      <c r="B61" s="374" t="s">
        <v>2043</v>
      </c>
      <c r="C61" s="385"/>
      <c r="D61" s="264"/>
      <c r="E61" s="307"/>
      <c r="F61" s="307"/>
      <c r="G61" s="386"/>
      <c r="H61" s="355">
        <v>239.6538029</v>
      </c>
      <c r="I61" s="355">
        <v>-22.95422806</v>
      </c>
      <c r="J61" s="309"/>
      <c r="K61" s="309" t="s">
        <v>169</v>
      </c>
      <c r="L61" s="355"/>
      <c r="M61" s="309"/>
      <c r="N61" s="268"/>
      <c r="O61" s="355"/>
      <c r="P61" s="355"/>
      <c r="Q61" s="355"/>
      <c r="R61" s="355"/>
      <c r="S61" s="355"/>
      <c r="T61" s="309"/>
      <c r="U61" s="309"/>
      <c r="V61" s="309"/>
      <c r="W61" s="309"/>
      <c r="X61" s="309"/>
      <c r="Y61" s="309"/>
      <c r="Z61" s="309"/>
      <c r="AA61" s="309"/>
      <c r="AB61" s="309"/>
      <c r="AC61" s="309"/>
      <c r="AD61" s="355">
        <v>1.63</v>
      </c>
      <c r="AE61" s="268"/>
      <c r="AF61" s="268"/>
      <c r="AG61" s="268"/>
      <c r="AH61" s="375" t="s">
        <v>1479</v>
      </c>
      <c r="AI61" s="309"/>
      <c r="AJ61" s="309"/>
      <c r="AK61" s="376" t="s">
        <v>1479</v>
      </c>
      <c r="AL61" s="380">
        <v>2005.0</v>
      </c>
      <c r="AM61" s="270"/>
      <c r="AN61" s="314" t="s">
        <v>1544</v>
      </c>
      <c r="AO61" s="272"/>
      <c r="AP61" s="359">
        <v>5884.0</v>
      </c>
      <c r="AQ61" s="330"/>
      <c r="AR61" s="357"/>
      <c r="AS61" s="380"/>
      <c r="AT61" s="314">
        <v>2.5</v>
      </c>
      <c r="AU61" s="272"/>
      <c r="AV61" s="316"/>
      <c r="AW61" s="316"/>
      <c r="AX61" s="377">
        <v>145.0</v>
      </c>
      <c r="AY61" s="314"/>
      <c r="AZ61" s="314" t="s">
        <v>1484</v>
      </c>
      <c r="BA61" s="270" t="s">
        <v>162</v>
      </c>
      <c r="BB61" s="314" t="s">
        <v>2021</v>
      </c>
      <c r="BC61" s="351"/>
      <c r="BD61" s="351"/>
      <c r="BE61" s="334"/>
      <c r="BF61" s="334"/>
      <c r="BG61" s="335"/>
      <c r="BH61" s="335"/>
      <c r="BI61" s="335"/>
      <c r="BJ61" s="335"/>
      <c r="BK61" s="336"/>
      <c r="BL61" s="336"/>
      <c r="BM61" s="336"/>
      <c r="BN61" s="336"/>
      <c r="BO61" s="337"/>
      <c r="BP61" s="337"/>
      <c r="BQ61" s="337"/>
      <c r="BR61" s="337"/>
      <c r="BS61" s="338"/>
      <c r="BT61" s="338"/>
      <c r="BU61" s="338"/>
      <c r="BV61" s="338"/>
      <c r="BW61" s="339"/>
      <c r="BX61" s="339"/>
      <c r="BY61" s="339"/>
      <c r="BZ61" s="339"/>
      <c r="CA61" s="340"/>
      <c r="CB61" s="340"/>
      <c r="CC61" s="340"/>
      <c r="CD61" s="340"/>
      <c r="CE61" s="341"/>
      <c r="CF61" s="341"/>
      <c r="CG61" s="341"/>
      <c r="CH61" s="341"/>
      <c r="CI61" s="342"/>
      <c r="CJ61" s="342"/>
      <c r="CK61" s="342"/>
      <c r="CL61" s="342"/>
      <c r="CM61" s="378">
        <v>-2.27</v>
      </c>
      <c r="CN61" s="379"/>
      <c r="CO61" s="379"/>
      <c r="CP61" s="379"/>
      <c r="CQ61" s="343"/>
      <c r="CR61" s="343"/>
      <c r="CS61" s="343"/>
      <c r="CT61" s="343"/>
      <c r="CU61" s="344"/>
      <c r="CV61" s="344"/>
      <c r="CW61" s="344"/>
      <c r="CX61" s="344"/>
      <c r="CY61" s="345"/>
      <c r="CZ61" s="345"/>
      <c r="DA61" s="345"/>
      <c r="DB61" s="345"/>
      <c r="DC61" s="346"/>
      <c r="DD61" s="346"/>
      <c r="DE61" s="346"/>
      <c r="DF61" s="346"/>
      <c r="DG61" s="358"/>
      <c r="DH61" s="358"/>
      <c r="DI61" s="358"/>
      <c r="DJ61" s="348"/>
      <c r="DK61" s="348"/>
      <c r="DL61" s="348"/>
      <c r="DM61" s="324"/>
      <c r="DN61" s="317"/>
      <c r="DO61" s="380">
        <v>-0.85</v>
      </c>
      <c r="DP61" s="360"/>
      <c r="DQ61" s="387"/>
      <c r="DR61" s="381"/>
      <c r="DS61" s="314" t="s">
        <v>1479</v>
      </c>
      <c r="DT61" s="314"/>
      <c r="DU61" s="389"/>
      <c r="DV61" s="285"/>
      <c r="DW61" s="285"/>
      <c r="DX61" s="285"/>
      <c r="DY61" s="285"/>
      <c r="DZ61" s="285"/>
      <c r="EA61" s="285"/>
      <c r="EB61" s="285"/>
      <c r="EC61" s="285"/>
      <c r="ED61" s="285"/>
      <c r="EE61" s="285"/>
      <c r="EF61" s="285"/>
      <c r="EG61" s="285"/>
      <c r="EH61" s="285"/>
      <c r="EI61" s="285"/>
    </row>
    <row r="62">
      <c r="A62" s="383" t="s">
        <v>2044</v>
      </c>
      <c r="B62" s="374" t="s">
        <v>2044</v>
      </c>
      <c r="C62" s="385"/>
      <c r="D62" s="264"/>
      <c r="E62" s="307"/>
      <c r="F62" s="307"/>
      <c r="G62" s="386"/>
      <c r="H62" s="355">
        <v>242.5439804</v>
      </c>
      <c r="I62" s="355">
        <v>-40.12882333</v>
      </c>
      <c r="J62" s="309"/>
      <c r="K62" s="309" t="s">
        <v>169</v>
      </c>
      <c r="L62" s="355"/>
      <c r="M62" s="309"/>
      <c r="N62" s="268"/>
      <c r="O62" s="355"/>
      <c r="P62" s="355"/>
      <c r="Q62" s="355"/>
      <c r="R62" s="355"/>
      <c r="S62" s="355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55">
        <v>0.0</v>
      </c>
      <c r="AE62" s="268"/>
      <c r="AF62" s="268"/>
      <c r="AG62" s="268"/>
      <c r="AH62" s="375" t="s">
        <v>1479</v>
      </c>
      <c r="AI62" s="309"/>
      <c r="AJ62" s="309"/>
      <c r="AK62" s="376" t="s">
        <v>1479</v>
      </c>
      <c r="AL62" s="380">
        <v>2008.0</v>
      </c>
      <c r="AM62" s="270"/>
      <c r="AN62" s="314" t="s">
        <v>2045</v>
      </c>
      <c r="AO62" s="272"/>
      <c r="AP62" s="315"/>
      <c r="AQ62" s="330"/>
      <c r="AR62" s="357"/>
      <c r="AS62" s="380"/>
      <c r="AT62" s="272"/>
      <c r="AU62" s="272"/>
      <c r="AV62" s="316"/>
      <c r="AW62" s="316"/>
      <c r="AX62" s="377">
        <v>190.0</v>
      </c>
      <c r="AY62" s="314"/>
      <c r="AZ62" s="314" t="s">
        <v>1489</v>
      </c>
      <c r="BA62" s="270" t="s">
        <v>162</v>
      </c>
      <c r="BB62" s="314" t="s">
        <v>2021</v>
      </c>
      <c r="BC62" s="351"/>
      <c r="BD62" s="351"/>
      <c r="BE62" s="334"/>
      <c r="BF62" s="334"/>
      <c r="BG62" s="335"/>
      <c r="BH62" s="335"/>
      <c r="BI62" s="335"/>
      <c r="BJ62" s="335"/>
      <c r="BK62" s="336"/>
      <c r="BL62" s="336"/>
      <c r="BM62" s="336"/>
      <c r="BN62" s="336"/>
      <c r="BO62" s="337"/>
      <c r="BP62" s="337"/>
      <c r="BQ62" s="337"/>
      <c r="BR62" s="337"/>
      <c r="BS62" s="338"/>
      <c r="BT62" s="338"/>
      <c r="BU62" s="338"/>
      <c r="BV62" s="338"/>
      <c r="BW62" s="339"/>
      <c r="BX62" s="339"/>
      <c r="BY62" s="339"/>
      <c r="BZ62" s="339"/>
      <c r="CA62" s="340"/>
      <c r="CB62" s="340"/>
      <c r="CC62" s="340"/>
      <c r="CD62" s="340"/>
      <c r="CE62" s="341"/>
      <c r="CF62" s="341"/>
      <c r="CG62" s="341"/>
      <c r="CH62" s="341"/>
      <c r="CI62" s="342"/>
      <c r="CJ62" s="342"/>
      <c r="CK62" s="342"/>
      <c r="CL62" s="342"/>
      <c r="CM62" s="378">
        <v>-24.96</v>
      </c>
      <c r="CN62" s="379"/>
      <c r="CO62" s="379"/>
      <c r="CP62" s="379"/>
      <c r="CQ62" s="343"/>
      <c r="CR62" s="343"/>
      <c r="CS62" s="343"/>
      <c r="CT62" s="343"/>
      <c r="CU62" s="344"/>
      <c r="CV62" s="344"/>
      <c r="CW62" s="344"/>
      <c r="CX62" s="344"/>
      <c r="CY62" s="345"/>
      <c r="CZ62" s="345"/>
      <c r="DA62" s="345"/>
      <c r="DB62" s="345"/>
      <c r="DC62" s="346"/>
      <c r="DD62" s="346"/>
      <c r="DE62" s="346"/>
      <c r="DF62" s="346"/>
      <c r="DG62" s="358"/>
      <c r="DH62" s="358"/>
      <c r="DI62" s="358"/>
      <c r="DJ62" s="348"/>
      <c r="DK62" s="348"/>
      <c r="DL62" s="348"/>
      <c r="DM62" s="324"/>
      <c r="DN62" s="317"/>
      <c r="DO62" s="380">
        <v>-0.2</v>
      </c>
      <c r="DP62" s="360"/>
      <c r="DQ62" s="387"/>
      <c r="DR62" s="381"/>
      <c r="DS62" s="314" t="s">
        <v>1479</v>
      </c>
      <c r="DT62" s="314"/>
      <c r="DU62" s="389"/>
      <c r="DV62" s="285"/>
      <c r="DW62" s="285"/>
      <c r="DX62" s="285"/>
      <c r="DY62" s="285"/>
      <c r="DZ62" s="285"/>
      <c r="EA62" s="285"/>
      <c r="EB62" s="285"/>
      <c r="EC62" s="285"/>
      <c r="ED62" s="285"/>
      <c r="EE62" s="285"/>
      <c r="EF62" s="285"/>
      <c r="EG62" s="285"/>
      <c r="EH62" s="285"/>
      <c r="EI62" s="285"/>
    </row>
    <row r="63">
      <c r="A63" s="383" t="s">
        <v>2046</v>
      </c>
      <c r="B63" s="374" t="s">
        <v>2047</v>
      </c>
      <c r="C63" s="385"/>
      <c r="D63" s="264"/>
      <c r="E63" s="307"/>
      <c r="F63" s="307"/>
      <c r="G63" s="386"/>
      <c r="H63" s="355">
        <v>84.24687042</v>
      </c>
      <c r="I63" s="355">
        <v>-6.1545325</v>
      </c>
      <c r="J63" s="309"/>
      <c r="K63" s="309" t="s">
        <v>169</v>
      </c>
      <c r="L63" s="355"/>
      <c r="M63" s="309"/>
      <c r="N63" s="268"/>
      <c r="O63" s="355"/>
      <c r="P63" s="355"/>
      <c r="Q63" s="355"/>
      <c r="R63" s="355"/>
      <c r="S63" s="355"/>
      <c r="T63" s="309"/>
      <c r="U63" s="309"/>
      <c r="V63" s="309"/>
      <c r="W63" s="309"/>
      <c r="X63" s="309"/>
      <c r="Y63" s="309"/>
      <c r="Z63" s="309"/>
      <c r="AA63" s="309"/>
      <c r="AB63" s="309"/>
      <c r="AC63" s="309"/>
      <c r="AD63" s="355">
        <v>0.3</v>
      </c>
      <c r="AE63" s="268"/>
      <c r="AF63" s="268"/>
      <c r="AG63" s="268"/>
      <c r="AH63" s="375" t="s">
        <v>1479</v>
      </c>
      <c r="AI63" s="309"/>
      <c r="AJ63" s="309"/>
      <c r="AK63" s="376" t="s">
        <v>1479</v>
      </c>
      <c r="AL63" s="380">
        <v>2009.0</v>
      </c>
      <c r="AM63" s="270"/>
      <c r="AN63" s="314" t="s">
        <v>1582</v>
      </c>
      <c r="AO63" s="272"/>
      <c r="AP63" s="359">
        <v>8970.0</v>
      </c>
      <c r="AQ63" s="330"/>
      <c r="AR63" s="357"/>
      <c r="AS63" s="380"/>
      <c r="AT63" s="272"/>
      <c r="AU63" s="272"/>
      <c r="AV63" s="316"/>
      <c r="AW63" s="316"/>
      <c r="AX63" s="377">
        <v>510.0</v>
      </c>
      <c r="AY63" s="314"/>
      <c r="AZ63" s="314" t="s">
        <v>1484</v>
      </c>
      <c r="BA63" s="270" t="s">
        <v>162</v>
      </c>
      <c r="BB63" s="314" t="s">
        <v>2021</v>
      </c>
      <c r="BC63" s="351"/>
      <c r="BD63" s="351"/>
      <c r="BE63" s="334"/>
      <c r="BF63" s="334"/>
      <c r="BG63" s="335"/>
      <c r="BH63" s="335"/>
      <c r="BI63" s="335"/>
      <c r="BJ63" s="335"/>
      <c r="BK63" s="336"/>
      <c r="BL63" s="336"/>
      <c r="BM63" s="336"/>
      <c r="BN63" s="336"/>
      <c r="BO63" s="337"/>
      <c r="BP63" s="337"/>
      <c r="BQ63" s="337"/>
      <c r="BR63" s="337"/>
      <c r="BS63" s="338"/>
      <c r="BT63" s="338"/>
      <c r="BU63" s="338"/>
      <c r="BV63" s="338"/>
      <c r="BW63" s="339"/>
      <c r="BX63" s="339"/>
      <c r="BY63" s="339"/>
      <c r="BZ63" s="339"/>
      <c r="CA63" s="340"/>
      <c r="CB63" s="340"/>
      <c r="CC63" s="340"/>
      <c r="CD63" s="340"/>
      <c r="CE63" s="341"/>
      <c r="CF63" s="341"/>
      <c r="CG63" s="341"/>
      <c r="CH63" s="341"/>
      <c r="CI63" s="342"/>
      <c r="CJ63" s="342"/>
      <c r="CK63" s="342"/>
      <c r="CL63" s="342"/>
      <c r="CM63" s="378">
        <v>-4.72</v>
      </c>
      <c r="CN63" s="379"/>
      <c r="CO63" s="379"/>
      <c r="CP63" s="379"/>
      <c r="CQ63" s="343"/>
      <c r="CR63" s="343"/>
      <c r="CS63" s="343"/>
      <c r="CT63" s="343"/>
      <c r="CU63" s="344"/>
      <c r="CV63" s="344"/>
      <c r="CW63" s="344"/>
      <c r="CX63" s="344"/>
      <c r="CY63" s="345"/>
      <c r="CZ63" s="345"/>
      <c r="DA63" s="345"/>
      <c r="DB63" s="345"/>
      <c r="DC63" s="346"/>
      <c r="DD63" s="346"/>
      <c r="DE63" s="346"/>
      <c r="DF63" s="346"/>
      <c r="DG63" s="358"/>
      <c r="DH63" s="358"/>
      <c r="DI63" s="358"/>
      <c r="DJ63" s="348"/>
      <c r="DK63" s="348"/>
      <c r="DL63" s="348"/>
      <c r="DM63" s="324"/>
      <c r="DN63" s="317"/>
      <c r="DO63" s="380">
        <v>0.13</v>
      </c>
      <c r="DP63" s="360"/>
      <c r="DQ63" s="387"/>
      <c r="DR63" s="381"/>
      <c r="DS63" s="314" t="s">
        <v>1479</v>
      </c>
      <c r="DT63" s="314"/>
      <c r="DU63" s="389"/>
      <c r="DV63" s="285"/>
      <c r="DW63" s="285"/>
      <c r="DX63" s="285"/>
      <c r="DY63" s="285"/>
      <c r="DZ63" s="285"/>
      <c r="EA63" s="285"/>
      <c r="EB63" s="285"/>
      <c r="EC63" s="285"/>
      <c r="ED63" s="285"/>
      <c r="EE63" s="285"/>
      <c r="EF63" s="285"/>
      <c r="EG63" s="285"/>
      <c r="EH63" s="285"/>
      <c r="EI63" s="285"/>
    </row>
    <row r="64">
      <c r="A64" s="383" t="s">
        <v>2048</v>
      </c>
      <c r="B64" s="374" t="s">
        <v>2049</v>
      </c>
      <c r="C64" s="385"/>
      <c r="D64" s="264"/>
      <c r="E64" s="307"/>
      <c r="F64" s="307"/>
      <c r="G64" s="386"/>
      <c r="H64" s="355">
        <v>84.56044792</v>
      </c>
      <c r="I64" s="355">
        <v>-5.420365833</v>
      </c>
      <c r="J64" s="309"/>
      <c r="K64" s="309" t="s">
        <v>169</v>
      </c>
      <c r="L64" s="355"/>
      <c r="M64" s="309"/>
      <c r="N64" s="268"/>
      <c r="O64" s="355"/>
      <c r="P64" s="355"/>
      <c r="Q64" s="355"/>
      <c r="R64" s="355"/>
      <c r="S64" s="355"/>
      <c r="T64" s="309"/>
      <c r="U64" s="309"/>
      <c r="V64" s="309"/>
      <c r="W64" s="309"/>
      <c r="X64" s="309"/>
      <c r="Y64" s="309"/>
      <c r="Z64" s="309"/>
      <c r="AA64" s="309"/>
      <c r="AB64" s="309"/>
      <c r="AC64" s="309"/>
      <c r="AD64" s="355">
        <v>0.52</v>
      </c>
      <c r="AE64" s="268"/>
      <c r="AF64" s="268"/>
      <c r="AG64" s="268"/>
      <c r="AH64" s="375" t="s">
        <v>1479</v>
      </c>
      <c r="AI64" s="309"/>
      <c r="AJ64" s="309"/>
      <c r="AK64" s="376" t="s">
        <v>1479</v>
      </c>
      <c r="AL64" s="380">
        <v>2009.0</v>
      </c>
      <c r="AM64" s="270"/>
      <c r="AN64" s="314" t="s">
        <v>1601</v>
      </c>
      <c r="AO64" s="272"/>
      <c r="AP64" s="359">
        <v>10500.0</v>
      </c>
      <c r="AQ64" s="330"/>
      <c r="AR64" s="357"/>
      <c r="AS64" s="380"/>
      <c r="AT64" s="272"/>
      <c r="AU64" s="272"/>
      <c r="AV64" s="316"/>
      <c r="AW64" s="316"/>
      <c r="AX64" s="377">
        <v>510.0</v>
      </c>
      <c r="AY64" s="314"/>
      <c r="AZ64" s="314" t="s">
        <v>1484</v>
      </c>
      <c r="BA64" s="270" t="s">
        <v>162</v>
      </c>
      <c r="BB64" s="314" t="s">
        <v>2021</v>
      </c>
      <c r="BC64" s="351"/>
      <c r="BD64" s="351"/>
      <c r="BE64" s="334"/>
      <c r="BF64" s="334"/>
      <c r="BG64" s="335"/>
      <c r="BH64" s="335"/>
      <c r="BI64" s="335"/>
      <c r="BJ64" s="335"/>
      <c r="BK64" s="336"/>
      <c r="BL64" s="336"/>
      <c r="BM64" s="336"/>
      <c r="BN64" s="336"/>
      <c r="BO64" s="337"/>
      <c r="BP64" s="337"/>
      <c r="BQ64" s="337"/>
      <c r="BR64" s="337"/>
      <c r="BS64" s="338"/>
      <c r="BT64" s="338"/>
      <c r="BU64" s="338"/>
      <c r="BV64" s="338"/>
      <c r="BW64" s="339"/>
      <c r="BX64" s="339"/>
      <c r="BY64" s="339"/>
      <c r="BZ64" s="339"/>
      <c r="CA64" s="340"/>
      <c r="CB64" s="340"/>
      <c r="CC64" s="340"/>
      <c r="CD64" s="340"/>
      <c r="CE64" s="341"/>
      <c r="CF64" s="341"/>
      <c r="CG64" s="341"/>
      <c r="CH64" s="341"/>
      <c r="CI64" s="342"/>
      <c r="CJ64" s="342"/>
      <c r="CK64" s="342"/>
      <c r="CL64" s="342"/>
      <c r="CM64" s="378">
        <v>-4.1</v>
      </c>
      <c r="CN64" s="379"/>
      <c r="CO64" s="379"/>
      <c r="CP64" s="379"/>
      <c r="CQ64" s="343"/>
      <c r="CR64" s="343"/>
      <c r="CS64" s="343"/>
      <c r="CT64" s="343"/>
      <c r="CU64" s="344"/>
      <c r="CV64" s="344"/>
      <c r="CW64" s="344"/>
      <c r="CX64" s="344"/>
      <c r="CY64" s="345"/>
      <c r="CZ64" s="345"/>
      <c r="DA64" s="345"/>
      <c r="DB64" s="345"/>
      <c r="DC64" s="346"/>
      <c r="DD64" s="346"/>
      <c r="DE64" s="346"/>
      <c r="DF64" s="346"/>
      <c r="DG64" s="358"/>
      <c r="DH64" s="358"/>
      <c r="DI64" s="358"/>
      <c r="DJ64" s="348"/>
      <c r="DK64" s="348"/>
      <c r="DL64" s="348"/>
      <c r="DM64" s="324"/>
      <c r="DN64" s="317"/>
      <c r="DO64" s="380">
        <v>0.19</v>
      </c>
      <c r="DP64" s="360"/>
      <c r="DQ64" s="387"/>
      <c r="DR64" s="381"/>
      <c r="DS64" s="314" t="s">
        <v>1479</v>
      </c>
      <c r="DT64" s="314"/>
      <c r="DU64" s="389"/>
      <c r="DV64" s="285"/>
      <c r="DW64" s="285"/>
      <c r="DX64" s="285"/>
      <c r="DY64" s="285"/>
      <c r="DZ64" s="285"/>
      <c r="EA64" s="285"/>
      <c r="EB64" s="285"/>
      <c r="EC64" s="285"/>
      <c r="ED64" s="285"/>
      <c r="EE64" s="285"/>
      <c r="EF64" s="285"/>
      <c r="EG64" s="285"/>
      <c r="EH64" s="285"/>
      <c r="EI64" s="285"/>
    </row>
    <row r="65">
      <c r="A65" s="383" t="s">
        <v>2050</v>
      </c>
      <c r="B65" s="374" t="s">
        <v>2051</v>
      </c>
      <c r="C65" s="385"/>
      <c r="D65" s="264"/>
      <c r="E65" s="307"/>
      <c r="F65" s="307"/>
      <c r="G65" s="386"/>
      <c r="H65" s="355">
        <v>102.8891621</v>
      </c>
      <c r="I65" s="355">
        <v>-6.9665125</v>
      </c>
      <c r="J65" s="309"/>
      <c r="K65" s="309" t="s">
        <v>169</v>
      </c>
      <c r="L65" s="355"/>
      <c r="M65" s="309"/>
      <c r="N65" s="268"/>
      <c r="O65" s="355"/>
      <c r="P65" s="355"/>
      <c r="Q65" s="355"/>
      <c r="R65" s="355"/>
      <c r="S65" s="355"/>
      <c r="T65" s="309"/>
      <c r="U65" s="309"/>
      <c r="V65" s="309"/>
      <c r="W65" s="309"/>
      <c r="X65" s="309"/>
      <c r="Y65" s="309"/>
      <c r="Z65" s="309"/>
      <c r="AA65" s="309"/>
      <c r="AB65" s="309"/>
      <c r="AC65" s="309"/>
      <c r="AD65" s="355">
        <v>0.2</v>
      </c>
      <c r="AE65" s="268"/>
      <c r="AF65" s="268"/>
      <c r="AG65" s="268"/>
      <c r="AH65" s="375" t="s">
        <v>1479</v>
      </c>
      <c r="AI65" s="309"/>
      <c r="AJ65" s="309"/>
      <c r="AK65" s="376" t="s">
        <v>1479</v>
      </c>
      <c r="AL65" s="380">
        <v>2009.0</v>
      </c>
      <c r="AM65" s="270"/>
      <c r="AN65" s="314" t="s">
        <v>2052</v>
      </c>
      <c r="AO65" s="272"/>
      <c r="AP65" s="359">
        <v>1148.0</v>
      </c>
      <c r="AQ65" s="330"/>
      <c r="AR65" s="357"/>
      <c r="AS65" s="380"/>
      <c r="AT65" s="272"/>
      <c r="AU65" s="272"/>
      <c r="AV65" s="316"/>
      <c r="AW65" s="316"/>
      <c r="AX65" s="377">
        <v>500.0</v>
      </c>
      <c r="AY65" s="314"/>
      <c r="AZ65" s="314" t="s">
        <v>1484</v>
      </c>
      <c r="BA65" s="270" t="s">
        <v>162</v>
      </c>
      <c r="BB65" s="314" t="s">
        <v>2021</v>
      </c>
      <c r="BC65" s="351"/>
      <c r="BD65" s="351"/>
      <c r="BE65" s="334"/>
      <c r="BF65" s="334"/>
      <c r="BG65" s="335"/>
      <c r="BH65" s="335"/>
      <c r="BI65" s="335"/>
      <c r="BJ65" s="335"/>
      <c r="BK65" s="336"/>
      <c r="BL65" s="336"/>
      <c r="BM65" s="336"/>
      <c r="BN65" s="336"/>
      <c r="BO65" s="337"/>
      <c r="BP65" s="337"/>
      <c r="BQ65" s="337"/>
      <c r="BR65" s="337"/>
      <c r="BS65" s="338"/>
      <c r="BT65" s="338"/>
      <c r="BU65" s="338"/>
      <c r="BV65" s="338"/>
      <c r="BW65" s="339"/>
      <c r="BX65" s="339"/>
      <c r="BY65" s="339"/>
      <c r="BZ65" s="339"/>
      <c r="CA65" s="340"/>
      <c r="CB65" s="340"/>
      <c r="CC65" s="340"/>
      <c r="CD65" s="340"/>
      <c r="CE65" s="341"/>
      <c r="CF65" s="341"/>
      <c r="CG65" s="341"/>
      <c r="CH65" s="341"/>
      <c r="CI65" s="363">
        <v>-9.6</v>
      </c>
      <c r="CJ65" s="342"/>
      <c r="CK65" s="342"/>
      <c r="CL65" s="342"/>
      <c r="CM65" s="378">
        <v>-6.96</v>
      </c>
      <c r="CN65" s="379"/>
      <c r="CO65" s="379"/>
      <c r="CP65" s="379"/>
      <c r="CQ65" s="343"/>
      <c r="CR65" s="343"/>
      <c r="CS65" s="343"/>
      <c r="CT65" s="343"/>
      <c r="CU65" s="344"/>
      <c r="CV65" s="344"/>
      <c r="CW65" s="344"/>
      <c r="CX65" s="344"/>
      <c r="CY65" s="345"/>
      <c r="CZ65" s="345"/>
      <c r="DA65" s="345"/>
      <c r="DB65" s="345"/>
      <c r="DC65" s="346"/>
      <c r="DD65" s="346"/>
      <c r="DE65" s="346"/>
      <c r="DF65" s="346"/>
      <c r="DG65" s="358"/>
      <c r="DH65" s="358"/>
      <c r="DI65" s="358"/>
      <c r="DJ65" s="348"/>
      <c r="DK65" s="348"/>
      <c r="DL65" s="348"/>
      <c r="DM65" s="324"/>
      <c r="DN65" s="317"/>
      <c r="DO65" s="380">
        <v>1.76</v>
      </c>
      <c r="DP65" s="360"/>
      <c r="DQ65" s="387"/>
      <c r="DR65" s="381"/>
      <c r="DS65" s="314" t="s">
        <v>1479</v>
      </c>
      <c r="DT65" s="314"/>
      <c r="DU65" s="389"/>
      <c r="DV65" s="285"/>
      <c r="DW65" s="285"/>
      <c r="DX65" s="285"/>
      <c r="DY65" s="285"/>
      <c r="DZ65" s="285"/>
      <c r="EA65" s="285"/>
      <c r="EB65" s="285"/>
      <c r="EC65" s="285"/>
      <c r="ED65" s="285"/>
      <c r="EE65" s="285"/>
      <c r="EF65" s="285"/>
      <c r="EG65" s="285"/>
      <c r="EH65" s="285"/>
      <c r="EI65" s="285"/>
    </row>
    <row r="66">
      <c r="A66" s="383" t="s">
        <v>586</v>
      </c>
      <c r="B66" s="374" t="s">
        <v>2053</v>
      </c>
      <c r="C66" s="385"/>
      <c r="D66" s="264"/>
      <c r="E66" s="307"/>
      <c r="F66" s="307"/>
      <c r="G66" s="386"/>
      <c r="H66" s="355">
        <v>239.0383612</v>
      </c>
      <c r="I66" s="355">
        <v>-37.935035</v>
      </c>
      <c r="J66" s="309"/>
      <c r="K66" s="309" t="s">
        <v>169</v>
      </c>
      <c r="L66" s="355"/>
      <c r="M66" s="309"/>
      <c r="N66" s="268"/>
      <c r="O66" s="355"/>
      <c r="P66" s="355"/>
      <c r="Q66" s="355"/>
      <c r="R66" s="355"/>
      <c r="S66" s="355"/>
      <c r="T66" s="309"/>
      <c r="U66" s="309"/>
      <c r="V66" s="309"/>
      <c r="W66" s="309"/>
      <c r="X66" s="309"/>
      <c r="Y66" s="309"/>
      <c r="Z66" s="309"/>
      <c r="AA66" s="309"/>
      <c r="AB66" s="309"/>
      <c r="AC66" s="309"/>
      <c r="AD66" s="355">
        <v>0.98</v>
      </c>
      <c r="AE66" s="268"/>
      <c r="AF66" s="268"/>
      <c r="AG66" s="268"/>
      <c r="AH66" s="375" t="s">
        <v>1479</v>
      </c>
      <c r="AI66" s="309"/>
      <c r="AJ66" s="309"/>
      <c r="AK66" s="376" t="s">
        <v>1479</v>
      </c>
      <c r="AL66" s="380">
        <v>2006.0</v>
      </c>
      <c r="AM66" s="270"/>
      <c r="AN66" s="314" t="s">
        <v>427</v>
      </c>
      <c r="AO66" s="272"/>
      <c r="AP66" s="359">
        <v>3918.0</v>
      </c>
      <c r="AQ66" s="330"/>
      <c r="AR66" s="357"/>
      <c r="AS66" s="380"/>
      <c r="AT66" s="314">
        <v>1.3</v>
      </c>
      <c r="AU66" s="272"/>
      <c r="AV66" s="316"/>
      <c r="AW66" s="316"/>
      <c r="AX66" s="377">
        <v>140.0</v>
      </c>
      <c r="AY66" s="314"/>
      <c r="AZ66" s="314" t="s">
        <v>1484</v>
      </c>
      <c r="BA66" s="270" t="s">
        <v>162</v>
      </c>
      <c r="BB66" s="314" t="s">
        <v>2021</v>
      </c>
      <c r="BC66" s="351"/>
      <c r="BD66" s="351"/>
      <c r="BE66" s="334"/>
      <c r="BF66" s="334"/>
      <c r="BG66" s="335"/>
      <c r="BH66" s="335"/>
      <c r="BI66" s="335"/>
      <c r="BJ66" s="335"/>
      <c r="BK66" s="336"/>
      <c r="BL66" s="336"/>
      <c r="BM66" s="336"/>
      <c r="BN66" s="336"/>
      <c r="BO66" s="337"/>
      <c r="BP66" s="337"/>
      <c r="BQ66" s="337"/>
      <c r="BR66" s="337"/>
      <c r="BS66" s="338"/>
      <c r="BT66" s="338"/>
      <c r="BU66" s="338"/>
      <c r="BV66" s="338"/>
      <c r="BW66" s="339"/>
      <c r="BX66" s="339"/>
      <c r="BY66" s="339"/>
      <c r="BZ66" s="339"/>
      <c r="CA66" s="340"/>
      <c r="CB66" s="340"/>
      <c r="CC66" s="340"/>
      <c r="CD66" s="340"/>
      <c r="CE66" s="341"/>
      <c r="CF66" s="341"/>
      <c r="CG66" s="341"/>
      <c r="CH66" s="341"/>
      <c r="CI66" s="342"/>
      <c r="CJ66" s="342"/>
      <c r="CK66" s="342"/>
      <c r="CL66" s="342"/>
      <c r="CM66" s="378">
        <v>-5.63</v>
      </c>
      <c r="CN66" s="379"/>
      <c r="CO66" s="379"/>
      <c r="CP66" s="379"/>
      <c r="CQ66" s="343"/>
      <c r="CR66" s="343"/>
      <c r="CS66" s="343"/>
      <c r="CT66" s="343"/>
      <c r="CU66" s="344"/>
      <c r="CV66" s="344"/>
      <c r="CW66" s="344"/>
      <c r="CX66" s="344"/>
      <c r="CY66" s="345"/>
      <c r="CZ66" s="345"/>
      <c r="DA66" s="345"/>
      <c r="DB66" s="345"/>
      <c r="DC66" s="346"/>
      <c r="DD66" s="346"/>
      <c r="DE66" s="346"/>
      <c r="DF66" s="346"/>
      <c r="DG66" s="358"/>
      <c r="DH66" s="358"/>
      <c r="DI66" s="358"/>
      <c r="DJ66" s="348"/>
      <c r="DK66" s="348"/>
      <c r="DL66" s="348"/>
      <c r="DM66" s="324"/>
      <c r="DN66" s="317"/>
      <c r="DO66" s="380">
        <v>-1.08</v>
      </c>
      <c r="DP66" s="360"/>
      <c r="DQ66" s="387"/>
      <c r="DR66" s="381"/>
      <c r="DS66" s="314" t="s">
        <v>1479</v>
      </c>
      <c r="DT66" s="314"/>
      <c r="DU66" s="389"/>
      <c r="DV66" s="285"/>
      <c r="DW66" s="285"/>
      <c r="DX66" s="285"/>
      <c r="DY66" s="285"/>
      <c r="DZ66" s="285"/>
      <c r="EA66" s="285"/>
      <c r="EB66" s="285"/>
      <c r="EC66" s="285"/>
      <c r="ED66" s="285"/>
      <c r="EE66" s="285"/>
      <c r="EF66" s="285"/>
      <c r="EG66" s="285"/>
      <c r="EH66" s="285"/>
      <c r="EI66" s="285"/>
    </row>
    <row r="67">
      <c r="A67" s="383" t="s">
        <v>2054</v>
      </c>
      <c r="B67" s="374" t="s">
        <v>2055</v>
      </c>
      <c r="C67" s="385"/>
      <c r="D67" s="264"/>
      <c r="E67" s="307"/>
      <c r="F67" s="307"/>
      <c r="G67" s="386"/>
      <c r="H67" s="355">
        <v>52.26565292</v>
      </c>
      <c r="I67" s="355">
        <v>31.26776639</v>
      </c>
      <c r="J67" s="309"/>
      <c r="K67" s="309" t="s">
        <v>257</v>
      </c>
      <c r="L67" s="355"/>
      <c r="M67" s="309"/>
      <c r="N67" s="268"/>
      <c r="O67" s="355"/>
      <c r="P67" s="355"/>
      <c r="Q67" s="355"/>
      <c r="R67" s="355"/>
      <c r="S67" s="355"/>
      <c r="T67" s="309"/>
      <c r="U67" s="309"/>
      <c r="V67" s="309"/>
      <c r="W67" s="309"/>
      <c r="X67" s="309"/>
      <c r="Y67" s="309"/>
      <c r="Z67" s="309"/>
      <c r="AA67" s="309"/>
      <c r="AB67" s="309"/>
      <c r="AC67" s="309"/>
      <c r="AD67" s="355">
        <v>5.9</v>
      </c>
      <c r="AE67" s="268"/>
      <c r="AF67" s="268"/>
      <c r="AG67" s="268"/>
      <c r="AH67" s="375" t="s">
        <v>1479</v>
      </c>
      <c r="AI67" s="309"/>
      <c r="AJ67" s="309"/>
      <c r="AK67" s="376" t="s">
        <v>1479</v>
      </c>
      <c r="AL67" s="380">
        <v>2002.0</v>
      </c>
      <c r="AM67" s="270"/>
      <c r="AN67" s="272"/>
      <c r="AO67" s="272"/>
      <c r="AP67" s="315"/>
      <c r="AQ67" s="330"/>
      <c r="AR67" s="357"/>
      <c r="AS67" s="380"/>
      <c r="AT67" s="272"/>
      <c r="AU67" s="272"/>
      <c r="AV67" s="316"/>
      <c r="AW67" s="316"/>
      <c r="AX67" s="377">
        <v>250.0</v>
      </c>
      <c r="AY67" s="314"/>
      <c r="AZ67" s="314" t="s">
        <v>1484</v>
      </c>
      <c r="BA67" s="270" t="s">
        <v>162</v>
      </c>
      <c r="BB67" s="314" t="s">
        <v>2021</v>
      </c>
      <c r="BC67" s="351"/>
      <c r="BD67" s="351"/>
      <c r="BE67" s="334"/>
      <c r="BF67" s="334"/>
      <c r="BG67" s="335"/>
      <c r="BH67" s="335"/>
      <c r="BI67" s="335"/>
      <c r="BJ67" s="335"/>
      <c r="BK67" s="336"/>
      <c r="BL67" s="336"/>
      <c r="BM67" s="336"/>
      <c r="BN67" s="336"/>
      <c r="BO67" s="337"/>
      <c r="BP67" s="337"/>
      <c r="BQ67" s="337"/>
      <c r="BR67" s="337"/>
      <c r="BS67" s="338"/>
      <c r="BT67" s="338"/>
      <c r="BU67" s="338"/>
      <c r="BV67" s="338"/>
      <c r="BW67" s="339"/>
      <c r="BX67" s="339"/>
      <c r="BY67" s="339"/>
      <c r="BZ67" s="339"/>
      <c r="CA67" s="340"/>
      <c r="CB67" s="340"/>
      <c r="CC67" s="340"/>
      <c r="CD67" s="340"/>
      <c r="CE67" s="341"/>
      <c r="CF67" s="341"/>
      <c r="CG67" s="341"/>
      <c r="CH67" s="341"/>
      <c r="CI67" s="342"/>
      <c r="CJ67" s="342"/>
      <c r="CK67" s="342"/>
      <c r="CL67" s="342"/>
      <c r="CM67" s="378">
        <v>-12.48</v>
      </c>
      <c r="CN67" s="379"/>
      <c r="CO67" s="379"/>
      <c r="CP67" s="379"/>
      <c r="CQ67" s="343"/>
      <c r="CR67" s="343"/>
      <c r="CS67" s="343"/>
      <c r="CT67" s="343"/>
      <c r="CU67" s="344"/>
      <c r="CV67" s="344"/>
      <c r="CW67" s="344"/>
      <c r="CX67" s="344"/>
      <c r="CY67" s="345"/>
      <c r="CZ67" s="345"/>
      <c r="DA67" s="345"/>
      <c r="DB67" s="345"/>
      <c r="DC67" s="346"/>
      <c r="DD67" s="346"/>
      <c r="DE67" s="346"/>
      <c r="DF67" s="346"/>
      <c r="DG67" s="358"/>
      <c r="DH67" s="358"/>
      <c r="DI67" s="358"/>
      <c r="DJ67" s="348"/>
      <c r="DK67" s="348"/>
      <c r="DL67" s="348"/>
      <c r="DM67" s="324"/>
      <c r="DN67" s="317"/>
      <c r="DO67" s="380">
        <v>0.19</v>
      </c>
      <c r="DP67" s="360"/>
      <c r="DQ67" s="387"/>
      <c r="DR67" s="381"/>
      <c r="DS67" s="314" t="s">
        <v>1479</v>
      </c>
      <c r="DT67" s="314"/>
      <c r="DU67" s="389"/>
      <c r="DV67" s="285"/>
      <c r="DW67" s="285"/>
      <c r="DX67" s="285"/>
      <c r="DY67" s="285"/>
      <c r="DZ67" s="285"/>
      <c r="EA67" s="285"/>
      <c r="EB67" s="285"/>
      <c r="EC67" s="285"/>
      <c r="ED67" s="285"/>
      <c r="EE67" s="285"/>
      <c r="EF67" s="285"/>
      <c r="EG67" s="285"/>
      <c r="EH67" s="285"/>
      <c r="EI67" s="285"/>
    </row>
    <row r="68">
      <c r="A68" s="383" t="s">
        <v>2056</v>
      </c>
      <c r="B68" s="374" t="s">
        <v>2057</v>
      </c>
      <c r="C68" s="385"/>
      <c r="D68" s="264"/>
      <c r="E68" s="307"/>
      <c r="F68" s="307"/>
      <c r="G68" s="386"/>
      <c r="H68" s="355">
        <v>53.30351708</v>
      </c>
      <c r="I68" s="355">
        <v>31.35670278</v>
      </c>
      <c r="J68" s="309"/>
      <c r="K68" s="309" t="s">
        <v>169</v>
      </c>
      <c r="L68" s="355"/>
      <c r="M68" s="309"/>
      <c r="N68" s="268"/>
      <c r="O68" s="355"/>
      <c r="P68" s="355"/>
      <c r="Q68" s="355"/>
      <c r="R68" s="355"/>
      <c r="S68" s="355"/>
      <c r="T68" s="309"/>
      <c r="U68" s="309"/>
      <c r="V68" s="309"/>
      <c r="W68" s="309"/>
      <c r="X68" s="309"/>
      <c r="Y68" s="309"/>
      <c r="Z68" s="309"/>
      <c r="AA68" s="309"/>
      <c r="AB68" s="309"/>
      <c r="AC68" s="309"/>
      <c r="AD68" s="308"/>
      <c r="AE68" s="268"/>
      <c r="AF68" s="268"/>
      <c r="AG68" s="268"/>
      <c r="AH68" s="375" t="s">
        <v>1479</v>
      </c>
      <c r="AI68" s="309"/>
      <c r="AJ68" s="309"/>
      <c r="AK68" s="376" t="s">
        <v>1479</v>
      </c>
      <c r="AL68" s="380">
        <v>2001.0</v>
      </c>
      <c r="AM68" s="270"/>
      <c r="AN68" s="272"/>
      <c r="AO68" s="272"/>
      <c r="AP68" s="315"/>
      <c r="AQ68" s="330"/>
      <c r="AR68" s="357"/>
      <c r="AS68" s="380"/>
      <c r="AT68" s="272"/>
      <c r="AU68" s="272"/>
      <c r="AV68" s="316"/>
      <c r="AW68" s="316"/>
      <c r="AX68" s="377">
        <v>250.0</v>
      </c>
      <c r="AY68" s="314"/>
      <c r="AZ68" s="314" t="s">
        <v>1484</v>
      </c>
      <c r="BA68" s="270" t="s">
        <v>162</v>
      </c>
      <c r="BB68" s="314" t="s">
        <v>2021</v>
      </c>
      <c r="BC68" s="351"/>
      <c r="BD68" s="351"/>
      <c r="BE68" s="334"/>
      <c r="BF68" s="334"/>
      <c r="BG68" s="335"/>
      <c r="BH68" s="335"/>
      <c r="BI68" s="335"/>
      <c r="BJ68" s="335"/>
      <c r="BK68" s="336"/>
      <c r="BL68" s="336"/>
      <c r="BM68" s="336"/>
      <c r="BN68" s="336"/>
      <c r="BO68" s="337"/>
      <c r="BP68" s="337"/>
      <c r="BQ68" s="337"/>
      <c r="BR68" s="337"/>
      <c r="BS68" s="338"/>
      <c r="BT68" s="338"/>
      <c r="BU68" s="338"/>
      <c r="BV68" s="338"/>
      <c r="BW68" s="339"/>
      <c r="BX68" s="339"/>
      <c r="BY68" s="339"/>
      <c r="BZ68" s="339"/>
      <c r="CA68" s="340"/>
      <c r="CB68" s="340"/>
      <c r="CC68" s="340"/>
      <c r="CD68" s="340"/>
      <c r="CE68" s="341"/>
      <c r="CF68" s="341"/>
      <c r="CG68" s="341"/>
      <c r="CH68" s="341"/>
      <c r="CI68" s="342"/>
      <c r="CJ68" s="342"/>
      <c r="CK68" s="342"/>
      <c r="CL68" s="342"/>
      <c r="CM68" s="378">
        <v>-7.07</v>
      </c>
      <c r="CN68" s="379"/>
      <c r="CO68" s="379"/>
      <c r="CP68" s="379"/>
      <c r="CQ68" s="343"/>
      <c r="CR68" s="343"/>
      <c r="CS68" s="343"/>
      <c r="CT68" s="343"/>
      <c r="CU68" s="344"/>
      <c r="CV68" s="344"/>
      <c r="CW68" s="344"/>
      <c r="CX68" s="344"/>
      <c r="CY68" s="345"/>
      <c r="CZ68" s="345"/>
      <c r="DA68" s="345"/>
      <c r="DB68" s="345"/>
      <c r="DC68" s="346"/>
      <c r="DD68" s="346"/>
      <c r="DE68" s="346"/>
      <c r="DF68" s="346"/>
      <c r="DG68" s="358"/>
      <c r="DH68" s="358"/>
      <c r="DI68" s="358"/>
      <c r="DJ68" s="348"/>
      <c r="DK68" s="348"/>
      <c r="DL68" s="348"/>
      <c r="DM68" s="324"/>
      <c r="DN68" s="317"/>
      <c r="DO68" s="380">
        <v>-0.29</v>
      </c>
      <c r="DP68" s="360"/>
      <c r="DQ68" s="387"/>
      <c r="DR68" s="381"/>
      <c r="DS68" s="314" t="s">
        <v>1479</v>
      </c>
      <c r="DT68" s="314"/>
      <c r="DU68" s="389"/>
      <c r="DV68" s="285"/>
      <c r="DW68" s="285"/>
      <c r="DX68" s="285"/>
      <c r="DY68" s="285"/>
      <c r="DZ68" s="285"/>
      <c r="EA68" s="285"/>
      <c r="EB68" s="285"/>
      <c r="EC68" s="285"/>
      <c r="ED68" s="285"/>
      <c r="EE68" s="285"/>
      <c r="EF68" s="285"/>
      <c r="EG68" s="285"/>
      <c r="EH68" s="285"/>
      <c r="EI68" s="285"/>
    </row>
    <row r="69">
      <c r="A69" s="383" t="s">
        <v>2058</v>
      </c>
      <c r="B69" s="374" t="s">
        <v>2058</v>
      </c>
      <c r="C69" s="385"/>
      <c r="D69" s="264"/>
      <c r="E69" s="307"/>
      <c r="F69" s="307"/>
      <c r="G69" s="386"/>
      <c r="H69" s="355">
        <v>56.92334583</v>
      </c>
      <c r="I69" s="355">
        <v>32.86216389</v>
      </c>
      <c r="J69" s="309"/>
      <c r="K69" s="309" t="s">
        <v>257</v>
      </c>
      <c r="L69" s="355"/>
      <c r="M69" s="309"/>
      <c r="N69" s="268"/>
      <c r="O69" s="355"/>
      <c r="P69" s="355"/>
      <c r="Q69" s="355"/>
      <c r="R69" s="355"/>
      <c r="S69" s="355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  <c r="AD69" s="355">
        <v>30.0</v>
      </c>
      <c r="AE69" s="268"/>
      <c r="AF69" s="268"/>
      <c r="AG69" s="268"/>
      <c r="AH69" s="375" t="s">
        <v>1479</v>
      </c>
      <c r="AI69" s="309"/>
      <c r="AJ69" s="309"/>
      <c r="AK69" s="376" t="s">
        <v>1479</v>
      </c>
      <c r="AL69" s="380">
        <v>2002.0</v>
      </c>
      <c r="AM69" s="270"/>
      <c r="AN69" s="272"/>
      <c r="AO69" s="272"/>
      <c r="AP69" s="359">
        <v>5750.0</v>
      </c>
      <c r="AQ69" s="330"/>
      <c r="AR69" s="357"/>
      <c r="AS69" s="380"/>
      <c r="AT69" s="314">
        <v>9.4</v>
      </c>
      <c r="AU69" s="272"/>
      <c r="AV69" s="316"/>
      <c r="AW69" s="316"/>
      <c r="AX69" s="377">
        <v>350.0</v>
      </c>
      <c r="AY69" s="314"/>
      <c r="AZ69" s="314" t="s">
        <v>1484</v>
      </c>
      <c r="BA69" s="270" t="s">
        <v>162</v>
      </c>
      <c r="BB69" s="314" t="s">
        <v>2021</v>
      </c>
      <c r="BC69" s="351"/>
      <c r="BD69" s="351"/>
      <c r="BE69" s="334"/>
      <c r="BF69" s="334"/>
      <c r="BG69" s="335"/>
      <c r="BH69" s="335"/>
      <c r="BI69" s="335"/>
      <c r="BJ69" s="335"/>
      <c r="BK69" s="336"/>
      <c r="BL69" s="336"/>
      <c r="BM69" s="336"/>
      <c r="BN69" s="336"/>
      <c r="BO69" s="337"/>
      <c r="BP69" s="337"/>
      <c r="BQ69" s="337"/>
      <c r="BR69" s="337"/>
      <c r="BS69" s="338"/>
      <c r="BT69" s="338"/>
      <c r="BU69" s="338"/>
      <c r="BV69" s="338"/>
      <c r="BW69" s="339"/>
      <c r="BX69" s="339"/>
      <c r="BY69" s="339"/>
      <c r="BZ69" s="339"/>
      <c r="CA69" s="340"/>
      <c r="CB69" s="340"/>
      <c r="CC69" s="340"/>
      <c r="CD69" s="340"/>
      <c r="CE69" s="341"/>
      <c r="CF69" s="341"/>
      <c r="CG69" s="341"/>
      <c r="CH69" s="341"/>
      <c r="CI69" s="342"/>
      <c r="CJ69" s="342"/>
      <c r="CK69" s="342"/>
      <c r="CL69" s="342"/>
      <c r="CM69" s="378">
        <v>-0.51</v>
      </c>
      <c r="CN69" s="379"/>
      <c r="CO69" s="379"/>
      <c r="CP69" s="379"/>
      <c r="CQ69" s="343"/>
      <c r="CR69" s="343"/>
      <c r="CS69" s="343"/>
      <c r="CT69" s="343"/>
      <c r="CU69" s="344"/>
      <c r="CV69" s="344"/>
      <c r="CW69" s="344"/>
      <c r="CX69" s="344"/>
      <c r="CY69" s="345"/>
      <c r="CZ69" s="345"/>
      <c r="DA69" s="345"/>
      <c r="DB69" s="345"/>
      <c r="DC69" s="346"/>
      <c r="DD69" s="346"/>
      <c r="DE69" s="346"/>
      <c r="DF69" s="346"/>
      <c r="DG69" s="358"/>
      <c r="DH69" s="358"/>
      <c r="DI69" s="358"/>
      <c r="DJ69" s="348"/>
      <c r="DK69" s="348"/>
      <c r="DL69" s="348"/>
      <c r="DM69" s="324"/>
      <c r="DN69" s="317"/>
      <c r="DO69" s="380">
        <v>-0.5</v>
      </c>
      <c r="DP69" s="360"/>
      <c r="DQ69" s="387"/>
      <c r="DR69" s="381"/>
      <c r="DS69" s="314" t="s">
        <v>1479</v>
      </c>
      <c r="DT69" s="314"/>
      <c r="DU69" s="389"/>
      <c r="DV69" s="285"/>
      <c r="DW69" s="285"/>
      <c r="DX69" s="285"/>
      <c r="DY69" s="285"/>
      <c r="DZ69" s="285"/>
      <c r="EA69" s="285"/>
      <c r="EB69" s="285"/>
      <c r="EC69" s="285"/>
      <c r="ED69" s="285"/>
      <c r="EE69" s="285"/>
      <c r="EF69" s="285"/>
      <c r="EG69" s="285"/>
      <c r="EH69" s="285"/>
      <c r="EI69" s="285"/>
    </row>
    <row r="70">
      <c r="A70" s="383" t="s">
        <v>2059</v>
      </c>
      <c r="B70" s="374" t="s">
        <v>2059</v>
      </c>
      <c r="C70" s="385"/>
      <c r="D70" s="264"/>
      <c r="E70" s="307"/>
      <c r="F70" s="307"/>
      <c r="G70" s="386"/>
      <c r="H70" s="355">
        <v>66.73457083</v>
      </c>
      <c r="I70" s="355">
        <v>24.72648</v>
      </c>
      <c r="J70" s="309"/>
      <c r="K70" s="309" t="s">
        <v>257</v>
      </c>
      <c r="L70" s="355"/>
      <c r="M70" s="309"/>
      <c r="N70" s="268"/>
      <c r="O70" s="355"/>
      <c r="P70" s="355"/>
      <c r="Q70" s="355"/>
      <c r="R70" s="355"/>
      <c r="S70" s="355"/>
      <c r="T70" s="309"/>
      <c r="U70" s="309"/>
      <c r="V70" s="309"/>
      <c r="W70" s="309"/>
      <c r="X70" s="309"/>
      <c r="Y70" s="309"/>
      <c r="Z70" s="309"/>
      <c r="AA70" s="309"/>
      <c r="AB70" s="309"/>
      <c r="AC70" s="309"/>
      <c r="AD70" s="355">
        <v>33.0</v>
      </c>
      <c r="AE70" s="268"/>
      <c r="AF70" s="268"/>
      <c r="AG70" s="268"/>
      <c r="AH70" s="375" t="s">
        <v>1479</v>
      </c>
      <c r="AI70" s="309"/>
      <c r="AJ70" s="309"/>
      <c r="AK70" s="376" t="s">
        <v>1479</v>
      </c>
      <c r="AL70" s="380">
        <v>2005.0</v>
      </c>
      <c r="AM70" s="270"/>
      <c r="AN70" s="272"/>
      <c r="AO70" s="272"/>
      <c r="AP70" s="315"/>
      <c r="AQ70" s="330"/>
      <c r="AR70" s="357"/>
      <c r="AS70" s="380"/>
      <c r="AT70" s="314">
        <v>0.15</v>
      </c>
      <c r="AU70" s="272"/>
      <c r="AV70" s="316"/>
      <c r="AW70" s="316"/>
      <c r="AX70" s="377">
        <v>140.0</v>
      </c>
      <c r="AY70" s="314"/>
      <c r="AZ70" s="314" t="s">
        <v>1484</v>
      </c>
      <c r="BA70" s="270" t="s">
        <v>162</v>
      </c>
      <c r="BB70" s="314" t="s">
        <v>2021</v>
      </c>
      <c r="BC70" s="351"/>
      <c r="BD70" s="351"/>
      <c r="BE70" s="334"/>
      <c r="BF70" s="334"/>
      <c r="BG70" s="335"/>
      <c r="BH70" s="335"/>
      <c r="BI70" s="335"/>
      <c r="BJ70" s="335"/>
      <c r="BK70" s="336"/>
      <c r="BL70" s="336"/>
      <c r="BM70" s="336"/>
      <c r="BN70" s="336"/>
      <c r="BO70" s="337"/>
      <c r="BP70" s="337"/>
      <c r="BQ70" s="337"/>
      <c r="BR70" s="337"/>
      <c r="BS70" s="338"/>
      <c r="BT70" s="338"/>
      <c r="BU70" s="338"/>
      <c r="BV70" s="338"/>
      <c r="BW70" s="339"/>
      <c r="BX70" s="339"/>
      <c r="BY70" s="339"/>
      <c r="BZ70" s="339"/>
      <c r="CA70" s="340"/>
      <c r="CB70" s="340"/>
      <c r="CC70" s="340"/>
      <c r="CD70" s="340"/>
      <c r="CE70" s="341"/>
      <c r="CF70" s="341"/>
      <c r="CG70" s="341"/>
      <c r="CH70" s="341"/>
      <c r="CI70" s="342"/>
      <c r="CJ70" s="342"/>
      <c r="CK70" s="342"/>
      <c r="CL70" s="342"/>
      <c r="CM70" s="378">
        <v>-9.56</v>
      </c>
      <c r="CN70" s="379"/>
      <c r="CO70" s="379"/>
      <c r="CP70" s="379"/>
      <c r="CQ70" s="343"/>
      <c r="CR70" s="343"/>
      <c r="CS70" s="343"/>
      <c r="CT70" s="343"/>
      <c r="CU70" s="344"/>
      <c r="CV70" s="344"/>
      <c r="CW70" s="344"/>
      <c r="CX70" s="344"/>
      <c r="CY70" s="345"/>
      <c r="CZ70" s="345"/>
      <c r="DA70" s="345"/>
      <c r="DB70" s="345"/>
      <c r="DC70" s="346"/>
      <c r="DD70" s="346"/>
      <c r="DE70" s="346"/>
      <c r="DF70" s="346"/>
      <c r="DG70" s="358"/>
      <c r="DH70" s="358"/>
      <c r="DI70" s="358"/>
      <c r="DJ70" s="348"/>
      <c r="DK70" s="348"/>
      <c r="DL70" s="348"/>
      <c r="DM70" s="324"/>
      <c r="DN70" s="317"/>
      <c r="DO70" s="380">
        <v>-0.21</v>
      </c>
      <c r="DP70" s="360"/>
      <c r="DQ70" s="387"/>
      <c r="DR70" s="381"/>
      <c r="DS70" s="314" t="s">
        <v>1479</v>
      </c>
      <c r="DT70" s="314"/>
      <c r="DU70" s="389"/>
      <c r="DV70" s="285"/>
      <c r="DW70" s="285"/>
      <c r="DX70" s="285"/>
      <c r="DY70" s="285"/>
      <c r="DZ70" s="285"/>
      <c r="EA70" s="285"/>
      <c r="EB70" s="285"/>
      <c r="EC70" s="285"/>
      <c r="ED70" s="285"/>
      <c r="EE70" s="285"/>
      <c r="EF70" s="285"/>
      <c r="EG70" s="285"/>
      <c r="EH70" s="285"/>
      <c r="EI70" s="285"/>
    </row>
    <row r="71">
      <c r="A71" s="383"/>
      <c r="B71" s="374" t="s">
        <v>2060</v>
      </c>
      <c r="C71" s="385"/>
      <c r="D71" s="264"/>
      <c r="E71" s="307"/>
      <c r="F71" s="307"/>
      <c r="G71" s="386"/>
      <c r="H71" s="355"/>
      <c r="I71" s="355"/>
      <c r="J71" s="309"/>
      <c r="K71" s="309" t="s">
        <v>257</v>
      </c>
      <c r="L71" s="355"/>
      <c r="M71" s="309"/>
      <c r="N71" s="268"/>
      <c r="O71" s="355"/>
      <c r="P71" s="355"/>
      <c r="Q71" s="355"/>
      <c r="R71" s="355"/>
      <c r="S71" s="355"/>
      <c r="T71" s="309"/>
      <c r="U71" s="309"/>
      <c r="V71" s="309"/>
      <c r="W71" s="309"/>
      <c r="X71" s="309"/>
      <c r="Y71" s="309"/>
      <c r="Z71" s="309"/>
      <c r="AA71" s="309"/>
      <c r="AB71" s="309"/>
      <c r="AC71" s="309"/>
      <c r="AD71" s="355">
        <v>9.8</v>
      </c>
      <c r="AE71" s="268"/>
      <c r="AF71" s="268"/>
      <c r="AG71" s="268"/>
      <c r="AH71" s="375" t="s">
        <v>1479</v>
      </c>
      <c r="AI71" s="309"/>
      <c r="AJ71" s="309"/>
      <c r="AK71" s="376" t="s">
        <v>1479</v>
      </c>
      <c r="AL71" s="380">
        <v>2008.0</v>
      </c>
      <c r="AM71" s="270"/>
      <c r="AN71" s="314" t="s">
        <v>459</v>
      </c>
      <c r="AO71" s="272"/>
      <c r="AP71" s="359">
        <v>4400.0</v>
      </c>
      <c r="AQ71" s="330"/>
      <c r="AR71" s="357"/>
      <c r="AS71" s="380"/>
      <c r="AT71" s="272"/>
      <c r="AU71" s="272"/>
      <c r="AV71" s="316"/>
      <c r="AW71" s="316"/>
      <c r="AX71" s="377">
        <v>120.0</v>
      </c>
      <c r="AY71" s="314"/>
      <c r="AZ71" s="314" t="s">
        <v>1489</v>
      </c>
      <c r="BA71" s="270" t="s">
        <v>162</v>
      </c>
      <c r="BB71" s="314" t="s">
        <v>2021</v>
      </c>
      <c r="BC71" s="351"/>
      <c r="BD71" s="351"/>
      <c r="BE71" s="334"/>
      <c r="BF71" s="334"/>
      <c r="BG71" s="335"/>
      <c r="BH71" s="335"/>
      <c r="BI71" s="335"/>
      <c r="BJ71" s="335"/>
      <c r="BK71" s="336"/>
      <c r="BL71" s="336"/>
      <c r="BM71" s="336"/>
      <c r="BN71" s="336"/>
      <c r="BO71" s="337"/>
      <c r="BP71" s="337"/>
      <c r="BQ71" s="337"/>
      <c r="BR71" s="337"/>
      <c r="BS71" s="338"/>
      <c r="BT71" s="338"/>
      <c r="BU71" s="338"/>
      <c r="BV71" s="338"/>
      <c r="BW71" s="339"/>
      <c r="BX71" s="339"/>
      <c r="BY71" s="339"/>
      <c r="BZ71" s="339"/>
      <c r="CA71" s="340"/>
      <c r="CB71" s="340"/>
      <c r="CC71" s="340"/>
      <c r="CD71" s="340"/>
      <c r="CE71" s="341"/>
      <c r="CF71" s="341"/>
      <c r="CG71" s="341"/>
      <c r="CH71" s="341"/>
      <c r="CI71" s="342"/>
      <c r="CJ71" s="342"/>
      <c r="CK71" s="342"/>
      <c r="CL71" s="342"/>
      <c r="CM71" s="378">
        <v>-2.28</v>
      </c>
      <c r="CN71" s="379"/>
      <c r="CO71" s="379"/>
      <c r="CP71" s="379"/>
      <c r="CQ71" s="343"/>
      <c r="CR71" s="343"/>
      <c r="CS71" s="343"/>
      <c r="CT71" s="343"/>
      <c r="CU71" s="344"/>
      <c r="CV71" s="344"/>
      <c r="CW71" s="344"/>
      <c r="CX71" s="344"/>
      <c r="CY71" s="345"/>
      <c r="CZ71" s="345"/>
      <c r="DA71" s="345"/>
      <c r="DB71" s="345"/>
      <c r="DC71" s="346"/>
      <c r="DD71" s="346"/>
      <c r="DE71" s="346"/>
      <c r="DF71" s="346"/>
      <c r="DG71" s="358"/>
      <c r="DH71" s="358"/>
      <c r="DI71" s="358"/>
      <c r="DJ71" s="348"/>
      <c r="DK71" s="348"/>
      <c r="DL71" s="348"/>
      <c r="DM71" s="324"/>
      <c r="DN71" s="317"/>
      <c r="DO71" s="380">
        <v>-0.68</v>
      </c>
      <c r="DP71" s="360"/>
      <c r="DQ71" s="387"/>
      <c r="DR71" s="381"/>
      <c r="DS71" s="314" t="s">
        <v>1479</v>
      </c>
      <c r="DT71" s="314"/>
      <c r="DU71" s="389"/>
      <c r="DV71" s="285"/>
      <c r="DW71" s="285"/>
      <c r="DX71" s="285"/>
      <c r="DY71" s="285"/>
      <c r="DZ71" s="285"/>
      <c r="EA71" s="285"/>
      <c r="EB71" s="285"/>
      <c r="EC71" s="285"/>
      <c r="ED71" s="285"/>
      <c r="EE71" s="285"/>
      <c r="EF71" s="285"/>
      <c r="EG71" s="285"/>
      <c r="EH71" s="285"/>
      <c r="EI71" s="285"/>
    </row>
    <row r="72">
      <c r="A72" s="383"/>
      <c r="B72" s="374" t="s">
        <v>2061</v>
      </c>
      <c r="C72" s="385"/>
      <c r="D72" s="264"/>
      <c r="E72" s="307"/>
      <c r="F72" s="307"/>
      <c r="G72" s="386"/>
      <c r="H72" s="355"/>
      <c r="I72" s="355"/>
      <c r="J72" s="309"/>
      <c r="K72" s="309" t="s">
        <v>257</v>
      </c>
      <c r="L72" s="355"/>
      <c r="M72" s="309"/>
      <c r="N72" s="268"/>
      <c r="O72" s="355"/>
      <c r="P72" s="355"/>
      <c r="Q72" s="355"/>
      <c r="R72" s="355"/>
      <c r="S72" s="355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55">
        <v>9.8</v>
      </c>
      <c r="AE72" s="268"/>
      <c r="AF72" s="268"/>
      <c r="AG72" s="268"/>
      <c r="AH72" s="375" t="s">
        <v>1479</v>
      </c>
      <c r="AI72" s="309"/>
      <c r="AJ72" s="309"/>
      <c r="AK72" s="376" t="s">
        <v>1479</v>
      </c>
      <c r="AL72" s="380">
        <v>2008.0</v>
      </c>
      <c r="AM72" s="270"/>
      <c r="AN72" s="314" t="s">
        <v>459</v>
      </c>
      <c r="AO72" s="272"/>
      <c r="AP72" s="359">
        <v>4400.0</v>
      </c>
      <c r="AQ72" s="330"/>
      <c r="AR72" s="357"/>
      <c r="AS72" s="380"/>
      <c r="AT72" s="272"/>
      <c r="AU72" s="272"/>
      <c r="AV72" s="316"/>
      <c r="AW72" s="316"/>
      <c r="AX72" s="377">
        <v>120.0</v>
      </c>
      <c r="AY72" s="314"/>
      <c r="AZ72" s="314" t="s">
        <v>1489</v>
      </c>
      <c r="BA72" s="270" t="s">
        <v>162</v>
      </c>
      <c r="BB72" s="314" t="s">
        <v>2021</v>
      </c>
      <c r="BC72" s="351"/>
      <c r="BD72" s="351"/>
      <c r="BE72" s="334"/>
      <c r="BF72" s="334"/>
      <c r="BG72" s="335"/>
      <c r="BH72" s="335"/>
      <c r="BI72" s="335"/>
      <c r="BJ72" s="335"/>
      <c r="BK72" s="336"/>
      <c r="BL72" s="336"/>
      <c r="BM72" s="336"/>
      <c r="BN72" s="336"/>
      <c r="BO72" s="337"/>
      <c r="BP72" s="337"/>
      <c r="BQ72" s="337"/>
      <c r="BR72" s="337"/>
      <c r="BS72" s="338"/>
      <c r="BT72" s="338"/>
      <c r="BU72" s="338"/>
      <c r="BV72" s="338"/>
      <c r="BW72" s="339"/>
      <c r="BX72" s="339"/>
      <c r="BY72" s="339"/>
      <c r="BZ72" s="339"/>
      <c r="CA72" s="340"/>
      <c r="CB72" s="340"/>
      <c r="CC72" s="340"/>
      <c r="CD72" s="340"/>
      <c r="CE72" s="341"/>
      <c r="CF72" s="341"/>
      <c r="CG72" s="341"/>
      <c r="CH72" s="341"/>
      <c r="CI72" s="342"/>
      <c r="CJ72" s="342"/>
      <c r="CK72" s="342"/>
      <c r="CL72" s="342"/>
      <c r="CM72" s="378">
        <v>-2.2</v>
      </c>
      <c r="CN72" s="379"/>
      <c r="CO72" s="379"/>
      <c r="CP72" s="379"/>
      <c r="CQ72" s="343"/>
      <c r="CR72" s="343"/>
      <c r="CS72" s="343"/>
      <c r="CT72" s="343"/>
      <c r="CU72" s="344"/>
      <c r="CV72" s="344"/>
      <c r="CW72" s="344"/>
      <c r="CX72" s="344"/>
      <c r="CY72" s="345"/>
      <c r="CZ72" s="345"/>
      <c r="DA72" s="345"/>
      <c r="DB72" s="345"/>
      <c r="DC72" s="346"/>
      <c r="DD72" s="346"/>
      <c r="DE72" s="346"/>
      <c r="DF72" s="346"/>
      <c r="DG72" s="358"/>
      <c r="DH72" s="358"/>
      <c r="DI72" s="358"/>
      <c r="DJ72" s="348"/>
      <c r="DK72" s="348"/>
      <c r="DL72" s="348"/>
      <c r="DM72" s="324"/>
      <c r="DN72" s="317"/>
      <c r="DO72" s="380">
        <v>-0.83</v>
      </c>
      <c r="DP72" s="360"/>
      <c r="DQ72" s="387"/>
      <c r="DR72" s="381"/>
      <c r="DS72" s="314" t="s">
        <v>1479</v>
      </c>
      <c r="DT72" s="314"/>
      <c r="DU72" s="389"/>
      <c r="DV72" s="285"/>
      <c r="DW72" s="285"/>
      <c r="DX72" s="285"/>
      <c r="DY72" s="285"/>
      <c r="DZ72" s="285"/>
      <c r="EA72" s="285"/>
      <c r="EB72" s="285"/>
      <c r="EC72" s="285"/>
      <c r="ED72" s="285"/>
      <c r="EE72" s="285"/>
      <c r="EF72" s="285"/>
      <c r="EG72" s="285"/>
      <c r="EH72" s="285"/>
      <c r="EI72" s="285"/>
    </row>
    <row r="73">
      <c r="A73" s="383"/>
      <c r="B73" s="374" t="s">
        <v>2062</v>
      </c>
      <c r="C73" s="385"/>
      <c r="D73" s="264"/>
      <c r="E73" s="307"/>
      <c r="F73" s="307"/>
      <c r="G73" s="386"/>
      <c r="H73" s="355"/>
      <c r="I73" s="355"/>
      <c r="J73" s="309"/>
      <c r="K73" s="309" t="s">
        <v>257</v>
      </c>
      <c r="L73" s="355"/>
      <c r="M73" s="309"/>
      <c r="N73" s="268"/>
      <c r="O73" s="355"/>
      <c r="P73" s="355"/>
      <c r="Q73" s="355"/>
      <c r="R73" s="355"/>
      <c r="S73" s="355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55">
        <v>37.6</v>
      </c>
      <c r="AE73" s="268"/>
      <c r="AF73" s="268"/>
      <c r="AG73" s="268"/>
      <c r="AH73" s="375" t="s">
        <v>1479</v>
      </c>
      <c r="AI73" s="309"/>
      <c r="AJ73" s="309"/>
      <c r="AK73" s="376" t="s">
        <v>1479</v>
      </c>
      <c r="AL73" s="380">
        <v>2002.0</v>
      </c>
      <c r="AM73" s="270"/>
      <c r="AN73" s="314" t="s">
        <v>453</v>
      </c>
      <c r="AO73" s="272"/>
      <c r="AP73" s="359">
        <v>5200.0</v>
      </c>
      <c r="AQ73" s="330"/>
      <c r="AR73" s="357"/>
      <c r="AS73" s="380"/>
      <c r="AT73" s="314">
        <v>1.1</v>
      </c>
      <c r="AU73" s="272"/>
      <c r="AV73" s="316"/>
      <c r="AW73" s="316"/>
      <c r="AX73" s="377">
        <v>120.0</v>
      </c>
      <c r="AY73" s="314"/>
      <c r="AZ73" s="314" t="s">
        <v>1480</v>
      </c>
      <c r="BA73" s="270" t="s">
        <v>162</v>
      </c>
      <c r="BB73" s="314" t="s">
        <v>2021</v>
      </c>
      <c r="BC73" s="351"/>
      <c r="BD73" s="351"/>
      <c r="BE73" s="334"/>
      <c r="BF73" s="334"/>
      <c r="BG73" s="335"/>
      <c r="BH73" s="335"/>
      <c r="BI73" s="335"/>
      <c r="BJ73" s="335"/>
      <c r="BK73" s="336"/>
      <c r="BL73" s="336"/>
      <c r="BM73" s="336"/>
      <c r="BN73" s="336"/>
      <c r="BO73" s="337"/>
      <c r="BP73" s="337"/>
      <c r="BQ73" s="337"/>
      <c r="BR73" s="337"/>
      <c r="BS73" s="338"/>
      <c r="BT73" s="338"/>
      <c r="BU73" s="338"/>
      <c r="BV73" s="338"/>
      <c r="BW73" s="339"/>
      <c r="BX73" s="339"/>
      <c r="BY73" s="339"/>
      <c r="BZ73" s="339"/>
      <c r="CA73" s="340"/>
      <c r="CB73" s="340"/>
      <c r="CC73" s="340"/>
      <c r="CD73" s="340"/>
      <c r="CE73" s="341"/>
      <c r="CF73" s="341"/>
      <c r="CG73" s="341"/>
      <c r="CH73" s="341"/>
      <c r="CI73" s="342"/>
      <c r="CJ73" s="342"/>
      <c r="CK73" s="342"/>
      <c r="CL73" s="342"/>
      <c r="CM73" s="378">
        <v>-5.53</v>
      </c>
      <c r="CN73" s="379"/>
      <c r="CO73" s="379"/>
      <c r="CP73" s="379"/>
      <c r="CQ73" s="343"/>
      <c r="CR73" s="343"/>
      <c r="CS73" s="343"/>
      <c r="CT73" s="343"/>
      <c r="CU73" s="344"/>
      <c r="CV73" s="344"/>
      <c r="CW73" s="344"/>
      <c r="CX73" s="344"/>
      <c r="CY73" s="345"/>
      <c r="CZ73" s="345"/>
      <c r="DA73" s="345"/>
      <c r="DB73" s="345"/>
      <c r="DC73" s="346"/>
      <c r="DD73" s="346"/>
      <c r="DE73" s="346"/>
      <c r="DF73" s="346"/>
      <c r="DG73" s="358"/>
      <c r="DH73" s="358"/>
      <c r="DI73" s="358"/>
      <c r="DJ73" s="348"/>
      <c r="DK73" s="348"/>
      <c r="DL73" s="348"/>
      <c r="DM73" s="324"/>
      <c r="DN73" s="317"/>
      <c r="DO73" s="380">
        <v>-0.28</v>
      </c>
      <c r="DP73" s="360"/>
      <c r="DQ73" s="387"/>
      <c r="DR73" s="381"/>
      <c r="DS73" s="314" t="s">
        <v>1479</v>
      </c>
      <c r="DT73" s="314"/>
      <c r="DU73" s="389"/>
      <c r="DV73" s="285"/>
      <c r="DW73" s="285"/>
      <c r="DX73" s="285"/>
      <c r="DY73" s="285"/>
      <c r="DZ73" s="285"/>
      <c r="EA73" s="285"/>
      <c r="EB73" s="285"/>
      <c r="EC73" s="285"/>
      <c r="ED73" s="285"/>
      <c r="EE73" s="285"/>
      <c r="EF73" s="285"/>
      <c r="EG73" s="285"/>
      <c r="EH73" s="285"/>
      <c r="EI73" s="285"/>
    </row>
    <row r="74">
      <c r="A74" s="383"/>
      <c r="B74" s="374" t="s">
        <v>2063</v>
      </c>
      <c r="C74" s="385"/>
      <c r="D74" s="264"/>
      <c r="E74" s="307"/>
      <c r="F74" s="307"/>
      <c r="G74" s="386"/>
      <c r="H74" s="355"/>
      <c r="I74" s="355"/>
      <c r="J74" s="309"/>
      <c r="K74" s="309" t="s">
        <v>169</v>
      </c>
      <c r="L74" s="355"/>
      <c r="M74" s="309"/>
      <c r="N74" s="268"/>
      <c r="O74" s="355"/>
      <c r="P74" s="355"/>
      <c r="Q74" s="355"/>
      <c r="R74" s="355"/>
      <c r="S74" s="355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  <c r="AD74" s="355">
        <v>9.0</v>
      </c>
      <c r="AE74" s="268"/>
      <c r="AF74" s="268"/>
      <c r="AG74" s="268"/>
      <c r="AH74" s="375" t="s">
        <v>1479</v>
      </c>
      <c r="AI74" s="309"/>
      <c r="AJ74" s="309"/>
      <c r="AK74" s="376" t="s">
        <v>1479</v>
      </c>
      <c r="AL74" s="380">
        <v>2002.0</v>
      </c>
      <c r="AM74" s="270"/>
      <c r="AN74" s="314" t="s">
        <v>589</v>
      </c>
      <c r="AO74" s="272"/>
      <c r="AP74" s="315"/>
      <c r="AQ74" s="330"/>
      <c r="AR74" s="357"/>
      <c r="AS74" s="380"/>
      <c r="AT74" s="272"/>
      <c r="AU74" s="272"/>
      <c r="AV74" s="316"/>
      <c r="AW74" s="316"/>
      <c r="AX74" s="377">
        <v>120.0</v>
      </c>
      <c r="AY74" s="314"/>
      <c r="AZ74" s="314" t="s">
        <v>1484</v>
      </c>
      <c r="BA74" s="270" t="s">
        <v>162</v>
      </c>
      <c r="BB74" s="314" t="s">
        <v>2021</v>
      </c>
      <c r="BC74" s="351"/>
      <c r="BD74" s="351"/>
      <c r="BE74" s="334"/>
      <c r="BF74" s="334"/>
      <c r="BG74" s="335"/>
      <c r="BH74" s="335"/>
      <c r="BI74" s="335"/>
      <c r="BJ74" s="335"/>
      <c r="BK74" s="336"/>
      <c r="BL74" s="336"/>
      <c r="BM74" s="336"/>
      <c r="BN74" s="336"/>
      <c r="BO74" s="337"/>
      <c r="BP74" s="337"/>
      <c r="BQ74" s="337"/>
      <c r="BR74" s="337"/>
      <c r="BS74" s="338"/>
      <c r="BT74" s="338"/>
      <c r="BU74" s="338"/>
      <c r="BV74" s="338"/>
      <c r="BW74" s="339"/>
      <c r="BX74" s="339"/>
      <c r="BY74" s="339"/>
      <c r="BZ74" s="339"/>
      <c r="CA74" s="340"/>
      <c r="CB74" s="340"/>
      <c r="CC74" s="340"/>
      <c r="CD74" s="340"/>
      <c r="CE74" s="341"/>
      <c r="CF74" s="341"/>
      <c r="CG74" s="341"/>
      <c r="CH74" s="341"/>
      <c r="CI74" s="342"/>
      <c r="CJ74" s="342"/>
      <c r="CK74" s="342"/>
      <c r="CL74" s="342"/>
      <c r="CM74" s="378">
        <v>-4.04</v>
      </c>
      <c r="CN74" s="379"/>
      <c r="CO74" s="379"/>
      <c r="CP74" s="379"/>
      <c r="CQ74" s="343"/>
      <c r="CR74" s="343"/>
      <c r="CS74" s="343"/>
      <c r="CT74" s="343"/>
      <c r="CU74" s="344"/>
      <c r="CV74" s="344"/>
      <c r="CW74" s="344"/>
      <c r="CX74" s="344"/>
      <c r="CY74" s="345"/>
      <c r="CZ74" s="345"/>
      <c r="DA74" s="345"/>
      <c r="DB74" s="345"/>
      <c r="DC74" s="346"/>
      <c r="DD74" s="346"/>
      <c r="DE74" s="346"/>
      <c r="DF74" s="346"/>
      <c r="DG74" s="358"/>
      <c r="DH74" s="358"/>
      <c r="DI74" s="358"/>
      <c r="DJ74" s="348"/>
      <c r="DK74" s="348"/>
      <c r="DL74" s="348"/>
      <c r="DM74" s="324"/>
      <c r="DN74" s="317"/>
      <c r="DO74" s="380">
        <v>-0.92</v>
      </c>
      <c r="DP74" s="360"/>
      <c r="DQ74" s="387"/>
      <c r="DR74" s="381"/>
      <c r="DS74" s="314" t="s">
        <v>1479</v>
      </c>
      <c r="DT74" s="314"/>
      <c r="DU74" s="389"/>
      <c r="DV74" s="285"/>
      <c r="DW74" s="285"/>
      <c r="DX74" s="285"/>
      <c r="DY74" s="285"/>
      <c r="DZ74" s="285"/>
      <c r="EA74" s="285"/>
      <c r="EB74" s="285"/>
      <c r="EC74" s="285"/>
      <c r="ED74" s="285"/>
      <c r="EE74" s="285"/>
      <c r="EF74" s="285"/>
      <c r="EG74" s="285"/>
      <c r="EH74" s="285"/>
      <c r="EI74" s="285"/>
    </row>
    <row r="75">
      <c r="A75" s="383" t="s">
        <v>2064</v>
      </c>
      <c r="B75" s="374" t="s">
        <v>2065</v>
      </c>
      <c r="C75" s="385"/>
      <c r="D75" s="264"/>
      <c r="E75" s="307"/>
      <c r="F75" s="307"/>
      <c r="G75" s="386"/>
      <c r="H75" s="355"/>
      <c r="I75" s="355"/>
      <c r="J75" s="309"/>
      <c r="K75" s="309" t="s">
        <v>257</v>
      </c>
      <c r="L75" s="355"/>
      <c r="M75" s="309"/>
      <c r="N75" s="268"/>
      <c r="O75" s="355"/>
      <c r="P75" s="355"/>
      <c r="Q75" s="355"/>
      <c r="R75" s="355"/>
      <c r="S75" s="355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55">
        <v>9.8</v>
      </c>
      <c r="AE75" s="268"/>
      <c r="AF75" s="268"/>
      <c r="AG75" s="268"/>
      <c r="AH75" s="375" t="s">
        <v>1479</v>
      </c>
      <c r="AI75" s="309"/>
      <c r="AJ75" s="309"/>
      <c r="AK75" s="376" t="s">
        <v>1479</v>
      </c>
      <c r="AL75" s="380">
        <v>2007.0</v>
      </c>
      <c r="AM75" s="270"/>
      <c r="AN75" s="272"/>
      <c r="AO75" s="272"/>
      <c r="AP75" s="315"/>
      <c r="AQ75" s="330"/>
      <c r="AR75" s="357"/>
      <c r="AS75" s="380"/>
      <c r="AT75" s="272"/>
      <c r="AU75" s="272"/>
      <c r="AV75" s="316"/>
      <c r="AW75" s="316"/>
      <c r="AX75" s="377">
        <v>120.0</v>
      </c>
      <c r="AY75" s="314"/>
      <c r="AZ75" s="314" t="s">
        <v>1489</v>
      </c>
      <c r="BA75" s="270" t="s">
        <v>162</v>
      </c>
      <c r="BB75" s="314" t="s">
        <v>2021</v>
      </c>
      <c r="BC75" s="351"/>
      <c r="BD75" s="351"/>
      <c r="BE75" s="334"/>
      <c r="BF75" s="334"/>
      <c r="BG75" s="335"/>
      <c r="BH75" s="335"/>
      <c r="BI75" s="335"/>
      <c r="BJ75" s="335"/>
      <c r="BK75" s="336"/>
      <c r="BL75" s="336"/>
      <c r="BM75" s="336"/>
      <c r="BN75" s="336"/>
      <c r="BO75" s="337"/>
      <c r="BP75" s="337"/>
      <c r="BQ75" s="337"/>
      <c r="BR75" s="337"/>
      <c r="BS75" s="338"/>
      <c r="BT75" s="338"/>
      <c r="BU75" s="338"/>
      <c r="BV75" s="338"/>
      <c r="BW75" s="339"/>
      <c r="BX75" s="339"/>
      <c r="BY75" s="339"/>
      <c r="BZ75" s="339"/>
      <c r="CA75" s="340"/>
      <c r="CB75" s="340"/>
      <c r="CC75" s="340"/>
      <c r="CD75" s="340"/>
      <c r="CE75" s="341"/>
      <c r="CF75" s="341"/>
      <c r="CG75" s="341"/>
      <c r="CH75" s="341"/>
      <c r="CI75" s="342"/>
      <c r="CJ75" s="342"/>
      <c r="CK75" s="342"/>
      <c r="CL75" s="342"/>
      <c r="CM75" s="378">
        <v>-6.26</v>
      </c>
      <c r="CN75" s="379"/>
      <c r="CO75" s="379"/>
      <c r="CP75" s="379"/>
      <c r="CQ75" s="343"/>
      <c r="CR75" s="343"/>
      <c r="CS75" s="343"/>
      <c r="CT75" s="343"/>
      <c r="CU75" s="344"/>
      <c r="CV75" s="344"/>
      <c r="CW75" s="344"/>
      <c r="CX75" s="344"/>
      <c r="CY75" s="345"/>
      <c r="CZ75" s="345"/>
      <c r="DA75" s="345"/>
      <c r="DB75" s="345"/>
      <c r="DC75" s="346"/>
      <c r="DD75" s="346"/>
      <c r="DE75" s="346"/>
      <c r="DF75" s="346"/>
      <c r="DG75" s="358"/>
      <c r="DH75" s="358"/>
      <c r="DI75" s="358"/>
      <c r="DJ75" s="348"/>
      <c r="DK75" s="348"/>
      <c r="DL75" s="348"/>
      <c r="DM75" s="324"/>
      <c r="DN75" s="317"/>
      <c r="DO75" s="380">
        <v>-0.55</v>
      </c>
      <c r="DP75" s="360"/>
      <c r="DQ75" s="387"/>
      <c r="DR75" s="381"/>
      <c r="DS75" s="314" t="s">
        <v>1479</v>
      </c>
      <c r="DT75" s="314"/>
      <c r="DU75" s="389"/>
      <c r="DV75" s="285"/>
      <c r="DW75" s="285"/>
      <c r="DX75" s="285"/>
      <c r="DY75" s="285"/>
      <c r="DZ75" s="285"/>
      <c r="EA75" s="285"/>
      <c r="EB75" s="285"/>
      <c r="EC75" s="285"/>
      <c r="ED75" s="285"/>
      <c r="EE75" s="285"/>
      <c r="EF75" s="285"/>
      <c r="EG75" s="285"/>
      <c r="EH75" s="285"/>
      <c r="EI75" s="285"/>
    </row>
    <row r="76">
      <c r="A76" s="383" t="s">
        <v>2066</v>
      </c>
      <c r="B76" s="374" t="s">
        <v>2067</v>
      </c>
      <c r="C76" s="385"/>
      <c r="D76" s="264"/>
      <c r="E76" s="307"/>
      <c r="F76" s="307"/>
      <c r="G76" s="386"/>
      <c r="H76" s="355">
        <v>100.1859921</v>
      </c>
      <c r="I76" s="355">
        <v>9.800596111</v>
      </c>
      <c r="J76" s="309"/>
      <c r="K76" s="309" t="s">
        <v>169</v>
      </c>
      <c r="L76" s="355"/>
      <c r="M76" s="309"/>
      <c r="N76" s="268"/>
      <c r="O76" s="355"/>
      <c r="P76" s="355"/>
      <c r="Q76" s="355"/>
      <c r="R76" s="355"/>
      <c r="S76" s="355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  <c r="AD76" s="355">
        <v>0.65</v>
      </c>
      <c r="AE76" s="268"/>
      <c r="AF76" s="268"/>
      <c r="AG76" s="268"/>
      <c r="AH76" s="375" t="s">
        <v>1479</v>
      </c>
      <c r="AI76" s="309"/>
      <c r="AJ76" s="309"/>
      <c r="AK76" s="376" t="s">
        <v>1479</v>
      </c>
      <c r="AL76" s="380">
        <v>2006.0</v>
      </c>
      <c r="AM76" s="270"/>
      <c r="AN76" s="314" t="s">
        <v>1473</v>
      </c>
      <c r="AO76" s="272"/>
      <c r="AP76" s="315"/>
      <c r="AQ76" s="330"/>
      <c r="AR76" s="357"/>
      <c r="AS76" s="380"/>
      <c r="AT76" s="272"/>
      <c r="AU76" s="272"/>
      <c r="AV76" s="316"/>
      <c r="AW76" s="316"/>
      <c r="AX76" s="377">
        <v>800.0</v>
      </c>
      <c r="AY76" s="314"/>
      <c r="AZ76" s="314" t="s">
        <v>1484</v>
      </c>
      <c r="BA76" s="270" t="s">
        <v>162</v>
      </c>
      <c r="BB76" s="314" t="s">
        <v>2021</v>
      </c>
      <c r="BC76" s="351"/>
      <c r="BD76" s="351"/>
      <c r="BE76" s="334"/>
      <c r="BF76" s="334"/>
      <c r="BG76" s="335"/>
      <c r="BH76" s="335"/>
      <c r="BI76" s="335"/>
      <c r="BJ76" s="335"/>
      <c r="BK76" s="336"/>
      <c r="BL76" s="336"/>
      <c r="BM76" s="336"/>
      <c r="BN76" s="336"/>
      <c r="BO76" s="337"/>
      <c r="BP76" s="337"/>
      <c r="BQ76" s="337"/>
      <c r="BR76" s="337"/>
      <c r="BS76" s="338"/>
      <c r="BT76" s="338"/>
      <c r="BU76" s="338"/>
      <c r="BV76" s="338"/>
      <c r="BW76" s="339"/>
      <c r="BX76" s="339"/>
      <c r="BY76" s="339"/>
      <c r="BZ76" s="339"/>
      <c r="CA76" s="340"/>
      <c r="CB76" s="340"/>
      <c r="CC76" s="340"/>
      <c r="CD76" s="340"/>
      <c r="CE76" s="341"/>
      <c r="CF76" s="341"/>
      <c r="CG76" s="341"/>
      <c r="CH76" s="341"/>
      <c r="CI76" s="342"/>
      <c r="CJ76" s="342"/>
      <c r="CK76" s="342"/>
      <c r="CL76" s="342"/>
      <c r="CM76" s="378">
        <v>-9.49</v>
      </c>
      <c r="CN76" s="379"/>
      <c r="CO76" s="379"/>
      <c r="CP76" s="379"/>
      <c r="CQ76" s="343"/>
      <c r="CR76" s="343"/>
      <c r="CS76" s="343"/>
      <c r="CT76" s="343"/>
      <c r="CU76" s="344"/>
      <c r="CV76" s="344"/>
      <c r="CW76" s="344"/>
      <c r="CX76" s="344"/>
      <c r="CY76" s="345"/>
      <c r="CZ76" s="345"/>
      <c r="DA76" s="345"/>
      <c r="DB76" s="345"/>
      <c r="DC76" s="346"/>
      <c r="DD76" s="346"/>
      <c r="DE76" s="346"/>
      <c r="DF76" s="346"/>
      <c r="DG76" s="358"/>
      <c r="DH76" s="358"/>
      <c r="DI76" s="358"/>
      <c r="DJ76" s="348"/>
      <c r="DK76" s="348"/>
      <c r="DL76" s="348"/>
      <c r="DM76" s="324"/>
      <c r="DN76" s="317"/>
      <c r="DO76" s="380">
        <v>0.48</v>
      </c>
      <c r="DP76" s="360"/>
      <c r="DQ76" s="387"/>
      <c r="DR76" s="381"/>
      <c r="DS76" s="314" t="s">
        <v>1479</v>
      </c>
      <c r="DT76" s="314"/>
      <c r="DU76" s="389"/>
      <c r="DV76" s="285"/>
      <c r="DW76" s="285"/>
      <c r="DX76" s="285"/>
      <c r="DY76" s="285"/>
      <c r="DZ76" s="285"/>
      <c r="EA76" s="285"/>
      <c r="EB76" s="285"/>
      <c r="EC76" s="285"/>
      <c r="ED76" s="285"/>
      <c r="EE76" s="285"/>
      <c r="EF76" s="285"/>
      <c r="EG76" s="285"/>
      <c r="EH76" s="285"/>
      <c r="EI76" s="285"/>
    </row>
    <row r="77">
      <c r="A77" s="383" t="s">
        <v>2068</v>
      </c>
      <c r="B77" s="374" t="s">
        <v>2069</v>
      </c>
      <c r="C77" s="385"/>
      <c r="D77" s="264"/>
      <c r="E77" s="307"/>
      <c r="F77" s="307"/>
      <c r="G77" s="386"/>
      <c r="H77" s="355">
        <v>2.8577125</v>
      </c>
      <c r="I77" s="355">
        <v>58.8246325</v>
      </c>
      <c r="J77" s="309"/>
      <c r="K77" s="309" t="s">
        <v>169</v>
      </c>
      <c r="L77" s="355"/>
      <c r="M77" s="309"/>
      <c r="N77" s="268"/>
      <c r="O77" s="355"/>
      <c r="P77" s="355"/>
      <c r="Q77" s="355"/>
      <c r="R77" s="355"/>
      <c r="S77" s="355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55">
        <v>4.5</v>
      </c>
      <c r="AE77" s="268"/>
      <c r="AF77" s="268"/>
      <c r="AG77" s="268"/>
      <c r="AH77" s="375" t="s">
        <v>1479</v>
      </c>
      <c r="AI77" s="309"/>
      <c r="AJ77" s="309"/>
      <c r="AK77" s="376" t="s">
        <v>1479</v>
      </c>
      <c r="AL77" s="380">
        <v>2002.0</v>
      </c>
      <c r="AM77" s="270"/>
      <c r="AN77" s="314" t="s">
        <v>1548</v>
      </c>
      <c r="AO77" s="272"/>
      <c r="AP77" s="315"/>
      <c r="AQ77" s="330"/>
      <c r="AR77" s="357"/>
      <c r="AS77" s="380"/>
      <c r="AT77" s="272"/>
      <c r="AU77" s="272"/>
      <c r="AV77" s="316"/>
      <c r="AW77" s="316"/>
      <c r="AX77" s="377">
        <v>600.0</v>
      </c>
      <c r="AY77" s="314"/>
      <c r="AZ77" s="314" t="s">
        <v>1484</v>
      </c>
      <c r="BA77" s="270" t="s">
        <v>162</v>
      </c>
      <c r="BB77" s="314" t="s">
        <v>2021</v>
      </c>
      <c r="BC77" s="351"/>
      <c r="BD77" s="351"/>
      <c r="BE77" s="334"/>
      <c r="BF77" s="334"/>
      <c r="BG77" s="335"/>
      <c r="BH77" s="335"/>
      <c r="BI77" s="335"/>
      <c r="BJ77" s="335"/>
      <c r="BK77" s="336"/>
      <c r="BL77" s="336"/>
      <c r="BM77" s="336"/>
      <c r="BN77" s="336"/>
      <c r="BO77" s="337"/>
      <c r="BP77" s="337"/>
      <c r="BQ77" s="337"/>
      <c r="BR77" s="337"/>
      <c r="BS77" s="338"/>
      <c r="BT77" s="338"/>
      <c r="BU77" s="338"/>
      <c r="BV77" s="338"/>
      <c r="BW77" s="339"/>
      <c r="BX77" s="339"/>
      <c r="BY77" s="339"/>
      <c r="BZ77" s="339"/>
      <c r="CA77" s="340"/>
      <c r="CB77" s="340"/>
      <c r="CC77" s="340"/>
      <c r="CD77" s="340"/>
      <c r="CE77" s="341"/>
      <c r="CF77" s="341"/>
      <c r="CG77" s="341"/>
      <c r="CH77" s="341"/>
      <c r="CI77" s="342"/>
      <c r="CJ77" s="342"/>
      <c r="CK77" s="342"/>
      <c r="CL77" s="342"/>
      <c r="CM77" s="378">
        <v>-3.72</v>
      </c>
      <c r="CN77" s="379"/>
      <c r="CO77" s="379"/>
      <c r="CP77" s="379"/>
      <c r="CQ77" s="343"/>
      <c r="CR77" s="343"/>
      <c r="CS77" s="343"/>
      <c r="CT77" s="343"/>
      <c r="CU77" s="344"/>
      <c r="CV77" s="344"/>
      <c r="CW77" s="344"/>
      <c r="CX77" s="344"/>
      <c r="CY77" s="345"/>
      <c r="CZ77" s="345"/>
      <c r="DA77" s="345"/>
      <c r="DB77" s="345"/>
      <c r="DC77" s="346"/>
      <c r="DD77" s="346"/>
      <c r="DE77" s="346"/>
      <c r="DF77" s="346"/>
      <c r="DG77" s="358"/>
      <c r="DH77" s="358"/>
      <c r="DI77" s="358"/>
      <c r="DJ77" s="348"/>
      <c r="DK77" s="348"/>
      <c r="DL77" s="348"/>
      <c r="DM77" s="324"/>
      <c r="DN77" s="317"/>
      <c r="DO77" s="380">
        <v>0.95</v>
      </c>
      <c r="DP77" s="360"/>
      <c r="DQ77" s="387"/>
      <c r="DR77" s="381"/>
      <c r="DS77" s="314" t="s">
        <v>1479</v>
      </c>
      <c r="DT77" s="314"/>
      <c r="DU77" s="389"/>
      <c r="DV77" s="285"/>
      <c r="DW77" s="285"/>
      <c r="DX77" s="285"/>
      <c r="DY77" s="285"/>
      <c r="DZ77" s="285"/>
      <c r="EA77" s="285"/>
      <c r="EB77" s="285"/>
      <c r="EC77" s="285"/>
      <c r="ED77" s="285"/>
      <c r="EE77" s="285"/>
      <c r="EF77" s="285"/>
      <c r="EG77" s="285"/>
      <c r="EH77" s="285"/>
      <c r="EI77" s="285"/>
    </row>
    <row r="78">
      <c r="A78" s="383" t="s">
        <v>2070</v>
      </c>
      <c r="B78" s="374" t="s">
        <v>2071</v>
      </c>
      <c r="C78" s="385"/>
      <c r="D78" s="264"/>
      <c r="E78" s="307"/>
      <c r="F78" s="307"/>
      <c r="G78" s="386"/>
      <c r="H78" s="355">
        <v>106.0279171</v>
      </c>
      <c r="I78" s="355">
        <v>-11.43569528</v>
      </c>
      <c r="J78" s="309"/>
      <c r="K78" s="309" t="s">
        <v>169</v>
      </c>
      <c r="L78" s="355"/>
      <c r="M78" s="309"/>
      <c r="N78" s="268"/>
      <c r="O78" s="355"/>
      <c r="P78" s="355"/>
      <c r="Q78" s="355"/>
      <c r="R78" s="355"/>
      <c r="S78" s="355"/>
      <c r="T78" s="309"/>
      <c r="U78" s="309"/>
      <c r="V78" s="309"/>
      <c r="W78" s="309"/>
      <c r="X78" s="309"/>
      <c r="Y78" s="309"/>
      <c r="Z78" s="309"/>
      <c r="AA78" s="309"/>
      <c r="AB78" s="309"/>
      <c r="AC78" s="309"/>
      <c r="AD78" s="308"/>
      <c r="AE78" s="268"/>
      <c r="AF78" s="268"/>
      <c r="AG78" s="268"/>
      <c r="AH78" s="375" t="s">
        <v>1479</v>
      </c>
      <c r="AI78" s="309"/>
      <c r="AJ78" s="309"/>
      <c r="AK78" s="376" t="s">
        <v>1479</v>
      </c>
      <c r="AL78" s="380">
        <v>2001.0</v>
      </c>
      <c r="AM78" s="270"/>
      <c r="AN78" s="272"/>
      <c r="AO78" s="272"/>
      <c r="AP78" s="315"/>
      <c r="AQ78" s="330"/>
      <c r="AR78" s="357"/>
      <c r="AS78" s="380"/>
      <c r="AT78" s="272"/>
      <c r="AU78" s="272"/>
      <c r="AV78" s="316"/>
      <c r="AW78" s="316"/>
      <c r="AX78" s="377">
        <v>1050.0</v>
      </c>
      <c r="AY78" s="314"/>
      <c r="AZ78" s="314" t="s">
        <v>1484</v>
      </c>
      <c r="BA78" s="270" t="s">
        <v>162</v>
      </c>
      <c r="BB78" s="314" t="s">
        <v>2021</v>
      </c>
      <c r="BC78" s="351"/>
      <c r="BD78" s="351"/>
      <c r="BE78" s="334"/>
      <c r="BF78" s="334"/>
      <c r="BG78" s="335"/>
      <c r="BH78" s="335"/>
      <c r="BI78" s="335"/>
      <c r="BJ78" s="335"/>
      <c r="BK78" s="336"/>
      <c r="BL78" s="336"/>
      <c r="BM78" s="336"/>
      <c r="BN78" s="336"/>
      <c r="BO78" s="337"/>
      <c r="BP78" s="337"/>
      <c r="BQ78" s="337"/>
      <c r="BR78" s="337"/>
      <c r="BS78" s="338"/>
      <c r="BT78" s="338"/>
      <c r="BU78" s="338"/>
      <c r="BV78" s="338"/>
      <c r="BW78" s="339"/>
      <c r="BX78" s="339"/>
      <c r="BY78" s="339"/>
      <c r="BZ78" s="339"/>
      <c r="CA78" s="340"/>
      <c r="CB78" s="340"/>
      <c r="CC78" s="340"/>
      <c r="CD78" s="340"/>
      <c r="CE78" s="341"/>
      <c r="CF78" s="341"/>
      <c r="CG78" s="341"/>
      <c r="CH78" s="341"/>
      <c r="CI78" s="342"/>
      <c r="CJ78" s="342"/>
      <c r="CK78" s="342"/>
      <c r="CL78" s="342"/>
      <c r="CM78" s="378">
        <v>-10.8</v>
      </c>
      <c r="CN78" s="379"/>
      <c r="CO78" s="379"/>
      <c r="CP78" s="379"/>
      <c r="CQ78" s="343"/>
      <c r="CR78" s="343"/>
      <c r="CS78" s="343"/>
      <c r="CT78" s="343"/>
      <c r="CU78" s="344"/>
      <c r="CV78" s="344"/>
      <c r="CW78" s="344"/>
      <c r="CX78" s="344"/>
      <c r="CY78" s="345"/>
      <c r="CZ78" s="345"/>
      <c r="DA78" s="345"/>
      <c r="DB78" s="345"/>
      <c r="DC78" s="346"/>
      <c r="DD78" s="346"/>
      <c r="DE78" s="346"/>
      <c r="DF78" s="346"/>
      <c r="DG78" s="358"/>
      <c r="DH78" s="358"/>
      <c r="DI78" s="358"/>
      <c r="DJ78" s="348"/>
      <c r="DK78" s="348"/>
      <c r="DL78" s="348"/>
      <c r="DM78" s="324"/>
      <c r="DN78" s="317"/>
      <c r="DO78" s="380">
        <v>0.7</v>
      </c>
      <c r="DP78" s="360"/>
      <c r="DQ78" s="387"/>
      <c r="DR78" s="381"/>
      <c r="DS78" s="314" t="s">
        <v>1479</v>
      </c>
      <c r="DT78" s="314"/>
      <c r="DU78" s="389"/>
      <c r="DV78" s="285"/>
      <c r="DW78" s="285"/>
      <c r="DX78" s="285"/>
      <c r="DY78" s="285"/>
      <c r="DZ78" s="285"/>
      <c r="EA78" s="285"/>
      <c r="EB78" s="285"/>
      <c r="EC78" s="285"/>
      <c r="ED78" s="285"/>
      <c r="EE78" s="285"/>
      <c r="EF78" s="285"/>
      <c r="EG78" s="285"/>
      <c r="EH78" s="285"/>
      <c r="EI78" s="285"/>
    </row>
    <row r="79">
      <c r="A79" s="383" t="s">
        <v>2072</v>
      </c>
      <c r="B79" s="374" t="s">
        <v>2073</v>
      </c>
      <c r="C79" s="385"/>
      <c r="D79" s="264"/>
      <c r="E79" s="307"/>
      <c r="F79" s="307"/>
      <c r="G79" s="386"/>
      <c r="H79" s="355">
        <v>52.341145</v>
      </c>
      <c r="I79" s="355">
        <v>31.26006806</v>
      </c>
      <c r="J79" s="309"/>
      <c r="K79" s="309" t="s">
        <v>169</v>
      </c>
      <c r="L79" s="355"/>
      <c r="M79" s="309"/>
      <c r="N79" s="268"/>
      <c r="O79" s="355"/>
      <c r="P79" s="355"/>
      <c r="Q79" s="355"/>
      <c r="R79" s="355"/>
      <c r="S79" s="355"/>
      <c r="T79" s="309"/>
      <c r="U79" s="309"/>
      <c r="V79" s="309"/>
      <c r="W79" s="309"/>
      <c r="X79" s="309"/>
      <c r="Y79" s="309"/>
      <c r="Z79" s="309"/>
      <c r="AA79" s="309"/>
      <c r="AB79" s="309"/>
      <c r="AC79" s="309"/>
      <c r="AD79" s="355">
        <v>0.9</v>
      </c>
      <c r="AE79" s="268"/>
      <c r="AF79" s="268"/>
      <c r="AG79" s="268"/>
      <c r="AH79" s="375" t="s">
        <v>1479</v>
      </c>
      <c r="AI79" s="309"/>
      <c r="AJ79" s="309"/>
      <c r="AK79" s="376" t="s">
        <v>1479</v>
      </c>
      <c r="AL79" s="380">
        <v>2009.0</v>
      </c>
      <c r="AM79" s="270"/>
      <c r="AN79" s="314" t="s">
        <v>2074</v>
      </c>
      <c r="AO79" s="272"/>
      <c r="AP79" s="315"/>
      <c r="AQ79" s="330"/>
      <c r="AR79" s="357"/>
      <c r="AS79" s="380"/>
      <c r="AT79" s="272"/>
      <c r="AU79" s="272"/>
      <c r="AV79" s="316"/>
      <c r="AW79" s="316"/>
      <c r="AX79" s="377">
        <v>250.0</v>
      </c>
      <c r="AY79" s="314"/>
      <c r="AZ79" s="314" t="s">
        <v>1484</v>
      </c>
      <c r="BA79" s="270" t="s">
        <v>162</v>
      </c>
      <c r="BB79" s="314" t="s">
        <v>2021</v>
      </c>
      <c r="BC79" s="351"/>
      <c r="BD79" s="351"/>
      <c r="BE79" s="334"/>
      <c r="BF79" s="334"/>
      <c r="BG79" s="335"/>
      <c r="BH79" s="335"/>
      <c r="BI79" s="335"/>
      <c r="BJ79" s="335"/>
      <c r="BK79" s="336"/>
      <c r="BL79" s="336"/>
      <c r="BM79" s="336"/>
      <c r="BN79" s="336"/>
      <c r="BO79" s="337"/>
      <c r="BP79" s="337"/>
      <c r="BQ79" s="337"/>
      <c r="BR79" s="337"/>
      <c r="BS79" s="338"/>
      <c r="BT79" s="338"/>
      <c r="BU79" s="338"/>
      <c r="BV79" s="338"/>
      <c r="BW79" s="339"/>
      <c r="BX79" s="339"/>
      <c r="BY79" s="339"/>
      <c r="BZ79" s="339"/>
      <c r="CA79" s="340"/>
      <c r="CB79" s="340"/>
      <c r="CC79" s="340"/>
      <c r="CD79" s="340"/>
      <c r="CE79" s="341"/>
      <c r="CF79" s="341"/>
      <c r="CG79" s="341"/>
      <c r="CH79" s="341"/>
      <c r="CI79" s="342"/>
      <c r="CJ79" s="342"/>
      <c r="CK79" s="342"/>
      <c r="CL79" s="342"/>
      <c r="CM79" s="378">
        <v>-14.1</v>
      </c>
      <c r="CN79" s="379"/>
      <c r="CO79" s="379"/>
      <c r="CP79" s="379"/>
      <c r="CQ79" s="343"/>
      <c r="CR79" s="343"/>
      <c r="CS79" s="343"/>
      <c r="CT79" s="343"/>
      <c r="CU79" s="344"/>
      <c r="CV79" s="344"/>
      <c r="CW79" s="344"/>
      <c r="CX79" s="344"/>
      <c r="CY79" s="345"/>
      <c r="CZ79" s="345"/>
      <c r="DA79" s="345"/>
      <c r="DB79" s="345"/>
      <c r="DC79" s="346"/>
      <c r="DD79" s="346"/>
      <c r="DE79" s="346"/>
      <c r="DF79" s="346"/>
      <c r="DG79" s="358"/>
      <c r="DH79" s="358"/>
      <c r="DI79" s="358"/>
      <c r="DJ79" s="348"/>
      <c r="DK79" s="348"/>
      <c r="DL79" s="348"/>
      <c r="DM79" s="324"/>
      <c r="DN79" s="317"/>
      <c r="DO79" s="380">
        <v>-0.75</v>
      </c>
      <c r="DP79" s="360"/>
      <c r="DQ79" s="387"/>
      <c r="DR79" s="381"/>
      <c r="DS79" s="314" t="s">
        <v>1479</v>
      </c>
      <c r="DT79" s="314"/>
      <c r="DU79" s="389"/>
      <c r="DV79" s="285"/>
      <c r="DW79" s="285"/>
      <c r="DX79" s="285"/>
      <c r="DY79" s="285"/>
      <c r="DZ79" s="285"/>
      <c r="EA79" s="285"/>
      <c r="EB79" s="285"/>
      <c r="EC79" s="285"/>
      <c r="ED79" s="285"/>
      <c r="EE79" s="285"/>
      <c r="EF79" s="285"/>
      <c r="EG79" s="285"/>
      <c r="EH79" s="285"/>
      <c r="EI79" s="285"/>
    </row>
    <row r="80">
      <c r="A80" s="383" t="s">
        <v>2075</v>
      </c>
      <c r="B80" s="374" t="s">
        <v>2076</v>
      </c>
      <c r="C80" s="385"/>
      <c r="D80" s="264"/>
      <c r="E80" s="307"/>
      <c r="F80" s="307"/>
      <c r="G80" s="386"/>
      <c r="H80" s="355">
        <v>52.68338833</v>
      </c>
      <c r="I80" s="355">
        <v>30.54633556</v>
      </c>
      <c r="J80" s="309"/>
      <c r="K80" s="309" t="s">
        <v>169</v>
      </c>
      <c r="L80" s="355"/>
      <c r="M80" s="309"/>
      <c r="N80" s="268"/>
      <c r="O80" s="355"/>
      <c r="P80" s="355"/>
      <c r="Q80" s="355"/>
      <c r="R80" s="355"/>
      <c r="S80" s="355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8"/>
      <c r="AE80" s="268"/>
      <c r="AF80" s="268"/>
      <c r="AG80" s="268"/>
      <c r="AH80" s="375" t="s">
        <v>1479</v>
      </c>
      <c r="AI80" s="309"/>
      <c r="AJ80" s="309"/>
      <c r="AK80" s="376" t="s">
        <v>1479</v>
      </c>
      <c r="AL80" s="380">
        <v>2002.0</v>
      </c>
      <c r="AM80" s="270"/>
      <c r="AN80" s="314" t="s">
        <v>2077</v>
      </c>
      <c r="AO80" s="272"/>
      <c r="AP80" s="315"/>
      <c r="AQ80" s="330"/>
      <c r="AR80" s="357"/>
      <c r="AS80" s="380"/>
      <c r="AT80" s="272"/>
      <c r="AU80" s="272"/>
      <c r="AV80" s="316"/>
      <c r="AW80" s="316"/>
      <c r="AX80" s="377">
        <v>250.0</v>
      </c>
      <c r="AY80" s="314"/>
      <c r="AZ80" s="314" t="s">
        <v>1484</v>
      </c>
      <c r="BA80" s="270" t="s">
        <v>162</v>
      </c>
      <c r="BB80" s="314" t="s">
        <v>2021</v>
      </c>
      <c r="BC80" s="351"/>
      <c r="BD80" s="351"/>
      <c r="BE80" s="334"/>
      <c r="BF80" s="334"/>
      <c r="BG80" s="335"/>
      <c r="BH80" s="335"/>
      <c r="BI80" s="335"/>
      <c r="BJ80" s="335"/>
      <c r="BK80" s="336"/>
      <c r="BL80" s="336"/>
      <c r="BM80" s="336"/>
      <c r="BN80" s="336"/>
      <c r="BO80" s="337"/>
      <c r="BP80" s="337"/>
      <c r="BQ80" s="337"/>
      <c r="BR80" s="337"/>
      <c r="BS80" s="338"/>
      <c r="BT80" s="338"/>
      <c r="BU80" s="338"/>
      <c r="BV80" s="338"/>
      <c r="BW80" s="339"/>
      <c r="BX80" s="339"/>
      <c r="BY80" s="339"/>
      <c r="BZ80" s="339"/>
      <c r="CA80" s="340"/>
      <c r="CB80" s="340"/>
      <c r="CC80" s="340"/>
      <c r="CD80" s="340"/>
      <c r="CE80" s="341"/>
      <c r="CF80" s="341"/>
      <c r="CG80" s="341"/>
      <c r="CH80" s="341"/>
      <c r="CI80" s="342"/>
      <c r="CJ80" s="342"/>
      <c r="CK80" s="342"/>
      <c r="CL80" s="342"/>
      <c r="CM80" s="378">
        <v>-9.48</v>
      </c>
      <c r="CN80" s="379"/>
      <c r="CO80" s="379"/>
      <c r="CP80" s="379"/>
      <c r="CQ80" s="343"/>
      <c r="CR80" s="343"/>
      <c r="CS80" s="343"/>
      <c r="CT80" s="343"/>
      <c r="CU80" s="344"/>
      <c r="CV80" s="344"/>
      <c r="CW80" s="344"/>
      <c r="CX80" s="344"/>
      <c r="CY80" s="345"/>
      <c r="CZ80" s="345"/>
      <c r="DA80" s="345"/>
      <c r="DB80" s="345"/>
      <c r="DC80" s="346"/>
      <c r="DD80" s="346"/>
      <c r="DE80" s="346"/>
      <c r="DF80" s="346"/>
      <c r="DG80" s="358"/>
      <c r="DH80" s="358"/>
      <c r="DI80" s="358"/>
      <c r="DJ80" s="348"/>
      <c r="DK80" s="348"/>
      <c r="DL80" s="348"/>
      <c r="DM80" s="324"/>
      <c r="DN80" s="317"/>
      <c r="DO80" s="380">
        <v>-0.45</v>
      </c>
      <c r="DP80" s="360"/>
      <c r="DQ80" s="387"/>
      <c r="DR80" s="381"/>
      <c r="DS80" s="314" t="s">
        <v>1479</v>
      </c>
      <c r="DT80" s="314"/>
      <c r="DU80" s="389"/>
      <c r="DV80" s="285"/>
      <c r="DW80" s="285"/>
      <c r="DX80" s="285"/>
      <c r="DY80" s="285"/>
      <c r="DZ80" s="285"/>
      <c r="EA80" s="285"/>
      <c r="EB80" s="285"/>
      <c r="EC80" s="285"/>
      <c r="ED80" s="285"/>
      <c r="EE80" s="285"/>
      <c r="EF80" s="285"/>
      <c r="EG80" s="285"/>
      <c r="EH80" s="285"/>
      <c r="EI80" s="285"/>
    </row>
    <row r="81">
      <c r="A81" s="383" t="s">
        <v>2078</v>
      </c>
      <c r="B81" s="384" t="s">
        <v>2079</v>
      </c>
      <c r="C81" s="385"/>
      <c r="D81" s="264"/>
      <c r="E81" s="307"/>
      <c r="F81" s="307"/>
      <c r="G81" s="386"/>
      <c r="H81" s="355"/>
      <c r="I81" s="355"/>
      <c r="J81" s="309"/>
      <c r="K81" s="309" t="s">
        <v>169</v>
      </c>
      <c r="L81" s="355"/>
      <c r="M81" s="309"/>
      <c r="N81" s="268"/>
      <c r="O81" s="355"/>
      <c r="P81" s="355"/>
      <c r="Q81" s="355"/>
      <c r="R81" s="355"/>
      <c r="S81" s="355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55">
        <v>3.83</v>
      </c>
      <c r="AE81" s="268"/>
      <c r="AF81" s="268"/>
      <c r="AG81" s="268"/>
      <c r="AH81" s="375" t="s">
        <v>1479</v>
      </c>
      <c r="AI81" s="309"/>
      <c r="AJ81" s="309"/>
      <c r="AK81" s="376" t="s">
        <v>1479</v>
      </c>
      <c r="AL81" s="380">
        <v>2002.0</v>
      </c>
      <c r="AM81" s="270"/>
      <c r="AN81" s="272"/>
      <c r="AO81" s="272"/>
      <c r="AP81" s="315"/>
      <c r="AQ81" s="330"/>
      <c r="AR81" s="357"/>
      <c r="AS81" s="380"/>
      <c r="AT81" s="272"/>
      <c r="AU81" s="272"/>
      <c r="AV81" s="316"/>
      <c r="AW81" s="316"/>
      <c r="AX81" s="377">
        <v>250.0</v>
      </c>
      <c r="AY81" s="314"/>
      <c r="AZ81" s="314" t="s">
        <v>1484</v>
      </c>
      <c r="BA81" s="270" t="s">
        <v>162</v>
      </c>
      <c r="BB81" s="314" t="s">
        <v>2021</v>
      </c>
      <c r="BC81" s="351"/>
      <c r="BD81" s="351"/>
      <c r="BE81" s="334"/>
      <c r="BF81" s="334"/>
      <c r="BG81" s="335"/>
      <c r="BH81" s="335"/>
      <c r="BI81" s="335"/>
      <c r="BJ81" s="335"/>
      <c r="BK81" s="336"/>
      <c r="BL81" s="336"/>
      <c r="BM81" s="336"/>
      <c r="BN81" s="336"/>
      <c r="BO81" s="337"/>
      <c r="BP81" s="337"/>
      <c r="BQ81" s="337"/>
      <c r="BR81" s="337"/>
      <c r="BS81" s="338"/>
      <c r="BT81" s="338"/>
      <c r="BU81" s="338"/>
      <c r="BV81" s="338"/>
      <c r="BW81" s="339"/>
      <c r="BX81" s="339"/>
      <c r="BY81" s="339"/>
      <c r="BZ81" s="339"/>
      <c r="CA81" s="340"/>
      <c r="CB81" s="340"/>
      <c r="CC81" s="340"/>
      <c r="CD81" s="340"/>
      <c r="CE81" s="341"/>
      <c r="CF81" s="341"/>
      <c r="CG81" s="341"/>
      <c r="CH81" s="341"/>
      <c r="CI81" s="342"/>
      <c r="CJ81" s="342"/>
      <c r="CK81" s="342"/>
      <c r="CL81" s="342"/>
      <c r="CM81" s="378">
        <v>-6.41</v>
      </c>
      <c r="CN81" s="379"/>
      <c r="CO81" s="379"/>
      <c r="CP81" s="379"/>
      <c r="CQ81" s="343"/>
      <c r="CR81" s="343"/>
      <c r="CS81" s="343"/>
      <c r="CT81" s="343"/>
      <c r="CU81" s="344"/>
      <c r="CV81" s="344"/>
      <c r="CW81" s="344"/>
      <c r="CX81" s="344"/>
      <c r="CY81" s="345"/>
      <c r="CZ81" s="345"/>
      <c r="DA81" s="345"/>
      <c r="DB81" s="345"/>
      <c r="DC81" s="346"/>
      <c r="DD81" s="346"/>
      <c r="DE81" s="346"/>
      <c r="DF81" s="346"/>
      <c r="DG81" s="358"/>
      <c r="DH81" s="358"/>
      <c r="DI81" s="358"/>
      <c r="DJ81" s="348"/>
      <c r="DK81" s="348"/>
      <c r="DL81" s="348"/>
      <c r="DM81" s="324"/>
      <c r="DN81" s="317"/>
      <c r="DO81" s="380">
        <v>-0.42</v>
      </c>
      <c r="DP81" s="360"/>
      <c r="DQ81" s="387"/>
      <c r="DR81" s="381"/>
      <c r="DS81" s="314" t="s">
        <v>1479</v>
      </c>
      <c r="DT81" s="314"/>
      <c r="DU81" s="390" t="s">
        <v>2080</v>
      </c>
      <c r="DV81" s="285"/>
      <c r="DW81" s="285"/>
      <c r="DX81" s="285"/>
      <c r="DY81" s="285"/>
      <c r="DZ81" s="285"/>
      <c r="EA81" s="285"/>
      <c r="EB81" s="285"/>
      <c r="EC81" s="285"/>
      <c r="ED81" s="285"/>
      <c r="EE81" s="285"/>
      <c r="EF81" s="285"/>
      <c r="EG81" s="285"/>
      <c r="EH81" s="285"/>
      <c r="EI81" s="285"/>
    </row>
    <row r="82">
      <c r="A82" s="383" t="s">
        <v>2078</v>
      </c>
      <c r="B82" s="384" t="s">
        <v>2079</v>
      </c>
      <c r="C82" s="385"/>
      <c r="D82" s="264"/>
      <c r="E82" s="307"/>
      <c r="F82" s="307"/>
      <c r="G82" s="386"/>
      <c r="H82" s="355"/>
      <c r="I82" s="355"/>
      <c r="J82" s="309"/>
      <c r="K82" s="309" t="s">
        <v>169</v>
      </c>
      <c r="L82" s="355"/>
      <c r="M82" s="309"/>
      <c r="N82" s="268"/>
      <c r="O82" s="355"/>
      <c r="P82" s="355"/>
      <c r="Q82" s="355"/>
      <c r="R82" s="355"/>
      <c r="S82" s="355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55">
        <v>3.83</v>
      </c>
      <c r="AE82" s="268"/>
      <c r="AF82" s="268"/>
      <c r="AG82" s="268"/>
      <c r="AH82" s="375" t="s">
        <v>1479</v>
      </c>
      <c r="AI82" s="309"/>
      <c r="AJ82" s="309"/>
      <c r="AK82" s="376" t="s">
        <v>1479</v>
      </c>
      <c r="AL82" s="380">
        <v>2002.0</v>
      </c>
      <c r="AM82" s="270"/>
      <c r="AN82" s="272"/>
      <c r="AO82" s="272"/>
      <c r="AP82" s="315"/>
      <c r="AQ82" s="330"/>
      <c r="AR82" s="357"/>
      <c r="AS82" s="380"/>
      <c r="AT82" s="272"/>
      <c r="AU82" s="272"/>
      <c r="AV82" s="316"/>
      <c r="AW82" s="316"/>
      <c r="AX82" s="377">
        <v>250.0</v>
      </c>
      <c r="AY82" s="314"/>
      <c r="AZ82" s="314" t="s">
        <v>1484</v>
      </c>
      <c r="BA82" s="270" t="s">
        <v>162</v>
      </c>
      <c r="BB82" s="314" t="s">
        <v>2021</v>
      </c>
      <c r="BC82" s="351"/>
      <c r="BD82" s="351"/>
      <c r="BE82" s="334"/>
      <c r="BF82" s="334"/>
      <c r="BG82" s="335"/>
      <c r="BH82" s="335"/>
      <c r="BI82" s="335"/>
      <c r="BJ82" s="335"/>
      <c r="BK82" s="336"/>
      <c r="BL82" s="336"/>
      <c r="BM82" s="336"/>
      <c r="BN82" s="336"/>
      <c r="BO82" s="337"/>
      <c r="BP82" s="337"/>
      <c r="BQ82" s="337"/>
      <c r="BR82" s="337"/>
      <c r="BS82" s="338"/>
      <c r="BT82" s="338"/>
      <c r="BU82" s="338"/>
      <c r="BV82" s="338"/>
      <c r="BW82" s="339"/>
      <c r="BX82" s="339"/>
      <c r="BY82" s="339"/>
      <c r="BZ82" s="339"/>
      <c r="CA82" s="340"/>
      <c r="CB82" s="340"/>
      <c r="CC82" s="340"/>
      <c r="CD82" s="340"/>
      <c r="CE82" s="341"/>
      <c r="CF82" s="341"/>
      <c r="CG82" s="341"/>
      <c r="CH82" s="341"/>
      <c r="CI82" s="342"/>
      <c r="CJ82" s="342"/>
      <c r="CK82" s="342"/>
      <c r="CL82" s="342"/>
      <c r="CM82" s="378">
        <v>-5.88</v>
      </c>
      <c r="CN82" s="379"/>
      <c r="CO82" s="379"/>
      <c r="CP82" s="379"/>
      <c r="CQ82" s="343"/>
      <c r="CR82" s="343"/>
      <c r="CS82" s="343"/>
      <c r="CT82" s="343"/>
      <c r="CU82" s="344"/>
      <c r="CV82" s="344"/>
      <c r="CW82" s="344"/>
      <c r="CX82" s="344"/>
      <c r="CY82" s="345"/>
      <c r="CZ82" s="345"/>
      <c r="DA82" s="345"/>
      <c r="DB82" s="345"/>
      <c r="DC82" s="346"/>
      <c r="DD82" s="346"/>
      <c r="DE82" s="346"/>
      <c r="DF82" s="346"/>
      <c r="DG82" s="358"/>
      <c r="DH82" s="358"/>
      <c r="DI82" s="358"/>
      <c r="DJ82" s="348"/>
      <c r="DK82" s="348"/>
      <c r="DL82" s="348"/>
      <c r="DM82" s="324"/>
      <c r="DN82" s="317"/>
      <c r="DO82" s="380">
        <v>-0.64</v>
      </c>
      <c r="DP82" s="360"/>
      <c r="DQ82" s="387"/>
      <c r="DR82" s="381"/>
      <c r="DS82" s="314" t="s">
        <v>1479</v>
      </c>
      <c r="DT82" s="314"/>
      <c r="DU82" s="390" t="s">
        <v>2081</v>
      </c>
      <c r="DV82" s="285"/>
      <c r="DW82" s="285"/>
      <c r="DX82" s="285"/>
      <c r="DY82" s="285"/>
      <c r="DZ82" s="285"/>
      <c r="EA82" s="285"/>
      <c r="EB82" s="285"/>
      <c r="EC82" s="285"/>
      <c r="ED82" s="285"/>
      <c r="EE82" s="285"/>
      <c r="EF82" s="285"/>
      <c r="EG82" s="285"/>
      <c r="EH82" s="285"/>
      <c r="EI82" s="285"/>
    </row>
    <row r="83">
      <c r="A83" s="374" t="s">
        <v>2082</v>
      </c>
      <c r="B83" s="374" t="s">
        <v>2083</v>
      </c>
      <c r="C83" s="263"/>
      <c r="D83" s="264"/>
      <c r="E83" s="307"/>
      <c r="F83" s="307"/>
      <c r="G83" s="264"/>
      <c r="H83" s="308">
        <v>278.5527204</v>
      </c>
      <c r="I83" s="308">
        <v>-0.4393891667</v>
      </c>
      <c r="J83" s="269"/>
      <c r="K83" s="269" t="s">
        <v>169</v>
      </c>
      <c r="L83" s="308"/>
      <c r="M83" s="269"/>
      <c r="N83" s="268"/>
      <c r="O83" s="308"/>
      <c r="P83" s="308"/>
      <c r="Q83" s="308"/>
      <c r="R83" s="308"/>
      <c r="S83" s="308"/>
      <c r="T83" s="269"/>
      <c r="U83" s="269"/>
      <c r="V83" s="269"/>
      <c r="W83" s="269"/>
      <c r="X83" s="269"/>
      <c r="Y83" s="269"/>
      <c r="Z83" s="269"/>
      <c r="AA83" s="269"/>
      <c r="AB83" s="269"/>
      <c r="AC83" s="269"/>
      <c r="AD83" s="269"/>
      <c r="AE83" s="268"/>
      <c r="AF83" s="268"/>
      <c r="AG83" s="268"/>
      <c r="AH83" s="391" t="s">
        <v>1479</v>
      </c>
      <c r="AI83" s="269"/>
      <c r="AJ83" s="269"/>
      <c r="AK83" s="392" t="s">
        <v>1479</v>
      </c>
      <c r="AL83" s="330">
        <v>2002.0</v>
      </c>
      <c r="AM83" s="270"/>
      <c r="AN83" s="272"/>
      <c r="AO83" s="272"/>
      <c r="AP83" s="271"/>
      <c r="AQ83" s="272"/>
      <c r="AR83" s="282"/>
      <c r="AS83" s="330"/>
      <c r="AT83" s="272"/>
      <c r="AU83" s="272"/>
      <c r="AV83" s="270"/>
      <c r="AW83" s="270"/>
      <c r="AX83" s="370">
        <v>260.0</v>
      </c>
      <c r="AY83" s="272"/>
      <c r="AZ83" s="272" t="s">
        <v>1484</v>
      </c>
      <c r="BA83" s="270" t="s">
        <v>162</v>
      </c>
      <c r="BB83" s="272" t="s">
        <v>2021</v>
      </c>
      <c r="BC83" s="393"/>
      <c r="BD83" s="393"/>
      <c r="BE83" s="334"/>
      <c r="BF83" s="334"/>
      <c r="BG83" s="335"/>
      <c r="BH83" s="335"/>
      <c r="BI83" s="335"/>
      <c r="BJ83" s="335"/>
      <c r="BK83" s="336"/>
      <c r="BL83" s="336"/>
      <c r="BM83" s="336"/>
      <c r="BN83" s="336"/>
      <c r="BO83" s="337"/>
      <c r="BP83" s="337"/>
      <c r="BQ83" s="337"/>
      <c r="BR83" s="337"/>
      <c r="BS83" s="338"/>
      <c r="BT83" s="338"/>
      <c r="BU83" s="338"/>
      <c r="BV83" s="338"/>
      <c r="BW83" s="339"/>
      <c r="BX83" s="339"/>
      <c r="BY83" s="339"/>
      <c r="BZ83" s="339"/>
      <c r="CA83" s="340"/>
      <c r="CB83" s="340"/>
      <c r="CC83" s="340"/>
      <c r="CD83" s="340"/>
      <c r="CE83" s="341"/>
      <c r="CF83" s="341"/>
      <c r="CG83" s="341"/>
      <c r="CH83" s="341"/>
      <c r="CI83" s="342"/>
      <c r="CJ83" s="342"/>
      <c r="CK83" s="342"/>
      <c r="CL83" s="342"/>
      <c r="CM83" s="394">
        <v>-8.58</v>
      </c>
      <c r="CN83" s="379"/>
      <c r="CO83" s="379"/>
      <c r="CP83" s="379"/>
      <c r="CQ83" s="343"/>
      <c r="CR83" s="343"/>
      <c r="CS83" s="343"/>
      <c r="CT83" s="343"/>
      <c r="CU83" s="344"/>
      <c r="CV83" s="344"/>
      <c r="CW83" s="344"/>
      <c r="CX83" s="344"/>
      <c r="CY83" s="345"/>
      <c r="CZ83" s="345"/>
      <c r="DA83" s="345"/>
      <c r="DB83" s="345"/>
      <c r="DC83" s="346"/>
      <c r="DD83" s="346"/>
      <c r="DE83" s="346"/>
      <c r="DF83" s="346"/>
      <c r="DG83" s="358"/>
      <c r="DH83" s="358"/>
      <c r="DI83" s="358"/>
      <c r="DJ83" s="348"/>
      <c r="DK83" s="348"/>
      <c r="DL83" s="348"/>
      <c r="DM83" s="324"/>
      <c r="DN83" s="317"/>
      <c r="DO83" s="330">
        <v>0.75</v>
      </c>
      <c r="DP83" s="282"/>
      <c r="DQ83" s="395"/>
      <c r="DR83" s="395"/>
      <c r="DS83" s="272" t="s">
        <v>1479</v>
      </c>
      <c r="DT83" s="272"/>
      <c r="DU83" s="272"/>
      <c r="DV83" s="285"/>
      <c r="DW83" s="285"/>
      <c r="DX83" s="285"/>
      <c r="DY83" s="285"/>
      <c r="DZ83" s="285"/>
      <c r="EA83" s="285"/>
      <c r="EB83" s="285"/>
      <c r="EC83" s="285"/>
      <c r="ED83" s="285"/>
      <c r="EE83" s="285"/>
      <c r="EF83" s="285"/>
      <c r="EG83" s="285"/>
      <c r="EH83" s="285"/>
      <c r="EI83" s="285"/>
    </row>
    <row r="84">
      <c r="A84" s="374" t="s">
        <v>2084</v>
      </c>
      <c r="B84" s="374" t="s">
        <v>2085</v>
      </c>
      <c r="C84" s="263"/>
      <c r="D84" s="264"/>
      <c r="E84" s="307"/>
      <c r="F84" s="307"/>
      <c r="G84" s="264"/>
      <c r="H84" s="308"/>
      <c r="I84" s="308"/>
      <c r="J84" s="269"/>
      <c r="K84" s="269" t="s">
        <v>257</v>
      </c>
      <c r="L84" s="308"/>
      <c r="M84" s="269"/>
      <c r="N84" s="268"/>
      <c r="O84" s="308"/>
      <c r="P84" s="308"/>
      <c r="Q84" s="308"/>
      <c r="R84" s="308"/>
      <c r="S84" s="308"/>
      <c r="T84" s="269"/>
      <c r="U84" s="269"/>
      <c r="V84" s="269"/>
      <c r="W84" s="269"/>
      <c r="X84" s="269"/>
      <c r="Y84" s="269"/>
      <c r="Z84" s="269"/>
      <c r="AA84" s="269"/>
      <c r="AB84" s="269"/>
      <c r="AC84" s="269"/>
      <c r="AD84" s="308">
        <v>20.0</v>
      </c>
      <c r="AE84" s="268"/>
      <c r="AF84" s="268"/>
      <c r="AG84" s="268"/>
      <c r="AH84" s="391" t="s">
        <v>1479</v>
      </c>
      <c r="AI84" s="269"/>
      <c r="AJ84" s="269"/>
      <c r="AK84" s="392" t="s">
        <v>1479</v>
      </c>
      <c r="AL84" s="330">
        <v>2007.0</v>
      </c>
      <c r="AM84" s="270"/>
      <c r="AN84" s="272"/>
      <c r="AO84" s="272"/>
      <c r="AP84" s="271"/>
      <c r="AQ84" s="272"/>
      <c r="AR84" s="282"/>
      <c r="AS84" s="330"/>
      <c r="AT84" s="272"/>
      <c r="AU84" s="272"/>
      <c r="AV84" s="270"/>
      <c r="AW84" s="270"/>
      <c r="AX84" s="370">
        <v>700.0</v>
      </c>
      <c r="AY84" s="272"/>
      <c r="AZ84" s="272" t="s">
        <v>1489</v>
      </c>
      <c r="BA84" s="270" t="s">
        <v>162</v>
      </c>
      <c r="BB84" s="272" t="s">
        <v>2021</v>
      </c>
      <c r="BC84" s="393"/>
      <c r="BD84" s="393"/>
      <c r="BE84" s="334"/>
      <c r="BF84" s="334"/>
      <c r="BG84" s="335"/>
      <c r="BH84" s="335"/>
      <c r="BI84" s="335"/>
      <c r="BJ84" s="335"/>
      <c r="BK84" s="336"/>
      <c r="BL84" s="336"/>
      <c r="BM84" s="336"/>
      <c r="BN84" s="336"/>
      <c r="BO84" s="337"/>
      <c r="BP84" s="337"/>
      <c r="BQ84" s="337"/>
      <c r="BR84" s="337"/>
      <c r="BS84" s="338"/>
      <c r="BT84" s="338"/>
      <c r="BU84" s="338"/>
      <c r="BV84" s="338"/>
      <c r="BW84" s="339"/>
      <c r="BX84" s="339"/>
      <c r="BY84" s="339"/>
      <c r="BZ84" s="339"/>
      <c r="CA84" s="340"/>
      <c r="CB84" s="340"/>
      <c r="CC84" s="340"/>
      <c r="CD84" s="340"/>
      <c r="CE84" s="341"/>
      <c r="CF84" s="341"/>
      <c r="CG84" s="341"/>
      <c r="CH84" s="341"/>
      <c r="CI84" s="342"/>
      <c r="CJ84" s="342"/>
      <c r="CK84" s="342"/>
      <c r="CL84" s="342"/>
      <c r="CM84" s="394">
        <v>-7.01</v>
      </c>
      <c r="CN84" s="379"/>
      <c r="CO84" s="379"/>
      <c r="CP84" s="379"/>
      <c r="CQ84" s="343"/>
      <c r="CR84" s="343"/>
      <c r="CS84" s="343"/>
      <c r="CT84" s="343"/>
      <c r="CU84" s="344"/>
      <c r="CV84" s="344"/>
      <c r="CW84" s="344"/>
      <c r="CX84" s="344"/>
      <c r="CY84" s="345"/>
      <c r="CZ84" s="345"/>
      <c r="DA84" s="345"/>
      <c r="DB84" s="345"/>
      <c r="DC84" s="346"/>
      <c r="DD84" s="346"/>
      <c r="DE84" s="346"/>
      <c r="DF84" s="346"/>
      <c r="DG84" s="358"/>
      <c r="DH84" s="358"/>
      <c r="DI84" s="358"/>
      <c r="DJ84" s="348"/>
      <c r="DK84" s="348"/>
      <c r="DL84" s="348"/>
      <c r="DM84" s="324"/>
      <c r="DN84" s="317"/>
      <c r="DO84" s="330">
        <v>1.34</v>
      </c>
      <c r="DP84" s="282"/>
      <c r="DQ84" s="395"/>
      <c r="DR84" s="395"/>
      <c r="DS84" s="272" t="s">
        <v>1479</v>
      </c>
      <c r="DT84" s="272"/>
      <c r="DU84" s="272"/>
      <c r="DV84" s="285"/>
      <c r="DW84" s="285"/>
      <c r="DX84" s="285"/>
      <c r="DY84" s="285"/>
      <c r="DZ84" s="285"/>
      <c r="EA84" s="285"/>
      <c r="EB84" s="285"/>
      <c r="EC84" s="285"/>
      <c r="ED84" s="285"/>
      <c r="EE84" s="285"/>
      <c r="EF84" s="285"/>
      <c r="EG84" s="285"/>
      <c r="EH84" s="285"/>
      <c r="EI84" s="285"/>
    </row>
    <row r="85">
      <c r="A85" s="374" t="s">
        <v>2086</v>
      </c>
      <c r="B85" s="374" t="s">
        <v>2087</v>
      </c>
      <c r="C85" s="263"/>
      <c r="D85" s="264"/>
      <c r="E85" s="307"/>
      <c r="F85" s="307"/>
      <c r="G85" s="264"/>
      <c r="H85" s="308">
        <v>98.27162708</v>
      </c>
      <c r="I85" s="308">
        <v>10.32221861</v>
      </c>
      <c r="J85" s="269"/>
      <c r="K85" s="269" t="s">
        <v>169</v>
      </c>
      <c r="L85" s="308"/>
      <c r="M85" s="269"/>
      <c r="N85" s="268"/>
      <c r="O85" s="308"/>
      <c r="P85" s="308"/>
      <c r="Q85" s="308"/>
      <c r="R85" s="308"/>
      <c r="S85" s="308"/>
      <c r="T85" s="269"/>
      <c r="U85" s="269"/>
      <c r="V85" s="269"/>
      <c r="W85" s="269"/>
      <c r="X85" s="269"/>
      <c r="Y85" s="269"/>
      <c r="Z85" s="269"/>
      <c r="AA85" s="269"/>
      <c r="AB85" s="269"/>
      <c r="AC85" s="269"/>
      <c r="AD85" s="308">
        <v>1.2</v>
      </c>
      <c r="AE85" s="268"/>
      <c r="AF85" s="268"/>
      <c r="AG85" s="268"/>
      <c r="AH85" s="391" t="s">
        <v>1479</v>
      </c>
      <c r="AI85" s="269"/>
      <c r="AJ85" s="269"/>
      <c r="AK85" s="392" t="s">
        <v>1479</v>
      </c>
      <c r="AL85" s="330">
        <v>2002.0</v>
      </c>
      <c r="AM85" s="270"/>
      <c r="AN85" s="272" t="s">
        <v>2052</v>
      </c>
      <c r="AO85" s="272"/>
      <c r="AP85" s="315">
        <v>14125.0</v>
      </c>
      <c r="AQ85" s="272"/>
      <c r="AR85" s="282"/>
      <c r="AS85" s="330"/>
      <c r="AT85" s="330">
        <v>1550.0</v>
      </c>
      <c r="AU85" s="272"/>
      <c r="AV85" s="270"/>
      <c r="AW85" s="270"/>
      <c r="AX85" s="370">
        <v>800.0</v>
      </c>
      <c r="AY85" s="272"/>
      <c r="AZ85" s="272" t="s">
        <v>1484</v>
      </c>
      <c r="BA85" s="270" t="s">
        <v>162</v>
      </c>
      <c r="BB85" s="272" t="s">
        <v>2021</v>
      </c>
      <c r="BC85" s="393"/>
      <c r="BD85" s="393"/>
      <c r="BE85" s="334"/>
      <c r="BF85" s="334"/>
      <c r="BG85" s="335"/>
      <c r="BH85" s="335"/>
      <c r="BI85" s="335"/>
      <c r="BJ85" s="335"/>
      <c r="BK85" s="336"/>
      <c r="BL85" s="336"/>
      <c r="BM85" s="336"/>
      <c r="BN85" s="336"/>
      <c r="BO85" s="337"/>
      <c r="BP85" s="337"/>
      <c r="BQ85" s="337"/>
      <c r="BR85" s="337"/>
      <c r="BS85" s="338"/>
      <c r="BT85" s="338"/>
      <c r="BU85" s="338"/>
      <c r="BV85" s="338"/>
      <c r="BW85" s="339"/>
      <c r="BX85" s="339"/>
      <c r="BY85" s="339"/>
      <c r="BZ85" s="339"/>
      <c r="CA85" s="340"/>
      <c r="CB85" s="340"/>
      <c r="CC85" s="340"/>
      <c r="CD85" s="340"/>
      <c r="CE85" s="341"/>
      <c r="CF85" s="341"/>
      <c r="CG85" s="341"/>
      <c r="CH85" s="341"/>
      <c r="CI85" s="342"/>
      <c r="CJ85" s="342"/>
      <c r="CK85" s="342"/>
      <c r="CL85" s="342"/>
      <c r="CM85" s="394">
        <v>-4.84</v>
      </c>
      <c r="CN85" s="379"/>
      <c r="CO85" s="379"/>
      <c r="CP85" s="379"/>
      <c r="CQ85" s="343"/>
      <c r="CR85" s="343"/>
      <c r="CS85" s="343"/>
      <c r="CT85" s="343"/>
      <c r="CU85" s="344"/>
      <c r="CV85" s="344"/>
      <c r="CW85" s="344"/>
      <c r="CX85" s="344"/>
      <c r="CY85" s="345"/>
      <c r="CZ85" s="345"/>
      <c r="DA85" s="345"/>
      <c r="DB85" s="345"/>
      <c r="DC85" s="346"/>
      <c r="DD85" s="346"/>
      <c r="DE85" s="346"/>
      <c r="DF85" s="346"/>
      <c r="DG85" s="358"/>
      <c r="DH85" s="358"/>
      <c r="DI85" s="358"/>
      <c r="DJ85" s="348"/>
      <c r="DK85" s="348"/>
      <c r="DL85" s="348"/>
      <c r="DM85" s="324"/>
      <c r="DN85" s="317"/>
      <c r="DO85" s="330">
        <v>1.46</v>
      </c>
      <c r="DP85" s="282"/>
      <c r="DQ85" s="395"/>
      <c r="DR85" s="395"/>
      <c r="DS85" s="272" t="s">
        <v>1479</v>
      </c>
      <c r="DT85" s="272"/>
      <c r="DU85" s="272"/>
      <c r="DV85" s="285"/>
      <c r="DW85" s="285"/>
      <c r="DX85" s="285"/>
      <c r="DY85" s="285"/>
      <c r="DZ85" s="285"/>
      <c r="EA85" s="285"/>
      <c r="EB85" s="285"/>
      <c r="EC85" s="285"/>
      <c r="ED85" s="285"/>
      <c r="EE85" s="285"/>
      <c r="EF85" s="285"/>
      <c r="EG85" s="285"/>
      <c r="EH85" s="285"/>
      <c r="EI85" s="285"/>
    </row>
    <row r="86">
      <c r="A86" s="374" t="s">
        <v>2088</v>
      </c>
      <c r="B86" s="374" t="s">
        <v>2089</v>
      </c>
      <c r="C86" s="263"/>
      <c r="D86" s="264"/>
      <c r="E86" s="307"/>
      <c r="F86" s="307"/>
      <c r="G86" s="264"/>
      <c r="H86" s="308">
        <v>349.3566208</v>
      </c>
      <c r="I86" s="308">
        <v>60.84540333</v>
      </c>
      <c r="J86" s="269"/>
      <c r="K86" s="269" t="s">
        <v>169</v>
      </c>
      <c r="L86" s="308"/>
      <c r="M86" s="269"/>
      <c r="N86" s="268"/>
      <c r="O86" s="308"/>
      <c r="P86" s="308"/>
      <c r="Q86" s="308"/>
      <c r="R86" s="308"/>
      <c r="S86" s="308"/>
      <c r="T86" s="269"/>
      <c r="U86" s="269"/>
      <c r="V86" s="269"/>
      <c r="W86" s="269"/>
      <c r="X86" s="269"/>
      <c r="Y86" s="269"/>
      <c r="Z86" s="269"/>
      <c r="AA86" s="269"/>
      <c r="AB86" s="269"/>
      <c r="AC86" s="269"/>
      <c r="AD86" s="308">
        <v>8.4</v>
      </c>
      <c r="AE86" s="268"/>
      <c r="AF86" s="268"/>
      <c r="AG86" s="268"/>
      <c r="AH86" s="391" t="s">
        <v>1479</v>
      </c>
      <c r="AI86" s="269"/>
      <c r="AJ86" s="269"/>
      <c r="AK86" s="392" t="s">
        <v>1479</v>
      </c>
      <c r="AL86" s="330">
        <v>2002.0</v>
      </c>
      <c r="AM86" s="270"/>
      <c r="AN86" s="272" t="s">
        <v>2090</v>
      </c>
      <c r="AO86" s="272"/>
      <c r="AP86" s="315">
        <v>30200.0</v>
      </c>
      <c r="AQ86" s="272"/>
      <c r="AR86" s="282"/>
      <c r="AS86" s="330"/>
      <c r="AT86" s="330">
        <v>5750.0</v>
      </c>
      <c r="AU86" s="272"/>
      <c r="AV86" s="270"/>
      <c r="AW86" s="270"/>
      <c r="AX86" s="370">
        <v>2200.0</v>
      </c>
      <c r="AY86" s="272"/>
      <c r="AZ86" s="272" t="s">
        <v>1484</v>
      </c>
      <c r="BA86" s="270" t="s">
        <v>162</v>
      </c>
      <c r="BB86" s="272" t="s">
        <v>2021</v>
      </c>
      <c r="BC86" s="393"/>
      <c r="BD86" s="393"/>
      <c r="BE86" s="334"/>
      <c r="BF86" s="334"/>
      <c r="BG86" s="335"/>
      <c r="BH86" s="335"/>
      <c r="BI86" s="335"/>
      <c r="BJ86" s="335"/>
      <c r="BK86" s="336"/>
      <c r="BL86" s="336"/>
      <c r="BM86" s="336"/>
      <c r="BN86" s="336"/>
      <c r="BO86" s="337"/>
      <c r="BP86" s="337"/>
      <c r="BQ86" s="337"/>
      <c r="BR86" s="337"/>
      <c r="BS86" s="338"/>
      <c r="BT86" s="338"/>
      <c r="BU86" s="338"/>
      <c r="BV86" s="338"/>
      <c r="BW86" s="339"/>
      <c r="BX86" s="339"/>
      <c r="BY86" s="339"/>
      <c r="BZ86" s="339"/>
      <c r="CA86" s="340"/>
      <c r="CB86" s="340"/>
      <c r="CC86" s="340"/>
      <c r="CD86" s="340"/>
      <c r="CE86" s="341"/>
      <c r="CF86" s="341"/>
      <c r="CG86" s="341"/>
      <c r="CH86" s="341"/>
      <c r="CI86" s="342"/>
      <c r="CJ86" s="342"/>
      <c r="CK86" s="342"/>
      <c r="CL86" s="342"/>
      <c r="CM86" s="394">
        <v>-4.58</v>
      </c>
      <c r="CN86" s="379"/>
      <c r="CO86" s="379"/>
      <c r="CP86" s="379"/>
      <c r="CQ86" s="343"/>
      <c r="CR86" s="343"/>
      <c r="CS86" s="343"/>
      <c r="CT86" s="343"/>
      <c r="CU86" s="344"/>
      <c r="CV86" s="344"/>
      <c r="CW86" s="344"/>
      <c r="CX86" s="344"/>
      <c r="CY86" s="345"/>
      <c r="CZ86" s="345"/>
      <c r="DA86" s="345"/>
      <c r="DB86" s="345"/>
      <c r="DC86" s="346"/>
      <c r="DD86" s="346"/>
      <c r="DE86" s="346"/>
      <c r="DF86" s="346"/>
      <c r="DG86" s="358"/>
      <c r="DH86" s="358"/>
      <c r="DI86" s="358"/>
      <c r="DJ86" s="348"/>
      <c r="DK86" s="348"/>
      <c r="DL86" s="348"/>
      <c r="DM86" s="324"/>
      <c r="DN86" s="317"/>
      <c r="DO86" s="330">
        <v>2.72</v>
      </c>
      <c r="DP86" s="282"/>
      <c r="DQ86" s="395"/>
      <c r="DR86" s="395"/>
      <c r="DS86" s="272" t="s">
        <v>1479</v>
      </c>
      <c r="DT86" s="272"/>
      <c r="DU86" s="272"/>
      <c r="DV86" s="285"/>
      <c r="DW86" s="285"/>
      <c r="DX86" s="285"/>
      <c r="DY86" s="285"/>
      <c r="DZ86" s="285"/>
      <c r="EA86" s="285"/>
      <c r="EB86" s="285"/>
      <c r="EC86" s="285"/>
      <c r="ED86" s="285"/>
      <c r="EE86" s="285"/>
      <c r="EF86" s="285"/>
      <c r="EG86" s="285"/>
      <c r="EH86" s="285"/>
      <c r="EI86" s="285"/>
    </row>
    <row r="87">
      <c r="A87" s="374" t="s">
        <v>2091</v>
      </c>
      <c r="B87" s="374" t="s">
        <v>2092</v>
      </c>
      <c r="C87" s="263"/>
      <c r="D87" s="264"/>
      <c r="E87" s="307"/>
      <c r="F87" s="307"/>
      <c r="G87" s="264"/>
      <c r="H87" s="308">
        <v>55.725</v>
      </c>
      <c r="I87" s="308">
        <v>31.96666667</v>
      </c>
      <c r="J87" s="269"/>
      <c r="K87" s="269" t="s">
        <v>169</v>
      </c>
      <c r="L87" s="308"/>
      <c r="M87" s="269"/>
      <c r="N87" s="268"/>
      <c r="O87" s="308"/>
      <c r="P87" s="308"/>
      <c r="Q87" s="308"/>
      <c r="R87" s="308"/>
      <c r="S87" s="308"/>
      <c r="T87" s="269"/>
      <c r="U87" s="269"/>
      <c r="V87" s="269"/>
      <c r="W87" s="269"/>
      <c r="X87" s="269"/>
      <c r="Y87" s="269"/>
      <c r="Z87" s="269"/>
      <c r="AA87" s="269"/>
      <c r="AB87" s="269"/>
      <c r="AC87" s="269"/>
      <c r="AD87" s="308">
        <v>3.9</v>
      </c>
      <c r="AE87" s="268"/>
      <c r="AF87" s="268"/>
      <c r="AG87" s="268"/>
      <c r="AH87" s="391" t="s">
        <v>1479</v>
      </c>
      <c r="AI87" s="269"/>
      <c r="AJ87" s="269"/>
      <c r="AK87" s="392" t="s">
        <v>1479</v>
      </c>
      <c r="AL87" s="330">
        <v>2005.0</v>
      </c>
      <c r="AM87" s="270"/>
      <c r="AN87" s="272"/>
      <c r="AO87" s="272"/>
      <c r="AP87" s="271"/>
      <c r="AQ87" s="272"/>
      <c r="AR87" s="282"/>
      <c r="AS87" s="330"/>
      <c r="AT87" s="272"/>
      <c r="AU87" s="272"/>
      <c r="AV87" s="270"/>
      <c r="AW87" s="270"/>
      <c r="AX87" s="370">
        <v>250.0</v>
      </c>
      <c r="AY87" s="272"/>
      <c r="AZ87" s="272" t="s">
        <v>1484</v>
      </c>
      <c r="BA87" s="270" t="s">
        <v>162</v>
      </c>
      <c r="BB87" s="272" t="s">
        <v>2021</v>
      </c>
      <c r="BC87" s="393"/>
      <c r="BD87" s="393"/>
      <c r="BE87" s="334"/>
      <c r="BF87" s="334"/>
      <c r="BG87" s="335"/>
      <c r="BH87" s="335"/>
      <c r="BI87" s="335"/>
      <c r="BJ87" s="335"/>
      <c r="BK87" s="336"/>
      <c r="BL87" s="336"/>
      <c r="BM87" s="336"/>
      <c r="BN87" s="336"/>
      <c r="BO87" s="337"/>
      <c r="BP87" s="337"/>
      <c r="BQ87" s="337"/>
      <c r="BR87" s="337"/>
      <c r="BS87" s="338"/>
      <c r="BT87" s="338"/>
      <c r="BU87" s="338"/>
      <c r="BV87" s="338"/>
      <c r="BW87" s="339"/>
      <c r="BX87" s="339"/>
      <c r="BY87" s="339"/>
      <c r="BZ87" s="339"/>
      <c r="CA87" s="340"/>
      <c r="CB87" s="340"/>
      <c r="CC87" s="340"/>
      <c r="CD87" s="340"/>
      <c r="CE87" s="341"/>
      <c r="CF87" s="341"/>
      <c r="CG87" s="341"/>
      <c r="CH87" s="341"/>
      <c r="CI87" s="342"/>
      <c r="CJ87" s="342"/>
      <c r="CK87" s="342"/>
      <c r="CL87" s="342"/>
      <c r="CM87" s="394">
        <v>-9.87</v>
      </c>
      <c r="CN87" s="379"/>
      <c r="CO87" s="379"/>
      <c r="CP87" s="379"/>
      <c r="CQ87" s="343"/>
      <c r="CR87" s="343"/>
      <c r="CS87" s="343"/>
      <c r="CT87" s="343"/>
      <c r="CU87" s="344"/>
      <c r="CV87" s="344"/>
      <c r="CW87" s="344"/>
      <c r="CX87" s="344"/>
      <c r="CY87" s="345"/>
      <c r="CZ87" s="345"/>
      <c r="DA87" s="345"/>
      <c r="DB87" s="345"/>
      <c r="DC87" s="346"/>
      <c r="DD87" s="346"/>
      <c r="DE87" s="346"/>
      <c r="DF87" s="346"/>
      <c r="DG87" s="358"/>
      <c r="DH87" s="358"/>
      <c r="DI87" s="358"/>
      <c r="DJ87" s="348"/>
      <c r="DK87" s="348"/>
      <c r="DL87" s="348"/>
      <c r="DM87" s="324"/>
      <c r="DN87" s="317"/>
      <c r="DO87" s="330">
        <v>-0.3</v>
      </c>
      <c r="DP87" s="282"/>
      <c r="DQ87" s="395"/>
      <c r="DR87" s="395"/>
      <c r="DS87" s="272" t="s">
        <v>1479</v>
      </c>
      <c r="DT87" s="272"/>
      <c r="DU87" s="272"/>
      <c r="DV87" s="285"/>
      <c r="DW87" s="285"/>
      <c r="DX87" s="285"/>
      <c r="DY87" s="285"/>
      <c r="DZ87" s="285"/>
      <c r="EA87" s="285"/>
      <c r="EB87" s="285"/>
      <c r="EC87" s="285"/>
      <c r="ED87" s="285"/>
      <c r="EE87" s="285"/>
      <c r="EF87" s="285"/>
      <c r="EG87" s="285"/>
      <c r="EH87" s="285"/>
      <c r="EI87" s="285"/>
    </row>
    <row r="88">
      <c r="A88" s="374" t="s">
        <v>2093</v>
      </c>
      <c r="B88" s="374" t="s">
        <v>2094</v>
      </c>
      <c r="C88" s="263"/>
      <c r="D88" s="264"/>
      <c r="E88" s="307"/>
      <c r="F88" s="307"/>
      <c r="G88" s="264"/>
      <c r="H88" s="308">
        <v>248.6221667</v>
      </c>
      <c r="I88" s="308">
        <v>-15.78372222</v>
      </c>
      <c r="J88" s="269"/>
      <c r="K88" s="269" t="s">
        <v>257</v>
      </c>
      <c r="L88" s="308"/>
      <c r="M88" s="269"/>
      <c r="N88" s="268"/>
      <c r="O88" s="308"/>
      <c r="P88" s="308"/>
      <c r="Q88" s="308"/>
      <c r="R88" s="308"/>
      <c r="S88" s="308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308">
        <v>9.0</v>
      </c>
      <c r="AE88" s="268"/>
      <c r="AF88" s="268"/>
      <c r="AG88" s="268"/>
      <c r="AH88" s="391" t="s">
        <v>1479</v>
      </c>
      <c r="AI88" s="269"/>
      <c r="AJ88" s="269"/>
      <c r="AK88" s="392" t="s">
        <v>1479</v>
      </c>
      <c r="AL88" s="330">
        <v>2002.0</v>
      </c>
      <c r="AM88" s="270"/>
      <c r="AN88" s="272"/>
      <c r="AO88" s="272"/>
      <c r="AP88" s="271"/>
      <c r="AQ88" s="272"/>
      <c r="AR88" s="282"/>
      <c r="AS88" s="330"/>
      <c r="AT88" s="272"/>
      <c r="AU88" s="272"/>
      <c r="AV88" s="270"/>
      <c r="AW88" s="270"/>
      <c r="AX88" s="370">
        <v>120.0</v>
      </c>
      <c r="AY88" s="272"/>
      <c r="AZ88" s="272" t="s">
        <v>1480</v>
      </c>
      <c r="BA88" s="270" t="s">
        <v>162</v>
      </c>
      <c r="BB88" s="272" t="s">
        <v>2021</v>
      </c>
      <c r="BC88" s="393"/>
      <c r="BD88" s="393"/>
      <c r="BE88" s="334"/>
      <c r="BF88" s="334"/>
      <c r="BG88" s="335"/>
      <c r="BH88" s="335"/>
      <c r="BI88" s="335"/>
      <c r="BJ88" s="335"/>
      <c r="BK88" s="336"/>
      <c r="BL88" s="336"/>
      <c r="BM88" s="336"/>
      <c r="BN88" s="336"/>
      <c r="BO88" s="337"/>
      <c r="BP88" s="337"/>
      <c r="BQ88" s="337"/>
      <c r="BR88" s="337"/>
      <c r="BS88" s="338"/>
      <c r="BT88" s="338"/>
      <c r="BU88" s="338"/>
      <c r="BV88" s="338"/>
      <c r="BW88" s="339"/>
      <c r="BX88" s="339"/>
      <c r="BY88" s="339"/>
      <c r="BZ88" s="339"/>
      <c r="CA88" s="340"/>
      <c r="CB88" s="340"/>
      <c r="CC88" s="340"/>
      <c r="CD88" s="340"/>
      <c r="CE88" s="341"/>
      <c r="CF88" s="341"/>
      <c r="CG88" s="341"/>
      <c r="CH88" s="341"/>
      <c r="CI88" s="342"/>
      <c r="CJ88" s="342"/>
      <c r="CK88" s="342"/>
      <c r="CL88" s="342"/>
      <c r="CM88" s="394">
        <v>-4.52</v>
      </c>
      <c r="CN88" s="379"/>
      <c r="CO88" s="379"/>
      <c r="CP88" s="379"/>
      <c r="CQ88" s="343"/>
      <c r="CR88" s="343"/>
      <c r="CS88" s="343"/>
      <c r="CT88" s="343"/>
      <c r="CU88" s="344"/>
      <c r="CV88" s="344"/>
      <c r="CW88" s="344"/>
      <c r="CX88" s="344"/>
      <c r="CY88" s="345"/>
      <c r="CZ88" s="345"/>
      <c r="DA88" s="345"/>
      <c r="DB88" s="345"/>
      <c r="DC88" s="346"/>
      <c r="DD88" s="346"/>
      <c r="DE88" s="346"/>
      <c r="DF88" s="346"/>
      <c r="DG88" s="358"/>
      <c r="DH88" s="358"/>
      <c r="DI88" s="358"/>
      <c r="DJ88" s="348"/>
      <c r="DK88" s="348"/>
      <c r="DL88" s="348"/>
      <c r="DM88" s="324"/>
      <c r="DN88" s="317"/>
      <c r="DO88" s="330">
        <v>-0.68</v>
      </c>
      <c r="DP88" s="282"/>
      <c r="DQ88" s="395"/>
      <c r="DR88" s="395"/>
      <c r="DS88" s="272" t="s">
        <v>1479</v>
      </c>
      <c r="DT88" s="272"/>
      <c r="DU88" s="272"/>
      <c r="DV88" s="285"/>
      <c r="DW88" s="285"/>
      <c r="DX88" s="285"/>
      <c r="DY88" s="285"/>
      <c r="DZ88" s="285"/>
      <c r="EA88" s="285"/>
      <c r="EB88" s="285"/>
      <c r="EC88" s="285"/>
      <c r="ED88" s="285"/>
      <c r="EE88" s="285"/>
      <c r="EF88" s="285"/>
      <c r="EG88" s="285"/>
      <c r="EH88" s="285"/>
      <c r="EI88" s="285"/>
    </row>
    <row r="89">
      <c r="A89" s="374" t="s">
        <v>2095</v>
      </c>
      <c r="B89" s="374" t="s">
        <v>2096</v>
      </c>
      <c r="C89" s="263"/>
      <c r="D89" s="264"/>
      <c r="E89" s="307"/>
      <c r="F89" s="307"/>
      <c r="G89" s="264"/>
      <c r="H89" s="308"/>
      <c r="I89" s="308"/>
      <c r="J89" s="269"/>
      <c r="K89" s="269" t="s">
        <v>169</v>
      </c>
      <c r="L89" s="308"/>
      <c r="M89" s="269"/>
      <c r="N89" s="268"/>
      <c r="O89" s="308"/>
      <c r="P89" s="308"/>
      <c r="Q89" s="308"/>
      <c r="R89" s="308"/>
      <c r="S89" s="308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308">
        <v>3.5</v>
      </c>
      <c r="AE89" s="268"/>
      <c r="AF89" s="268"/>
      <c r="AG89" s="268"/>
      <c r="AH89" s="391" t="s">
        <v>1479</v>
      </c>
      <c r="AI89" s="269"/>
      <c r="AJ89" s="269"/>
      <c r="AK89" s="392" t="s">
        <v>1479</v>
      </c>
      <c r="AL89" s="330">
        <v>2002.0</v>
      </c>
      <c r="AM89" s="270"/>
      <c r="AN89" s="272" t="s">
        <v>2097</v>
      </c>
      <c r="AO89" s="272"/>
      <c r="AP89" s="315">
        <v>6030.0</v>
      </c>
      <c r="AQ89" s="272"/>
      <c r="AR89" s="282"/>
      <c r="AS89" s="330"/>
      <c r="AT89" s="272"/>
      <c r="AU89" s="272"/>
      <c r="AV89" s="270"/>
      <c r="AW89" s="270"/>
      <c r="AX89" s="370">
        <v>120.0</v>
      </c>
      <c r="AY89" s="272"/>
      <c r="AZ89" s="272" t="s">
        <v>1484</v>
      </c>
      <c r="BA89" s="270" t="s">
        <v>162</v>
      </c>
      <c r="BB89" s="272" t="s">
        <v>2021</v>
      </c>
      <c r="BC89" s="393"/>
      <c r="BD89" s="393"/>
      <c r="BE89" s="334"/>
      <c r="BF89" s="334"/>
      <c r="BG89" s="335"/>
      <c r="BH89" s="335"/>
      <c r="BI89" s="335"/>
      <c r="BJ89" s="335"/>
      <c r="BK89" s="336"/>
      <c r="BL89" s="336"/>
      <c r="BM89" s="336"/>
      <c r="BN89" s="336"/>
      <c r="BO89" s="337"/>
      <c r="BP89" s="337"/>
      <c r="BQ89" s="337"/>
      <c r="BR89" s="337"/>
      <c r="BS89" s="338"/>
      <c r="BT89" s="338"/>
      <c r="BU89" s="338"/>
      <c r="BV89" s="338"/>
      <c r="BW89" s="339"/>
      <c r="BX89" s="339"/>
      <c r="BY89" s="339"/>
      <c r="BZ89" s="339"/>
      <c r="CA89" s="340"/>
      <c r="CB89" s="340"/>
      <c r="CC89" s="340"/>
      <c r="CD89" s="340"/>
      <c r="CE89" s="341"/>
      <c r="CF89" s="341"/>
      <c r="CG89" s="341"/>
      <c r="CH89" s="341"/>
      <c r="CI89" s="342"/>
      <c r="CJ89" s="342"/>
      <c r="CK89" s="342"/>
      <c r="CL89" s="342"/>
      <c r="CM89" s="394">
        <v>-5.21</v>
      </c>
      <c r="CN89" s="379"/>
      <c r="CO89" s="379"/>
      <c r="CP89" s="379"/>
      <c r="CQ89" s="343"/>
      <c r="CR89" s="343"/>
      <c r="CS89" s="343"/>
      <c r="CT89" s="343"/>
      <c r="CU89" s="344"/>
      <c r="CV89" s="344"/>
      <c r="CW89" s="344"/>
      <c r="CX89" s="344"/>
      <c r="CY89" s="345"/>
      <c r="CZ89" s="345"/>
      <c r="DA89" s="345"/>
      <c r="DB89" s="345"/>
      <c r="DC89" s="346"/>
      <c r="DD89" s="346"/>
      <c r="DE89" s="346"/>
      <c r="DF89" s="346"/>
      <c r="DG89" s="358"/>
      <c r="DH89" s="358"/>
      <c r="DI89" s="358"/>
      <c r="DJ89" s="348"/>
      <c r="DK89" s="348"/>
      <c r="DL89" s="348"/>
      <c r="DM89" s="324"/>
      <c r="DN89" s="317"/>
      <c r="DO89" s="330">
        <v>-0.81</v>
      </c>
      <c r="DP89" s="282"/>
      <c r="DQ89" s="395"/>
      <c r="DR89" s="395"/>
      <c r="DS89" s="272" t="s">
        <v>1479</v>
      </c>
      <c r="DT89" s="272"/>
      <c r="DU89" s="272"/>
      <c r="DV89" s="285"/>
      <c r="DW89" s="285"/>
      <c r="DX89" s="285"/>
      <c r="DY89" s="285"/>
      <c r="DZ89" s="285"/>
      <c r="EA89" s="285"/>
      <c r="EB89" s="285"/>
      <c r="EC89" s="285"/>
      <c r="ED89" s="285"/>
      <c r="EE89" s="285"/>
      <c r="EF89" s="285"/>
      <c r="EG89" s="285"/>
      <c r="EH89" s="285"/>
      <c r="EI89" s="285"/>
    </row>
    <row r="90">
      <c r="A90" s="383" t="s">
        <v>2098</v>
      </c>
      <c r="B90" s="374" t="s">
        <v>2099</v>
      </c>
      <c r="C90" s="385"/>
      <c r="D90" s="264"/>
      <c r="E90" s="307"/>
      <c r="F90" s="307"/>
      <c r="G90" s="386"/>
      <c r="H90" s="355">
        <v>280.7415883</v>
      </c>
      <c r="I90" s="355">
        <v>-35.54522889</v>
      </c>
      <c r="J90" s="309"/>
      <c r="K90" s="309" t="s">
        <v>169</v>
      </c>
      <c r="L90" s="355"/>
      <c r="M90" s="309"/>
      <c r="N90" s="268"/>
      <c r="O90" s="355"/>
      <c r="P90" s="355"/>
      <c r="Q90" s="355"/>
      <c r="R90" s="355"/>
      <c r="S90" s="355"/>
      <c r="T90" s="309"/>
      <c r="U90" s="309"/>
      <c r="V90" s="309"/>
      <c r="W90" s="309"/>
      <c r="X90" s="309"/>
      <c r="Y90" s="309"/>
      <c r="Z90" s="309"/>
      <c r="AA90" s="309"/>
      <c r="AB90" s="309"/>
      <c r="AC90" s="309"/>
      <c r="AD90" s="355">
        <v>1.03</v>
      </c>
      <c r="AE90" s="268"/>
      <c r="AF90" s="268"/>
      <c r="AG90" s="268"/>
      <c r="AH90" s="375" t="s">
        <v>1479</v>
      </c>
      <c r="AI90" s="309"/>
      <c r="AJ90" s="309"/>
      <c r="AK90" s="376" t="s">
        <v>1479</v>
      </c>
      <c r="AL90" s="380">
        <v>2005.0</v>
      </c>
      <c r="AM90" s="270"/>
      <c r="AN90" s="314" t="s">
        <v>589</v>
      </c>
      <c r="AO90" s="272"/>
      <c r="AP90" s="359">
        <v>4995.0</v>
      </c>
      <c r="AQ90" s="330"/>
      <c r="AR90" s="357"/>
      <c r="AS90" s="380"/>
      <c r="AT90" s="314">
        <v>1.12</v>
      </c>
      <c r="AU90" s="272"/>
      <c r="AV90" s="316"/>
      <c r="AW90" s="316"/>
      <c r="AX90" s="377">
        <v>140.0</v>
      </c>
      <c r="AY90" s="314"/>
      <c r="AZ90" s="314" t="s">
        <v>1484</v>
      </c>
      <c r="BA90" s="270" t="s">
        <v>162</v>
      </c>
      <c r="BB90" s="314" t="s">
        <v>2021</v>
      </c>
      <c r="BC90" s="351"/>
      <c r="BD90" s="351"/>
      <c r="BE90" s="334"/>
      <c r="BF90" s="334"/>
      <c r="BG90" s="335"/>
      <c r="BH90" s="335"/>
      <c r="BI90" s="335"/>
      <c r="BJ90" s="335"/>
      <c r="BK90" s="336"/>
      <c r="BL90" s="336"/>
      <c r="BM90" s="336"/>
      <c r="BN90" s="336"/>
      <c r="BO90" s="337"/>
      <c r="BP90" s="337"/>
      <c r="BQ90" s="337"/>
      <c r="BR90" s="337"/>
      <c r="BS90" s="338"/>
      <c r="BT90" s="338"/>
      <c r="BU90" s="338"/>
      <c r="BV90" s="338"/>
      <c r="BW90" s="339"/>
      <c r="BX90" s="339"/>
      <c r="BY90" s="339"/>
      <c r="BZ90" s="339"/>
      <c r="CA90" s="340"/>
      <c r="CB90" s="340"/>
      <c r="CC90" s="340"/>
      <c r="CD90" s="340"/>
      <c r="CE90" s="341"/>
      <c r="CF90" s="341"/>
      <c r="CG90" s="341"/>
      <c r="CH90" s="341"/>
      <c r="CI90" s="342"/>
      <c r="CJ90" s="342"/>
      <c r="CK90" s="342"/>
      <c r="CL90" s="342"/>
      <c r="CM90" s="378">
        <v>-9.28</v>
      </c>
      <c r="CN90" s="379"/>
      <c r="CO90" s="379"/>
      <c r="CP90" s="379"/>
      <c r="CQ90" s="343"/>
      <c r="CR90" s="343"/>
      <c r="CS90" s="343"/>
      <c r="CT90" s="343"/>
      <c r="CU90" s="344"/>
      <c r="CV90" s="344"/>
      <c r="CW90" s="344"/>
      <c r="CX90" s="344"/>
      <c r="CY90" s="345"/>
      <c r="CZ90" s="345"/>
      <c r="DA90" s="345"/>
      <c r="DB90" s="345"/>
      <c r="DC90" s="346"/>
      <c r="DD90" s="346"/>
      <c r="DE90" s="346"/>
      <c r="DF90" s="346"/>
      <c r="DG90" s="358"/>
      <c r="DH90" s="358"/>
      <c r="DI90" s="358"/>
      <c r="DJ90" s="348"/>
      <c r="DK90" s="348"/>
      <c r="DL90" s="348"/>
      <c r="DM90" s="324"/>
      <c r="DN90" s="317"/>
      <c r="DO90" s="380">
        <v>-0.89</v>
      </c>
      <c r="DP90" s="360"/>
      <c r="DQ90" s="387"/>
      <c r="DR90" s="381"/>
      <c r="DS90" s="314" t="s">
        <v>1479</v>
      </c>
      <c r="DT90" s="314"/>
      <c r="DU90" s="389"/>
      <c r="DV90" s="285"/>
      <c r="DW90" s="285"/>
      <c r="DX90" s="285"/>
      <c r="DY90" s="285"/>
      <c r="DZ90" s="285"/>
      <c r="EA90" s="285"/>
      <c r="EB90" s="285"/>
      <c r="EC90" s="285"/>
      <c r="ED90" s="285"/>
      <c r="EE90" s="285"/>
      <c r="EF90" s="285"/>
      <c r="EG90" s="285"/>
      <c r="EH90" s="285"/>
      <c r="EI90" s="285"/>
    </row>
    <row r="91">
      <c r="A91" s="374" t="s">
        <v>2100</v>
      </c>
      <c r="B91" s="374" t="s">
        <v>2101</v>
      </c>
      <c r="C91" s="263"/>
      <c r="D91" s="264"/>
      <c r="E91" s="307"/>
      <c r="F91" s="307"/>
      <c r="G91" s="264"/>
      <c r="H91" s="308">
        <v>285.4949587</v>
      </c>
      <c r="I91" s="308">
        <v>-36.96398028</v>
      </c>
      <c r="J91" s="269"/>
      <c r="K91" s="269" t="s">
        <v>169</v>
      </c>
      <c r="L91" s="308"/>
      <c r="M91" s="269"/>
      <c r="N91" s="268"/>
      <c r="O91" s="308"/>
      <c r="P91" s="308"/>
      <c r="Q91" s="308"/>
      <c r="R91" s="308"/>
      <c r="S91" s="308"/>
      <c r="T91" s="269"/>
      <c r="U91" s="269"/>
      <c r="V91" s="269"/>
      <c r="W91" s="269"/>
      <c r="X91" s="269"/>
      <c r="Y91" s="269"/>
      <c r="Z91" s="269"/>
      <c r="AA91" s="269"/>
      <c r="AB91" s="269"/>
      <c r="AC91" s="269"/>
      <c r="AD91" s="308">
        <v>2.1</v>
      </c>
      <c r="AE91" s="268"/>
      <c r="AF91" s="268"/>
      <c r="AG91" s="268"/>
      <c r="AH91" s="391" t="s">
        <v>1479</v>
      </c>
      <c r="AI91" s="269"/>
      <c r="AJ91" s="269"/>
      <c r="AK91" s="392" t="s">
        <v>1479</v>
      </c>
      <c r="AL91" s="330">
        <v>2007.0</v>
      </c>
      <c r="AM91" s="270"/>
      <c r="AN91" s="272" t="s">
        <v>801</v>
      </c>
      <c r="AO91" s="272"/>
      <c r="AP91" s="315">
        <v>7244.0</v>
      </c>
      <c r="AQ91" s="272"/>
      <c r="AR91" s="282"/>
      <c r="AS91" s="330"/>
      <c r="AT91" s="330">
        <v>7.9</v>
      </c>
      <c r="AU91" s="272"/>
      <c r="AV91" s="270"/>
      <c r="AW91" s="270"/>
      <c r="AX91" s="370">
        <v>130.0</v>
      </c>
      <c r="AY91" s="272"/>
      <c r="AZ91" s="272" t="s">
        <v>1489</v>
      </c>
      <c r="BA91" s="270" t="s">
        <v>162</v>
      </c>
      <c r="BB91" s="272" t="s">
        <v>2021</v>
      </c>
      <c r="BC91" s="393"/>
      <c r="BD91" s="393"/>
      <c r="BE91" s="334"/>
      <c r="BF91" s="334"/>
      <c r="BG91" s="335"/>
      <c r="BH91" s="335"/>
      <c r="BI91" s="335"/>
      <c r="BJ91" s="335"/>
      <c r="BK91" s="336"/>
      <c r="BL91" s="336"/>
      <c r="BM91" s="336"/>
      <c r="BN91" s="336"/>
      <c r="BO91" s="337"/>
      <c r="BP91" s="337"/>
      <c r="BQ91" s="337"/>
      <c r="BR91" s="337"/>
      <c r="BS91" s="338"/>
      <c r="BT91" s="338"/>
      <c r="BU91" s="338"/>
      <c r="BV91" s="338"/>
      <c r="BW91" s="339"/>
      <c r="BX91" s="339"/>
      <c r="BY91" s="339"/>
      <c r="BZ91" s="339"/>
      <c r="CA91" s="340"/>
      <c r="CB91" s="340"/>
      <c r="CC91" s="340"/>
      <c r="CD91" s="340"/>
      <c r="CE91" s="341"/>
      <c r="CF91" s="341"/>
      <c r="CG91" s="341"/>
      <c r="CH91" s="341"/>
      <c r="CI91" s="342"/>
      <c r="CJ91" s="342"/>
      <c r="CK91" s="342"/>
      <c r="CL91" s="342"/>
      <c r="CM91" s="394">
        <v>-1.86</v>
      </c>
      <c r="CN91" s="379"/>
      <c r="CO91" s="379"/>
      <c r="CP91" s="379"/>
      <c r="CQ91" s="343"/>
      <c r="CR91" s="343"/>
      <c r="CS91" s="343"/>
      <c r="CT91" s="343"/>
      <c r="CU91" s="344"/>
      <c r="CV91" s="344"/>
      <c r="CW91" s="344"/>
      <c r="CX91" s="344"/>
      <c r="CY91" s="345"/>
      <c r="CZ91" s="345"/>
      <c r="DA91" s="345"/>
      <c r="DB91" s="345"/>
      <c r="DC91" s="346"/>
      <c r="DD91" s="346"/>
      <c r="DE91" s="346"/>
      <c r="DF91" s="346"/>
      <c r="DG91" s="358"/>
      <c r="DH91" s="358"/>
      <c r="DI91" s="358"/>
      <c r="DJ91" s="348"/>
      <c r="DK91" s="348"/>
      <c r="DL91" s="348"/>
      <c r="DM91" s="324"/>
      <c r="DN91" s="317"/>
      <c r="DO91" s="330">
        <v>-0.94</v>
      </c>
      <c r="DP91" s="282"/>
      <c r="DQ91" s="395"/>
      <c r="DR91" s="395"/>
      <c r="DS91" s="272" t="s">
        <v>1479</v>
      </c>
      <c r="DT91" s="272"/>
      <c r="DU91" s="272"/>
      <c r="DV91" s="285"/>
      <c r="DW91" s="285"/>
      <c r="DX91" s="285"/>
      <c r="DY91" s="285"/>
      <c r="DZ91" s="285"/>
      <c r="EA91" s="285"/>
      <c r="EB91" s="285"/>
      <c r="EC91" s="285"/>
      <c r="ED91" s="285"/>
      <c r="EE91" s="285"/>
      <c r="EF91" s="285"/>
      <c r="EG91" s="285"/>
      <c r="EH91" s="285"/>
      <c r="EI91" s="285"/>
    </row>
    <row r="92">
      <c r="A92" s="374" t="s">
        <v>1571</v>
      </c>
      <c r="B92" s="374" t="s">
        <v>2102</v>
      </c>
      <c r="C92" s="263"/>
      <c r="D92" s="264"/>
      <c r="E92" s="307"/>
      <c r="F92" s="307"/>
      <c r="G92" s="264"/>
      <c r="H92" s="308">
        <v>65.49763458</v>
      </c>
      <c r="I92" s="308">
        <v>19.53512194</v>
      </c>
      <c r="J92" s="269"/>
      <c r="K92" s="269" t="s">
        <v>169</v>
      </c>
      <c r="L92" s="308"/>
      <c r="M92" s="269"/>
      <c r="N92" s="268"/>
      <c r="O92" s="308"/>
      <c r="P92" s="308"/>
      <c r="Q92" s="308"/>
      <c r="R92" s="308"/>
      <c r="S92" s="308"/>
      <c r="T92" s="269"/>
      <c r="U92" s="269"/>
      <c r="V92" s="269"/>
      <c r="W92" s="269"/>
      <c r="X92" s="269"/>
      <c r="Y92" s="269"/>
      <c r="Z92" s="269"/>
      <c r="AA92" s="269"/>
      <c r="AB92" s="269"/>
      <c r="AC92" s="269"/>
      <c r="AD92" s="308">
        <v>35.0</v>
      </c>
      <c r="AE92" s="268"/>
      <c r="AF92" s="268"/>
      <c r="AG92" s="268"/>
      <c r="AH92" s="391" t="s">
        <v>1479</v>
      </c>
      <c r="AI92" s="269"/>
      <c r="AJ92" s="269"/>
      <c r="AK92" s="392" t="s">
        <v>1479</v>
      </c>
      <c r="AL92" s="330">
        <v>2002.0</v>
      </c>
      <c r="AM92" s="270"/>
      <c r="AN92" s="272"/>
      <c r="AO92" s="272"/>
      <c r="AP92" s="271"/>
      <c r="AQ92" s="272"/>
      <c r="AR92" s="282">
        <v>2.5</v>
      </c>
      <c r="AS92" s="330"/>
      <c r="AT92" s="272"/>
      <c r="AU92" s="272"/>
      <c r="AV92" s="270"/>
      <c r="AW92" s="270"/>
      <c r="AX92" s="370">
        <v>140.0</v>
      </c>
      <c r="AY92" s="272"/>
      <c r="AZ92" s="272" t="s">
        <v>1484</v>
      </c>
      <c r="BA92" s="270" t="s">
        <v>162</v>
      </c>
      <c r="BB92" s="272" t="s">
        <v>2021</v>
      </c>
      <c r="BC92" s="393"/>
      <c r="BD92" s="393"/>
      <c r="BE92" s="334"/>
      <c r="BF92" s="334"/>
      <c r="BG92" s="335"/>
      <c r="BH92" s="335"/>
      <c r="BI92" s="335"/>
      <c r="BJ92" s="335"/>
      <c r="BK92" s="336"/>
      <c r="BL92" s="336"/>
      <c r="BM92" s="336"/>
      <c r="BN92" s="336"/>
      <c r="BO92" s="337"/>
      <c r="BP92" s="337"/>
      <c r="BQ92" s="337"/>
      <c r="BR92" s="337"/>
      <c r="BS92" s="338"/>
      <c r="BT92" s="338"/>
      <c r="BU92" s="338"/>
      <c r="BV92" s="338"/>
      <c r="BW92" s="339"/>
      <c r="BX92" s="339"/>
      <c r="BY92" s="339"/>
      <c r="BZ92" s="339"/>
      <c r="CA92" s="340"/>
      <c r="CB92" s="340"/>
      <c r="CC92" s="340"/>
      <c r="CD92" s="340"/>
      <c r="CE92" s="341"/>
      <c r="CF92" s="341"/>
      <c r="CG92" s="341"/>
      <c r="CH92" s="341"/>
      <c r="CI92" s="342"/>
      <c r="CJ92" s="342"/>
      <c r="CK92" s="342"/>
      <c r="CL92" s="342"/>
      <c r="CM92" s="394">
        <v>-6.34</v>
      </c>
      <c r="CN92" s="379"/>
      <c r="CO92" s="379"/>
      <c r="CP92" s="379"/>
      <c r="CQ92" s="343"/>
      <c r="CR92" s="343"/>
      <c r="CS92" s="343"/>
      <c r="CT92" s="343"/>
      <c r="CU92" s="344"/>
      <c r="CV92" s="344"/>
      <c r="CW92" s="344"/>
      <c r="CX92" s="344"/>
      <c r="CY92" s="345"/>
      <c r="CZ92" s="345"/>
      <c r="DA92" s="345"/>
      <c r="DB92" s="345"/>
      <c r="DC92" s="346"/>
      <c r="DD92" s="346"/>
      <c r="DE92" s="346"/>
      <c r="DF92" s="346"/>
      <c r="DG92" s="358"/>
      <c r="DH92" s="358"/>
      <c r="DI92" s="358"/>
      <c r="DJ92" s="348"/>
      <c r="DK92" s="348"/>
      <c r="DL92" s="348"/>
      <c r="DM92" s="324"/>
      <c r="DN92" s="317"/>
      <c r="DO92" s="330">
        <v>0.55</v>
      </c>
      <c r="DP92" s="282"/>
      <c r="DQ92" s="395"/>
      <c r="DR92" s="395"/>
      <c r="DS92" s="272" t="s">
        <v>1479</v>
      </c>
      <c r="DT92" s="272"/>
      <c r="DU92" s="272"/>
      <c r="DV92" s="285"/>
      <c r="DW92" s="285"/>
      <c r="DX92" s="285"/>
      <c r="DY92" s="285"/>
      <c r="DZ92" s="285"/>
      <c r="EA92" s="285"/>
      <c r="EB92" s="285"/>
      <c r="EC92" s="285"/>
      <c r="ED92" s="285"/>
      <c r="EE92" s="285"/>
      <c r="EF92" s="285"/>
      <c r="EG92" s="285"/>
      <c r="EH92" s="285"/>
      <c r="EI92" s="285"/>
    </row>
    <row r="93">
      <c r="A93" s="374" t="s">
        <v>2103</v>
      </c>
      <c r="B93" s="374" t="s">
        <v>2104</v>
      </c>
      <c r="C93" s="263"/>
      <c r="D93" s="264"/>
      <c r="E93" s="307"/>
      <c r="F93" s="307"/>
      <c r="G93" s="264"/>
      <c r="H93" s="308">
        <v>285.42013</v>
      </c>
      <c r="I93" s="308">
        <v>-36.87605583</v>
      </c>
      <c r="J93" s="269"/>
      <c r="K93" s="269" t="s">
        <v>169</v>
      </c>
      <c r="L93" s="308"/>
      <c r="M93" s="269"/>
      <c r="N93" s="268"/>
      <c r="O93" s="308"/>
      <c r="P93" s="308"/>
      <c r="Q93" s="308"/>
      <c r="R93" s="308"/>
      <c r="S93" s="308"/>
      <c r="T93" s="269"/>
      <c r="U93" s="269"/>
      <c r="V93" s="269"/>
      <c r="W93" s="269"/>
      <c r="X93" s="269"/>
      <c r="Y93" s="269"/>
      <c r="Z93" s="269"/>
      <c r="AA93" s="269"/>
      <c r="AB93" s="269"/>
      <c r="AC93" s="269"/>
      <c r="AD93" s="308">
        <v>1.75</v>
      </c>
      <c r="AE93" s="268"/>
      <c r="AF93" s="268"/>
      <c r="AG93" s="268"/>
      <c r="AH93" s="391" t="s">
        <v>1479</v>
      </c>
      <c r="AI93" s="269"/>
      <c r="AJ93" s="269"/>
      <c r="AK93" s="392" t="s">
        <v>1479</v>
      </c>
      <c r="AL93" s="330">
        <v>2007.0</v>
      </c>
      <c r="AM93" s="270"/>
      <c r="AN93" s="272" t="s">
        <v>1601</v>
      </c>
      <c r="AO93" s="272"/>
      <c r="AP93" s="271"/>
      <c r="AQ93" s="272"/>
      <c r="AR93" s="282"/>
      <c r="AS93" s="330"/>
      <c r="AT93" s="272"/>
      <c r="AU93" s="272"/>
      <c r="AV93" s="270"/>
      <c r="AW93" s="270"/>
      <c r="AX93" s="370">
        <v>130.0</v>
      </c>
      <c r="AY93" s="272"/>
      <c r="AZ93" s="272" t="s">
        <v>1489</v>
      </c>
      <c r="BA93" s="270" t="s">
        <v>162</v>
      </c>
      <c r="BB93" s="272" t="s">
        <v>2021</v>
      </c>
      <c r="BC93" s="393"/>
      <c r="BD93" s="393"/>
      <c r="BE93" s="334"/>
      <c r="BF93" s="334"/>
      <c r="BG93" s="335"/>
      <c r="BH93" s="335"/>
      <c r="BI93" s="335"/>
      <c r="BJ93" s="335"/>
      <c r="BK93" s="336"/>
      <c r="BL93" s="336"/>
      <c r="BM93" s="336"/>
      <c r="BN93" s="336"/>
      <c r="BO93" s="337"/>
      <c r="BP93" s="337"/>
      <c r="BQ93" s="337"/>
      <c r="BR93" s="337"/>
      <c r="BS93" s="338"/>
      <c r="BT93" s="338"/>
      <c r="BU93" s="338"/>
      <c r="BV93" s="338"/>
      <c r="BW93" s="339"/>
      <c r="BX93" s="339"/>
      <c r="BY93" s="339"/>
      <c r="BZ93" s="339"/>
      <c r="CA93" s="340"/>
      <c r="CB93" s="340"/>
      <c r="CC93" s="340"/>
      <c r="CD93" s="340"/>
      <c r="CE93" s="341"/>
      <c r="CF93" s="341"/>
      <c r="CG93" s="341"/>
      <c r="CH93" s="341"/>
      <c r="CI93" s="342"/>
      <c r="CJ93" s="342"/>
      <c r="CK93" s="342"/>
      <c r="CL93" s="342"/>
      <c r="CM93" s="394">
        <v>-21.16</v>
      </c>
      <c r="CN93" s="379"/>
      <c r="CO93" s="379"/>
      <c r="CP93" s="379"/>
      <c r="CQ93" s="343"/>
      <c r="CR93" s="343"/>
      <c r="CS93" s="343"/>
      <c r="CT93" s="343"/>
      <c r="CU93" s="344"/>
      <c r="CV93" s="344"/>
      <c r="CW93" s="344"/>
      <c r="CX93" s="344"/>
      <c r="CY93" s="345"/>
      <c r="CZ93" s="345"/>
      <c r="DA93" s="345"/>
      <c r="DB93" s="345"/>
      <c r="DC93" s="346"/>
      <c r="DD93" s="346"/>
      <c r="DE93" s="346"/>
      <c r="DF93" s="346"/>
      <c r="DG93" s="358"/>
      <c r="DH93" s="358"/>
      <c r="DI93" s="358"/>
      <c r="DJ93" s="348"/>
      <c r="DK93" s="348"/>
      <c r="DL93" s="348"/>
      <c r="DM93" s="324"/>
      <c r="DN93" s="317"/>
      <c r="DO93" s="330">
        <v>-0.24</v>
      </c>
      <c r="DP93" s="282"/>
      <c r="DQ93" s="395"/>
      <c r="DR93" s="395"/>
      <c r="DS93" s="272" t="s">
        <v>1479</v>
      </c>
      <c r="DT93" s="272"/>
      <c r="DU93" s="272"/>
      <c r="DV93" s="285"/>
      <c r="DW93" s="285"/>
      <c r="DX93" s="285"/>
      <c r="DY93" s="285"/>
      <c r="DZ93" s="285"/>
      <c r="EA93" s="285"/>
      <c r="EB93" s="285"/>
      <c r="EC93" s="285"/>
      <c r="ED93" s="285"/>
      <c r="EE93" s="285"/>
      <c r="EF93" s="285"/>
      <c r="EG93" s="285"/>
      <c r="EH93" s="285"/>
      <c r="EI93" s="285"/>
    </row>
    <row r="94">
      <c r="A94" s="374" t="s">
        <v>432</v>
      </c>
      <c r="B94" s="374" t="s">
        <v>2105</v>
      </c>
      <c r="C94" s="263"/>
      <c r="D94" s="264"/>
      <c r="E94" s="307"/>
      <c r="F94" s="307"/>
      <c r="G94" s="264"/>
      <c r="H94" s="308">
        <v>72.94745833</v>
      </c>
      <c r="I94" s="308">
        <v>30.78709778</v>
      </c>
      <c r="J94" s="269"/>
      <c r="K94" s="269" t="s">
        <v>169</v>
      </c>
      <c r="L94" s="308"/>
      <c r="M94" s="269"/>
      <c r="N94" s="268"/>
      <c r="O94" s="308"/>
      <c r="P94" s="308"/>
      <c r="Q94" s="308"/>
      <c r="R94" s="308"/>
      <c r="S94" s="308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308">
        <v>2.1</v>
      </c>
      <c r="AE94" s="268"/>
      <c r="AF94" s="268"/>
      <c r="AG94" s="268"/>
      <c r="AH94" s="391" t="s">
        <v>1479</v>
      </c>
      <c r="AI94" s="269"/>
      <c r="AJ94" s="269"/>
      <c r="AK94" s="392" t="s">
        <v>1479</v>
      </c>
      <c r="AL94" s="330">
        <v>2006.0</v>
      </c>
      <c r="AM94" s="270"/>
      <c r="AN94" s="272"/>
      <c r="AO94" s="272"/>
      <c r="AP94" s="271"/>
      <c r="AQ94" s="272"/>
      <c r="AR94" s="282"/>
      <c r="AS94" s="330"/>
      <c r="AT94" s="272"/>
      <c r="AU94" s="272"/>
      <c r="AV94" s="270"/>
      <c r="AW94" s="270"/>
      <c r="AX94" s="370">
        <v>140.0</v>
      </c>
      <c r="AY94" s="272"/>
      <c r="AZ94" s="272" t="s">
        <v>1484</v>
      </c>
      <c r="BA94" s="270" t="s">
        <v>162</v>
      </c>
      <c r="BB94" s="272" t="s">
        <v>2021</v>
      </c>
      <c r="BC94" s="393"/>
      <c r="BD94" s="393"/>
      <c r="BE94" s="334"/>
      <c r="BF94" s="334"/>
      <c r="BG94" s="335"/>
      <c r="BH94" s="335"/>
      <c r="BI94" s="335"/>
      <c r="BJ94" s="335"/>
      <c r="BK94" s="336"/>
      <c r="BL94" s="336"/>
      <c r="BM94" s="336"/>
      <c r="BN94" s="336"/>
      <c r="BO94" s="337"/>
      <c r="BP94" s="337"/>
      <c r="BQ94" s="337"/>
      <c r="BR94" s="337"/>
      <c r="BS94" s="338"/>
      <c r="BT94" s="338"/>
      <c r="BU94" s="338"/>
      <c r="BV94" s="338"/>
      <c r="BW94" s="339"/>
      <c r="BX94" s="339"/>
      <c r="BY94" s="339"/>
      <c r="BZ94" s="339"/>
      <c r="CA94" s="340"/>
      <c r="CB94" s="340"/>
      <c r="CC94" s="340"/>
      <c r="CD94" s="340"/>
      <c r="CE94" s="341"/>
      <c r="CF94" s="341"/>
      <c r="CG94" s="341"/>
      <c r="CH94" s="341"/>
      <c r="CI94" s="342"/>
      <c r="CJ94" s="342"/>
      <c r="CK94" s="342"/>
      <c r="CL94" s="342"/>
      <c r="CM94" s="394">
        <v>-1.47</v>
      </c>
      <c r="CN94" s="379"/>
      <c r="CO94" s="379"/>
      <c r="CP94" s="379"/>
      <c r="CQ94" s="343"/>
      <c r="CR94" s="343"/>
      <c r="CS94" s="343"/>
      <c r="CT94" s="343"/>
      <c r="CU94" s="344"/>
      <c r="CV94" s="344"/>
      <c r="CW94" s="344"/>
      <c r="CX94" s="344"/>
      <c r="CY94" s="345"/>
      <c r="CZ94" s="345"/>
      <c r="DA94" s="345"/>
      <c r="DB94" s="345"/>
      <c r="DC94" s="346"/>
      <c r="DD94" s="346"/>
      <c r="DE94" s="346"/>
      <c r="DF94" s="346"/>
      <c r="DG94" s="358"/>
      <c r="DH94" s="358"/>
      <c r="DI94" s="358"/>
      <c r="DJ94" s="348"/>
      <c r="DK94" s="348"/>
      <c r="DL94" s="348"/>
      <c r="DM94" s="324"/>
      <c r="DN94" s="317"/>
      <c r="DO94" s="330">
        <v>-1.13</v>
      </c>
      <c r="DP94" s="282"/>
      <c r="DQ94" s="395"/>
      <c r="DR94" s="395"/>
      <c r="DS94" s="272" t="s">
        <v>1479</v>
      </c>
      <c r="DT94" s="272"/>
      <c r="DU94" s="272"/>
      <c r="DV94" s="285"/>
      <c r="DW94" s="285"/>
      <c r="DX94" s="285"/>
      <c r="DY94" s="285"/>
      <c r="DZ94" s="285"/>
      <c r="EA94" s="285"/>
      <c r="EB94" s="285"/>
      <c r="EC94" s="285"/>
      <c r="ED94" s="285"/>
      <c r="EE94" s="285"/>
      <c r="EF94" s="285"/>
      <c r="EG94" s="285"/>
      <c r="EH94" s="285"/>
      <c r="EI94" s="285"/>
    </row>
    <row r="95">
      <c r="A95" s="374" t="s">
        <v>432</v>
      </c>
      <c r="B95" s="374" t="s">
        <v>2106</v>
      </c>
      <c r="C95" s="263"/>
      <c r="D95" s="264"/>
      <c r="E95" s="307"/>
      <c r="F95" s="307"/>
      <c r="G95" s="264"/>
      <c r="H95" s="308">
        <v>72.94745833</v>
      </c>
      <c r="I95" s="308">
        <v>30.78709778</v>
      </c>
      <c r="J95" s="269"/>
      <c r="K95" s="269" t="s">
        <v>169</v>
      </c>
      <c r="L95" s="308"/>
      <c r="M95" s="269"/>
      <c r="N95" s="268"/>
      <c r="O95" s="308"/>
      <c r="P95" s="308"/>
      <c r="Q95" s="308"/>
      <c r="R95" s="308"/>
      <c r="S95" s="308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308">
        <v>2.1</v>
      </c>
      <c r="AE95" s="268"/>
      <c r="AF95" s="268"/>
      <c r="AG95" s="268"/>
      <c r="AH95" s="391" t="s">
        <v>1479</v>
      </c>
      <c r="AI95" s="269"/>
      <c r="AJ95" s="269"/>
      <c r="AK95" s="392" t="s">
        <v>1479</v>
      </c>
      <c r="AL95" s="330">
        <v>2007.0</v>
      </c>
      <c r="AM95" s="270"/>
      <c r="AN95" s="272"/>
      <c r="AO95" s="272"/>
      <c r="AP95" s="271"/>
      <c r="AQ95" s="272"/>
      <c r="AR95" s="282"/>
      <c r="AS95" s="330"/>
      <c r="AT95" s="272"/>
      <c r="AU95" s="272"/>
      <c r="AV95" s="270"/>
      <c r="AW95" s="270"/>
      <c r="AX95" s="370">
        <v>140.0</v>
      </c>
      <c r="AY95" s="272"/>
      <c r="AZ95" s="272" t="s">
        <v>1484</v>
      </c>
      <c r="BA95" s="270" t="s">
        <v>162</v>
      </c>
      <c r="BB95" s="272" t="s">
        <v>2021</v>
      </c>
      <c r="BC95" s="393"/>
      <c r="BD95" s="393"/>
      <c r="BE95" s="334"/>
      <c r="BF95" s="334"/>
      <c r="BG95" s="335"/>
      <c r="BH95" s="335"/>
      <c r="BI95" s="335"/>
      <c r="BJ95" s="335"/>
      <c r="BK95" s="336"/>
      <c r="BL95" s="336"/>
      <c r="BM95" s="336"/>
      <c r="BN95" s="336"/>
      <c r="BO95" s="337"/>
      <c r="BP95" s="337"/>
      <c r="BQ95" s="337"/>
      <c r="BR95" s="337"/>
      <c r="BS95" s="338"/>
      <c r="BT95" s="338"/>
      <c r="BU95" s="338"/>
      <c r="BV95" s="338"/>
      <c r="BW95" s="339"/>
      <c r="BX95" s="339"/>
      <c r="BY95" s="339"/>
      <c r="BZ95" s="339"/>
      <c r="CA95" s="340"/>
      <c r="CB95" s="340"/>
      <c r="CC95" s="340"/>
      <c r="CD95" s="340"/>
      <c r="CE95" s="341"/>
      <c r="CF95" s="341"/>
      <c r="CG95" s="341"/>
      <c r="CH95" s="341"/>
      <c r="CI95" s="342"/>
      <c r="CJ95" s="342"/>
      <c r="CK95" s="342"/>
      <c r="CL95" s="342"/>
      <c r="CM95" s="394">
        <v>-4.69</v>
      </c>
      <c r="CN95" s="379"/>
      <c r="CO95" s="379"/>
      <c r="CP95" s="379"/>
      <c r="CQ95" s="343"/>
      <c r="CR95" s="343"/>
      <c r="CS95" s="343"/>
      <c r="CT95" s="343"/>
      <c r="CU95" s="344"/>
      <c r="CV95" s="344"/>
      <c r="CW95" s="344"/>
      <c r="CX95" s="344"/>
      <c r="CY95" s="345"/>
      <c r="CZ95" s="345"/>
      <c r="DA95" s="345"/>
      <c r="DB95" s="345"/>
      <c r="DC95" s="346"/>
      <c r="DD95" s="346"/>
      <c r="DE95" s="346"/>
      <c r="DF95" s="346"/>
      <c r="DG95" s="358"/>
      <c r="DH95" s="358"/>
      <c r="DI95" s="358"/>
      <c r="DJ95" s="348"/>
      <c r="DK95" s="348"/>
      <c r="DL95" s="348"/>
      <c r="DM95" s="324"/>
      <c r="DN95" s="317"/>
      <c r="DO95" s="330">
        <v>-0.92</v>
      </c>
      <c r="DP95" s="282"/>
      <c r="DQ95" s="395"/>
      <c r="DR95" s="395"/>
      <c r="DS95" s="272" t="s">
        <v>1479</v>
      </c>
      <c r="DT95" s="272"/>
      <c r="DU95" s="272"/>
      <c r="DV95" s="285"/>
      <c r="DW95" s="285"/>
      <c r="DX95" s="285"/>
      <c r="DY95" s="285"/>
      <c r="DZ95" s="285"/>
      <c r="EA95" s="285"/>
      <c r="EB95" s="285"/>
      <c r="EC95" s="285"/>
      <c r="ED95" s="285"/>
      <c r="EE95" s="285"/>
      <c r="EF95" s="285"/>
      <c r="EG95" s="285"/>
      <c r="EH95" s="285"/>
      <c r="EI95" s="285"/>
    </row>
    <row r="96">
      <c r="A96" s="304"/>
      <c r="B96" s="374" t="s">
        <v>2107</v>
      </c>
      <c r="C96" s="263"/>
      <c r="D96" s="264"/>
      <c r="E96" s="307"/>
      <c r="F96" s="307"/>
      <c r="G96" s="264"/>
      <c r="H96" s="308"/>
      <c r="I96" s="308"/>
      <c r="J96" s="269"/>
      <c r="K96" s="269" t="s">
        <v>169</v>
      </c>
      <c r="L96" s="308"/>
      <c r="M96" s="269"/>
      <c r="N96" s="268"/>
      <c r="O96" s="308"/>
      <c r="P96" s="308"/>
      <c r="Q96" s="308"/>
      <c r="R96" s="308"/>
      <c r="S96" s="308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308">
        <v>2.4</v>
      </c>
      <c r="AE96" s="268"/>
      <c r="AF96" s="268"/>
      <c r="AG96" s="268"/>
      <c r="AH96" s="391" t="s">
        <v>1479</v>
      </c>
      <c r="AI96" s="269"/>
      <c r="AJ96" s="269"/>
      <c r="AK96" s="392" t="s">
        <v>1479</v>
      </c>
      <c r="AL96" s="330">
        <v>2007.0</v>
      </c>
      <c r="AM96" s="270"/>
      <c r="AN96" s="272" t="s">
        <v>1458</v>
      </c>
      <c r="AO96" s="272"/>
      <c r="AP96" s="271"/>
      <c r="AQ96" s="272"/>
      <c r="AR96" s="282"/>
      <c r="AS96" s="330"/>
      <c r="AT96" s="272"/>
      <c r="AU96" s="272"/>
      <c r="AV96" s="270"/>
      <c r="AW96" s="270"/>
      <c r="AX96" s="370">
        <v>130.0</v>
      </c>
      <c r="AY96" s="272"/>
      <c r="AZ96" s="272" t="s">
        <v>1489</v>
      </c>
      <c r="BA96" s="270" t="s">
        <v>162</v>
      </c>
      <c r="BB96" s="272" t="s">
        <v>2021</v>
      </c>
      <c r="BC96" s="393"/>
      <c r="BD96" s="393"/>
      <c r="BE96" s="334"/>
      <c r="BF96" s="334"/>
      <c r="BG96" s="335"/>
      <c r="BH96" s="335"/>
      <c r="BI96" s="335"/>
      <c r="BJ96" s="335"/>
      <c r="BK96" s="336"/>
      <c r="BL96" s="336"/>
      <c r="BM96" s="336"/>
      <c r="BN96" s="336"/>
      <c r="BO96" s="337"/>
      <c r="BP96" s="337"/>
      <c r="BQ96" s="337"/>
      <c r="BR96" s="337"/>
      <c r="BS96" s="338"/>
      <c r="BT96" s="338"/>
      <c r="BU96" s="338"/>
      <c r="BV96" s="338"/>
      <c r="BW96" s="339"/>
      <c r="BX96" s="339"/>
      <c r="BY96" s="339"/>
      <c r="BZ96" s="339"/>
      <c r="CA96" s="340"/>
      <c r="CB96" s="340"/>
      <c r="CC96" s="340"/>
      <c r="CD96" s="340"/>
      <c r="CE96" s="341"/>
      <c r="CF96" s="341"/>
      <c r="CG96" s="341"/>
      <c r="CH96" s="341"/>
      <c r="CI96" s="342"/>
      <c r="CJ96" s="342"/>
      <c r="CK96" s="342"/>
      <c r="CL96" s="342"/>
      <c r="CM96" s="394">
        <v>-5.71</v>
      </c>
      <c r="CN96" s="379"/>
      <c r="CO96" s="379"/>
      <c r="CP96" s="379"/>
      <c r="CQ96" s="343"/>
      <c r="CR96" s="343"/>
      <c r="CS96" s="343"/>
      <c r="CT96" s="343"/>
      <c r="CU96" s="344"/>
      <c r="CV96" s="344"/>
      <c r="CW96" s="344"/>
      <c r="CX96" s="344"/>
      <c r="CY96" s="345"/>
      <c r="CZ96" s="345"/>
      <c r="DA96" s="345"/>
      <c r="DB96" s="345"/>
      <c r="DC96" s="346"/>
      <c r="DD96" s="346"/>
      <c r="DE96" s="346"/>
      <c r="DF96" s="346"/>
      <c r="DG96" s="358"/>
      <c r="DH96" s="358"/>
      <c r="DI96" s="358"/>
      <c r="DJ96" s="348"/>
      <c r="DK96" s="348"/>
      <c r="DL96" s="348"/>
      <c r="DM96" s="324"/>
      <c r="DN96" s="317"/>
      <c r="DO96" s="330">
        <v>0.15</v>
      </c>
      <c r="DP96" s="282"/>
      <c r="DQ96" s="395"/>
      <c r="DR96" s="395"/>
      <c r="DS96" s="272" t="s">
        <v>1479</v>
      </c>
      <c r="DT96" s="272"/>
      <c r="DU96" s="270"/>
      <c r="DV96" s="285"/>
      <c r="DW96" s="285"/>
      <c r="DX96" s="285"/>
      <c r="DY96" s="285"/>
      <c r="DZ96" s="285"/>
      <c r="EA96" s="285"/>
      <c r="EB96" s="285"/>
      <c r="EC96" s="285"/>
      <c r="ED96" s="285"/>
      <c r="EE96" s="285"/>
      <c r="EF96" s="285"/>
      <c r="EG96" s="285"/>
      <c r="EH96" s="285"/>
      <c r="EI96" s="285"/>
    </row>
    <row r="97">
      <c r="A97" s="304"/>
      <c r="B97" s="374" t="s">
        <v>2108</v>
      </c>
      <c r="C97" s="263"/>
      <c r="D97" s="264"/>
      <c r="E97" s="307"/>
      <c r="F97" s="307"/>
      <c r="G97" s="264"/>
      <c r="H97" s="308"/>
      <c r="I97" s="308"/>
      <c r="J97" s="269"/>
      <c r="K97" s="269" t="s">
        <v>169</v>
      </c>
      <c r="L97" s="308"/>
      <c r="M97" s="269"/>
      <c r="N97" s="268"/>
      <c r="O97" s="308"/>
      <c r="P97" s="308"/>
      <c r="Q97" s="308"/>
      <c r="R97" s="308"/>
      <c r="S97" s="308"/>
      <c r="T97" s="269"/>
      <c r="U97" s="269"/>
      <c r="V97" s="269"/>
      <c r="W97" s="269"/>
      <c r="X97" s="269"/>
      <c r="Y97" s="269"/>
      <c r="Z97" s="269"/>
      <c r="AA97" s="269"/>
      <c r="AB97" s="269"/>
      <c r="AC97" s="269"/>
      <c r="AD97" s="308">
        <v>2.4</v>
      </c>
      <c r="AE97" s="268"/>
      <c r="AF97" s="268"/>
      <c r="AG97" s="268"/>
      <c r="AH97" s="391" t="s">
        <v>1479</v>
      </c>
      <c r="AI97" s="269"/>
      <c r="AJ97" s="269"/>
      <c r="AK97" s="392" t="s">
        <v>1479</v>
      </c>
      <c r="AL97" s="330">
        <v>2007.0</v>
      </c>
      <c r="AM97" s="270"/>
      <c r="AN97" s="272" t="s">
        <v>1458</v>
      </c>
      <c r="AO97" s="272"/>
      <c r="AP97" s="271"/>
      <c r="AQ97" s="272"/>
      <c r="AR97" s="282"/>
      <c r="AS97" s="330"/>
      <c r="AT97" s="272"/>
      <c r="AU97" s="272"/>
      <c r="AV97" s="270"/>
      <c r="AW97" s="270"/>
      <c r="AX97" s="370">
        <v>130.0</v>
      </c>
      <c r="AY97" s="272"/>
      <c r="AZ97" s="272" t="s">
        <v>1489</v>
      </c>
      <c r="BA97" s="270" t="s">
        <v>162</v>
      </c>
      <c r="BB97" s="272" t="s">
        <v>2021</v>
      </c>
      <c r="BC97" s="393"/>
      <c r="BD97" s="393"/>
      <c r="BE97" s="334"/>
      <c r="BF97" s="334"/>
      <c r="BG97" s="335"/>
      <c r="BH97" s="335"/>
      <c r="BI97" s="335"/>
      <c r="BJ97" s="335"/>
      <c r="BK97" s="336"/>
      <c r="BL97" s="336"/>
      <c r="BM97" s="336"/>
      <c r="BN97" s="336"/>
      <c r="BO97" s="337"/>
      <c r="BP97" s="337"/>
      <c r="BQ97" s="337"/>
      <c r="BR97" s="337"/>
      <c r="BS97" s="338"/>
      <c r="BT97" s="338"/>
      <c r="BU97" s="338"/>
      <c r="BV97" s="338"/>
      <c r="BW97" s="339"/>
      <c r="BX97" s="339"/>
      <c r="BY97" s="339"/>
      <c r="BZ97" s="339"/>
      <c r="CA97" s="340"/>
      <c r="CB97" s="340"/>
      <c r="CC97" s="340"/>
      <c r="CD97" s="340"/>
      <c r="CE97" s="341"/>
      <c r="CF97" s="341"/>
      <c r="CG97" s="341"/>
      <c r="CH97" s="341"/>
      <c r="CI97" s="342"/>
      <c r="CJ97" s="342"/>
      <c r="CK97" s="342"/>
      <c r="CL97" s="342"/>
      <c r="CM97" s="394">
        <v>-2.46</v>
      </c>
      <c r="CN97" s="379"/>
      <c r="CO97" s="379"/>
      <c r="CP97" s="379"/>
      <c r="CQ97" s="343"/>
      <c r="CR97" s="343"/>
      <c r="CS97" s="343"/>
      <c r="CT97" s="343"/>
      <c r="CU97" s="344"/>
      <c r="CV97" s="344"/>
      <c r="CW97" s="344"/>
      <c r="CX97" s="344"/>
      <c r="CY97" s="345"/>
      <c r="CZ97" s="345"/>
      <c r="DA97" s="345"/>
      <c r="DB97" s="345"/>
      <c r="DC97" s="346"/>
      <c r="DD97" s="346"/>
      <c r="DE97" s="346"/>
      <c r="DF97" s="346"/>
      <c r="DG97" s="358"/>
      <c r="DH97" s="358"/>
      <c r="DI97" s="358"/>
      <c r="DJ97" s="348"/>
      <c r="DK97" s="348"/>
      <c r="DL97" s="348"/>
      <c r="DM97" s="324"/>
      <c r="DN97" s="317"/>
      <c r="DO97" s="330">
        <v>-0.66</v>
      </c>
      <c r="DP97" s="282"/>
      <c r="DQ97" s="395"/>
      <c r="DR97" s="395"/>
      <c r="DS97" s="272" t="s">
        <v>1479</v>
      </c>
      <c r="DT97" s="272"/>
      <c r="DU97" s="270"/>
      <c r="DV97" s="285"/>
      <c r="DW97" s="285"/>
      <c r="DX97" s="285"/>
      <c r="DY97" s="285"/>
      <c r="DZ97" s="285"/>
      <c r="EA97" s="285"/>
      <c r="EB97" s="285"/>
      <c r="EC97" s="285"/>
      <c r="ED97" s="285"/>
      <c r="EE97" s="285"/>
      <c r="EF97" s="285"/>
      <c r="EG97" s="285"/>
      <c r="EH97" s="285"/>
      <c r="EI97" s="285"/>
    </row>
    <row r="98">
      <c r="A98" s="374" t="s">
        <v>2109</v>
      </c>
      <c r="B98" s="374" t="s">
        <v>2110</v>
      </c>
      <c r="C98" s="263"/>
      <c r="D98" s="264"/>
      <c r="E98" s="307"/>
      <c r="F98" s="307"/>
      <c r="G98" s="264"/>
      <c r="H98" s="308">
        <v>305.1176729</v>
      </c>
      <c r="I98" s="308">
        <v>41.36431306</v>
      </c>
      <c r="J98" s="269"/>
      <c r="K98" s="269" t="s">
        <v>169</v>
      </c>
      <c r="L98" s="308"/>
      <c r="M98" s="269"/>
      <c r="N98" s="268"/>
      <c r="O98" s="308"/>
      <c r="P98" s="308"/>
      <c r="Q98" s="308"/>
      <c r="R98" s="308"/>
      <c r="S98" s="308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308">
        <v>3.16</v>
      </c>
      <c r="AE98" s="268"/>
      <c r="AF98" s="268"/>
      <c r="AG98" s="268"/>
      <c r="AH98" s="391" t="s">
        <v>1479</v>
      </c>
      <c r="AI98" s="269"/>
      <c r="AJ98" s="269"/>
      <c r="AK98" s="392" t="s">
        <v>1479</v>
      </c>
      <c r="AL98" s="330">
        <v>2005.0</v>
      </c>
      <c r="AM98" s="270"/>
      <c r="AN98" s="272"/>
      <c r="AO98" s="272"/>
      <c r="AP98" s="271"/>
      <c r="AQ98" s="272"/>
      <c r="AR98" s="282"/>
      <c r="AS98" s="330"/>
      <c r="AT98" s="272"/>
      <c r="AU98" s="272"/>
      <c r="AV98" s="270"/>
      <c r="AW98" s="270"/>
      <c r="AX98" s="370">
        <v>1000.0</v>
      </c>
      <c r="AY98" s="272"/>
      <c r="AZ98" s="272" t="s">
        <v>1484</v>
      </c>
      <c r="BA98" s="270" t="s">
        <v>162</v>
      </c>
      <c r="BB98" s="272" t="s">
        <v>2021</v>
      </c>
      <c r="BC98" s="393"/>
      <c r="BD98" s="393"/>
      <c r="BE98" s="334"/>
      <c r="BF98" s="334"/>
      <c r="BG98" s="335"/>
      <c r="BH98" s="335"/>
      <c r="BI98" s="335"/>
      <c r="BJ98" s="335"/>
      <c r="BK98" s="336"/>
      <c r="BL98" s="336"/>
      <c r="BM98" s="336"/>
      <c r="BN98" s="336"/>
      <c r="BO98" s="337"/>
      <c r="BP98" s="337"/>
      <c r="BQ98" s="337"/>
      <c r="BR98" s="337"/>
      <c r="BS98" s="338"/>
      <c r="BT98" s="338"/>
      <c r="BU98" s="338"/>
      <c r="BV98" s="338"/>
      <c r="BW98" s="339"/>
      <c r="BX98" s="339"/>
      <c r="BY98" s="339"/>
      <c r="BZ98" s="339"/>
      <c r="CA98" s="340"/>
      <c r="CB98" s="340"/>
      <c r="CC98" s="340"/>
      <c r="CD98" s="340"/>
      <c r="CE98" s="341"/>
      <c r="CF98" s="341"/>
      <c r="CG98" s="341"/>
      <c r="CH98" s="341"/>
      <c r="CI98" s="342"/>
      <c r="CJ98" s="342"/>
      <c r="CK98" s="342"/>
      <c r="CL98" s="342"/>
      <c r="CM98" s="394">
        <v>-6.8</v>
      </c>
      <c r="CN98" s="379"/>
      <c r="CO98" s="379"/>
      <c r="CP98" s="379"/>
      <c r="CQ98" s="343"/>
      <c r="CR98" s="343"/>
      <c r="CS98" s="343"/>
      <c r="CT98" s="343"/>
      <c r="CU98" s="344"/>
      <c r="CV98" s="344"/>
      <c r="CW98" s="344"/>
      <c r="CX98" s="344"/>
      <c r="CY98" s="345"/>
      <c r="CZ98" s="345"/>
      <c r="DA98" s="345"/>
      <c r="DB98" s="345"/>
      <c r="DC98" s="346"/>
      <c r="DD98" s="346"/>
      <c r="DE98" s="346"/>
      <c r="DF98" s="346"/>
      <c r="DG98" s="358"/>
      <c r="DH98" s="358"/>
      <c r="DI98" s="358"/>
      <c r="DJ98" s="348"/>
      <c r="DK98" s="348"/>
      <c r="DL98" s="348"/>
      <c r="DM98" s="324"/>
      <c r="DN98" s="317"/>
      <c r="DO98" s="330">
        <v>1.72</v>
      </c>
      <c r="DP98" s="282"/>
      <c r="DQ98" s="395"/>
      <c r="DR98" s="395"/>
      <c r="DS98" s="272" t="s">
        <v>1479</v>
      </c>
      <c r="DT98" s="272"/>
      <c r="DU98" s="270"/>
      <c r="DV98" s="285"/>
      <c r="DW98" s="285"/>
      <c r="DX98" s="285"/>
      <c r="DY98" s="285"/>
      <c r="DZ98" s="285"/>
      <c r="EA98" s="285"/>
      <c r="EB98" s="285"/>
      <c r="EC98" s="285"/>
      <c r="ED98" s="285"/>
      <c r="EE98" s="285"/>
      <c r="EF98" s="285"/>
      <c r="EG98" s="285"/>
      <c r="EH98" s="285"/>
      <c r="EI98" s="285"/>
    </row>
    <row r="99">
      <c r="A99" s="374" t="s">
        <v>2111</v>
      </c>
      <c r="B99" s="374" t="s">
        <v>2112</v>
      </c>
      <c r="C99" s="263"/>
      <c r="D99" s="264"/>
      <c r="E99" s="307"/>
      <c r="F99" s="307"/>
      <c r="G99" s="264"/>
      <c r="H99" s="308">
        <v>252.1901346</v>
      </c>
      <c r="I99" s="308">
        <v>-14.27662472</v>
      </c>
      <c r="J99" s="269"/>
      <c r="K99" s="269" t="s">
        <v>169</v>
      </c>
      <c r="L99" s="308"/>
      <c r="M99" s="269"/>
      <c r="N99" s="268"/>
      <c r="O99" s="308"/>
      <c r="P99" s="308"/>
      <c r="Q99" s="308"/>
      <c r="R99" s="308"/>
      <c r="S99" s="308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308">
        <v>3.5</v>
      </c>
      <c r="AE99" s="268"/>
      <c r="AF99" s="268"/>
      <c r="AG99" s="268"/>
      <c r="AH99" s="391" t="s">
        <v>1479</v>
      </c>
      <c r="AI99" s="269"/>
      <c r="AJ99" s="269"/>
      <c r="AK99" s="392" t="s">
        <v>1479</v>
      </c>
      <c r="AL99" s="330">
        <v>2005.0</v>
      </c>
      <c r="AM99" s="270"/>
      <c r="AN99" s="272" t="s">
        <v>146</v>
      </c>
      <c r="AO99" s="272"/>
      <c r="AP99" s="271"/>
      <c r="AQ99" s="272"/>
      <c r="AR99" s="282"/>
      <c r="AS99" s="330"/>
      <c r="AT99" s="330">
        <v>0.67</v>
      </c>
      <c r="AU99" s="272"/>
      <c r="AV99" s="270"/>
      <c r="AW99" s="270"/>
      <c r="AX99" s="370">
        <v>120.0</v>
      </c>
      <c r="AY99" s="272"/>
      <c r="AZ99" s="272" t="s">
        <v>1480</v>
      </c>
      <c r="BA99" s="270" t="s">
        <v>162</v>
      </c>
      <c r="BB99" s="272" t="s">
        <v>2021</v>
      </c>
      <c r="BC99" s="393"/>
      <c r="BD99" s="393"/>
      <c r="BE99" s="334"/>
      <c r="BF99" s="334"/>
      <c r="BG99" s="335"/>
      <c r="BH99" s="335"/>
      <c r="BI99" s="335"/>
      <c r="BJ99" s="335"/>
      <c r="BK99" s="336"/>
      <c r="BL99" s="336"/>
      <c r="BM99" s="336"/>
      <c r="BN99" s="336"/>
      <c r="BO99" s="337"/>
      <c r="BP99" s="337"/>
      <c r="BQ99" s="337"/>
      <c r="BR99" s="337"/>
      <c r="BS99" s="338"/>
      <c r="BT99" s="338"/>
      <c r="BU99" s="338"/>
      <c r="BV99" s="338"/>
      <c r="BW99" s="339"/>
      <c r="BX99" s="339"/>
      <c r="BY99" s="339"/>
      <c r="BZ99" s="339"/>
      <c r="CA99" s="340"/>
      <c r="CB99" s="340"/>
      <c r="CC99" s="340"/>
      <c r="CD99" s="340"/>
      <c r="CE99" s="341"/>
      <c r="CF99" s="341"/>
      <c r="CG99" s="341"/>
      <c r="CH99" s="341"/>
      <c r="CI99" s="342"/>
      <c r="CJ99" s="342"/>
      <c r="CK99" s="342"/>
      <c r="CL99" s="342"/>
      <c r="CM99" s="394">
        <v>-5.36</v>
      </c>
      <c r="CN99" s="379"/>
      <c r="CO99" s="379"/>
      <c r="CP99" s="379"/>
      <c r="CQ99" s="343"/>
      <c r="CR99" s="343"/>
      <c r="CS99" s="343"/>
      <c r="CT99" s="343"/>
      <c r="CU99" s="344"/>
      <c r="CV99" s="344"/>
      <c r="CW99" s="344"/>
      <c r="CX99" s="344"/>
      <c r="CY99" s="345"/>
      <c r="CZ99" s="345"/>
      <c r="DA99" s="345"/>
      <c r="DB99" s="345"/>
      <c r="DC99" s="346"/>
      <c r="DD99" s="346"/>
      <c r="DE99" s="346"/>
      <c r="DF99" s="346"/>
      <c r="DG99" s="358"/>
      <c r="DH99" s="358"/>
      <c r="DI99" s="358"/>
      <c r="DJ99" s="348"/>
      <c r="DK99" s="348"/>
      <c r="DL99" s="348"/>
      <c r="DM99" s="324"/>
      <c r="DN99" s="317"/>
      <c r="DO99" s="330">
        <v>-0.73</v>
      </c>
      <c r="DP99" s="282"/>
      <c r="DQ99" s="395"/>
      <c r="DR99" s="395"/>
      <c r="DS99" s="272" t="s">
        <v>1479</v>
      </c>
      <c r="DT99" s="272"/>
      <c r="DU99" s="270"/>
      <c r="DV99" s="285"/>
      <c r="DW99" s="285"/>
      <c r="DX99" s="285"/>
      <c r="DY99" s="285"/>
      <c r="DZ99" s="285"/>
      <c r="EA99" s="285"/>
      <c r="EB99" s="285"/>
      <c r="EC99" s="285"/>
      <c r="ED99" s="285"/>
      <c r="EE99" s="285"/>
      <c r="EF99" s="285"/>
      <c r="EG99" s="285"/>
      <c r="EH99" s="285"/>
      <c r="EI99" s="285"/>
    </row>
    <row r="100">
      <c r="A100" s="374" t="s">
        <v>2113</v>
      </c>
      <c r="B100" s="374" t="s">
        <v>2114</v>
      </c>
      <c r="C100" s="263"/>
      <c r="D100" s="264"/>
      <c r="E100" s="307"/>
      <c r="F100" s="307"/>
      <c r="G100" s="264"/>
      <c r="H100" s="308">
        <v>246.6841458</v>
      </c>
      <c r="I100" s="308">
        <v>-24.58009694</v>
      </c>
      <c r="J100" s="269"/>
      <c r="K100" s="269" t="s">
        <v>257</v>
      </c>
      <c r="L100" s="308"/>
      <c r="M100" s="269"/>
      <c r="N100" s="268"/>
      <c r="O100" s="308"/>
      <c r="P100" s="308"/>
      <c r="Q100" s="308"/>
      <c r="R100" s="308"/>
      <c r="S100" s="308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308">
        <v>9.8</v>
      </c>
      <c r="AE100" s="268"/>
      <c r="AF100" s="268"/>
      <c r="AG100" s="268"/>
      <c r="AH100" s="391" t="s">
        <v>1479</v>
      </c>
      <c r="AI100" s="269"/>
      <c r="AJ100" s="269"/>
      <c r="AK100" s="392" t="s">
        <v>1479</v>
      </c>
      <c r="AL100" s="330">
        <v>2007.0</v>
      </c>
      <c r="AM100" s="270"/>
      <c r="AN100" s="272" t="s">
        <v>434</v>
      </c>
      <c r="AO100" s="272"/>
      <c r="AP100" s="315">
        <v>4000.0</v>
      </c>
      <c r="AQ100" s="272"/>
      <c r="AR100" s="282"/>
      <c r="AS100" s="330"/>
      <c r="AT100" s="272"/>
      <c r="AU100" s="272"/>
      <c r="AV100" s="270"/>
      <c r="AW100" s="270"/>
      <c r="AX100" s="370">
        <v>120.0</v>
      </c>
      <c r="AY100" s="272"/>
      <c r="AZ100" s="272" t="s">
        <v>1489</v>
      </c>
      <c r="BA100" s="270" t="s">
        <v>162</v>
      </c>
      <c r="BB100" s="272" t="s">
        <v>2021</v>
      </c>
      <c r="BC100" s="393"/>
      <c r="BD100" s="393"/>
      <c r="BE100" s="334"/>
      <c r="BF100" s="334"/>
      <c r="BG100" s="335"/>
      <c r="BH100" s="335"/>
      <c r="BI100" s="335"/>
      <c r="BJ100" s="335"/>
      <c r="BK100" s="336"/>
      <c r="BL100" s="336"/>
      <c r="BM100" s="336"/>
      <c r="BN100" s="336"/>
      <c r="BO100" s="337"/>
      <c r="BP100" s="337"/>
      <c r="BQ100" s="337"/>
      <c r="BR100" s="337"/>
      <c r="BS100" s="338"/>
      <c r="BT100" s="338"/>
      <c r="BU100" s="338"/>
      <c r="BV100" s="338"/>
      <c r="BW100" s="339"/>
      <c r="BX100" s="339"/>
      <c r="BY100" s="339"/>
      <c r="BZ100" s="339"/>
      <c r="CA100" s="340"/>
      <c r="CB100" s="340"/>
      <c r="CC100" s="340"/>
      <c r="CD100" s="340"/>
      <c r="CE100" s="341"/>
      <c r="CF100" s="341"/>
      <c r="CG100" s="341"/>
      <c r="CH100" s="341"/>
      <c r="CI100" s="342"/>
      <c r="CJ100" s="342"/>
      <c r="CK100" s="342"/>
      <c r="CL100" s="342"/>
      <c r="CM100" s="394">
        <v>-1.18</v>
      </c>
      <c r="CN100" s="379"/>
      <c r="CO100" s="379"/>
      <c r="CP100" s="379"/>
      <c r="CQ100" s="343"/>
      <c r="CR100" s="343"/>
      <c r="CS100" s="343"/>
      <c r="CT100" s="343"/>
      <c r="CU100" s="344"/>
      <c r="CV100" s="344"/>
      <c r="CW100" s="344"/>
      <c r="CX100" s="344"/>
      <c r="CY100" s="345"/>
      <c r="CZ100" s="345"/>
      <c r="DA100" s="345"/>
      <c r="DB100" s="345"/>
      <c r="DC100" s="346"/>
      <c r="DD100" s="346"/>
      <c r="DE100" s="346"/>
      <c r="DF100" s="346"/>
      <c r="DG100" s="358"/>
      <c r="DH100" s="358"/>
      <c r="DI100" s="358"/>
      <c r="DJ100" s="348"/>
      <c r="DK100" s="348"/>
      <c r="DL100" s="348"/>
      <c r="DM100" s="324"/>
      <c r="DN100" s="317"/>
      <c r="DO100" s="330">
        <v>-1.28</v>
      </c>
      <c r="DP100" s="282"/>
      <c r="DQ100" s="395"/>
      <c r="DR100" s="395"/>
      <c r="DS100" s="272" t="s">
        <v>1479</v>
      </c>
      <c r="DT100" s="272"/>
      <c r="DU100" s="270"/>
      <c r="DV100" s="285"/>
      <c r="DW100" s="285"/>
      <c r="DX100" s="285"/>
      <c r="DY100" s="285"/>
      <c r="DZ100" s="285"/>
      <c r="EA100" s="285"/>
      <c r="EB100" s="285"/>
      <c r="EC100" s="285"/>
      <c r="ED100" s="285"/>
      <c r="EE100" s="285"/>
      <c r="EF100" s="285"/>
      <c r="EG100" s="285"/>
      <c r="EH100" s="285"/>
      <c r="EI100" s="285"/>
    </row>
    <row r="101">
      <c r="A101" s="374" t="s">
        <v>2115</v>
      </c>
      <c r="B101" s="374" t="s">
        <v>2115</v>
      </c>
      <c r="C101" s="263"/>
      <c r="D101" s="264"/>
      <c r="E101" s="307"/>
      <c r="F101" s="307"/>
      <c r="G101" s="264"/>
      <c r="H101" s="308">
        <v>246.74653</v>
      </c>
      <c r="I101" s="308">
        <v>-24.58300194</v>
      </c>
      <c r="J101" s="269"/>
      <c r="K101" s="269" t="s">
        <v>257</v>
      </c>
      <c r="L101" s="308"/>
      <c r="M101" s="269"/>
      <c r="N101" s="268"/>
      <c r="O101" s="308"/>
      <c r="P101" s="308"/>
      <c r="Q101" s="308"/>
      <c r="R101" s="308"/>
      <c r="S101" s="308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308">
        <v>9.8</v>
      </c>
      <c r="AE101" s="268"/>
      <c r="AF101" s="268"/>
      <c r="AG101" s="268"/>
      <c r="AH101" s="391" t="s">
        <v>1479</v>
      </c>
      <c r="AI101" s="269"/>
      <c r="AJ101" s="269"/>
      <c r="AK101" s="392" t="s">
        <v>1479</v>
      </c>
      <c r="AL101" s="330">
        <v>2005.0</v>
      </c>
      <c r="AM101" s="270"/>
      <c r="AN101" s="272"/>
      <c r="AO101" s="272"/>
      <c r="AP101" s="271"/>
      <c r="AQ101" s="272"/>
      <c r="AR101" s="282"/>
      <c r="AS101" s="330"/>
      <c r="AT101" s="272"/>
      <c r="AU101" s="272"/>
      <c r="AV101" s="270"/>
      <c r="AW101" s="270"/>
      <c r="AX101" s="370">
        <v>830.0</v>
      </c>
      <c r="AY101" s="272"/>
      <c r="AZ101" s="272" t="s">
        <v>1480</v>
      </c>
      <c r="BA101" s="270" t="s">
        <v>162</v>
      </c>
      <c r="BB101" s="272" t="s">
        <v>2021</v>
      </c>
      <c r="BC101" s="393"/>
      <c r="BD101" s="393"/>
      <c r="BE101" s="334"/>
      <c r="BF101" s="334"/>
      <c r="BG101" s="335"/>
      <c r="BH101" s="335"/>
      <c r="BI101" s="335"/>
      <c r="BJ101" s="335"/>
      <c r="BK101" s="336"/>
      <c r="BL101" s="336"/>
      <c r="BM101" s="336"/>
      <c r="BN101" s="336"/>
      <c r="BO101" s="337"/>
      <c r="BP101" s="337"/>
      <c r="BQ101" s="337"/>
      <c r="BR101" s="337"/>
      <c r="BS101" s="338"/>
      <c r="BT101" s="338"/>
      <c r="BU101" s="338"/>
      <c r="BV101" s="338"/>
      <c r="BW101" s="339"/>
      <c r="BX101" s="339"/>
      <c r="BY101" s="339"/>
      <c r="BZ101" s="339"/>
      <c r="CA101" s="340"/>
      <c r="CB101" s="340"/>
      <c r="CC101" s="340"/>
      <c r="CD101" s="340"/>
      <c r="CE101" s="341"/>
      <c r="CF101" s="341"/>
      <c r="CG101" s="341"/>
      <c r="CH101" s="341"/>
      <c r="CI101" s="342"/>
      <c r="CJ101" s="342"/>
      <c r="CK101" s="342"/>
      <c r="CL101" s="342"/>
      <c r="CM101" s="394">
        <v>-46.67</v>
      </c>
      <c r="CN101" s="379"/>
      <c r="CO101" s="379"/>
      <c r="CP101" s="379"/>
      <c r="CQ101" s="343"/>
      <c r="CR101" s="343"/>
      <c r="CS101" s="343"/>
      <c r="CT101" s="343"/>
      <c r="CU101" s="344"/>
      <c r="CV101" s="344"/>
      <c r="CW101" s="344"/>
      <c r="CX101" s="344"/>
      <c r="CY101" s="345"/>
      <c r="CZ101" s="345"/>
      <c r="DA101" s="345"/>
      <c r="DB101" s="345"/>
      <c r="DC101" s="346"/>
      <c r="DD101" s="346"/>
      <c r="DE101" s="346"/>
      <c r="DF101" s="346"/>
      <c r="DG101" s="358"/>
      <c r="DH101" s="358"/>
      <c r="DI101" s="358"/>
      <c r="DJ101" s="348"/>
      <c r="DK101" s="348"/>
      <c r="DL101" s="348"/>
      <c r="DM101" s="324"/>
      <c r="DN101" s="317"/>
      <c r="DO101" s="330">
        <v>1.43</v>
      </c>
      <c r="DP101" s="282"/>
      <c r="DQ101" s="395"/>
      <c r="DR101" s="395"/>
      <c r="DS101" s="272" t="s">
        <v>1479</v>
      </c>
      <c r="DT101" s="272"/>
      <c r="DU101" s="270"/>
      <c r="DV101" s="285"/>
      <c r="DW101" s="285"/>
      <c r="DX101" s="285"/>
      <c r="DY101" s="285"/>
      <c r="DZ101" s="285"/>
      <c r="EA101" s="285"/>
      <c r="EB101" s="285"/>
      <c r="EC101" s="285"/>
      <c r="ED101" s="285"/>
      <c r="EE101" s="285"/>
      <c r="EF101" s="285"/>
      <c r="EG101" s="285"/>
      <c r="EH101" s="285"/>
      <c r="EI101" s="285"/>
    </row>
    <row r="102">
      <c r="A102" s="383" t="s">
        <v>2116</v>
      </c>
      <c r="B102" s="305" t="s">
        <v>2117</v>
      </c>
      <c r="C102" s="386" t="s">
        <v>156</v>
      </c>
      <c r="D102" s="386">
        <v>39.959</v>
      </c>
      <c r="E102" s="307"/>
      <c r="F102" s="386" t="s">
        <v>157</v>
      </c>
      <c r="G102" s="355">
        <v>42.476526</v>
      </c>
      <c r="H102" s="355">
        <v>-5.967106</v>
      </c>
      <c r="I102" s="309" t="s">
        <v>2118</v>
      </c>
      <c r="J102" s="309"/>
      <c r="K102" s="355">
        <v>20.0</v>
      </c>
      <c r="L102" s="309">
        <v>5.0</v>
      </c>
      <c r="M102" s="309">
        <v>2.0</v>
      </c>
      <c r="N102" s="355">
        <f>1000/20.1</f>
        <v>49.75124378</v>
      </c>
      <c r="O102" s="355">
        <v>46.0</v>
      </c>
      <c r="P102" s="355">
        <v>2.3</v>
      </c>
      <c r="Q102" s="355">
        <v>-32.0</v>
      </c>
      <c r="R102" s="355">
        <v>2.1</v>
      </c>
      <c r="S102" s="309"/>
      <c r="T102" s="309"/>
      <c r="U102" s="308"/>
      <c r="V102" s="268"/>
      <c r="W102" s="268"/>
      <c r="X102" s="268"/>
      <c r="Y102" s="396"/>
      <c r="Z102" s="309"/>
      <c r="AA102" s="309"/>
      <c r="AB102" s="309">
        <v>16.545</v>
      </c>
      <c r="AC102" s="309">
        <v>0.114</v>
      </c>
      <c r="AD102" s="309">
        <v>15.484</v>
      </c>
      <c r="AE102" s="309">
        <v>0.132</v>
      </c>
      <c r="AF102" s="309">
        <v>14.881</v>
      </c>
      <c r="AG102" s="309">
        <v>0.124</v>
      </c>
      <c r="AH102" s="309"/>
      <c r="AI102" s="309"/>
      <c r="AJ102" s="397" t="s">
        <v>2119</v>
      </c>
      <c r="AK102" s="314" t="s">
        <v>2120</v>
      </c>
      <c r="AL102" s="380">
        <v>2019.0</v>
      </c>
      <c r="AM102" s="270"/>
      <c r="AN102" s="377">
        <v>48.9</v>
      </c>
      <c r="AO102" s="314">
        <v>5.0</v>
      </c>
      <c r="AP102" s="314" t="s">
        <v>2121</v>
      </c>
      <c r="AQ102" s="314">
        <v>1.0</v>
      </c>
      <c r="AR102" s="315"/>
      <c r="AS102" s="330"/>
      <c r="AT102" s="357">
        <v>0.011073293</v>
      </c>
      <c r="AU102" s="380">
        <v>0.0012409725</v>
      </c>
      <c r="AV102" s="272"/>
      <c r="AW102" s="272"/>
      <c r="AX102" s="316"/>
      <c r="AY102" s="316"/>
      <c r="AZ102" s="398" t="s">
        <v>596</v>
      </c>
      <c r="BA102" s="398" t="s">
        <v>2122</v>
      </c>
      <c r="BB102" s="398">
        <v>-90.0</v>
      </c>
      <c r="BC102" s="398">
        <v>30.0</v>
      </c>
      <c r="BD102" s="399"/>
      <c r="BE102" s="399"/>
      <c r="BF102" s="399"/>
      <c r="BG102" s="399"/>
      <c r="BH102" s="399"/>
      <c r="BI102" s="399"/>
      <c r="BJ102" s="399"/>
      <c r="BK102" s="399"/>
      <c r="BL102" s="399"/>
      <c r="BM102" s="399"/>
      <c r="BN102" s="399"/>
      <c r="BO102" s="399"/>
      <c r="BP102" s="399"/>
      <c r="BQ102" s="399"/>
      <c r="BR102" s="399"/>
      <c r="BS102" s="399"/>
      <c r="BT102" s="399"/>
      <c r="BU102" s="399"/>
      <c r="BV102" s="399"/>
      <c r="BW102" s="399"/>
      <c r="BX102" s="399"/>
      <c r="BY102" s="399"/>
      <c r="BZ102" s="399"/>
      <c r="CA102" s="399"/>
      <c r="CB102" s="399"/>
      <c r="CC102" s="399"/>
      <c r="CD102" s="399"/>
      <c r="CE102" s="399"/>
      <c r="CF102" s="399"/>
      <c r="CG102" s="399"/>
      <c r="CH102" s="399"/>
      <c r="CI102" s="399"/>
      <c r="CJ102" s="399"/>
      <c r="CK102" s="399"/>
      <c r="CL102" s="399"/>
      <c r="CM102" s="399"/>
      <c r="CN102" s="399"/>
      <c r="CO102" s="399"/>
      <c r="CP102" s="399"/>
      <c r="CQ102" s="399"/>
      <c r="CR102" s="399"/>
      <c r="CS102" s="399"/>
      <c r="CT102" s="399"/>
      <c r="CU102" s="399"/>
      <c r="CV102" s="399"/>
      <c r="CW102" s="399"/>
      <c r="CX102" s="399"/>
      <c r="CY102" s="399"/>
      <c r="CZ102" s="399"/>
      <c r="DA102" s="399"/>
      <c r="DB102" s="399"/>
      <c r="DC102" s="399"/>
      <c r="DD102" s="399"/>
      <c r="DE102" s="399"/>
      <c r="DF102" s="398"/>
      <c r="DG102" s="398"/>
      <c r="DH102" s="399"/>
      <c r="DI102" s="398"/>
      <c r="DJ102" s="400"/>
      <c r="DK102" s="400"/>
      <c r="DL102" s="400"/>
      <c r="DM102" s="401"/>
      <c r="DN102" s="401"/>
      <c r="DO102" s="401"/>
      <c r="DP102" s="401"/>
      <c r="DQ102" s="398">
        <v>5.0</v>
      </c>
      <c r="DR102" s="401"/>
      <c r="DS102" s="401"/>
      <c r="DT102" s="401"/>
      <c r="DU102" s="401"/>
      <c r="DV102" s="330"/>
      <c r="DW102" s="360"/>
      <c r="DX102" s="387"/>
      <c r="DY102" s="381"/>
      <c r="DZ102" s="314"/>
      <c r="EA102" s="388"/>
      <c r="EB102" s="388" t="s">
        <v>2123</v>
      </c>
      <c r="EC102" s="285"/>
      <c r="ED102" s="285"/>
      <c r="EE102" s="285"/>
      <c r="EF102" s="285"/>
      <c r="EG102" s="285"/>
      <c r="EH102" s="285"/>
      <c r="EI102" s="285"/>
    </row>
    <row r="103">
      <c r="A103" s="402"/>
      <c r="B103" s="402"/>
      <c r="C103" s="263"/>
      <c r="D103" s="264"/>
      <c r="E103" s="307"/>
      <c r="F103" s="307"/>
      <c r="G103" s="264"/>
      <c r="H103" s="403"/>
      <c r="I103" s="403"/>
      <c r="J103" s="269"/>
      <c r="K103" s="269"/>
      <c r="L103" s="403"/>
      <c r="M103" s="269"/>
      <c r="N103" s="268"/>
      <c r="O103" s="403"/>
      <c r="P103" s="403"/>
      <c r="Q103" s="403"/>
      <c r="R103" s="403"/>
      <c r="S103" s="403"/>
      <c r="T103" s="269"/>
      <c r="U103" s="269"/>
      <c r="V103" s="269"/>
      <c r="W103" s="269"/>
      <c r="X103" s="269"/>
      <c r="Y103" s="269"/>
      <c r="Z103" s="269"/>
      <c r="AA103" s="269"/>
      <c r="AB103" s="269"/>
      <c r="AC103" s="269"/>
      <c r="AD103" s="403"/>
      <c r="AE103" s="268"/>
      <c r="AF103" s="268"/>
      <c r="AG103" s="268"/>
      <c r="AH103" s="404"/>
      <c r="AI103" s="269"/>
      <c r="AJ103" s="269"/>
      <c r="AK103" s="405"/>
      <c r="AL103" s="406"/>
      <c r="AM103" s="270"/>
      <c r="AN103" s="272"/>
      <c r="AO103" s="272"/>
      <c r="AP103" s="271"/>
      <c r="AQ103" s="272"/>
      <c r="AR103" s="282"/>
      <c r="AS103" s="406"/>
      <c r="AT103" s="272"/>
      <c r="AU103" s="272"/>
      <c r="AV103" s="270"/>
      <c r="AW103" s="270"/>
      <c r="AX103" s="407"/>
      <c r="AY103" s="408"/>
      <c r="AZ103" s="408"/>
      <c r="BA103" s="270"/>
      <c r="BB103" s="408"/>
      <c r="BC103" s="393"/>
      <c r="BD103" s="393"/>
      <c r="BE103" s="334"/>
      <c r="BF103" s="334"/>
      <c r="BG103" s="335"/>
      <c r="BH103" s="335"/>
      <c r="BI103" s="335"/>
      <c r="BJ103" s="335"/>
      <c r="BK103" s="336"/>
      <c r="BL103" s="336"/>
      <c r="BM103" s="336"/>
      <c r="BN103" s="336"/>
      <c r="BO103" s="337"/>
      <c r="BP103" s="337"/>
      <c r="BQ103" s="337"/>
      <c r="BR103" s="337"/>
      <c r="BS103" s="338"/>
      <c r="BT103" s="338"/>
      <c r="BU103" s="338"/>
      <c r="BV103" s="338"/>
      <c r="BW103" s="339"/>
      <c r="BX103" s="339"/>
      <c r="BY103" s="339"/>
      <c r="BZ103" s="339"/>
      <c r="CA103" s="340"/>
      <c r="CB103" s="340"/>
      <c r="CC103" s="340"/>
      <c r="CD103" s="340"/>
      <c r="CE103" s="341"/>
      <c r="CF103" s="341"/>
      <c r="CG103" s="341"/>
      <c r="CH103" s="341"/>
      <c r="CI103" s="342"/>
      <c r="CJ103" s="342"/>
      <c r="CK103" s="342"/>
      <c r="CL103" s="342"/>
      <c r="CM103" s="409"/>
      <c r="CN103" s="379"/>
      <c r="CO103" s="379"/>
      <c r="CP103" s="379"/>
      <c r="CQ103" s="343"/>
      <c r="CR103" s="343"/>
      <c r="CS103" s="343"/>
      <c r="CT103" s="343"/>
      <c r="CU103" s="344"/>
      <c r="CV103" s="344"/>
      <c r="CW103" s="344"/>
      <c r="CX103" s="344"/>
      <c r="CY103" s="345"/>
      <c r="CZ103" s="345"/>
      <c r="DA103" s="345"/>
      <c r="DB103" s="345"/>
      <c r="DC103" s="346"/>
      <c r="DD103" s="346"/>
      <c r="DE103" s="346"/>
      <c r="DF103" s="346"/>
      <c r="DG103" s="358"/>
      <c r="DH103" s="358"/>
      <c r="DI103" s="358"/>
      <c r="DJ103" s="348"/>
      <c r="DK103" s="348"/>
      <c r="DL103" s="348"/>
      <c r="DM103" s="324"/>
      <c r="DN103" s="317"/>
      <c r="DO103" s="406"/>
      <c r="DP103" s="282"/>
      <c r="DQ103" s="395"/>
      <c r="DR103" s="395"/>
      <c r="DS103" s="408"/>
      <c r="DT103" s="408"/>
      <c r="DU103" s="270"/>
      <c r="DV103" s="285"/>
      <c r="DW103" s="285"/>
      <c r="DX103" s="285"/>
      <c r="DY103" s="285"/>
      <c r="DZ103" s="285"/>
      <c r="EA103" s="285"/>
      <c r="EB103" s="285"/>
      <c r="EC103" s="285"/>
      <c r="ED103" s="285"/>
      <c r="EE103" s="285"/>
      <c r="EF103" s="285"/>
      <c r="EG103" s="285"/>
      <c r="EH103" s="285"/>
      <c r="EI103" s="285"/>
    </row>
    <row r="104">
      <c r="A104" s="402"/>
      <c r="B104" s="402"/>
      <c r="C104" s="263"/>
      <c r="D104" s="264"/>
      <c r="E104" s="307"/>
      <c r="F104" s="307"/>
      <c r="G104" s="264"/>
      <c r="H104" s="403"/>
      <c r="I104" s="403"/>
      <c r="J104" s="269"/>
      <c r="K104" s="269"/>
      <c r="L104" s="403"/>
      <c r="M104" s="269"/>
      <c r="N104" s="268"/>
      <c r="O104" s="403"/>
      <c r="P104" s="403"/>
      <c r="Q104" s="403"/>
      <c r="R104" s="403"/>
      <c r="S104" s="403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403"/>
      <c r="AE104" s="268"/>
      <c r="AF104" s="268"/>
      <c r="AG104" s="268"/>
      <c r="AH104" s="404"/>
      <c r="AI104" s="269"/>
      <c r="AJ104" s="269"/>
      <c r="AK104" s="405"/>
      <c r="AL104" s="406"/>
      <c r="AM104" s="270"/>
      <c r="AN104" s="272"/>
      <c r="AO104" s="272"/>
      <c r="AP104" s="271"/>
      <c r="AQ104" s="272"/>
      <c r="AR104" s="282"/>
      <c r="AS104" s="406"/>
      <c r="AT104" s="272"/>
      <c r="AU104" s="272"/>
      <c r="AV104" s="270"/>
      <c r="AW104" s="270"/>
      <c r="AX104" s="407"/>
      <c r="AY104" s="408"/>
      <c r="AZ104" s="408"/>
      <c r="BA104" s="270"/>
      <c r="BB104" s="408"/>
      <c r="BC104" s="393"/>
      <c r="BD104" s="393"/>
      <c r="BE104" s="334"/>
      <c r="BF104" s="334"/>
      <c r="BG104" s="335"/>
      <c r="BH104" s="335"/>
      <c r="BI104" s="335"/>
      <c r="BJ104" s="335"/>
      <c r="BK104" s="336"/>
      <c r="BL104" s="336"/>
      <c r="BM104" s="336"/>
      <c r="BN104" s="336"/>
      <c r="BO104" s="337"/>
      <c r="BP104" s="337"/>
      <c r="BQ104" s="337"/>
      <c r="BR104" s="337"/>
      <c r="BS104" s="338"/>
      <c r="BT104" s="338"/>
      <c r="BU104" s="338"/>
      <c r="BV104" s="338"/>
      <c r="BW104" s="339"/>
      <c r="BX104" s="339"/>
      <c r="BY104" s="339"/>
      <c r="BZ104" s="339"/>
      <c r="CA104" s="340"/>
      <c r="CB104" s="340"/>
      <c r="CC104" s="340"/>
      <c r="CD104" s="340"/>
      <c r="CE104" s="341"/>
      <c r="CF104" s="341"/>
      <c r="CG104" s="341"/>
      <c r="CH104" s="341"/>
      <c r="CI104" s="342"/>
      <c r="CJ104" s="342"/>
      <c r="CK104" s="342"/>
      <c r="CL104" s="342"/>
      <c r="CM104" s="409"/>
      <c r="CN104" s="379"/>
      <c r="CO104" s="379"/>
      <c r="CP104" s="379"/>
      <c r="CQ104" s="343"/>
      <c r="CR104" s="343"/>
      <c r="CS104" s="343"/>
      <c r="CT104" s="343"/>
      <c r="CU104" s="344"/>
      <c r="CV104" s="344"/>
      <c r="CW104" s="344"/>
      <c r="CX104" s="344"/>
      <c r="CY104" s="345"/>
      <c r="CZ104" s="345"/>
      <c r="DA104" s="345"/>
      <c r="DB104" s="345"/>
      <c r="DC104" s="346"/>
      <c r="DD104" s="346"/>
      <c r="DE104" s="346"/>
      <c r="DF104" s="346"/>
      <c r="DG104" s="358"/>
      <c r="DH104" s="358"/>
      <c r="DI104" s="358"/>
      <c r="DJ104" s="348"/>
      <c r="DK104" s="348"/>
      <c r="DL104" s="348"/>
      <c r="DM104" s="324"/>
      <c r="DN104" s="317"/>
      <c r="DO104" s="406"/>
      <c r="DP104" s="282"/>
      <c r="DQ104" s="395"/>
      <c r="DR104" s="395"/>
      <c r="DS104" s="408"/>
      <c r="DT104" s="408"/>
      <c r="DU104" s="270"/>
      <c r="DV104" s="285"/>
      <c r="DW104" s="285"/>
      <c r="DX104" s="285"/>
      <c r="DY104" s="285"/>
      <c r="DZ104" s="285"/>
      <c r="EA104" s="285"/>
      <c r="EB104" s="285"/>
      <c r="EC104" s="285"/>
      <c r="ED104" s="285"/>
      <c r="EE104" s="285"/>
      <c r="EF104" s="285"/>
      <c r="EG104" s="285"/>
      <c r="EH104" s="285"/>
      <c r="EI104" s="285"/>
    </row>
    <row r="105">
      <c r="A105" s="402"/>
      <c r="B105" s="402"/>
      <c r="C105" s="263"/>
      <c r="D105" s="264"/>
      <c r="E105" s="307"/>
      <c r="F105" s="307"/>
      <c r="G105" s="264"/>
      <c r="H105" s="403"/>
      <c r="I105" s="403"/>
      <c r="J105" s="269"/>
      <c r="K105" s="269"/>
      <c r="L105" s="403"/>
      <c r="M105" s="269"/>
      <c r="N105" s="268"/>
      <c r="O105" s="403"/>
      <c r="P105" s="403"/>
      <c r="Q105" s="403"/>
      <c r="R105" s="403"/>
      <c r="S105" s="403"/>
      <c r="T105" s="269"/>
      <c r="U105" s="269"/>
      <c r="V105" s="269"/>
      <c r="W105" s="269"/>
      <c r="X105" s="269"/>
      <c r="Y105" s="269"/>
      <c r="Z105" s="269"/>
      <c r="AA105" s="269"/>
      <c r="AB105" s="269"/>
      <c r="AC105" s="269"/>
      <c r="AD105" s="403"/>
      <c r="AE105" s="268"/>
      <c r="AF105" s="268"/>
      <c r="AG105" s="268"/>
      <c r="AH105" s="404"/>
      <c r="AI105" s="269"/>
      <c r="AJ105" s="269"/>
      <c r="AK105" s="405"/>
      <c r="AL105" s="406"/>
      <c r="AM105" s="270"/>
      <c r="AN105" s="272"/>
      <c r="AO105" s="272"/>
      <c r="AP105" s="271"/>
      <c r="AQ105" s="272"/>
      <c r="AR105" s="282"/>
      <c r="AS105" s="406"/>
      <c r="AT105" s="272"/>
      <c r="AU105" s="272"/>
      <c r="AV105" s="270"/>
      <c r="AW105" s="270"/>
      <c r="AX105" s="407"/>
      <c r="AY105" s="408"/>
      <c r="AZ105" s="408"/>
      <c r="BA105" s="270"/>
      <c r="BB105" s="408"/>
      <c r="BC105" s="393"/>
      <c r="BD105" s="393"/>
      <c r="BE105" s="334"/>
      <c r="BF105" s="334"/>
      <c r="BG105" s="335"/>
      <c r="BH105" s="335"/>
      <c r="BI105" s="335"/>
      <c r="BJ105" s="335"/>
      <c r="BK105" s="336"/>
      <c r="BL105" s="336"/>
      <c r="BM105" s="336"/>
      <c r="BN105" s="336"/>
      <c r="BO105" s="337"/>
      <c r="BP105" s="337"/>
      <c r="BQ105" s="337"/>
      <c r="BR105" s="337"/>
      <c r="BS105" s="338"/>
      <c r="BT105" s="338"/>
      <c r="BU105" s="338"/>
      <c r="BV105" s="338"/>
      <c r="BW105" s="339"/>
      <c r="BX105" s="339"/>
      <c r="BY105" s="339"/>
      <c r="BZ105" s="339"/>
      <c r="CA105" s="340"/>
      <c r="CB105" s="340"/>
      <c r="CC105" s="340"/>
      <c r="CD105" s="340"/>
      <c r="CE105" s="341"/>
      <c r="CF105" s="341"/>
      <c r="CG105" s="341"/>
      <c r="CH105" s="341"/>
      <c r="CI105" s="342"/>
      <c r="CJ105" s="342"/>
      <c r="CK105" s="342"/>
      <c r="CL105" s="342"/>
      <c r="CM105" s="409"/>
      <c r="CN105" s="379"/>
      <c r="CO105" s="379"/>
      <c r="CP105" s="379"/>
      <c r="CQ105" s="343"/>
      <c r="CR105" s="343"/>
      <c r="CS105" s="343"/>
      <c r="CT105" s="343"/>
      <c r="CU105" s="344"/>
      <c r="CV105" s="344"/>
      <c r="CW105" s="344"/>
      <c r="CX105" s="344"/>
      <c r="CY105" s="345"/>
      <c r="CZ105" s="345"/>
      <c r="DA105" s="345"/>
      <c r="DB105" s="345"/>
      <c r="DC105" s="346"/>
      <c r="DD105" s="346"/>
      <c r="DE105" s="346"/>
      <c r="DF105" s="346"/>
      <c r="DG105" s="358"/>
      <c r="DH105" s="358"/>
      <c r="DI105" s="358"/>
      <c r="DJ105" s="348"/>
      <c r="DK105" s="348"/>
      <c r="DL105" s="348"/>
      <c r="DM105" s="324"/>
      <c r="DN105" s="317"/>
      <c r="DO105" s="406"/>
      <c r="DP105" s="282"/>
      <c r="DQ105" s="395"/>
      <c r="DR105" s="395"/>
      <c r="DS105" s="408"/>
      <c r="DT105" s="408"/>
      <c r="DU105" s="270"/>
      <c r="DV105" s="285"/>
      <c r="DW105" s="285"/>
      <c r="DX105" s="285"/>
      <c r="DY105" s="285"/>
      <c r="DZ105" s="285"/>
      <c r="EA105" s="285"/>
      <c r="EB105" s="285"/>
      <c r="EC105" s="285"/>
      <c r="ED105" s="285"/>
      <c r="EE105" s="285"/>
      <c r="EF105" s="285"/>
      <c r="EG105" s="285"/>
      <c r="EH105" s="285"/>
      <c r="EI105" s="285"/>
    </row>
    <row r="106">
      <c r="A106" s="402"/>
      <c r="B106" s="402"/>
      <c r="C106" s="263"/>
      <c r="D106" s="264"/>
      <c r="E106" s="307"/>
      <c r="F106" s="307"/>
      <c r="G106" s="264"/>
      <c r="H106" s="403"/>
      <c r="I106" s="403"/>
      <c r="J106" s="269"/>
      <c r="K106" s="269"/>
      <c r="L106" s="403"/>
      <c r="M106" s="269"/>
      <c r="N106" s="268"/>
      <c r="O106" s="403"/>
      <c r="P106" s="403"/>
      <c r="Q106" s="403"/>
      <c r="R106" s="403"/>
      <c r="S106" s="403"/>
      <c r="T106" s="269"/>
      <c r="U106" s="269"/>
      <c r="V106" s="269"/>
      <c r="W106" s="269"/>
      <c r="X106" s="269"/>
      <c r="Y106" s="269"/>
      <c r="Z106" s="269"/>
      <c r="AA106" s="269"/>
      <c r="AB106" s="269"/>
      <c r="AC106" s="269"/>
      <c r="AD106" s="403"/>
      <c r="AE106" s="268"/>
      <c r="AF106" s="268"/>
      <c r="AG106" s="268"/>
      <c r="AH106" s="404"/>
      <c r="AI106" s="269"/>
      <c r="AJ106" s="269"/>
      <c r="AK106" s="405"/>
      <c r="AL106" s="406"/>
      <c r="AM106" s="270"/>
      <c r="AN106" s="272"/>
      <c r="AO106" s="272"/>
      <c r="AP106" s="271"/>
      <c r="AQ106" s="272"/>
      <c r="AR106" s="282"/>
      <c r="AS106" s="406"/>
      <c r="AT106" s="272"/>
      <c r="AU106" s="272"/>
      <c r="AV106" s="270"/>
      <c r="AW106" s="270"/>
      <c r="AX106" s="407"/>
      <c r="AY106" s="408"/>
      <c r="AZ106" s="408"/>
      <c r="BA106" s="270"/>
      <c r="BB106" s="408"/>
      <c r="BC106" s="393"/>
      <c r="BD106" s="393"/>
      <c r="BE106" s="334"/>
      <c r="BF106" s="334"/>
      <c r="BG106" s="335"/>
      <c r="BH106" s="335"/>
      <c r="BI106" s="335"/>
      <c r="BJ106" s="335"/>
      <c r="BK106" s="336"/>
      <c r="BL106" s="336"/>
      <c r="BM106" s="336"/>
      <c r="BN106" s="336"/>
      <c r="BO106" s="337"/>
      <c r="BP106" s="337"/>
      <c r="BQ106" s="337"/>
      <c r="BR106" s="337"/>
      <c r="BS106" s="338"/>
      <c r="BT106" s="338"/>
      <c r="BU106" s="338"/>
      <c r="BV106" s="338"/>
      <c r="BW106" s="339"/>
      <c r="BX106" s="339"/>
      <c r="BY106" s="339"/>
      <c r="BZ106" s="339"/>
      <c r="CA106" s="340"/>
      <c r="CB106" s="340"/>
      <c r="CC106" s="340"/>
      <c r="CD106" s="340"/>
      <c r="CE106" s="341"/>
      <c r="CF106" s="341"/>
      <c r="CG106" s="341"/>
      <c r="CH106" s="341"/>
      <c r="CI106" s="342"/>
      <c r="CJ106" s="342"/>
      <c r="CK106" s="342"/>
      <c r="CL106" s="342"/>
      <c r="CM106" s="409"/>
      <c r="CN106" s="379"/>
      <c r="CO106" s="379"/>
      <c r="CP106" s="379"/>
      <c r="CQ106" s="343"/>
      <c r="CR106" s="343"/>
      <c r="CS106" s="343"/>
      <c r="CT106" s="343"/>
      <c r="CU106" s="344"/>
      <c r="CV106" s="344"/>
      <c r="CW106" s="344"/>
      <c r="CX106" s="344"/>
      <c r="CY106" s="345"/>
      <c r="CZ106" s="345"/>
      <c r="DA106" s="345"/>
      <c r="DB106" s="345"/>
      <c r="DC106" s="346"/>
      <c r="DD106" s="346"/>
      <c r="DE106" s="346"/>
      <c r="DF106" s="346"/>
      <c r="DG106" s="358"/>
      <c r="DH106" s="358"/>
      <c r="DI106" s="358"/>
      <c r="DJ106" s="348"/>
      <c r="DK106" s="348"/>
      <c r="DL106" s="348"/>
      <c r="DM106" s="324"/>
      <c r="DN106" s="317"/>
      <c r="DO106" s="406"/>
      <c r="DP106" s="282"/>
      <c r="DQ106" s="395"/>
      <c r="DR106" s="395"/>
      <c r="DS106" s="408"/>
      <c r="DT106" s="408"/>
      <c r="DU106" s="270"/>
      <c r="DV106" s="285"/>
      <c r="DW106" s="285"/>
      <c r="DX106" s="285"/>
      <c r="DY106" s="285"/>
      <c r="DZ106" s="285"/>
      <c r="EA106" s="285"/>
      <c r="EB106" s="285"/>
      <c r="EC106" s="285"/>
      <c r="ED106" s="285"/>
      <c r="EE106" s="285"/>
      <c r="EF106" s="285"/>
      <c r="EG106" s="285"/>
      <c r="EH106" s="285"/>
      <c r="EI106" s="285"/>
    </row>
    <row r="107">
      <c r="A107" s="402"/>
      <c r="B107" s="402"/>
      <c r="C107" s="263"/>
      <c r="D107" s="264"/>
      <c r="E107" s="307"/>
      <c r="F107" s="307"/>
      <c r="G107" s="264"/>
      <c r="H107" s="403"/>
      <c r="I107" s="403"/>
      <c r="J107" s="269"/>
      <c r="K107" s="269"/>
      <c r="L107" s="403"/>
      <c r="M107" s="269"/>
      <c r="N107" s="268"/>
      <c r="O107" s="403"/>
      <c r="P107" s="403"/>
      <c r="Q107" s="403"/>
      <c r="R107" s="403"/>
      <c r="S107" s="403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9"/>
      <c r="AD107" s="403"/>
      <c r="AE107" s="268"/>
      <c r="AF107" s="268"/>
      <c r="AG107" s="268"/>
      <c r="AH107" s="404"/>
      <c r="AI107" s="269"/>
      <c r="AJ107" s="269"/>
      <c r="AK107" s="405"/>
      <c r="AL107" s="406"/>
      <c r="AM107" s="270"/>
      <c r="AN107" s="272"/>
      <c r="AO107" s="272"/>
      <c r="AP107" s="271"/>
      <c r="AQ107" s="272"/>
      <c r="AR107" s="282"/>
      <c r="AS107" s="406"/>
      <c r="AT107" s="272"/>
      <c r="AU107" s="272"/>
      <c r="AV107" s="270"/>
      <c r="AW107" s="270"/>
      <c r="AX107" s="407"/>
      <c r="AY107" s="408"/>
      <c r="AZ107" s="408"/>
      <c r="BA107" s="270"/>
      <c r="BB107" s="408"/>
      <c r="BC107" s="393"/>
      <c r="BD107" s="393"/>
      <c r="BE107" s="334"/>
      <c r="BF107" s="334"/>
      <c r="BG107" s="335"/>
      <c r="BH107" s="335"/>
      <c r="BI107" s="335"/>
      <c r="BJ107" s="335"/>
      <c r="BK107" s="336"/>
      <c r="BL107" s="336"/>
      <c r="BM107" s="336"/>
      <c r="BN107" s="336"/>
      <c r="BO107" s="337"/>
      <c r="BP107" s="337"/>
      <c r="BQ107" s="337"/>
      <c r="BR107" s="337"/>
      <c r="BS107" s="338"/>
      <c r="BT107" s="338"/>
      <c r="BU107" s="338"/>
      <c r="BV107" s="338"/>
      <c r="BW107" s="339"/>
      <c r="BX107" s="339"/>
      <c r="BY107" s="339"/>
      <c r="BZ107" s="339"/>
      <c r="CA107" s="340"/>
      <c r="CB107" s="340"/>
      <c r="CC107" s="340"/>
      <c r="CD107" s="340"/>
      <c r="CE107" s="341"/>
      <c r="CF107" s="341"/>
      <c r="CG107" s="341"/>
      <c r="CH107" s="341"/>
      <c r="CI107" s="342"/>
      <c r="CJ107" s="342"/>
      <c r="CK107" s="342"/>
      <c r="CL107" s="342"/>
      <c r="CM107" s="409"/>
      <c r="CN107" s="379"/>
      <c r="CO107" s="379"/>
      <c r="CP107" s="379"/>
      <c r="CQ107" s="343"/>
      <c r="CR107" s="343"/>
      <c r="CS107" s="343"/>
      <c r="CT107" s="343"/>
      <c r="CU107" s="344"/>
      <c r="CV107" s="344"/>
      <c r="CW107" s="344"/>
      <c r="CX107" s="344"/>
      <c r="CY107" s="345"/>
      <c r="CZ107" s="345"/>
      <c r="DA107" s="345"/>
      <c r="DB107" s="345"/>
      <c r="DC107" s="346"/>
      <c r="DD107" s="346"/>
      <c r="DE107" s="346"/>
      <c r="DF107" s="346"/>
      <c r="DG107" s="358"/>
      <c r="DH107" s="358"/>
      <c r="DI107" s="358"/>
      <c r="DJ107" s="348"/>
      <c r="DK107" s="348"/>
      <c r="DL107" s="348"/>
      <c r="DM107" s="324"/>
      <c r="DN107" s="317"/>
      <c r="DO107" s="406"/>
      <c r="DP107" s="282"/>
      <c r="DQ107" s="395"/>
      <c r="DR107" s="395"/>
      <c r="DS107" s="408"/>
      <c r="DT107" s="408"/>
      <c r="DU107" s="270"/>
      <c r="DV107" s="285"/>
      <c r="DW107" s="285"/>
      <c r="DX107" s="285"/>
      <c r="DY107" s="285"/>
      <c r="DZ107" s="285"/>
      <c r="EA107" s="285"/>
      <c r="EB107" s="285"/>
      <c r="EC107" s="285"/>
      <c r="ED107" s="285"/>
      <c r="EE107" s="285"/>
      <c r="EF107" s="285"/>
      <c r="EG107" s="285"/>
      <c r="EH107" s="285"/>
      <c r="EI107" s="285"/>
    </row>
    <row r="108">
      <c r="A108" s="402"/>
      <c r="B108" s="402"/>
      <c r="C108" s="263"/>
      <c r="D108" s="264"/>
      <c r="E108" s="307"/>
      <c r="F108" s="307"/>
      <c r="G108" s="264"/>
      <c r="H108" s="403"/>
      <c r="I108" s="403"/>
      <c r="J108" s="269"/>
      <c r="K108" s="269"/>
      <c r="L108" s="403"/>
      <c r="M108" s="269"/>
      <c r="N108" s="268"/>
      <c r="O108" s="403"/>
      <c r="P108" s="403"/>
      <c r="Q108" s="403"/>
      <c r="R108" s="403"/>
      <c r="S108" s="403"/>
      <c r="T108" s="269"/>
      <c r="U108" s="269"/>
      <c r="V108" s="269"/>
      <c r="W108" s="269"/>
      <c r="X108" s="269"/>
      <c r="Y108" s="269"/>
      <c r="Z108" s="269"/>
      <c r="AA108" s="269"/>
      <c r="AB108" s="269"/>
      <c r="AC108" s="269"/>
      <c r="AD108" s="403"/>
      <c r="AE108" s="268"/>
      <c r="AF108" s="268"/>
      <c r="AG108" s="268"/>
      <c r="AH108" s="404"/>
      <c r="AI108" s="269"/>
      <c r="AJ108" s="269"/>
      <c r="AK108" s="405"/>
      <c r="AL108" s="406"/>
      <c r="AM108" s="270"/>
      <c r="AN108" s="272"/>
      <c r="AO108" s="272"/>
      <c r="AP108" s="271"/>
      <c r="AQ108" s="272"/>
      <c r="AR108" s="282"/>
      <c r="AS108" s="406"/>
      <c r="AT108" s="272"/>
      <c r="AU108" s="272"/>
      <c r="AV108" s="270"/>
      <c r="AW108" s="270"/>
      <c r="AX108" s="407"/>
      <c r="AY108" s="408"/>
      <c r="AZ108" s="408"/>
      <c r="BA108" s="270"/>
      <c r="BB108" s="408"/>
      <c r="BC108" s="393"/>
      <c r="BD108" s="393"/>
      <c r="BE108" s="334"/>
      <c r="BF108" s="334"/>
      <c r="BG108" s="335"/>
      <c r="BH108" s="335"/>
      <c r="BI108" s="335"/>
      <c r="BJ108" s="335"/>
      <c r="BK108" s="336"/>
      <c r="BL108" s="336"/>
      <c r="BM108" s="336"/>
      <c r="BN108" s="336"/>
      <c r="BO108" s="337"/>
      <c r="BP108" s="337"/>
      <c r="BQ108" s="337"/>
      <c r="BR108" s="337"/>
      <c r="BS108" s="338"/>
      <c r="BT108" s="338"/>
      <c r="BU108" s="338"/>
      <c r="BV108" s="338"/>
      <c r="BW108" s="339"/>
      <c r="BX108" s="339"/>
      <c r="BY108" s="339"/>
      <c r="BZ108" s="339"/>
      <c r="CA108" s="340"/>
      <c r="CB108" s="340"/>
      <c r="CC108" s="340"/>
      <c r="CD108" s="340"/>
      <c r="CE108" s="341"/>
      <c r="CF108" s="341"/>
      <c r="CG108" s="341"/>
      <c r="CH108" s="341"/>
      <c r="CI108" s="342"/>
      <c r="CJ108" s="342"/>
      <c r="CK108" s="342"/>
      <c r="CL108" s="342"/>
      <c r="CM108" s="409"/>
      <c r="CN108" s="379"/>
      <c r="CO108" s="379"/>
      <c r="CP108" s="379"/>
      <c r="CQ108" s="343"/>
      <c r="CR108" s="343"/>
      <c r="CS108" s="343"/>
      <c r="CT108" s="343"/>
      <c r="CU108" s="344"/>
      <c r="CV108" s="344"/>
      <c r="CW108" s="344"/>
      <c r="CX108" s="344"/>
      <c r="CY108" s="345"/>
      <c r="CZ108" s="345"/>
      <c r="DA108" s="345"/>
      <c r="DB108" s="345"/>
      <c r="DC108" s="346"/>
      <c r="DD108" s="346"/>
      <c r="DE108" s="346"/>
      <c r="DF108" s="346"/>
      <c r="DG108" s="358"/>
      <c r="DH108" s="358"/>
      <c r="DI108" s="358"/>
      <c r="DJ108" s="348"/>
      <c r="DK108" s="348"/>
      <c r="DL108" s="348"/>
      <c r="DM108" s="324"/>
      <c r="DN108" s="317"/>
      <c r="DO108" s="406"/>
      <c r="DP108" s="282"/>
      <c r="DQ108" s="395"/>
      <c r="DR108" s="395"/>
      <c r="DS108" s="408"/>
      <c r="DT108" s="408"/>
      <c r="DU108" s="270"/>
      <c r="DV108" s="285"/>
      <c r="DW108" s="285"/>
      <c r="DX108" s="285"/>
      <c r="DY108" s="285"/>
      <c r="DZ108" s="285"/>
      <c r="EA108" s="285"/>
      <c r="EB108" s="285"/>
      <c r="EC108" s="285"/>
      <c r="ED108" s="285"/>
      <c r="EE108" s="285"/>
      <c r="EF108" s="285"/>
      <c r="EG108" s="285"/>
      <c r="EH108" s="285"/>
      <c r="EI108" s="285"/>
    </row>
    <row r="109">
      <c r="A109" s="402"/>
      <c r="B109" s="402"/>
      <c r="C109" s="263"/>
      <c r="D109" s="264"/>
      <c r="E109" s="307"/>
      <c r="F109" s="307"/>
      <c r="G109" s="264"/>
      <c r="H109" s="403"/>
      <c r="I109" s="403"/>
      <c r="J109" s="269"/>
      <c r="K109" s="269"/>
      <c r="L109" s="403"/>
      <c r="M109" s="269"/>
      <c r="N109" s="268"/>
      <c r="O109" s="403"/>
      <c r="P109" s="403"/>
      <c r="Q109" s="403"/>
      <c r="R109" s="403"/>
      <c r="S109" s="403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403"/>
      <c r="AE109" s="268"/>
      <c r="AF109" s="268"/>
      <c r="AG109" s="268"/>
      <c r="AH109" s="404"/>
      <c r="AI109" s="269"/>
      <c r="AJ109" s="269"/>
      <c r="AK109" s="405"/>
      <c r="AL109" s="406"/>
      <c r="AM109" s="270"/>
      <c r="AN109" s="272"/>
      <c r="AO109" s="272"/>
      <c r="AP109" s="271"/>
      <c r="AQ109" s="272"/>
      <c r="AR109" s="282"/>
      <c r="AS109" s="406"/>
      <c r="AT109" s="272"/>
      <c r="AU109" s="272"/>
      <c r="AV109" s="270"/>
      <c r="AW109" s="270"/>
      <c r="AX109" s="407"/>
      <c r="AY109" s="408"/>
      <c r="AZ109" s="408"/>
      <c r="BA109" s="270"/>
      <c r="BB109" s="408"/>
      <c r="BC109" s="393"/>
      <c r="BD109" s="393"/>
      <c r="BE109" s="334"/>
      <c r="BF109" s="334"/>
      <c r="BG109" s="335"/>
      <c r="BH109" s="335"/>
      <c r="BI109" s="335"/>
      <c r="BJ109" s="335"/>
      <c r="BK109" s="336"/>
      <c r="BL109" s="336"/>
      <c r="BM109" s="336"/>
      <c r="BN109" s="336"/>
      <c r="BO109" s="337"/>
      <c r="BP109" s="337"/>
      <c r="BQ109" s="337"/>
      <c r="BR109" s="337"/>
      <c r="BS109" s="338"/>
      <c r="BT109" s="338"/>
      <c r="BU109" s="338"/>
      <c r="BV109" s="338"/>
      <c r="BW109" s="339"/>
      <c r="BX109" s="339"/>
      <c r="BY109" s="339"/>
      <c r="BZ109" s="339"/>
      <c r="CA109" s="340"/>
      <c r="CB109" s="340"/>
      <c r="CC109" s="340"/>
      <c r="CD109" s="340"/>
      <c r="CE109" s="341"/>
      <c r="CF109" s="341"/>
      <c r="CG109" s="341"/>
      <c r="CH109" s="341"/>
      <c r="CI109" s="342"/>
      <c r="CJ109" s="342"/>
      <c r="CK109" s="342"/>
      <c r="CL109" s="342"/>
      <c r="CM109" s="409"/>
      <c r="CN109" s="379"/>
      <c r="CO109" s="379"/>
      <c r="CP109" s="379"/>
      <c r="CQ109" s="343"/>
      <c r="CR109" s="343"/>
      <c r="CS109" s="343"/>
      <c r="CT109" s="343"/>
      <c r="CU109" s="344"/>
      <c r="CV109" s="344"/>
      <c r="CW109" s="344"/>
      <c r="CX109" s="344"/>
      <c r="CY109" s="345"/>
      <c r="CZ109" s="345"/>
      <c r="DA109" s="345"/>
      <c r="DB109" s="345"/>
      <c r="DC109" s="346"/>
      <c r="DD109" s="346"/>
      <c r="DE109" s="346"/>
      <c r="DF109" s="346"/>
      <c r="DG109" s="358"/>
      <c r="DH109" s="358"/>
      <c r="DI109" s="358"/>
      <c r="DJ109" s="348"/>
      <c r="DK109" s="348"/>
      <c r="DL109" s="348"/>
      <c r="DM109" s="324"/>
      <c r="DN109" s="317"/>
      <c r="DO109" s="406"/>
      <c r="DP109" s="282"/>
      <c r="DQ109" s="395"/>
      <c r="DR109" s="395"/>
      <c r="DS109" s="408"/>
      <c r="DT109" s="408"/>
      <c r="DU109" s="270"/>
      <c r="DV109" s="285"/>
      <c r="DW109" s="285"/>
      <c r="DX109" s="285"/>
      <c r="DY109" s="285"/>
      <c r="DZ109" s="285"/>
      <c r="EA109" s="285"/>
      <c r="EB109" s="285"/>
      <c r="EC109" s="285"/>
      <c r="ED109" s="285"/>
      <c r="EE109" s="285"/>
      <c r="EF109" s="285"/>
      <c r="EG109" s="285"/>
      <c r="EH109" s="285"/>
      <c r="EI109" s="285"/>
    </row>
    <row r="110">
      <c r="A110" s="402"/>
      <c r="B110" s="402"/>
      <c r="C110" s="263"/>
      <c r="D110" s="264"/>
      <c r="E110" s="307"/>
      <c r="F110" s="307"/>
      <c r="G110" s="264"/>
      <c r="H110" s="403"/>
      <c r="I110" s="403"/>
      <c r="J110" s="269"/>
      <c r="K110" s="269"/>
      <c r="L110" s="403"/>
      <c r="M110" s="269"/>
      <c r="N110" s="268"/>
      <c r="O110" s="403"/>
      <c r="P110" s="403"/>
      <c r="Q110" s="403"/>
      <c r="R110" s="403"/>
      <c r="S110" s="403"/>
      <c r="T110" s="269"/>
      <c r="U110" s="269"/>
      <c r="V110" s="269"/>
      <c r="W110" s="269"/>
      <c r="X110" s="269"/>
      <c r="Y110" s="269"/>
      <c r="Z110" s="269"/>
      <c r="AA110" s="269"/>
      <c r="AB110" s="269"/>
      <c r="AC110" s="269"/>
      <c r="AD110" s="403"/>
      <c r="AE110" s="268"/>
      <c r="AF110" s="268"/>
      <c r="AG110" s="268"/>
      <c r="AH110" s="404"/>
      <c r="AI110" s="269"/>
      <c r="AJ110" s="269"/>
      <c r="AK110" s="405"/>
      <c r="AL110" s="406"/>
      <c r="AM110" s="270"/>
      <c r="AN110" s="272"/>
      <c r="AO110" s="272"/>
      <c r="AP110" s="271"/>
      <c r="AQ110" s="272"/>
      <c r="AR110" s="282"/>
      <c r="AS110" s="406"/>
      <c r="AT110" s="272"/>
      <c r="AU110" s="272"/>
      <c r="AV110" s="270"/>
      <c r="AW110" s="270"/>
      <c r="AX110" s="407"/>
      <c r="AY110" s="408"/>
      <c r="AZ110" s="408"/>
      <c r="BA110" s="270"/>
      <c r="BB110" s="408"/>
      <c r="BC110" s="393"/>
      <c r="BD110" s="393"/>
      <c r="BE110" s="334"/>
      <c r="BF110" s="334"/>
      <c r="BG110" s="335"/>
      <c r="BH110" s="335"/>
      <c r="BI110" s="335"/>
      <c r="BJ110" s="335"/>
      <c r="BK110" s="336"/>
      <c r="BL110" s="336"/>
      <c r="BM110" s="336"/>
      <c r="BN110" s="336"/>
      <c r="BO110" s="337"/>
      <c r="BP110" s="337"/>
      <c r="BQ110" s="337"/>
      <c r="BR110" s="337"/>
      <c r="BS110" s="338"/>
      <c r="BT110" s="338"/>
      <c r="BU110" s="338"/>
      <c r="BV110" s="338"/>
      <c r="BW110" s="339"/>
      <c r="BX110" s="339"/>
      <c r="BY110" s="339"/>
      <c r="BZ110" s="339"/>
      <c r="CA110" s="340"/>
      <c r="CB110" s="340"/>
      <c r="CC110" s="340"/>
      <c r="CD110" s="340"/>
      <c r="CE110" s="341"/>
      <c r="CF110" s="341"/>
      <c r="CG110" s="341"/>
      <c r="CH110" s="341"/>
      <c r="CI110" s="342"/>
      <c r="CJ110" s="342"/>
      <c r="CK110" s="342"/>
      <c r="CL110" s="342"/>
      <c r="CM110" s="409"/>
      <c r="CN110" s="379"/>
      <c r="CO110" s="379"/>
      <c r="CP110" s="379"/>
      <c r="CQ110" s="343"/>
      <c r="CR110" s="343"/>
      <c r="CS110" s="343"/>
      <c r="CT110" s="343"/>
      <c r="CU110" s="344"/>
      <c r="CV110" s="344"/>
      <c r="CW110" s="344"/>
      <c r="CX110" s="344"/>
      <c r="CY110" s="345"/>
      <c r="CZ110" s="345"/>
      <c r="DA110" s="345"/>
      <c r="DB110" s="345"/>
      <c r="DC110" s="346"/>
      <c r="DD110" s="346"/>
      <c r="DE110" s="346"/>
      <c r="DF110" s="346"/>
      <c r="DG110" s="358"/>
      <c r="DH110" s="358"/>
      <c r="DI110" s="358"/>
      <c r="DJ110" s="348"/>
      <c r="DK110" s="348"/>
      <c r="DL110" s="348"/>
      <c r="DM110" s="324"/>
      <c r="DN110" s="317"/>
      <c r="DO110" s="406"/>
      <c r="DP110" s="282"/>
      <c r="DQ110" s="395"/>
      <c r="DR110" s="395"/>
      <c r="DS110" s="408"/>
      <c r="DT110" s="408"/>
      <c r="DU110" s="270"/>
      <c r="DV110" s="285"/>
      <c r="DW110" s="285"/>
      <c r="DX110" s="285"/>
      <c r="DY110" s="285"/>
      <c r="DZ110" s="285"/>
      <c r="EA110" s="285"/>
      <c r="EB110" s="285"/>
      <c r="EC110" s="285"/>
      <c r="ED110" s="285"/>
      <c r="EE110" s="285"/>
      <c r="EF110" s="285"/>
      <c r="EG110" s="285"/>
      <c r="EH110" s="285"/>
      <c r="EI110" s="285"/>
    </row>
    <row r="111">
      <c r="A111" s="402"/>
      <c r="B111" s="402"/>
      <c r="C111" s="263"/>
      <c r="D111" s="264"/>
      <c r="E111" s="307"/>
      <c r="F111" s="307"/>
      <c r="G111" s="264"/>
      <c r="H111" s="403"/>
      <c r="I111" s="403"/>
      <c r="J111" s="269"/>
      <c r="K111" s="269"/>
      <c r="L111" s="403"/>
      <c r="M111" s="269"/>
      <c r="N111" s="268"/>
      <c r="O111" s="403"/>
      <c r="P111" s="403"/>
      <c r="Q111" s="403"/>
      <c r="R111" s="403"/>
      <c r="S111" s="403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403"/>
      <c r="AE111" s="268"/>
      <c r="AF111" s="268"/>
      <c r="AG111" s="268"/>
      <c r="AH111" s="404"/>
      <c r="AI111" s="269"/>
      <c r="AJ111" s="269"/>
      <c r="AK111" s="405"/>
      <c r="AL111" s="406"/>
      <c r="AM111" s="270"/>
      <c r="AN111" s="272"/>
      <c r="AO111" s="272"/>
      <c r="AP111" s="271"/>
      <c r="AQ111" s="272"/>
      <c r="AR111" s="282"/>
      <c r="AS111" s="406"/>
      <c r="AT111" s="272"/>
      <c r="AU111" s="272"/>
      <c r="AV111" s="270"/>
      <c r="AW111" s="270"/>
      <c r="AX111" s="407"/>
      <c r="AY111" s="408"/>
      <c r="AZ111" s="408"/>
      <c r="BA111" s="270"/>
      <c r="BB111" s="408"/>
      <c r="BC111" s="393"/>
      <c r="BD111" s="393"/>
      <c r="BE111" s="334"/>
      <c r="BF111" s="334"/>
      <c r="BG111" s="335"/>
      <c r="BH111" s="335"/>
      <c r="BI111" s="335"/>
      <c r="BJ111" s="335"/>
      <c r="BK111" s="336"/>
      <c r="BL111" s="336"/>
      <c r="BM111" s="336"/>
      <c r="BN111" s="336"/>
      <c r="BO111" s="337"/>
      <c r="BP111" s="337"/>
      <c r="BQ111" s="337"/>
      <c r="BR111" s="337"/>
      <c r="BS111" s="338"/>
      <c r="BT111" s="338"/>
      <c r="BU111" s="338"/>
      <c r="BV111" s="338"/>
      <c r="BW111" s="339"/>
      <c r="BX111" s="339"/>
      <c r="BY111" s="339"/>
      <c r="BZ111" s="339"/>
      <c r="CA111" s="340"/>
      <c r="CB111" s="340"/>
      <c r="CC111" s="340"/>
      <c r="CD111" s="340"/>
      <c r="CE111" s="341"/>
      <c r="CF111" s="341"/>
      <c r="CG111" s="341"/>
      <c r="CH111" s="341"/>
      <c r="CI111" s="342"/>
      <c r="CJ111" s="342"/>
      <c r="CK111" s="342"/>
      <c r="CL111" s="342"/>
      <c r="CM111" s="409"/>
      <c r="CN111" s="379"/>
      <c r="CO111" s="379"/>
      <c r="CP111" s="379"/>
      <c r="CQ111" s="343"/>
      <c r="CR111" s="343"/>
      <c r="CS111" s="343"/>
      <c r="CT111" s="343"/>
      <c r="CU111" s="344"/>
      <c r="CV111" s="344"/>
      <c r="CW111" s="344"/>
      <c r="CX111" s="344"/>
      <c r="CY111" s="345"/>
      <c r="CZ111" s="345"/>
      <c r="DA111" s="345"/>
      <c r="DB111" s="345"/>
      <c r="DC111" s="346"/>
      <c r="DD111" s="346"/>
      <c r="DE111" s="346"/>
      <c r="DF111" s="346"/>
      <c r="DG111" s="358"/>
      <c r="DH111" s="358"/>
      <c r="DI111" s="358"/>
      <c r="DJ111" s="348"/>
      <c r="DK111" s="348"/>
      <c r="DL111" s="348"/>
      <c r="DM111" s="324"/>
      <c r="DN111" s="317"/>
      <c r="DO111" s="406"/>
      <c r="DP111" s="282"/>
      <c r="DQ111" s="395"/>
      <c r="DR111" s="395"/>
      <c r="DS111" s="408"/>
      <c r="DT111" s="408"/>
      <c r="DU111" s="270"/>
      <c r="DV111" s="285"/>
      <c r="DW111" s="285"/>
      <c r="DX111" s="285"/>
      <c r="DY111" s="285"/>
      <c r="DZ111" s="285"/>
      <c r="EA111" s="285"/>
      <c r="EB111" s="285"/>
      <c r="EC111" s="285"/>
      <c r="ED111" s="285"/>
      <c r="EE111" s="285"/>
      <c r="EF111" s="285"/>
      <c r="EG111" s="285"/>
      <c r="EH111" s="285"/>
      <c r="EI111" s="285"/>
    </row>
    <row r="112">
      <c r="A112" s="402"/>
      <c r="B112" s="402"/>
      <c r="C112" s="263"/>
      <c r="D112" s="264"/>
      <c r="E112" s="307"/>
      <c r="F112" s="307"/>
      <c r="G112" s="264"/>
      <c r="H112" s="403"/>
      <c r="I112" s="403"/>
      <c r="J112" s="269"/>
      <c r="K112" s="269"/>
      <c r="L112" s="403"/>
      <c r="M112" s="269"/>
      <c r="N112" s="268"/>
      <c r="O112" s="403"/>
      <c r="P112" s="403"/>
      <c r="Q112" s="403"/>
      <c r="R112" s="403"/>
      <c r="S112" s="403"/>
      <c r="T112" s="269"/>
      <c r="U112" s="269"/>
      <c r="V112" s="269"/>
      <c r="W112" s="269"/>
      <c r="X112" s="269"/>
      <c r="Y112" s="269"/>
      <c r="Z112" s="269"/>
      <c r="AA112" s="269"/>
      <c r="AB112" s="269"/>
      <c r="AC112" s="269"/>
      <c r="AD112" s="403"/>
      <c r="AE112" s="268"/>
      <c r="AF112" s="268"/>
      <c r="AG112" s="268"/>
      <c r="AH112" s="404"/>
      <c r="AI112" s="269"/>
      <c r="AJ112" s="269"/>
      <c r="AK112" s="405"/>
      <c r="AL112" s="406"/>
      <c r="AM112" s="270"/>
      <c r="AN112" s="272"/>
      <c r="AO112" s="272"/>
      <c r="AP112" s="271"/>
      <c r="AQ112" s="272"/>
      <c r="AR112" s="282"/>
      <c r="AS112" s="406"/>
      <c r="AT112" s="272"/>
      <c r="AU112" s="272"/>
      <c r="AV112" s="270"/>
      <c r="AW112" s="270"/>
      <c r="AX112" s="407"/>
      <c r="AY112" s="408"/>
      <c r="AZ112" s="408"/>
      <c r="BA112" s="270"/>
      <c r="BB112" s="408"/>
      <c r="BC112" s="393"/>
      <c r="BD112" s="393"/>
      <c r="BE112" s="334"/>
      <c r="BF112" s="334"/>
      <c r="BG112" s="335"/>
      <c r="BH112" s="335"/>
      <c r="BI112" s="335"/>
      <c r="BJ112" s="335"/>
      <c r="BK112" s="336"/>
      <c r="BL112" s="336"/>
      <c r="BM112" s="336"/>
      <c r="BN112" s="336"/>
      <c r="BO112" s="337"/>
      <c r="BP112" s="337"/>
      <c r="BQ112" s="337"/>
      <c r="BR112" s="337"/>
      <c r="BS112" s="338"/>
      <c r="BT112" s="338"/>
      <c r="BU112" s="338"/>
      <c r="BV112" s="338"/>
      <c r="BW112" s="339"/>
      <c r="BX112" s="339"/>
      <c r="BY112" s="339"/>
      <c r="BZ112" s="339"/>
      <c r="CA112" s="340"/>
      <c r="CB112" s="340"/>
      <c r="CC112" s="340"/>
      <c r="CD112" s="340"/>
      <c r="CE112" s="341"/>
      <c r="CF112" s="341"/>
      <c r="CG112" s="341"/>
      <c r="CH112" s="341"/>
      <c r="CI112" s="342"/>
      <c r="CJ112" s="342"/>
      <c r="CK112" s="342"/>
      <c r="CL112" s="342"/>
      <c r="CM112" s="409"/>
      <c r="CN112" s="379"/>
      <c r="CO112" s="379"/>
      <c r="CP112" s="379"/>
      <c r="CQ112" s="343"/>
      <c r="CR112" s="343"/>
      <c r="CS112" s="343"/>
      <c r="CT112" s="343"/>
      <c r="CU112" s="344"/>
      <c r="CV112" s="344"/>
      <c r="CW112" s="344"/>
      <c r="CX112" s="344"/>
      <c r="CY112" s="345"/>
      <c r="CZ112" s="345"/>
      <c r="DA112" s="345"/>
      <c r="DB112" s="345"/>
      <c r="DC112" s="346"/>
      <c r="DD112" s="346"/>
      <c r="DE112" s="346"/>
      <c r="DF112" s="346"/>
      <c r="DG112" s="358"/>
      <c r="DH112" s="358"/>
      <c r="DI112" s="358"/>
      <c r="DJ112" s="348"/>
      <c r="DK112" s="348"/>
      <c r="DL112" s="348"/>
      <c r="DM112" s="324"/>
      <c r="DN112" s="317"/>
      <c r="DO112" s="406"/>
      <c r="DP112" s="282"/>
      <c r="DQ112" s="395"/>
      <c r="DR112" s="395"/>
      <c r="DS112" s="408"/>
      <c r="DT112" s="408"/>
      <c r="DU112" s="270"/>
      <c r="DV112" s="285"/>
      <c r="DW112" s="285"/>
      <c r="DX112" s="285"/>
      <c r="DY112" s="285"/>
      <c r="DZ112" s="285"/>
      <c r="EA112" s="285"/>
      <c r="EB112" s="285"/>
      <c r="EC112" s="285"/>
      <c r="ED112" s="285"/>
      <c r="EE112" s="285"/>
      <c r="EF112" s="285"/>
      <c r="EG112" s="285"/>
      <c r="EH112" s="285"/>
      <c r="EI112" s="285"/>
    </row>
    <row r="113">
      <c r="A113" s="402"/>
      <c r="B113" s="402"/>
      <c r="C113" s="263"/>
      <c r="D113" s="264"/>
      <c r="E113" s="307"/>
      <c r="F113" s="307"/>
      <c r="G113" s="264"/>
      <c r="H113" s="403"/>
      <c r="I113" s="403"/>
      <c r="J113" s="269"/>
      <c r="K113" s="269"/>
      <c r="L113" s="403"/>
      <c r="M113" s="269"/>
      <c r="N113" s="268"/>
      <c r="O113" s="403"/>
      <c r="P113" s="403"/>
      <c r="Q113" s="403"/>
      <c r="R113" s="403"/>
      <c r="S113" s="403"/>
      <c r="T113" s="269"/>
      <c r="U113" s="269"/>
      <c r="V113" s="269"/>
      <c r="W113" s="269"/>
      <c r="X113" s="269"/>
      <c r="Y113" s="269"/>
      <c r="Z113" s="269"/>
      <c r="AA113" s="269"/>
      <c r="AB113" s="269"/>
      <c r="AC113" s="269"/>
      <c r="AD113" s="403"/>
      <c r="AE113" s="268"/>
      <c r="AF113" s="268"/>
      <c r="AG113" s="268"/>
      <c r="AH113" s="404"/>
      <c r="AI113" s="269"/>
      <c r="AJ113" s="269"/>
      <c r="AK113" s="405"/>
      <c r="AL113" s="406"/>
      <c r="AM113" s="270"/>
      <c r="AN113" s="272"/>
      <c r="AO113" s="272"/>
      <c r="AP113" s="271"/>
      <c r="AQ113" s="272"/>
      <c r="AR113" s="282"/>
      <c r="AS113" s="406"/>
      <c r="AT113" s="272"/>
      <c r="AU113" s="272"/>
      <c r="AV113" s="270"/>
      <c r="AW113" s="270"/>
      <c r="AX113" s="407"/>
      <c r="AY113" s="408"/>
      <c r="AZ113" s="408"/>
      <c r="BA113" s="270"/>
      <c r="BB113" s="408"/>
      <c r="BC113" s="393"/>
      <c r="BD113" s="393"/>
      <c r="BE113" s="334"/>
      <c r="BF113" s="334"/>
      <c r="BG113" s="335"/>
      <c r="BH113" s="335"/>
      <c r="BI113" s="335"/>
      <c r="BJ113" s="335"/>
      <c r="BK113" s="336"/>
      <c r="BL113" s="336"/>
      <c r="BM113" s="336"/>
      <c r="BN113" s="336"/>
      <c r="BO113" s="337"/>
      <c r="BP113" s="337"/>
      <c r="BQ113" s="337"/>
      <c r="BR113" s="337"/>
      <c r="BS113" s="338"/>
      <c r="BT113" s="338"/>
      <c r="BU113" s="338"/>
      <c r="BV113" s="338"/>
      <c r="BW113" s="339"/>
      <c r="BX113" s="339"/>
      <c r="BY113" s="339"/>
      <c r="BZ113" s="339"/>
      <c r="CA113" s="340"/>
      <c r="CB113" s="340"/>
      <c r="CC113" s="340"/>
      <c r="CD113" s="340"/>
      <c r="CE113" s="341"/>
      <c r="CF113" s="341"/>
      <c r="CG113" s="341"/>
      <c r="CH113" s="341"/>
      <c r="CI113" s="342"/>
      <c r="CJ113" s="342"/>
      <c r="CK113" s="342"/>
      <c r="CL113" s="342"/>
      <c r="CM113" s="409"/>
      <c r="CN113" s="379"/>
      <c r="CO113" s="379"/>
      <c r="CP113" s="379"/>
      <c r="CQ113" s="343"/>
      <c r="CR113" s="343"/>
      <c r="CS113" s="343"/>
      <c r="CT113" s="343"/>
      <c r="CU113" s="344"/>
      <c r="CV113" s="344"/>
      <c r="CW113" s="344"/>
      <c r="CX113" s="344"/>
      <c r="CY113" s="345"/>
      <c r="CZ113" s="345"/>
      <c r="DA113" s="345"/>
      <c r="DB113" s="345"/>
      <c r="DC113" s="346"/>
      <c r="DD113" s="346"/>
      <c r="DE113" s="346"/>
      <c r="DF113" s="346"/>
      <c r="DG113" s="358"/>
      <c r="DH113" s="358"/>
      <c r="DI113" s="358"/>
      <c r="DJ113" s="348"/>
      <c r="DK113" s="348"/>
      <c r="DL113" s="348"/>
      <c r="DM113" s="324"/>
      <c r="DN113" s="317"/>
      <c r="DO113" s="406"/>
      <c r="DP113" s="282"/>
      <c r="DQ113" s="395"/>
      <c r="DR113" s="395"/>
      <c r="DS113" s="408"/>
      <c r="DT113" s="408"/>
      <c r="DU113" s="270"/>
      <c r="DV113" s="285"/>
      <c r="DW113" s="285"/>
      <c r="DX113" s="285"/>
      <c r="DY113" s="285"/>
      <c r="DZ113" s="285"/>
      <c r="EA113" s="285"/>
      <c r="EB113" s="285"/>
      <c r="EC113" s="285"/>
      <c r="ED113" s="285"/>
      <c r="EE113" s="285"/>
      <c r="EF113" s="285"/>
      <c r="EG113" s="285"/>
      <c r="EH113" s="285"/>
      <c r="EI113" s="285"/>
    </row>
    <row r="114">
      <c r="A114" s="402"/>
      <c r="B114" s="402"/>
      <c r="C114" s="263"/>
      <c r="D114" s="264"/>
      <c r="E114" s="307"/>
      <c r="F114" s="307"/>
      <c r="G114" s="264"/>
      <c r="H114" s="403"/>
      <c r="I114" s="403"/>
      <c r="J114" s="269"/>
      <c r="K114" s="269"/>
      <c r="L114" s="403"/>
      <c r="M114" s="269"/>
      <c r="N114" s="268"/>
      <c r="O114" s="403"/>
      <c r="P114" s="403"/>
      <c r="Q114" s="403"/>
      <c r="R114" s="403"/>
      <c r="S114" s="403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403"/>
      <c r="AE114" s="268"/>
      <c r="AF114" s="268"/>
      <c r="AG114" s="268"/>
      <c r="AH114" s="404"/>
      <c r="AI114" s="269"/>
      <c r="AJ114" s="269"/>
      <c r="AK114" s="405"/>
      <c r="AL114" s="406"/>
      <c r="AM114" s="270"/>
      <c r="AN114" s="272"/>
      <c r="AO114" s="272"/>
      <c r="AP114" s="271"/>
      <c r="AQ114" s="272"/>
      <c r="AR114" s="282"/>
      <c r="AS114" s="406"/>
      <c r="AT114" s="272"/>
      <c r="AU114" s="272"/>
      <c r="AV114" s="270"/>
      <c r="AW114" s="270"/>
      <c r="AX114" s="407"/>
      <c r="AY114" s="408"/>
      <c r="AZ114" s="408"/>
      <c r="BA114" s="270"/>
      <c r="BB114" s="408"/>
      <c r="BC114" s="393"/>
      <c r="BD114" s="393"/>
      <c r="BE114" s="334"/>
      <c r="BF114" s="334"/>
      <c r="BG114" s="335"/>
      <c r="BH114" s="335"/>
      <c r="BI114" s="335"/>
      <c r="BJ114" s="335"/>
      <c r="BK114" s="336"/>
      <c r="BL114" s="336"/>
      <c r="BM114" s="336"/>
      <c r="BN114" s="336"/>
      <c r="BO114" s="337"/>
      <c r="BP114" s="337"/>
      <c r="BQ114" s="337"/>
      <c r="BR114" s="337"/>
      <c r="BS114" s="338"/>
      <c r="BT114" s="338"/>
      <c r="BU114" s="338"/>
      <c r="BV114" s="338"/>
      <c r="BW114" s="339"/>
      <c r="BX114" s="339"/>
      <c r="BY114" s="339"/>
      <c r="BZ114" s="339"/>
      <c r="CA114" s="340"/>
      <c r="CB114" s="340"/>
      <c r="CC114" s="340"/>
      <c r="CD114" s="340"/>
      <c r="CE114" s="341"/>
      <c r="CF114" s="341"/>
      <c r="CG114" s="341"/>
      <c r="CH114" s="341"/>
      <c r="CI114" s="342"/>
      <c r="CJ114" s="342"/>
      <c r="CK114" s="342"/>
      <c r="CL114" s="342"/>
      <c r="CM114" s="409"/>
      <c r="CN114" s="379"/>
      <c r="CO114" s="379"/>
      <c r="CP114" s="379"/>
      <c r="CQ114" s="343"/>
      <c r="CR114" s="343"/>
      <c r="CS114" s="343"/>
      <c r="CT114" s="343"/>
      <c r="CU114" s="344"/>
      <c r="CV114" s="344"/>
      <c r="CW114" s="344"/>
      <c r="CX114" s="344"/>
      <c r="CY114" s="345"/>
      <c r="CZ114" s="345"/>
      <c r="DA114" s="345"/>
      <c r="DB114" s="345"/>
      <c r="DC114" s="346"/>
      <c r="DD114" s="346"/>
      <c r="DE114" s="346"/>
      <c r="DF114" s="346"/>
      <c r="DG114" s="358"/>
      <c r="DH114" s="358"/>
      <c r="DI114" s="358"/>
      <c r="DJ114" s="348"/>
      <c r="DK114" s="348"/>
      <c r="DL114" s="348"/>
      <c r="DM114" s="324"/>
      <c r="DN114" s="317"/>
      <c r="DO114" s="406"/>
      <c r="DP114" s="282"/>
      <c r="DQ114" s="395"/>
      <c r="DR114" s="395"/>
      <c r="DS114" s="408"/>
      <c r="DT114" s="408"/>
      <c r="DU114" s="270"/>
      <c r="DV114" s="285"/>
      <c r="DW114" s="285"/>
      <c r="DX114" s="285"/>
      <c r="DY114" s="285"/>
      <c r="DZ114" s="285"/>
      <c r="EA114" s="285"/>
      <c r="EB114" s="285"/>
      <c r="EC114" s="285"/>
      <c r="ED114" s="285"/>
      <c r="EE114" s="285"/>
      <c r="EF114" s="285"/>
      <c r="EG114" s="285"/>
      <c r="EH114" s="285"/>
      <c r="EI114" s="285"/>
    </row>
    <row r="115">
      <c r="A115" s="402"/>
      <c r="B115" s="402"/>
      <c r="C115" s="263"/>
      <c r="D115" s="264"/>
      <c r="E115" s="307"/>
      <c r="F115" s="307"/>
      <c r="G115" s="264"/>
      <c r="H115" s="403"/>
      <c r="I115" s="403"/>
      <c r="J115" s="269"/>
      <c r="K115" s="269"/>
      <c r="L115" s="403"/>
      <c r="M115" s="269"/>
      <c r="N115" s="268"/>
      <c r="O115" s="403"/>
      <c r="P115" s="403"/>
      <c r="Q115" s="403"/>
      <c r="R115" s="403"/>
      <c r="S115" s="403"/>
      <c r="T115" s="269"/>
      <c r="U115" s="269"/>
      <c r="V115" s="269"/>
      <c r="W115" s="269"/>
      <c r="X115" s="269"/>
      <c r="Y115" s="269"/>
      <c r="Z115" s="269"/>
      <c r="AA115" s="269"/>
      <c r="AB115" s="269"/>
      <c r="AC115" s="269"/>
      <c r="AD115" s="403"/>
      <c r="AE115" s="268"/>
      <c r="AF115" s="268"/>
      <c r="AG115" s="268"/>
      <c r="AH115" s="404"/>
      <c r="AI115" s="269"/>
      <c r="AJ115" s="269"/>
      <c r="AK115" s="405"/>
      <c r="AL115" s="406"/>
      <c r="AM115" s="270"/>
      <c r="AN115" s="272"/>
      <c r="AO115" s="272"/>
      <c r="AP115" s="271"/>
      <c r="AQ115" s="272"/>
      <c r="AR115" s="282"/>
      <c r="AS115" s="406"/>
      <c r="AT115" s="272"/>
      <c r="AU115" s="272"/>
      <c r="AV115" s="270"/>
      <c r="AW115" s="270"/>
      <c r="AX115" s="407"/>
      <c r="AY115" s="408"/>
      <c r="AZ115" s="408"/>
      <c r="BA115" s="270"/>
      <c r="BB115" s="408"/>
      <c r="BC115" s="393"/>
      <c r="BD115" s="393"/>
      <c r="BE115" s="334"/>
      <c r="BF115" s="334"/>
      <c r="BG115" s="335"/>
      <c r="BH115" s="335"/>
      <c r="BI115" s="335"/>
      <c r="BJ115" s="335"/>
      <c r="BK115" s="336"/>
      <c r="BL115" s="336"/>
      <c r="BM115" s="336"/>
      <c r="BN115" s="336"/>
      <c r="BO115" s="337"/>
      <c r="BP115" s="337"/>
      <c r="BQ115" s="337"/>
      <c r="BR115" s="337"/>
      <c r="BS115" s="338"/>
      <c r="BT115" s="338"/>
      <c r="BU115" s="338"/>
      <c r="BV115" s="338"/>
      <c r="BW115" s="339"/>
      <c r="BX115" s="339"/>
      <c r="BY115" s="339"/>
      <c r="BZ115" s="339"/>
      <c r="CA115" s="340"/>
      <c r="CB115" s="340"/>
      <c r="CC115" s="340"/>
      <c r="CD115" s="340"/>
      <c r="CE115" s="341"/>
      <c r="CF115" s="341"/>
      <c r="CG115" s="341"/>
      <c r="CH115" s="341"/>
      <c r="CI115" s="342"/>
      <c r="CJ115" s="342"/>
      <c r="CK115" s="342"/>
      <c r="CL115" s="342"/>
      <c r="CM115" s="409"/>
      <c r="CN115" s="379"/>
      <c r="CO115" s="379"/>
      <c r="CP115" s="379"/>
      <c r="CQ115" s="343"/>
      <c r="CR115" s="343"/>
      <c r="CS115" s="343"/>
      <c r="CT115" s="343"/>
      <c r="CU115" s="344"/>
      <c r="CV115" s="344"/>
      <c r="CW115" s="344"/>
      <c r="CX115" s="344"/>
      <c r="CY115" s="345"/>
      <c r="CZ115" s="345"/>
      <c r="DA115" s="345"/>
      <c r="DB115" s="345"/>
      <c r="DC115" s="346"/>
      <c r="DD115" s="346"/>
      <c r="DE115" s="346"/>
      <c r="DF115" s="346"/>
      <c r="DG115" s="358"/>
      <c r="DH115" s="358"/>
      <c r="DI115" s="358"/>
      <c r="DJ115" s="348"/>
      <c r="DK115" s="348"/>
      <c r="DL115" s="348"/>
      <c r="DM115" s="324"/>
      <c r="DN115" s="317"/>
      <c r="DO115" s="406"/>
      <c r="DP115" s="282"/>
      <c r="DQ115" s="395"/>
      <c r="DR115" s="395"/>
      <c r="DS115" s="408"/>
      <c r="DT115" s="408"/>
      <c r="DU115" s="270"/>
      <c r="DV115" s="285"/>
      <c r="DW115" s="285"/>
      <c r="DX115" s="285"/>
      <c r="DY115" s="285"/>
      <c r="DZ115" s="285"/>
      <c r="EA115" s="285"/>
      <c r="EB115" s="285"/>
      <c r="EC115" s="285"/>
      <c r="ED115" s="285"/>
      <c r="EE115" s="285"/>
      <c r="EF115" s="285"/>
      <c r="EG115" s="285"/>
      <c r="EH115" s="285"/>
      <c r="EI115" s="285"/>
    </row>
    <row r="116">
      <c r="A116" s="402"/>
      <c r="B116" s="402"/>
      <c r="C116" s="263"/>
      <c r="D116" s="264"/>
      <c r="E116" s="307"/>
      <c r="F116" s="307"/>
      <c r="G116" s="264"/>
      <c r="H116" s="403"/>
      <c r="I116" s="403"/>
      <c r="J116" s="269"/>
      <c r="K116" s="269"/>
      <c r="L116" s="403"/>
      <c r="M116" s="269"/>
      <c r="N116" s="268"/>
      <c r="O116" s="403"/>
      <c r="P116" s="403"/>
      <c r="Q116" s="403"/>
      <c r="R116" s="403"/>
      <c r="S116" s="403"/>
      <c r="T116" s="269"/>
      <c r="U116" s="269"/>
      <c r="V116" s="269"/>
      <c r="W116" s="269"/>
      <c r="X116" s="269"/>
      <c r="Y116" s="269"/>
      <c r="Z116" s="269"/>
      <c r="AA116" s="269"/>
      <c r="AB116" s="269"/>
      <c r="AC116" s="269"/>
      <c r="AD116" s="403"/>
      <c r="AE116" s="268"/>
      <c r="AF116" s="268"/>
      <c r="AG116" s="268"/>
      <c r="AH116" s="404"/>
      <c r="AI116" s="269"/>
      <c r="AJ116" s="269"/>
      <c r="AK116" s="405"/>
      <c r="AL116" s="406"/>
      <c r="AM116" s="270"/>
      <c r="AN116" s="272"/>
      <c r="AO116" s="272"/>
      <c r="AP116" s="271"/>
      <c r="AQ116" s="272"/>
      <c r="AR116" s="282"/>
      <c r="AS116" s="406"/>
      <c r="AT116" s="272"/>
      <c r="AU116" s="272"/>
      <c r="AV116" s="270"/>
      <c r="AW116" s="270"/>
      <c r="AX116" s="407"/>
      <c r="AY116" s="408"/>
      <c r="AZ116" s="408"/>
      <c r="BA116" s="270"/>
      <c r="BB116" s="408"/>
      <c r="BC116" s="393"/>
      <c r="BD116" s="393"/>
      <c r="BE116" s="334"/>
      <c r="BF116" s="334"/>
      <c r="BG116" s="335"/>
      <c r="BH116" s="335"/>
      <c r="BI116" s="335"/>
      <c r="BJ116" s="335"/>
      <c r="BK116" s="336"/>
      <c r="BL116" s="336"/>
      <c r="BM116" s="336"/>
      <c r="BN116" s="336"/>
      <c r="BO116" s="337"/>
      <c r="BP116" s="337"/>
      <c r="BQ116" s="337"/>
      <c r="BR116" s="337"/>
      <c r="BS116" s="338"/>
      <c r="BT116" s="338"/>
      <c r="BU116" s="338"/>
      <c r="BV116" s="338"/>
      <c r="BW116" s="339"/>
      <c r="BX116" s="339"/>
      <c r="BY116" s="339"/>
      <c r="BZ116" s="339"/>
      <c r="CA116" s="340"/>
      <c r="CB116" s="340"/>
      <c r="CC116" s="340"/>
      <c r="CD116" s="340"/>
      <c r="CE116" s="341"/>
      <c r="CF116" s="341"/>
      <c r="CG116" s="341"/>
      <c r="CH116" s="341"/>
      <c r="CI116" s="342"/>
      <c r="CJ116" s="342"/>
      <c r="CK116" s="342"/>
      <c r="CL116" s="342"/>
      <c r="CM116" s="409"/>
      <c r="CN116" s="379"/>
      <c r="CO116" s="379"/>
      <c r="CP116" s="379"/>
      <c r="CQ116" s="343"/>
      <c r="CR116" s="343"/>
      <c r="CS116" s="343"/>
      <c r="CT116" s="343"/>
      <c r="CU116" s="344"/>
      <c r="CV116" s="344"/>
      <c r="CW116" s="344"/>
      <c r="CX116" s="344"/>
      <c r="CY116" s="345"/>
      <c r="CZ116" s="345"/>
      <c r="DA116" s="345"/>
      <c r="DB116" s="345"/>
      <c r="DC116" s="346"/>
      <c r="DD116" s="346"/>
      <c r="DE116" s="346"/>
      <c r="DF116" s="346"/>
      <c r="DG116" s="358"/>
      <c r="DH116" s="358"/>
      <c r="DI116" s="358"/>
      <c r="DJ116" s="348"/>
      <c r="DK116" s="348"/>
      <c r="DL116" s="348"/>
      <c r="DM116" s="324"/>
      <c r="DN116" s="317"/>
      <c r="DO116" s="406"/>
      <c r="DP116" s="282"/>
      <c r="DQ116" s="395"/>
      <c r="DR116" s="395"/>
      <c r="DS116" s="408"/>
      <c r="DT116" s="408"/>
      <c r="DU116" s="270"/>
      <c r="DV116" s="285"/>
      <c r="DW116" s="285"/>
      <c r="DX116" s="285"/>
      <c r="DY116" s="285"/>
      <c r="DZ116" s="285"/>
      <c r="EA116" s="285"/>
      <c r="EB116" s="285"/>
      <c r="EC116" s="285"/>
      <c r="ED116" s="285"/>
      <c r="EE116" s="285"/>
      <c r="EF116" s="285"/>
      <c r="EG116" s="285"/>
      <c r="EH116" s="285"/>
      <c r="EI116" s="285"/>
    </row>
    <row r="117">
      <c r="A117" s="402"/>
      <c r="B117" s="402"/>
      <c r="C117" s="263"/>
      <c r="D117" s="264"/>
      <c r="E117" s="307"/>
      <c r="F117" s="307"/>
      <c r="G117" s="264"/>
      <c r="H117" s="403"/>
      <c r="I117" s="403"/>
      <c r="J117" s="269"/>
      <c r="K117" s="269"/>
      <c r="L117" s="403"/>
      <c r="M117" s="269"/>
      <c r="N117" s="268"/>
      <c r="O117" s="403"/>
      <c r="P117" s="403"/>
      <c r="Q117" s="403"/>
      <c r="R117" s="403"/>
      <c r="S117" s="403"/>
      <c r="T117" s="269"/>
      <c r="U117" s="269"/>
      <c r="V117" s="269"/>
      <c r="W117" s="269"/>
      <c r="X117" s="269"/>
      <c r="Y117" s="269"/>
      <c r="Z117" s="269"/>
      <c r="AA117" s="269"/>
      <c r="AB117" s="269"/>
      <c r="AC117" s="269"/>
      <c r="AD117" s="403"/>
      <c r="AE117" s="268"/>
      <c r="AF117" s="268"/>
      <c r="AG117" s="268"/>
      <c r="AH117" s="404"/>
      <c r="AI117" s="269"/>
      <c r="AJ117" s="269"/>
      <c r="AK117" s="405"/>
      <c r="AL117" s="406"/>
      <c r="AM117" s="270"/>
      <c r="AN117" s="272"/>
      <c r="AO117" s="272"/>
      <c r="AP117" s="271"/>
      <c r="AQ117" s="272"/>
      <c r="AR117" s="282"/>
      <c r="AS117" s="406"/>
      <c r="AT117" s="272"/>
      <c r="AU117" s="272"/>
      <c r="AV117" s="270"/>
      <c r="AW117" s="270"/>
      <c r="AX117" s="407"/>
      <c r="AY117" s="408"/>
      <c r="AZ117" s="408"/>
      <c r="BA117" s="270"/>
      <c r="BB117" s="408"/>
      <c r="BC117" s="393"/>
      <c r="BD117" s="393"/>
      <c r="BE117" s="334"/>
      <c r="BF117" s="334"/>
      <c r="BG117" s="335"/>
      <c r="BH117" s="335"/>
      <c r="BI117" s="335"/>
      <c r="BJ117" s="335"/>
      <c r="BK117" s="336"/>
      <c r="BL117" s="336"/>
      <c r="BM117" s="336"/>
      <c r="BN117" s="336"/>
      <c r="BO117" s="337"/>
      <c r="BP117" s="337"/>
      <c r="BQ117" s="337"/>
      <c r="BR117" s="337"/>
      <c r="BS117" s="338"/>
      <c r="BT117" s="338"/>
      <c r="BU117" s="338"/>
      <c r="BV117" s="338"/>
      <c r="BW117" s="339"/>
      <c r="BX117" s="339"/>
      <c r="BY117" s="339"/>
      <c r="BZ117" s="339"/>
      <c r="CA117" s="340"/>
      <c r="CB117" s="340"/>
      <c r="CC117" s="340"/>
      <c r="CD117" s="340"/>
      <c r="CE117" s="341"/>
      <c r="CF117" s="341"/>
      <c r="CG117" s="341"/>
      <c r="CH117" s="341"/>
      <c r="CI117" s="342"/>
      <c r="CJ117" s="342"/>
      <c r="CK117" s="342"/>
      <c r="CL117" s="342"/>
      <c r="CM117" s="409"/>
      <c r="CN117" s="379"/>
      <c r="CO117" s="379"/>
      <c r="CP117" s="379"/>
      <c r="CQ117" s="343"/>
      <c r="CR117" s="343"/>
      <c r="CS117" s="343"/>
      <c r="CT117" s="343"/>
      <c r="CU117" s="344"/>
      <c r="CV117" s="344"/>
      <c r="CW117" s="344"/>
      <c r="CX117" s="344"/>
      <c r="CY117" s="345"/>
      <c r="CZ117" s="345"/>
      <c r="DA117" s="345"/>
      <c r="DB117" s="345"/>
      <c r="DC117" s="346"/>
      <c r="DD117" s="346"/>
      <c r="DE117" s="346"/>
      <c r="DF117" s="346"/>
      <c r="DG117" s="358"/>
      <c r="DH117" s="358"/>
      <c r="DI117" s="358"/>
      <c r="DJ117" s="348"/>
      <c r="DK117" s="348"/>
      <c r="DL117" s="348"/>
      <c r="DM117" s="324"/>
      <c r="DN117" s="317"/>
      <c r="DO117" s="406"/>
      <c r="DP117" s="282"/>
      <c r="DQ117" s="395"/>
      <c r="DR117" s="395"/>
      <c r="DS117" s="408"/>
      <c r="DT117" s="408"/>
      <c r="DU117" s="270"/>
      <c r="DV117" s="285"/>
      <c r="DW117" s="285"/>
      <c r="DX117" s="285"/>
      <c r="DY117" s="285"/>
      <c r="DZ117" s="285"/>
      <c r="EA117" s="285"/>
      <c r="EB117" s="285"/>
      <c r="EC117" s="285"/>
      <c r="ED117" s="285"/>
      <c r="EE117" s="285"/>
      <c r="EF117" s="285"/>
      <c r="EG117" s="285"/>
      <c r="EH117" s="285"/>
      <c r="EI117" s="285"/>
    </row>
    <row r="118">
      <c r="A118" s="402"/>
      <c r="B118" s="402"/>
      <c r="C118" s="263"/>
      <c r="D118" s="264"/>
      <c r="E118" s="307"/>
      <c r="F118" s="307"/>
      <c r="G118" s="264"/>
      <c r="H118" s="403"/>
      <c r="I118" s="403"/>
      <c r="J118" s="269"/>
      <c r="K118" s="269"/>
      <c r="L118" s="403"/>
      <c r="M118" s="269"/>
      <c r="N118" s="268"/>
      <c r="O118" s="403"/>
      <c r="P118" s="403"/>
      <c r="Q118" s="403"/>
      <c r="R118" s="403"/>
      <c r="S118" s="403"/>
      <c r="T118" s="269"/>
      <c r="U118" s="269"/>
      <c r="V118" s="269"/>
      <c r="W118" s="269"/>
      <c r="X118" s="269"/>
      <c r="Y118" s="269"/>
      <c r="Z118" s="269"/>
      <c r="AA118" s="269"/>
      <c r="AB118" s="269"/>
      <c r="AC118" s="269"/>
      <c r="AD118" s="403"/>
      <c r="AE118" s="268"/>
      <c r="AF118" s="268"/>
      <c r="AG118" s="268"/>
      <c r="AH118" s="404"/>
      <c r="AI118" s="269"/>
      <c r="AJ118" s="269"/>
      <c r="AK118" s="405"/>
      <c r="AL118" s="406"/>
      <c r="AM118" s="270"/>
      <c r="AN118" s="272"/>
      <c r="AO118" s="272"/>
      <c r="AP118" s="271"/>
      <c r="AQ118" s="272"/>
      <c r="AR118" s="282"/>
      <c r="AS118" s="406"/>
      <c r="AT118" s="272"/>
      <c r="AU118" s="272"/>
      <c r="AV118" s="270"/>
      <c r="AW118" s="270"/>
      <c r="AX118" s="407"/>
      <c r="AY118" s="408"/>
      <c r="AZ118" s="408"/>
      <c r="BA118" s="270"/>
      <c r="BB118" s="408"/>
      <c r="BC118" s="393"/>
      <c r="BD118" s="393"/>
      <c r="BE118" s="334"/>
      <c r="BF118" s="334"/>
      <c r="BG118" s="335"/>
      <c r="BH118" s="335"/>
      <c r="BI118" s="335"/>
      <c r="BJ118" s="335"/>
      <c r="BK118" s="336"/>
      <c r="BL118" s="336"/>
      <c r="BM118" s="336"/>
      <c r="BN118" s="336"/>
      <c r="BO118" s="337"/>
      <c r="BP118" s="337"/>
      <c r="BQ118" s="337"/>
      <c r="BR118" s="337"/>
      <c r="BS118" s="338"/>
      <c r="BT118" s="338"/>
      <c r="BU118" s="338"/>
      <c r="BV118" s="338"/>
      <c r="BW118" s="339"/>
      <c r="BX118" s="339"/>
      <c r="BY118" s="339"/>
      <c r="BZ118" s="339"/>
      <c r="CA118" s="340"/>
      <c r="CB118" s="340"/>
      <c r="CC118" s="340"/>
      <c r="CD118" s="340"/>
      <c r="CE118" s="341"/>
      <c r="CF118" s="341"/>
      <c r="CG118" s="341"/>
      <c r="CH118" s="341"/>
      <c r="CI118" s="342"/>
      <c r="CJ118" s="342"/>
      <c r="CK118" s="342"/>
      <c r="CL118" s="342"/>
      <c r="CM118" s="409"/>
      <c r="CN118" s="379"/>
      <c r="CO118" s="379"/>
      <c r="CP118" s="379"/>
      <c r="CQ118" s="343"/>
      <c r="CR118" s="343"/>
      <c r="CS118" s="343"/>
      <c r="CT118" s="343"/>
      <c r="CU118" s="344"/>
      <c r="CV118" s="344"/>
      <c r="CW118" s="344"/>
      <c r="CX118" s="344"/>
      <c r="CY118" s="345"/>
      <c r="CZ118" s="345"/>
      <c r="DA118" s="345"/>
      <c r="DB118" s="345"/>
      <c r="DC118" s="346"/>
      <c r="DD118" s="346"/>
      <c r="DE118" s="346"/>
      <c r="DF118" s="346"/>
      <c r="DG118" s="358"/>
      <c r="DH118" s="358"/>
      <c r="DI118" s="358"/>
      <c r="DJ118" s="348"/>
      <c r="DK118" s="348"/>
      <c r="DL118" s="348"/>
      <c r="DM118" s="324"/>
      <c r="DN118" s="317"/>
      <c r="DO118" s="406"/>
      <c r="DP118" s="282"/>
      <c r="DQ118" s="395"/>
      <c r="DR118" s="395"/>
      <c r="DS118" s="408"/>
      <c r="DT118" s="408"/>
      <c r="DU118" s="270"/>
      <c r="DV118" s="285"/>
      <c r="DW118" s="285"/>
      <c r="DX118" s="285"/>
      <c r="DY118" s="285"/>
      <c r="DZ118" s="285"/>
      <c r="EA118" s="285"/>
      <c r="EB118" s="285"/>
      <c r="EC118" s="285"/>
      <c r="ED118" s="285"/>
      <c r="EE118" s="285"/>
      <c r="EF118" s="285"/>
      <c r="EG118" s="285"/>
      <c r="EH118" s="285"/>
      <c r="EI118" s="285"/>
    </row>
    <row r="119">
      <c r="A119" s="402"/>
      <c r="B119" s="402"/>
      <c r="C119" s="263"/>
      <c r="D119" s="264"/>
      <c r="E119" s="307"/>
      <c r="F119" s="307"/>
      <c r="G119" s="264"/>
      <c r="H119" s="403"/>
      <c r="I119" s="403"/>
      <c r="J119" s="269"/>
      <c r="K119" s="269"/>
      <c r="L119" s="403"/>
      <c r="M119" s="269"/>
      <c r="N119" s="268"/>
      <c r="O119" s="403"/>
      <c r="P119" s="403"/>
      <c r="Q119" s="403"/>
      <c r="R119" s="403"/>
      <c r="S119" s="403"/>
      <c r="T119" s="269"/>
      <c r="U119" s="269"/>
      <c r="V119" s="269"/>
      <c r="W119" s="269"/>
      <c r="X119" s="269"/>
      <c r="Y119" s="269"/>
      <c r="Z119" s="269"/>
      <c r="AA119" s="269"/>
      <c r="AB119" s="269"/>
      <c r="AC119" s="269"/>
      <c r="AD119" s="403"/>
      <c r="AE119" s="268"/>
      <c r="AF119" s="268"/>
      <c r="AG119" s="268"/>
      <c r="AH119" s="404"/>
      <c r="AI119" s="269"/>
      <c r="AJ119" s="269"/>
      <c r="AK119" s="405"/>
      <c r="AL119" s="406"/>
      <c r="AM119" s="270"/>
      <c r="AN119" s="272"/>
      <c r="AO119" s="272"/>
      <c r="AP119" s="271"/>
      <c r="AQ119" s="272"/>
      <c r="AR119" s="282"/>
      <c r="AS119" s="406"/>
      <c r="AT119" s="272"/>
      <c r="AU119" s="272"/>
      <c r="AV119" s="270"/>
      <c r="AW119" s="270"/>
      <c r="AX119" s="407"/>
      <c r="AY119" s="408"/>
      <c r="AZ119" s="408"/>
      <c r="BA119" s="270"/>
      <c r="BB119" s="408"/>
      <c r="BC119" s="393"/>
      <c r="BD119" s="393"/>
      <c r="BE119" s="334"/>
      <c r="BF119" s="334"/>
      <c r="BG119" s="335"/>
      <c r="BH119" s="335"/>
      <c r="BI119" s="335"/>
      <c r="BJ119" s="335"/>
      <c r="BK119" s="336"/>
      <c r="BL119" s="336"/>
      <c r="BM119" s="336"/>
      <c r="BN119" s="336"/>
      <c r="BO119" s="337"/>
      <c r="BP119" s="337"/>
      <c r="BQ119" s="337"/>
      <c r="BR119" s="337"/>
      <c r="BS119" s="338"/>
      <c r="BT119" s="338"/>
      <c r="BU119" s="338"/>
      <c r="BV119" s="338"/>
      <c r="BW119" s="339"/>
      <c r="BX119" s="339"/>
      <c r="BY119" s="339"/>
      <c r="BZ119" s="339"/>
      <c r="CA119" s="340"/>
      <c r="CB119" s="340"/>
      <c r="CC119" s="340"/>
      <c r="CD119" s="340"/>
      <c r="CE119" s="341"/>
      <c r="CF119" s="341"/>
      <c r="CG119" s="341"/>
      <c r="CH119" s="341"/>
      <c r="CI119" s="342"/>
      <c r="CJ119" s="342"/>
      <c r="CK119" s="342"/>
      <c r="CL119" s="342"/>
      <c r="CM119" s="409"/>
      <c r="CN119" s="379"/>
      <c r="CO119" s="379"/>
      <c r="CP119" s="379"/>
      <c r="CQ119" s="343"/>
      <c r="CR119" s="343"/>
      <c r="CS119" s="343"/>
      <c r="CT119" s="343"/>
      <c r="CU119" s="344"/>
      <c r="CV119" s="344"/>
      <c r="CW119" s="344"/>
      <c r="CX119" s="344"/>
      <c r="CY119" s="345"/>
      <c r="CZ119" s="345"/>
      <c r="DA119" s="345"/>
      <c r="DB119" s="345"/>
      <c r="DC119" s="346"/>
      <c r="DD119" s="346"/>
      <c r="DE119" s="346"/>
      <c r="DF119" s="346"/>
      <c r="DG119" s="358"/>
      <c r="DH119" s="358"/>
      <c r="DI119" s="358"/>
      <c r="DJ119" s="348"/>
      <c r="DK119" s="348"/>
      <c r="DL119" s="348"/>
      <c r="DM119" s="324"/>
      <c r="DN119" s="317"/>
      <c r="DO119" s="406"/>
      <c r="DP119" s="282"/>
      <c r="DQ119" s="395"/>
      <c r="DR119" s="395"/>
      <c r="DS119" s="408"/>
      <c r="DT119" s="408"/>
      <c r="DU119" s="270"/>
      <c r="DV119" s="285"/>
      <c r="DW119" s="285"/>
      <c r="DX119" s="285"/>
      <c r="DY119" s="285"/>
      <c r="DZ119" s="285"/>
      <c r="EA119" s="285"/>
      <c r="EB119" s="285"/>
      <c r="EC119" s="285"/>
      <c r="ED119" s="285"/>
      <c r="EE119" s="285"/>
      <c r="EF119" s="285"/>
      <c r="EG119" s="285"/>
      <c r="EH119" s="285"/>
      <c r="EI119" s="285"/>
    </row>
    <row r="120">
      <c r="A120" s="402"/>
      <c r="B120" s="402"/>
      <c r="C120" s="263"/>
      <c r="D120" s="264"/>
      <c r="E120" s="307"/>
      <c r="F120" s="307"/>
      <c r="G120" s="264"/>
      <c r="H120" s="403"/>
      <c r="I120" s="403"/>
      <c r="J120" s="269"/>
      <c r="K120" s="269"/>
      <c r="L120" s="403"/>
      <c r="M120" s="269"/>
      <c r="N120" s="268"/>
      <c r="O120" s="403"/>
      <c r="P120" s="403"/>
      <c r="Q120" s="403"/>
      <c r="R120" s="403"/>
      <c r="S120" s="403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403"/>
      <c r="AE120" s="268"/>
      <c r="AF120" s="268"/>
      <c r="AG120" s="268"/>
      <c r="AH120" s="404"/>
      <c r="AI120" s="269"/>
      <c r="AJ120" s="269"/>
      <c r="AK120" s="405"/>
      <c r="AL120" s="406"/>
      <c r="AM120" s="270"/>
      <c r="AN120" s="272"/>
      <c r="AO120" s="272"/>
      <c r="AP120" s="271"/>
      <c r="AQ120" s="272"/>
      <c r="AR120" s="282"/>
      <c r="AS120" s="406"/>
      <c r="AT120" s="272"/>
      <c r="AU120" s="272"/>
      <c r="AV120" s="270"/>
      <c r="AW120" s="270"/>
      <c r="AX120" s="407"/>
      <c r="AY120" s="408"/>
      <c r="AZ120" s="408"/>
      <c r="BA120" s="270"/>
      <c r="BB120" s="408"/>
      <c r="BC120" s="393"/>
      <c r="BD120" s="393"/>
      <c r="BE120" s="334"/>
      <c r="BF120" s="334"/>
      <c r="BG120" s="335"/>
      <c r="BH120" s="335"/>
      <c r="BI120" s="335"/>
      <c r="BJ120" s="335"/>
      <c r="BK120" s="336"/>
      <c r="BL120" s="336"/>
      <c r="BM120" s="336"/>
      <c r="BN120" s="336"/>
      <c r="BO120" s="337"/>
      <c r="BP120" s="337"/>
      <c r="BQ120" s="337"/>
      <c r="BR120" s="337"/>
      <c r="BS120" s="338"/>
      <c r="BT120" s="338"/>
      <c r="BU120" s="338"/>
      <c r="BV120" s="338"/>
      <c r="BW120" s="339"/>
      <c r="BX120" s="339"/>
      <c r="BY120" s="339"/>
      <c r="BZ120" s="339"/>
      <c r="CA120" s="340"/>
      <c r="CB120" s="340"/>
      <c r="CC120" s="340"/>
      <c r="CD120" s="340"/>
      <c r="CE120" s="341"/>
      <c r="CF120" s="341"/>
      <c r="CG120" s="341"/>
      <c r="CH120" s="341"/>
      <c r="CI120" s="342"/>
      <c r="CJ120" s="342"/>
      <c r="CK120" s="342"/>
      <c r="CL120" s="342"/>
      <c r="CM120" s="409"/>
      <c r="CN120" s="379"/>
      <c r="CO120" s="379"/>
      <c r="CP120" s="379"/>
      <c r="CQ120" s="343"/>
      <c r="CR120" s="343"/>
      <c r="CS120" s="343"/>
      <c r="CT120" s="343"/>
      <c r="CU120" s="344"/>
      <c r="CV120" s="344"/>
      <c r="CW120" s="344"/>
      <c r="CX120" s="344"/>
      <c r="CY120" s="345"/>
      <c r="CZ120" s="345"/>
      <c r="DA120" s="345"/>
      <c r="DB120" s="345"/>
      <c r="DC120" s="346"/>
      <c r="DD120" s="346"/>
      <c r="DE120" s="346"/>
      <c r="DF120" s="346"/>
      <c r="DG120" s="358"/>
      <c r="DH120" s="358"/>
      <c r="DI120" s="358"/>
      <c r="DJ120" s="348"/>
      <c r="DK120" s="348"/>
      <c r="DL120" s="348"/>
      <c r="DM120" s="324"/>
      <c r="DN120" s="317"/>
      <c r="DO120" s="406"/>
      <c r="DP120" s="282"/>
      <c r="DQ120" s="395"/>
      <c r="DR120" s="395"/>
      <c r="DS120" s="408"/>
      <c r="DT120" s="408"/>
      <c r="DU120" s="270"/>
      <c r="DV120" s="285"/>
      <c r="DW120" s="285"/>
      <c r="DX120" s="285"/>
      <c r="DY120" s="285"/>
      <c r="DZ120" s="285"/>
      <c r="EA120" s="285"/>
      <c r="EB120" s="285"/>
      <c r="EC120" s="285"/>
      <c r="ED120" s="285"/>
      <c r="EE120" s="285"/>
      <c r="EF120" s="285"/>
      <c r="EG120" s="285"/>
      <c r="EH120" s="285"/>
      <c r="EI120" s="285"/>
    </row>
    <row r="121">
      <c r="A121" s="402"/>
      <c r="B121" s="402"/>
      <c r="C121" s="263"/>
      <c r="D121" s="264"/>
      <c r="E121" s="307"/>
      <c r="F121" s="307"/>
      <c r="G121" s="264"/>
      <c r="H121" s="403"/>
      <c r="I121" s="403"/>
      <c r="J121" s="269"/>
      <c r="K121" s="269"/>
      <c r="L121" s="403"/>
      <c r="M121" s="269"/>
      <c r="N121" s="268"/>
      <c r="O121" s="403"/>
      <c r="P121" s="403"/>
      <c r="Q121" s="403"/>
      <c r="R121" s="403"/>
      <c r="S121" s="403"/>
      <c r="T121" s="269"/>
      <c r="U121" s="269"/>
      <c r="V121" s="269"/>
      <c r="W121" s="269"/>
      <c r="X121" s="269"/>
      <c r="Y121" s="269"/>
      <c r="Z121" s="269"/>
      <c r="AA121" s="269"/>
      <c r="AB121" s="269"/>
      <c r="AC121" s="269"/>
      <c r="AD121" s="403"/>
      <c r="AE121" s="268"/>
      <c r="AF121" s="268"/>
      <c r="AG121" s="268"/>
      <c r="AH121" s="404"/>
      <c r="AI121" s="269"/>
      <c r="AJ121" s="269"/>
      <c r="AK121" s="405"/>
      <c r="AL121" s="406"/>
      <c r="AM121" s="270"/>
      <c r="AN121" s="272"/>
      <c r="AO121" s="272"/>
      <c r="AP121" s="271"/>
      <c r="AQ121" s="272"/>
      <c r="AR121" s="282"/>
      <c r="AS121" s="406"/>
      <c r="AT121" s="272"/>
      <c r="AU121" s="272"/>
      <c r="AV121" s="270"/>
      <c r="AW121" s="270"/>
      <c r="AX121" s="407"/>
      <c r="AY121" s="408"/>
      <c r="AZ121" s="408"/>
      <c r="BA121" s="270"/>
      <c r="BB121" s="408"/>
      <c r="BC121" s="393"/>
      <c r="BD121" s="393"/>
      <c r="BE121" s="334"/>
      <c r="BF121" s="334"/>
      <c r="BG121" s="335"/>
      <c r="BH121" s="335"/>
      <c r="BI121" s="335"/>
      <c r="BJ121" s="335"/>
      <c r="BK121" s="336"/>
      <c r="BL121" s="336"/>
      <c r="BM121" s="336"/>
      <c r="BN121" s="336"/>
      <c r="BO121" s="337"/>
      <c r="BP121" s="337"/>
      <c r="BQ121" s="337"/>
      <c r="BR121" s="337"/>
      <c r="BS121" s="338"/>
      <c r="BT121" s="338"/>
      <c r="BU121" s="338"/>
      <c r="BV121" s="338"/>
      <c r="BW121" s="339"/>
      <c r="BX121" s="339"/>
      <c r="BY121" s="339"/>
      <c r="BZ121" s="339"/>
      <c r="CA121" s="340"/>
      <c r="CB121" s="340"/>
      <c r="CC121" s="340"/>
      <c r="CD121" s="340"/>
      <c r="CE121" s="341"/>
      <c r="CF121" s="341"/>
      <c r="CG121" s="341"/>
      <c r="CH121" s="341"/>
      <c r="CI121" s="342"/>
      <c r="CJ121" s="342"/>
      <c r="CK121" s="342"/>
      <c r="CL121" s="342"/>
      <c r="CM121" s="409"/>
      <c r="CN121" s="379"/>
      <c r="CO121" s="379"/>
      <c r="CP121" s="379"/>
      <c r="CQ121" s="343"/>
      <c r="CR121" s="343"/>
      <c r="CS121" s="343"/>
      <c r="CT121" s="343"/>
      <c r="CU121" s="344"/>
      <c r="CV121" s="344"/>
      <c r="CW121" s="344"/>
      <c r="CX121" s="344"/>
      <c r="CY121" s="345"/>
      <c r="CZ121" s="345"/>
      <c r="DA121" s="345"/>
      <c r="DB121" s="345"/>
      <c r="DC121" s="346"/>
      <c r="DD121" s="346"/>
      <c r="DE121" s="346"/>
      <c r="DF121" s="346"/>
      <c r="DG121" s="358"/>
      <c r="DH121" s="358"/>
      <c r="DI121" s="358"/>
      <c r="DJ121" s="348"/>
      <c r="DK121" s="348"/>
      <c r="DL121" s="348"/>
      <c r="DM121" s="324"/>
      <c r="DN121" s="317"/>
      <c r="DO121" s="406"/>
      <c r="DP121" s="282"/>
      <c r="DQ121" s="395"/>
      <c r="DR121" s="395"/>
      <c r="DS121" s="408"/>
      <c r="DT121" s="408"/>
      <c r="DU121" s="270"/>
      <c r="DV121" s="285"/>
      <c r="DW121" s="285"/>
      <c r="DX121" s="285"/>
      <c r="DY121" s="285"/>
      <c r="DZ121" s="285"/>
      <c r="EA121" s="285"/>
      <c r="EB121" s="285"/>
      <c r="EC121" s="285"/>
      <c r="ED121" s="285"/>
      <c r="EE121" s="285"/>
      <c r="EF121" s="285"/>
      <c r="EG121" s="285"/>
      <c r="EH121" s="285"/>
      <c r="EI121" s="285"/>
    </row>
    <row r="122">
      <c r="A122" s="410"/>
      <c r="B122" s="410"/>
      <c r="C122" s="306"/>
      <c r="D122" s="307"/>
      <c r="E122" s="307"/>
      <c r="F122" s="307"/>
      <c r="G122" s="307"/>
      <c r="H122" s="403"/>
      <c r="I122" s="403"/>
      <c r="J122" s="411"/>
      <c r="K122" s="411"/>
      <c r="L122" s="403"/>
      <c r="M122" s="268"/>
      <c r="N122" s="268"/>
      <c r="O122" s="403"/>
      <c r="P122" s="403"/>
      <c r="Q122" s="403"/>
      <c r="R122" s="403"/>
      <c r="S122" s="403"/>
      <c r="T122" s="411"/>
      <c r="U122" s="411"/>
      <c r="V122" s="411"/>
      <c r="W122" s="411"/>
      <c r="X122" s="403"/>
      <c r="Y122" s="403"/>
      <c r="Z122" s="403"/>
      <c r="AA122" s="403"/>
      <c r="AB122" s="403"/>
      <c r="AC122" s="403"/>
      <c r="AD122" s="268"/>
      <c r="AE122" s="268"/>
      <c r="AF122" s="403"/>
      <c r="AG122" s="268"/>
      <c r="AH122" s="412"/>
      <c r="AI122" s="411"/>
      <c r="AJ122" s="411"/>
      <c r="AK122" s="413"/>
      <c r="AL122" s="414"/>
      <c r="AM122" s="414"/>
      <c r="AN122" s="408"/>
      <c r="AO122" s="414"/>
      <c r="AP122" s="415"/>
      <c r="AQ122" s="414"/>
      <c r="AR122" s="416"/>
      <c r="AS122" s="414"/>
      <c r="AT122" s="406"/>
      <c r="AU122" s="414"/>
      <c r="AV122" s="414"/>
      <c r="AW122" s="414"/>
      <c r="AX122" s="332"/>
      <c r="AY122" s="272"/>
      <c r="AZ122" s="272"/>
      <c r="BA122" s="414"/>
      <c r="BB122" s="272"/>
      <c r="BC122" s="334"/>
      <c r="BD122" s="334"/>
      <c r="BE122" s="334"/>
      <c r="BF122" s="334"/>
      <c r="BG122" s="335"/>
      <c r="BH122" s="335"/>
      <c r="BI122" s="335"/>
      <c r="BJ122" s="335"/>
      <c r="BK122" s="336"/>
      <c r="BL122" s="336"/>
      <c r="BM122" s="336"/>
      <c r="BN122" s="336"/>
      <c r="BO122" s="337"/>
      <c r="BP122" s="337"/>
      <c r="BQ122" s="337"/>
      <c r="BR122" s="337"/>
      <c r="BS122" s="338"/>
      <c r="BT122" s="338"/>
      <c r="BU122" s="338"/>
      <c r="BV122" s="338"/>
      <c r="BW122" s="417"/>
      <c r="BX122" s="339"/>
      <c r="BY122" s="339"/>
      <c r="BZ122" s="339"/>
      <c r="CA122" s="340"/>
      <c r="CB122" s="340"/>
      <c r="CC122" s="340"/>
      <c r="CD122" s="340"/>
      <c r="CE122" s="341"/>
      <c r="CF122" s="341"/>
      <c r="CG122" s="341"/>
      <c r="CH122" s="341"/>
      <c r="CI122" s="342"/>
      <c r="CJ122" s="342"/>
      <c r="CK122" s="342"/>
      <c r="CL122" s="342"/>
      <c r="CM122" s="343"/>
      <c r="CN122" s="343"/>
      <c r="CO122" s="343"/>
      <c r="CP122" s="343"/>
      <c r="CQ122" s="344"/>
      <c r="CR122" s="344"/>
      <c r="CS122" s="344"/>
      <c r="CT122" s="344"/>
      <c r="CU122" s="345"/>
      <c r="CV122" s="345"/>
      <c r="CW122" s="345"/>
      <c r="CX122" s="345"/>
      <c r="CY122" s="346"/>
      <c r="CZ122" s="346"/>
      <c r="DA122" s="346"/>
      <c r="DB122" s="346"/>
      <c r="DC122" s="358"/>
      <c r="DD122" s="358"/>
      <c r="DE122" s="348"/>
      <c r="DF122" s="348"/>
      <c r="DG122" s="348"/>
      <c r="DH122" s="324"/>
      <c r="DI122" s="317"/>
      <c r="DJ122" s="408"/>
      <c r="DK122" s="282"/>
      <c r="DL122" s="414"/>
      <c r="DM122" s="414"/>
      <c r="DN122" s="414"/>
      <c r="DO122" s="414"/>
      <c r="DP122" s="414"/>
      <c r="DQ122" s="285"/>
      <c r="DR122" s="285"/>
      <c r="DS122" s="285"/>
      <c r="DT122" s="285"/>
      <c r="DU122" s="285"/>
      <c r="DV122" s="285"/>
      <c r="DW122" s="285"/>
      <c r="DX122" s="285"/>
      <c r="DY122" s="285"/>
      <c r="DZ122" s="285"/>
      <c r="EA122" s="285"/>
      <c r="EB122" s="285"/>
      <c r="EC122" s="285"/>
      <c r="ED122" s="285"/>
      <c r="EE122" s="285"/>
      <c r="EF122" s="285"/>
      <c r="EG122" s="285"/>
      <c r="EH122" s="285"/>
      <c r="EI122" s="285"/>
    </row>
    <row r="123">
      <c r="A123" s="257" t="s">
        <v>2124</v>
      </c>
    </row>
    <row r="124">
      <c r="A124" s="259" t="s">
        <v>2125</v>
      </c>
    </row>
    <row r="125">
      <c r="A125" s="418" t="s">
        <v>201</v>
      </c>
    </row>
    <row r="126">
      <c r="A126" s="259" t="s">
        <v>2126</v>
      </c>
    </row>
    <row r="127">
      <c r="A127" s="257" t="s">
        <v>248</v>
      </c>
      <c r="B127" s="259" t="s">
        <v>2127</v>
      </c>
    </row>
    <row r="128">
      <c r="A128" s="259" t="s">
        <v>2128</v>
      </c>
    </row>
    <row r="129">
      <c r="A129" s="259" t="s">
        <v>2129</v>
      </c>
    </row>
    <row r="130">
      <c r="A130" s="259" t="s">
        <v>2130</v>
      </c>
    </row>
    <row r="131">
      <c r="A131" s="257" t="s">
        <v>1622</v>
      </c>
      <c r="B131" s="259" t="s">
        <v>2131</v>
      </c>
    </row>
  </sheetData>
  <hyperlinks>
    <hyperlink r:id="rId1" ref="AK15"/>
    <hyperlink r:id="rId2" ref="AK16"/>
    <hyperlink r:id="rId3" ref="AK17"/>
    <hyperlink r:id="rId4" ref="AK18"/>
    <hyperlink r:id="rId5" ref="AK19"/>
    <hyperlink r:id="rId6" ref="AK20"/>
    <hyperlink r:id="rId7" ref="AH21"/>
    <hyperlink r:id="rId8" ref="AK21"/>
    <hyperlink r:id="rId9" ref="AH22"/>
    <hyperlink r:id="rId10" ref="AK22"/>
    <hyperlink r:id="rId11" ref="AH23"/>
    <hyperlink r:id="rId12" ref="AK23"/>
    <hyperlink r:id="rId13" ref="AH24"/>
    <hyperlink r:id="rId14" ref="AK24"/>
    <hyperlink r:id="rId15" ref="AH25"/>
    <hyperlink r:id="rId16" ref="AK25"/>
    <hyperlink r:id="rId17" ref="AH26"/>
    <hyperlink r:id="rId18" ref="AK26"/>
    <hyperlink r:id="rId19" ref="AH27"/>
    <hyperlink r:id="rId20" ref="AK27"/>
    <hyperlink r:id="rId21" ref="AH28"/>
    <hyperlink r:id="rId22" ref="AK28"/>
    <hyperlink r:id="rId23" ref="AH29"/>
    <hyperlink r:id="rId24" ref="AK29"/>
    <hyperlink r:id="rId25" ref="AH30"/>
    <hyperlink r:id="rId26" ref="AK30"/>
    <hyperlink r:id="rId27" ref="AH31"/>
    <hyperlink r:id="rId28" ref="AK31"/>
    <hyperlink r:id="rId29" ref="AH32"/>
    <hyperlink r:id="rId30" ref="AK32"/>
    <hyperlink r:id="rId31" ref="AH33"/>
    <hyperlink r:id="rId32" ref="AK33"/>
    <hyperlink r:id="rId33" ref="AH34"/>
    <hyperlink r:id="rId34" ref="AK34"/>
    <hyperlink r:id="rId35" ref="AH35"/>
    <hyperlink r:id="rId36" ref="AK35"/>
    <hyperlink r:id="rId37" ref="AH36"/>
    <hyperlink r:id="rId38" ref="AK36"/>
    <hyperlink r:id="rId39" ref="AH37"/>
    <hyperlink r:id="rId40" ref="AK37"/>
    <hyperlink r:id="rId41" ref="AH38"/>
    <hyperlink r:id="rId42" ref="AK38"/>
    <hyperlink r:id="rId43" ref="AH39"/>
    <hyperlink r:id="rId44" ref="AK39"/>
    <hyperlink r:id="rId45" ref="AH40"/>
    <hyperlink r:id="rId46" ref="AK40"/>
    <hyperlink r:id="rId47" ref="AH41"/>
    <hyperlink r:id="rId48" ref="AK41"/>
    <hyperlink r:id="rId49" ref="AH42"/>
    <hyperlink r:id="rId50" ref="AK42"/>
    <hyperlink r:id="rId51" ref="AH43"/>
    <hyperlink r:id="rId52" ref="AK43"/>
    <hyperlink r:id="rId53" ref="AH44"/>
    <hyperlink r:id="rId54" ref="AK44"/>
    <hyperlink r:id="rId55" ref="AH45"/>
    <hyperlink r:id="rId56" ref="AK45"/>
    <hyperlink r:id="rId57" ref="AH46"/>
    <hyperlink r:id="rId58" ref="AK46"/>
    <hyperlink r:id="rId59" ref="AH47"/>
    <hyperlink r:id="rId60" ref="AK47"/>
    <hyperlink r:id="rId61" ref="AH48"/>
    <hyperlink r:id="rId62" ref="AK48"/>
    <hyperlink r:id="rId63" ref="AH49"/>
    <hyperlink r:id="rId64" ref="AK49"/>
    <hyperlink r:id="rId65" ref="AH50"/>
    <hyperlink r:id="rId66" ref="AK50"/>
    <hyperlink r:id="rId67" ref="AH51"/>
    <hyperlink r:id="rId68" ref="AK51"/>
    <hyperlink r:id="rId69" ref="AH52"/>
    <hyperlink r:id="rId70" ref="AK52"/>
    <hyperlink r:id="rId71" ref="AH53"/>
    <hyperlink r:id="rId72" ref="AK53"/>
    <hyperlink r:id="rId73" ref="AH54"/>
    <hyperlink r:id="rId74" ref="AK54"/>
    <hyperlink r:id="rId75" ref="AH55"/>
    <hyperlink r:id="rId76" ref="AK55"/>
    <hyperlink r:id="rId77" ref="AH56"/>
    <hyperlink r:id="rId78" ref="AK56"/>
    <hyperlink r:id="rId79" ref="AH57"/>
    <hyperlink r:id="rId80" ref="AK57"/>
    <hyperlink r:id="rId81" ref="AH58"/>
    <hyperlink r:id="rId82" ref="AK58"/>
    <hyperlink r:id="rId83" ref="AH59"/>
    <hyperlink r:id="rId84" ref="AK59"/>
    <hyperlink r:id="rId85" ref="AH60"/>
    <hyperlink r:id="rId86" ref="AK60"/>
    <hyperlink r:id="rId87" ref="AH61"/>
    <hyperlink r:id="rId88" ref="AK61"/>
    <hyperlink r:id="rId89" ref="AH62"/>
    <hyperlink r:id="rId90" ref="AK62"/>
    <hyperlink r:id="rId91" ref="AH63"/>
    <hyperlink r:id="rId92" ref="AK63"/>
    <hyperlink r:id="rId93" ref="AH64"/>
    <hyperlink r:id="rId94" ref="AK64"/>
    <hyperlink r:id="rId95" ref="AH65"/>
    <hyperlink r:id="rId96" ref="AK65"/>
    <hyperlink r:id="rId97" ref="AH66"/>
    <hyperlink r:id="rId98" ref="AK66"/>
    <hyperlink r:id="rId99" ref="AH67"/>
    <hyperlink r:id="rId100" ref="AK67"/>
    <hyperlink r:id="rId101" ref="AH68"/>
    <hyperlink r:id="rId102" ref="AK68"/>
    <hyperlink r:id="rId103" ref="AH69"/>
    <hyperlink r:id="rId104" ref="AK69"/>
    <hyperlink r:id="rId105" ref="AH70"/>
    <hyperlink r:id="rId106" ref="AK70"/>
    <hyperlink r:id="rId107" ref="AH71"/>
    <hyperlink r:id="rId108" ref="AK71"/>
    <hyperlink r:id="rId109" ref="AH72"/>
    <hyperlink r:id="rId110" ref="AK72"/>
    <hyperlink r:id="rId111" ref="AH73"/>
    <hyperlink r:id="rId112" ref="AK73"/>
    <hyperlink r:id="rId113" ref="AH74"/>
    <hyperlink r:id="rId114" ref="AK74"/>
    <hyperlink r:id="rId115" ref="AH75"/>
    <hyperlink r:id="rId116" ref="AK75"/>
    <hyperlink r:id="rId117" ref="AH76"/>
    <hyperlink r:id="rId118" ref="AK76"/>
    <hyperlink r:id="rId119" ref="AH77"/>
    <hyperlink r:id="rId120" ref="AK77"/>
    <hyperlink r:id="rId121" ref="AH78"/>
    <hyperlink r:id="rId122" ref="AK78"/>
    <hyperlink r:id="rId123" ref="AH79"/>
    <hyperlink r:id="rId124" ref="AK79"/>
    <hyperlink r:id="rId125" ref="AH80"/>
    <hyperlink r:id="rId126" ref="AK80"/>
    <hyperlink r:id="rId127" ref="AH81"/>
    <hyperlink r:id="rId128" ref="AK81"/>
    <hyperlink r:id="rId129" ref="AH82"/>
    <hyperlink r:id="rId130" ref="AK82"/>
    <hyperlink r:id="rId131" ref="AH83"/>
    <hyperlink r:id="rId132" ref="AK83"/>
    <hyperlink r:id="rId133" ref="AH84"/>
    <hyperlink r:id="rId134" ref="AK84"/>
    <hyperlink r:id="rId135" ref="AH85"/>
    <hyperlink r:id="rId136" ref="AK85"/>
    <hyperlink r:id="rId137" ref="AH86"/>
    <hyperlink r:id="rId138" ref="AK86"/>
    <hyperlink r:id="rId139" ref="AH87"/>
    <hyperlink r:id="rId140" ref="AK87"/>
    <hyperlink r:id="rId141" ref="AH88"/>
    <hyperlink r:id="rId142" ref="AK88"/>
    <hyperlink r:id="rId143" ref="AH89"/>
    <hyperlink r:id="rId144" ref="AK89"/>
    <hyperlink r:id="rId145" ref="AH90"/>
    <hyperlink r:id="rId146" ref="AK90"/>
    <hyperlink r:id="rId147" ref="AH91"/>
    <hyperlink r:id="rId148" ref="AK91"/>
    <hyperlink r:id="rId149" ref="AH92"/>
    <hyperlink r:id="rId150" ref="AK92"/>
    <hyperlink r:id="rId151" ref="AH93"/>
    <hyperlink r:id="rId152" ref="AK93"/>
    <hyperlink r:id="rId153" ref="AH94"/>
    <hyperlink r:id="rId154" ref="AK94"/>
    <hyperlink r:id="rId155" ref="AH95"/>
    <hyperlink r:id="rId156" ref="AK95"/>
    <hyperlink r:id="rId157" ref="AH96"/>
    <hyperlink r:id="rId158" ref="AK96"/>
    <hyperlink r:id="rId159" ref="AH97"/>
    <hyperlink r:id="rId160" ref="AK97"/>
    <hyperlink r:id="rId161" ref="AH98"/>
    <hyperlink r:id="rId162" ref="AK98"/>
    <hyperlink r:id="rId163" ref="AH99"/>
    <hyperlink r:id="rId164" ref="AK99"/>
    <hyperlink r:id="rId165" ref="AH100"/>
    <hyperlink r:id="rId166" ref="AK100"/>
    <hyperlink r:id="rId167" ref="AH101"/>
    <hyperlink r:id="rId168" ref="AK101"/>
    <hyperlink r:id="rId169" ref="AJ102"/>
    <hyperlink r:id="rId170" ref="A124"/>
    <hyperlink r:id="rId171" ref="A125"/>
    <hyperlink r:id="rId172" ref="A126"/>
    <hyperlink r:id="rId173" ref="B127"/>
    <hyperlink r:id="rId174" ref="A128"/>
    <hyperlink r:id="rId175" ref="A129"/>
    <hyperlink r:id="rId176" ref="A130"/>
    <hyperlink r:id="rId177" ref="B131"/>
  </hyperlinks>
  <drawing r:id="rId17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2" width="18.29"/>
    <col customWidth="1" min="23" max="29" width="11.57"/>
  </cols>
  <sheetData>
    <row r="1">
      <c r="A1" s="419" t="s">
        <v>2</v>
      </c>
      <c r="B1" s="419" t="s">
        <v>2132</v>
      </c>
      <c r="C1" s="420" t="s">
        <v>1917</v>
      </c>
      <c r="D1" s="420" t="s">
        <v>10</v>
      </c>
      <c r="E1" s="421" t="s">
        <v>2133</v>
      </c>
      <c r="F1" s="420" t="s">
        <v>2134</v>
      </c>
      <c r="G1" s="420" t="s">
        <v>11</v>
      </c>
      <c r="H1" s="420" t="s">
        <v>37</v>
      </c>
      <c r="I1" s="420" t="s">
        <v>39</v>
      </c>
      <c r="J1" s="420" t="s">
        <v>2135</v>
      </c>
      <c r="K1" s="420" t="s">
        <v>46</v>
      </c>
      <c r="L1" s="420" t="s">
        <v>43</v>
      </c>
      <c r="M1" s="422" t="s">
        <v>2136</v>
      </c>
      <c r="N1" s="422" t="s">
        <v>2137</v>
      </c>
      <c r="O1" s="422" t="s">
        <v>2138</v>
      </c>
      <c r="P1" s="422" t="s">
        <v>2139</v>
      </c>
      <c r="Q1" s="420" t="s">
        <v>2140</v>
      </c>
      <c r="R1" s="420" t="s">
        <v>2141</v>
      </c>
      <c r="S1" s="420" t="s">
        <v>1925</v>
      </c>
      <c r="T1" s="420" t="s">
        <v>53</v>
      </c>
      <c r="U1" s="420" t="s">
        <v>54</v>
      </c>
      <c r="V1" s="423" t="s">
        <v>2142</v>
      </c>
      <c r="W1" s="424" t="s">
        <v>2143</v>
      </c>
      <c r="X1" s="421" t="s">
        <v>2144</v>
      </c>
      <c r="Y1" s="425" t="s">
        <v>2145</v>
      </c>
      <c r="Z1" s="425" t="s">
        <v>2146</v>
      </c>
      <c r="AA1" s="426" t="s">
        <v>2147</v>
      </c>
      <c r="AB1" s="426" t="s">
        <v>2148</v>
      </c>
      <c r="AC1" s="427" t="s">
        <v>1931</v>
      </c>
      <c r="AD1" s="428" t="s">
        <v>2149</v>
      </c>
      <c r="AE1" s="423" t="s">
        <v>2150</v>
      </c>
      <c r="AF1" s="429" t="s">
        <v>2151</v>
      </c>
      <c r="AG1" s="420" t="s">
        <v>2152</v>
      </c>
      <c r="AH1" s="430" t="s">
        <v>2153</v>
      </c>
      <c r="AI1" s="420" t="s">
        <v>2154</v>
      </c>
      <c r="AJ1" s="431" t="s">
        <v>1930</v>
      </c>
      <c r="AK1" s="420" t="s">
        <v>2155</v>
      </c>
      <c r="AL1" s="420" t="s">
        <v>2156</v>
      </c>
      <c r="AM1" s="420" t="s">
        <v>2157</v>
      </c>
      <c r="AN1" s="420" t="s">
        <v>2158</v>
      </c>
      <c r="AO1" s="420" t="s">
        <v>2159</v>
      </c>
      <c r="AP1" s="421" t="s">
        <v>2160</v>
      </c>
      <c r="AQ1" s="420" t="s">
        <v>22</v>
      </c>
      <c r="AR1" s="420" t="s">
        <v>23</v>
      </c>
      <c r="AS1" s="420" t="s">
        <v>2161</v>
      </c>
      <c r="AT1" s="432" t="s">
        <v>24</v>
      </c>
      <c r="AU1" s="433" t="s">
        <v>6</v>
      </c>
      <c r="AV1" s="420" t="s">
        <v>2162</v>
      </c>
      <c r="AW1" s="420" t="s">
        <v>2163</v>
      </c>
      <c r="AX1" s="434" t="s">
        <v>41</v>
      </c>
    </row>
    <row r="2">
      <c r="A2" s="435" t="s">
        <v>1699</v>
      </c>
      <c r="B2" s="436" t="s">
        <v>1700</v>
      </c>
      <c r="C2" s="436"/>
      <c r="D2" s="436" t="s">
        <v>350</v>
      </c>
      <c r="E2" s="436"/>
      <c r="F2" s="436" t="s">
        <v>2164</v>
      </c>
      <c r="G2" s="437" t="s">
        <v>169</v>
      </c>
      <c r="H2" s="437" t="s">
        <v>702</v>
      </c>
      <c r="I2" s="437" t="s">
        <v>1999</v>
      </c>
      <c r="J2" s="437">
        <v>3300.0</v>
      </c>
      <c r="K2" s="438"/>
      <c r="L2" s="436" t="s">
        <v>1701</v>
      </c>
      <c r="M2" s="439"/>
      <c r="N2" s="422">
        <v>13.251</v>
      </c>
      <c r="O2" s="422">
        <v>12.22</v>
      </c>
      <c r="P2" s="422">
        <v>16.41</v>
      </c>
      <c r="Q2" s="436" t="s">
        <v>1632</v>
      </c>
      <c r="R2" s="438"/>
      <c r="S2" s="436" t="s">
        <v>2000</v>
      </c>
      <c r="T2" s="436" t="s">
        <v>1632</v>
      </c>
      <c r="U2" s="436" t="s">
        <v>1633</v>
      </c>
      <c r="V2" s="440"/>
      <c r="W2" s="441">
        <v>0.08</v>
      </c>
      <c r="X2" s="438"/>
      <c r="Y2" s="442">
        <f t="shared" ref="Y2:Y44" si="1">IF((W2/((J2/5780)^4))^0.5&gt;0,(W2/((J2/5780)^4))^0.5,"")</f>
        <v>0.8677063797</v>
      </c>
      <c r="Z2" s="442"/>
      <c r="AA2" s="443"/>
      <c r="AB2" s="443"/>
      <c r="AC2" s="436" t="str">
        <f>IF(ISNUMBER(VLOOKUP(B2,'New Masses'!A:C,3,FALSE)),VLOOKUP(B2,'New Masses'!A:C,3,FALSE),"")</f>
        <v/>
      </c>
      <c r="AD2" s="440"/>
      <c r="AE2" s="440">
        <f t="shared" ref="AE2:AE10" si="2">10^AF2</f>
        <v>0</v>
      </c>
      <c r="AF2" s="444">
        <v>-10.25</v>
      </c>
      <c r="AG2" s="438"/>
      <c r="AH2" s="445">
        <v>0.25</v>
      </c>
      <c r="AI2" s="438"/>
      <c r="AJ2" s="446" t="str">
        <f>IF(ISNUMBER(VLOOKUP(B2,'New Masses'!A:C,2, FALSE)),VLOOKUP(B2,'New Masses'!A:C,2, FALSE),"")</f>
        <v/>
      </c>
      <c r="AK2" s="438"/>
      <c r="AL2" s="437"/>
      <c r="AM2" s="447">
        <v>-3.39</v>
      </c>
      <c r="AN2" s="438"/>
      <c r="AO2" s="436">
        <v>3.0</v>
      </c>
      <c r="AP2" s="438"/>
      <c r="AQ2" s="436"/>
      <c r="AR2" s="436"/>
      <c r="AS2" s="438"/>
      <c r="AT2" s="448"/>
      <c r="AU2" s="449" t="s">
        <v>137</v>
      </c>
      <c r="AV2" s="438" t="s">
        <v>705</v>
      </c>
      <c r="AW2" s="438"/>
      <c r="AX2" s="450">
        <v>381.300999008617</v>
      </c>
    </row>
    <row r="3">
      <c r="A3" s="435" t="s">
        <v>1707</v>
      </c>
      <c r="B3" s="436" t="s">
        <v>1708</v>
      </c>
      <c r="C3" s="436"/>
      <c r="D3" s="436" t="s">
        <v>350</v>
      </c>
      <c r="E3" s="436"/>
      <c r="F3" s="436" t="s">
        <v>2165</v>
      </c>
      <c r="G3" s="437" t="s">
        <v>515</v>
      </c>
      <c r="H3" s="437" t="s">
        <v>702</v>
      </c>
      <c r="I3" s="437" t="s">
        <v>1999</v>
      </c>
      <c r="J3" s="437">
        <v>3300.0</v>
      </c>
      <c r="K3" s="438"/>
      <c r="L3" s="436" t="s">
        <v>422</v>
      </c>
      <c r="M3" s="439"/>
      <c r="N3" s="422">
        <v>12.502</v>
      </c>
      <c r="O3" s="422">
        <v>11.542</v>
      </c>
      <c r="P3" s="422">
        <v>15.56</v>
      </c>
      <c r="Q3" s="436" t="s">
        <v>1632</v>
      </c>
      <c r="R3" s="438"/>
      <c r="S3" s="436" t="s">
        <v>2000</v>
      </c>
      <c r="T3" s="436" t="s">
        <v>1632</v>
      </c>
      <c r="U3" s="436" t="s">
        <v>1633</v>
      </c>
      <c r="V3" s="451"/>
      <c r="W3" s="441">
        <v>0.19</v>
      </c>
      <c r="X3" s="438"/>
      <c r="Y3" s="442">
        <f t="shared" si="1"/>
        <v>1.337225339</v>
      </c>
      <c r="Z3" s="442"/>
      <c r="AA3" s="443"/>
      <c r="AB3" s="443"/>
      <c r="AC3" s="436" t="str">
        <f>IF(ISNUMBER(VLOOKUP(B3,'New Masses'!A:C,3,FALSE)),VLOOKUP(B3,'New Masses'!A:C,3,FALSE),"")</f>
        <v/>
      </c>
      <c r="AD3" s="440"/>
      <c r="AE3" s="440">
        <f t="shared" si="2"/>
        <v>0.000000000213796209</v>
      </c>
      <c r="AF3" s="444">
        <v>-9.67</v>
      </c>
      <c r="AG3" s="438"/>
      <c r="AH3" s="445">
        <v>0.3</v>
      </c>
      <c r="AI3" s="438"/>
      <c r="AJ3" s="446" t="str">
        <f>IF(ISNUMBER(VLOOKUP(B3,'New Masses'!A:C,2, FALSE)),VLOOKUP(B3,'New Masses'!A:C,2, FALSE),"")</f>
        <v/>
      </c>
      <c r="AK3" s="438"/>
      <c r="AL3" s="437"/>
      <c r="AM3" s="447">
        <v>-2.97</v>
      </c>
      <c r="AN3" s="438"/>
      <c r="AO3" s="436">
        <v>3.0</v>
      </c>
      <c r="AP3" s="438"/>
      <c r="AQ3" s="436"/>
      <c r="AR3" s="436"/>
      <c r="AS3" s="438"/>
      <c r="AT3" s="448"/>
      <c r="AU3" s="452" t="s">
        <v>137</v>
      </c>
      <c r="AV3" s="438" t="s">
        <v>705</v>
      </c>
      <c r="AW3" s="438"/>
      <c r="AX3" s="450">
        <v>335.289186923721</v>
      </c>
    </row>
    <row r="4">
      <c r="A4" s="435" t="s">
        <v>1711</v>
      </c>
      <c r="B4" s="436" t="s">
        <v>1712</v>
      </c>
      <c r="C4" s="436"/>
      <c r="D4" s="436" t="s">
        <v>350</v>
      </c>
      <c r="E4" s="436"/>
      <c r="F4" s="436" t="s">
        <v>2166</v>
      </c>
      <c r="G4" s="437" t="s">
        <v>169</v>
      </c>
      <c r="H4" s="437" t="s">
        <v>702</v>
      </c>
      <c r="I4" s="437" t="s">
        <v>1999</v>
      </c>
      <c r="J4" s="437">
        <v>3300.0</v>
      </c>
      <c r="K4" s="438"/>
      <c r="L4" s="438"/>
      <c r="M4" s="453"/>
      <c r="N4" s="422">
        <v>12.844</v>
      </c>
      <c r="O4" s="422">
        <v>11.933</v>
      </c>
      <c r="P4" s="422">
        <v>15.87</v>
      </c>
      <c r="Q4" s="436" t="s">
        <v>1632</v>
      </c>
      <c r="R4" s="438"/>
      <c r="S4" s="436" t="s">
        <v>2000</v>
      </c>
      <c r="T4" s="436" t="s">
        <v>1632</v>
      </c>
      <c r="U4" s="436" t="s">
        <v>1633</v>
      </c>
      <c r="V4" s="440"/>
      <c r="W4" s="441">
        <v>0.14</v>
      </c>
      <c r="X4" s="438"/>
      <c r="Y4" s="442">
        <f t="shared" si="1"/>
        <v>1.147867646</v>
      </c>
      <c r="Z4" s="442"/>
      <c r="AA4" s="443"/>
      <c r="AB4" s="443"/>
      <c r="AC4" s="436" t="str">
        <f>IF(ISNUMBER(VLOOKUP(B4,'New Masses'!A:C,3,FALSE)),VLOOKUP(B4,'New Masses'!A:C,3,FALSE),"")</f>
        <v/>
      </c>
      <c r="AD4" s="440"/>
      <c r="AE4" s="440">
        <f t="shared" si="2"/>
        <v>0.0000000001318256739</v>
      </c>
      <c r="AF4" s="444">
        <v>-9.88</v>
      </c>
      <c r="AG4" s="438"/>
      <c r="AH4" s="445">
        <v>0.3</v>
      </c>
      <c r="AI4" s="438"/>
      <c r="AJ4" s="446" t="str">
        <f>IF(ISNUMBER(VLOOKUP(B4,'New Masses'!A:C,2, FALSE)),VLOOKUP(B4,'New Masses'!A:C,2, FALSE),"")</f>
        <v/>
      </c>
      <c r="AK4" s="438"/>
      <c r="AL4" s="437"/>
      <c r="AM4" s="447">
        <v>-3.06</v>
      </c>
      <c r="AN4" s="438"/>
      <c r="AO4" s="436">
        <v>3.0</v>
      </c>
      <c r="AP4" s="438"/>
      <c r="AQ4" s="436"/>
      <c r="AR4" s="438"/>
      <c r="AS4" s="438"/>
      <c r="AT4" s="448"/>
      <c r="AU4" s="449" t="s">
        <v>137</v>
      </c>
      <c r="AV4" s="438"/>
      <c r="AW4" s="438"/>
      <c r="AX4" s="450">
        <v>388.334433614228</v>
      </c>
    </row>
    <row r="5">
      <c r="A5" s="435" t="s">
        <v>1659</v>
      </c>
      <c r="B5" s="436" t="s">
        <v>1660</v>
      </c>
      <c r="C5" s="436"/>
      <c r="D5" s="436" t="s">
        <v>350</v>
      </c>
      <c r="E5" s="436"/>
      <c r="F5" s="436" t="s">
        <v>2167</v>
      </c>
      <c r="G5" s="437" t="s">
        <v>169</v>
      </c>
      <c r="H5" s="437" t="s">
        <v>702</v>
      </c>
      <c r="I5" s="437" t="s">
        <v>1999</v>
      </c>
      <c r="J5" s="437">
        <v>3100.0</v>
      </c>
      <c r="K5" s="438"/>
      <c r="L5" s="436" t="s">
        <v>422</v>
      </c>
      <c r="M5" s="439"/>
      <c r="N5" s="422">
        <v>14.11</v>
      </c>
      <c r="O5" s="422">
        <v>13.21</v>
      </c>
      <c r="P5" s="422">
        <v>18.09</v>
      </c>
      <c r="Q5" s="436" t="s">
        <v>1632</v>
      </c>
      <c r="R5" s="438"/>
      <c r="S5" s="436" t="s">
        <v>2000</v>
      </c>
      <c r="T5" s="436" t="s">
        <v>1632</v>
      </c>
      <c r="U5" s="436" t="s">
        <v>1633</v>
      </c>
      <c r="V5" s="440"/>
      <c r="W5" s="441">
        <v>0.04</v>
      </c>
      <c r="X5" s="438"/>
      <c r="Y5" s="442">
        <f t="shared" si="1"/>
        <v>0.6952840791</v>
      </c>
      <c r="Z5" s="442"/>
      <c r="AA5" s="443"/>
      <c r="AB5" s="443"/>
      <c r="AC5" s="436" t="str">
        <f>IF(ISNUMBER(VLOOKUP(B5,'New Masses'!A:C,3,FALSE)),VLOOKUP(B5,'New Masses'!A:C,3,FALSE),"")</f>
        <v/>
      </c>
      <c r="AD5" s="440"/>
      <c r="AE5" s="440">
        <f t="shared" si="2"/>
        <v>0</v>
      </c>
      <c r="AF5" s="444">
        <v>-10.56</v>
      </c>
      <c r="AG5" s="438"/>
      <c r="AH5" s="445">
        <v>0.13</v>
      </c>
      <c r="AI5" s="438"/>
      <c r="AJ5" s="446" t="str">
        <f>IF(ISNUMBER(VLOOKUP(B5,'New Masses'!A:C,2, FALSE)),VLOOKUP(B5,'New Masses'!A:C,2, FALSE),"")</f>
        <v/>
      </c>
      <c r="AK5" s="438"/>
      <c r="AL5" s="437"/>
      <c r="AM5" s="447">
        <v>-3.88</v>
      </c>
      <c r="AN5" s="438"/>
      <c r="AO5" s="436">
        <v>3.0</v>
      </c>
      <c r="AP5" s="438"/>
      <c r="AQ5" s="436"/>
      <c r="AR5" s="436"/>
      <c r="AS5" s="438"/>
      <c r="AT5" s="448"/>
      <c r="AU5" s="449" t="s">
        <v>137</v>
      </c>
      <c r="AV5" s="438" t="s">
        <v>705</v>
      </c>
      <c r="AW5" s="438"/>
      <c r="AX5" s="450">
        <v>352.733686067019</v>
      </c>
    </row>
    <row r="6">
      <c r="A6" s="435" t="s">
        <v>1683</v>
      </c>
      <c r="B6" s="436" t="s">
        <v>1684</v>
      </c>
      <c r="C6" s="436"/>
      <c r="D6" s="436" t="s">
        <v>350</v>
      </c>
      <c r="E6" s="436"/>
      <c r="F6" s="436" t="s">
        <v>2168</v>
      </c>
      <c r="G6" s="437" t="s">
        <v>169</v>
      </c>
      <c r="H6" s="437" t="s">
        <v>702</v>
      </c>
      <c r="I6" s="437" t="s">
        <v>1999</v>
      </c>
      <c r="J6" s="437">
        <v>3200.0</v>
      </c>
      <c r="K6" s="438"/>
      <c r="L6" s="436" t="s">
        <v>415</v>
      </c>
      <c r="M6" s="439"/>
      <c r="N6" s="422">
        <v>13.103</v>
      </c>
      <c r="O6" s="422">
        <v>12.123</v>
      </c>
      <c r="P6" s="422">
        <v>16.62</v>
      </c>
      <c r="Q6" s="436" t="s">
        <v>1632</v>
      </c>
      <c r="R6" s="438"/>
      <c r="S6" s="436" t="s">
        <v>2000</v>
      </c>
      <c r="T6" s="436" t="s">
        <v>1632</v>
      </c>
      <c r="U6" s="436" t="s">
        <v>1633</v>
      </c>
      <c r="V6" s="440"/>
      <c r="W6" s="441">
        <v>0.11</v>
      </c>
      <c r="X6" s="438"/>
      <c r="Y6" s="442">
        <f t="shared" si="1"/>
        <v>1.082061793</v>
      </c>
      <c r="Z6" s="442"/>
      <c r="AA6" s="443"/>
      <c r="AB6" s="443"/>
      <c r="AC6" s="436" t="str">
        <f>IF(ISNUMBER(VLOOKUP(B6,'New Masses'!A:C,3,FALSE)),VLOOKUP(B6,'New Masses'!A:C,3,FALSE),"")</f>
        <v/>
      </c>
      <c r="AD6" s="440"/>
      <c r="AE6" s="440">
        <f t="shared" si="2"/>
        <v>0.000000000177827941</v>
      </c>
      <c r="AF6" s="444">
        <v>-9.75</v>
      </c>
      <c r="AG6" s="438"/>
      <c r="AH6" s="445">
        <v>0.2</v>
      </c>
      <c r="AI6" s="438"/>
      <c r="AJ6" s="446" t="str">
        <f>IF(ISNUMBER(VLOOKUP(B6,'New Masses'!A:C,2, FALSE)),VLOOKUP(B6,'New Masses'!A:C,2, FALSE),"")</f>
        <v/>
      </c>
      <c r="AK6" s="438"/>
      <c r="AL6" s="437"/>
      <c r="AM6" s="447">
        <v>-3.09</v>
      </c>
      <c r="AN6" s="438"/>
      <c r="AO6" s="436">
        <v>3.0</v>
      </c>
      <c r="AP6" s="438"/>
      <c r="AQ6" s="438"/>
      <c r="AR6" s="436"/>
      <c r="AS6" s="438"/>
      <c r="AT6" s="448"/>
      <c r="AU6" s="449"/>
      <c r="AV6" s="438" t="s">
        <v>705</v>
      </c>
      <c r="AW6" s="438"/>
      <c r="AX6" s="450">
        <v>401.65481784954</v>
      </c>
    </row>
    <row r="7">
      <c r="A7" s="435" t="s">
        <v>1652</v>
      </c>
      <c r="B7" s="436" t="s">
        <v>1653</v>
      </c>
      <c r="C7" s="436"/>
      <c r="D7" s="436" t="s">
        <v>350</v>
      </c>
      <c r="E7" s="436"/>
      <c r="F7" s="436" t="s">
        <v>2169</v>
      </c>
      <c r="G7" s="437" t="s">
        <v>169</v>
      </c>
      <c r="H7" s="437" t="s">
        <v>702</v>
      </c>
      <c r="I7" s="437" t="s">
        <v>1999</v>
      </c>
      <c r="J7" s="437">
        <v>3100.0</v>
      </c>
      <c r="K7" s="438"/>
      <c r="L7" s="438"/>
      <c r="M7" s="453"/>
      <c r="N7" s="422">
        <v>14.167</v>
      </c>
      <c r="O7" s="422">
        <v>13.15</v>
      </c>
      <c r="P7" s="422"/>
      <c r="Q7" s="436" t="s">
        <v>1632</v>
      </c>
      <c r="R7" s="438"/>
      <c r="S7" s="436" t="s">
        <v>2000</v>
      </c>
      <c r="T7" s="436" t="s">
        <v>1632</v>
      </c>
      <c r="U7" s="436" t="s">
        <v>1633</v>
      </c>
      <c r="V7" s="451"/>
      <c r="W7" s="441">
        <v>0.03</v>
      </c>
      <c r="X7" s="438"/>
      <c r="Y7" s="442">
        <f t="shared" si="1"/>
        <v>0.6021336753</v>
      </c>
      <c r="Z7" s="442"/>
      <c r="AA7" s="443"/>
      <c r="AB7" s="443"/>
      <c r="AC7" s="436" t="str">
        <f>IF(ISNUMBER(VLOOKUP(B7,'New Masses'!A:C,3,FALSE)),VLOOKUP(B7,'New Masses'!A:C,3,FALSE),"")</f>
        <v/>
      </c>
      <c r="AD7" s="440"/>
      <c r="AE7" s="440">
        <f t="shared" si="2"/>
        <v>0</v>
      </c>
      <c r="AF7" s="444">
        <v>-10.01</v>
      </c>
      <c r="AG7" s="438"/>
      <c r="AH7" s="445">
        <v>0.11</v>
      </c>
      <c r="AI7" s="438"/>
      <c r="AJ7" s="446" t="str">
        <f>IF(ISNUMBER(VLOOKUP(B7,'New Masses'!A:C,2, FALSE)),VLOOKUP(B7,'New Masses'!A:C,2, FALSE),"")</f>
        <v/>
      </c>
      <c r="AK7" s="438"/>
      <c r="AL7" s="437"/>
      <c r="AM7" s="447">
        <v>-3.32</v>
      </c>
      <c r="AN7" s="438"/>
      <c r="AO7" s="436">
        <v>3.0</v>
      </c>
      <c r="AP7" s="438"/>
      <c r="AQ7" s="438"/>
      <c r="AR7" s="438"/>
      <c r="AS7" s="438"/>
      <c r="AT7" s="448"/>
      <c r="AU7" s="452"/>
      <c r="AV7" s="438"/>
      <c r="AW7" s="438"/>
      <c r="AX7" s="450">
        <v>413.308534821244</v>
      </c>
    </row>
    <row r="8">
      <c r="A8" s="435" t="s">
        <v>1654</v>
      </c>
      <c r="B8" s="436" t="s">
        <v>1655</v>
      </c>
      <c r="C8" s="436"/>
      <c r="D8" s="436" t="s">
        <v>350</v>
      </c>
      <c r="E8" s="436"/>
      <c r="F8" s="436" t="s">
        <v>2170</v>
      </c>
      <c r="G8" s="437" t="s">
        <v>169</v>
      </c>
      <c r="H8" s="437" t="s">
        <v>702</v>
      </c>
      <c r="I8" s="437" t="s">
        <v>1999</v>
      </c>
      <c r="J8" s="437">
        <v>3100.0</v>
      </c>
      <c r="K8" s="438"/>
      <c r="L8" s="436" t="s">
        <v>264</v>
      </c>
      <c r="M8" s="439"/>
      <c r="N8" s="422">
        <v>14.47</v>
      </c>
      <c r="O8" s="422">
        <v>13.44</v>
      </c>
      <c r="P8" s="422">
        <v>18.32</v>
      </c>
      <c r="Q8" s="436" t="s">
        <v>1632</v>
      </c>
      <c r="R8" s="438"/>
      <c r="S8" s="436" t="s">
        <v>2000</v>
      </c>
      <c r="T8" s="436" t="s">
        <v>1632</v>
      </c>
      <c r="U8" s="436" t="s">
        <v>1633</v>
      </c>
      <c r="V8" s="440"/>
      <c r="W8" s="441">
        <v>0.03</v>
      </c>
      <c r="X8" s="438"/>
      <c r="Y8" s="442">
        <f t="shared" si="1"/>
        <v>0.6021336753</v>
      </c>
      <c r="Z8" s="442"/>
      <c r="AA8" s="443"/>
      <c r="AB8" s="443"/>
      <c r="AC8" s="436" t="str">
        <f>IF(ISNUMBER(VLOOKUP(B8,'New Masses'!A:C,3,FALSE)),VLOOKUP(B8,'New Masses'!A:C,3,FALSE),"")</f>
        <v/>
      </c>
      <c r="AD8" s="440"/>
      <c r="AE8" s="440">
        <f t="shared" si="2"/>
        <v>0</v>
      </c>
      <c r="AF8" s="444">
        <v>-10.7</v>
      </c>
      <c r="AG8" s="438"/>
      <c r="AH8" s="445">
        <v>0.11</v>
      </c>
      <c r="AI8" s="438"/>
      <c r="AJ8" s="446" t="str">
        <f>IF(ISNUMBER(VLOOKUP(B8,'New Masses'!A:C,2, FALSE)),VLOOKUP(B8,'New Masses'!A:C,2, FALSE),"")</f>
        <v/>
      </c>
      <c r="AK8" s="438"/>
      <c r="AL8" s="437"/>
      <c r="AM8" s="447">
        <v>-4.04</v>
      </c>
      <c r="AN8" s="438"/>
      <c r="AO8" s="436">
        <v>3.0</v>
      </c>
      <c r="AP8" s="438"/>
      <c r="AQ8" s="436"/>
      <c r="AR8" s="436"/>
      <c r="AS8" s="438"/>
      <c r="AT8" s="448"/>
      <c r="AU8" s="449" t="s">
        <v>137</v>
      </c>
      <c r="AV8" s="438" t="s">
        <v>1656</v>
      </c>
      <c r="AW8" s="438"/>
      <c r="AX8" s="450">
        <v>363.940750445827</v>
      </c>
    </row>
    <row r="9">
      <c r="A9" s="435" t="s">
        <v>1642</v>
      </c>
      <c r="B9" s="436" t="s">
        <v>1643</v>
      </c>
      <c r="C9" s="436"/>
      <c r="D9" s="436" t="s">
        <v>350</v>
      </c>
      <c r="E9" s="436"/>
      <c r="F9" s="436" t="s">
        <v>2171</v>
      </c>
      <c r="G9" s="437" t="s">
        <v>169</v>
      </c>
      <c r="H9" s="437" t="s">
        <v>702</v>
      </c>
      <c r="I9" s="437" t="s">
        <v>1999</v>
      </c>
      <c r="J9" s="437">
        <v>2900.0</v>
      </c>
      <c r="K9" s="438"/>
      <c r="L9" s="438"/>
      <c r="M9" s="453"/>
      <c r="N9" s="422">
        <v>15.24</v>
      </c>
      <c r="O9" s="422">
        <v>14.31</v>
      </c>
      <c r="P9" s="422">
        <v>19.34</v>
      </c>
      <c r="Q9" s="436" t="s">
        <v>1632</v>
      </c>
      <c r="R9" s="438"/>
      <c r="S9" s="436" t="s">
        <v>2000</v>
      </c>
      <c r="T9" s="436" t="s">
        <v>1632</v>
      </c>
      <c r="U9" s="436" t="s">
        <v>1633</v>
      </c>
      <c r="V9" s="451"/>
      <c r="W9" s="441">
        <v>0.01</v>
      </c>
      <c r="X9" s="438"/>
      <c r="Y9" s="442">
        <f t="shared" si="1"/>
        <v>0.3972461356</v>
      </c>
      <c r="Z9" s="442"/>
      <c r="AA9" s="443"/>
      <c r="AB9" s="443"/>
      <c r="AC9" s="436" t="str">
        <f>IF(ISNUMBER(VLOOKUP(B9,'New Masses'!A:C,3,FALSE)),VLOOKUP(B9,'New Masses'!A:C,3,FALSE),"")</f>
        <v/>
      </c>
      <c r="AD9" s="440"/>
      <c r="AE9" s="440">
        <f t="shared" si="2"/>
        <v>0</v>
      </c>
      <c r="AF9" s="444">
        <v>-11.19</v>
      </c>
      <c r="AG9" s="438"/>
      <c r="AH9" s="445">
        <v>0.08</v>
      </c>
      <c r="AI9" s="438"/>
      <c r="AJ9" s="446" t="str">
        <f>IF(ISNUMBER(VLOOKUP(B9,'New Masses'!A:C,2, FALSE)),VLOOKUP(B9,'New Masses'!A:C,2, FALSE),"")</f>
        <v/>
      </c>
      <c r="AK9" s="438"/>
      <c r="AL9" s="437"/>
      <c r="AM9" s="447">
        <v>-4.58</v>
      </c>
      <c r="AN9" s="438"/>
      <c r="AO9" s="436">
        <v>3.0</v>
      </c>
      <c r="AP9" s="438"/>
      <c r="AQ9" s="436"/>
      <c r="AR9" s="436"/>
      <c r="AS9" s="438"/>
      <c r="AT9" s="448"/>
      <c r="AU9" s="452" t="s">
        <v>137</v>
      </c>
      <c r="AV9" s="438" t="s">
        <v>1639</v>
      </c>
      <c r="AW9" s="438"/>
      <c r="AX9" s="450">
        <v>338.718964874843</v>
      </c>
    </row>
    <row r="10">
      <c r="A10" s="435" t="s">
        <v>1635</v>
      </c>
      <c r="B10" s="436" t="s">
        <v>1636</v>
      </c>
      <c r="C10" s="436"/>
      <c r="D10" s="436" t="s">
        <v>350</v>
      </c>
      <c r="E10" s="436"/>
      <c r="F10" s="436" t="s">
        <v>2172</v>
      </c>
      <c r="G10" s="437" t="s">
        <v>169</v>
      </c>
      <c r="H10" s="437" t="s">
        <v>702</v>
      </c>
      <c r="I10" s="437" t="s">
        <v>1999</v>
      </c>
      <c r="J10" s="437">
        <v>2900.0</v>
      </c>
      <c r="K10" s="438"/>
      <c r="L10" s="438"/>
      <c r="M10" s="453"/>
      <c r="N10" s="422">
        <v>15.46</v>
      </c>
      <c r="O10" s="422">
        <v>14.49</v>
      </c>
      <c r="P10" s="422"/>
      <c r="Q10" s="436" t="s">
        <v>1632</v>
      </c>
      <c r="R10" s="438"/>
      <c r="S10" s="436" t="s">
        <v>2000</v>
      </c>
      <c r="T10" s="436" t="s">
        <v>1632</v>
      </c>
      <c r="U10" s="436" t="s">
        <v>1633</v>
      </c>
      <c r="V10" s="451"/>
      <c r="W10" s="441">
        <v>0.01</v>
      </c>
      <c r="X10" s="438"/>
      <c r="Y10" s="442">
        <f t="shared" si="1"/>
        <v>0.3972461356</v>
      </c>
      <c r="Z10" s="442"/>
      <c r="AA10" s="443"/>
      <c r="AB10" s="443"/>
      <c r="AC10" s="436" t="str">
        <f>IF(ISNUMBER(VLOOKUP(B10,'New Masses'!A:C,3,FALSE)),VLOOKUP(B10,'New Masses'!A:C,3,FALSE),"")</f>
        <v/>
      </c>
      <c r="AD10" s="440"/>
      <c r="AE10" s="440">
        <f t="shared" si="2"/>
        <v>0</v>
      </c>
      <c r="AF10" s="444">
        <v>-10.86</v>
      </c>
      <c r="AG10" s="438"/>
      <c r="AH10" s="445">
        <v>0.06</v>
      </c>
      <c r="AI10" s="438"/>
      <c r="AJ10" s="446" t="str">
        <f>IF(ISNUMBER(VLOOKUP(B10,'New Masses'!A:C,2, FALSE)),VLOOKUP(B10,'New Masses'!A:C,2, FALSE),"")</f>
        <v/>
      </c>
      <c r="AK10" s="438"/>
      <c r="AL10" s="437"/>
      <c r="AM10" s="447">
        <v>-4.33</v>
      </c>
      <c r="AN10" s="438"/>
      <c r="AO10" s="436">
        <v>3.0</v>
      </c>
      <c r="AP10" s="438"/>
      <c r="AQ10" s="454">
        <v>0.81</v>
      </c>
      <c r="AS10" s="454" t="s">
        <v>2173</v>
      </c>
      <c r="AT10" s="455">
        <v>0.21</v>
      </c>
      <c r="AU10" s="452" t="s">
        <v>137</v>
      </c>
      <c r="AV10" s="438"/>
      <c r="AW10" s="438"/>
      <c r="AX10" s="450"/>
    </row>
    <row r="11">
      <c r="A11" s="419" t="s">
        <v>782</v>
      </c>
      <c r="B11" s="419" t="s">
        <v>783</v>
      </c>
      <c r="C11" s="419"/>
      <c r="D11" s="436" t="s">
        <v>758</v>
      </c>
      <c r="E11" s="436"/>
      <c r="F11" s="436" t="s">
        <v>2174</v>
      </c>
      <c r="G11" s="437" t="s">
        <v>159</v>
      </c>
      <c r="H11" s="436" t="s">
        <v>759</v>
      </c>
      <c r="I11" s="456">
        <v>41609.0</v>
      </c>
      <c r="J11" s="436">
        <v>5888.43655</v>
      </c>
      <c r="K11" s="419">
        <v>700.0</v>
      </c>
      <c r="L11" s="436" t="s">
        <v>772</v>
      </c>
      <c r="M11" s="457">
        <v>1.0</v>
      </c>
      <c r="N11" s="422"/>
      <c r="O11" s="422"/>
      <c r="P11" s="422">
        <v>21.85</v>
      </c>
      <c r="Q11" s="436" t="s">
        <v>2175</v>
      </c>
      <c r="R11" s="436" t="s">
        <v>2176</v>
      </c>
      <c r="S11" s="436" t="s">
        <v>2177</v>
      </c>
      <c r="T11" s="419" t="s">
        <v>162</v>
      </c>
      <c r="U11" s="419" t="s">
        <v>2178</v>
      </c>
      <c r="V11" s="440"/>
      <c r="W11" s="458">
        <v>5.011872336272722</v>
      </c>
      <c r="X11" s="438"/>
      <c r="Y11" s="442">
        <f t="shared" si="1"/>
        <v>2.157027477</v>
      </c>
      <c r="Z11" s="442"/>
      <c r="AA11" s="443"/>
      <c r="AB11" s="443"/>
      <c r="AC11" s="436" t="str">
        <f>IF(ISNUMBER(VLOOKUP(B11,'New Masses'!A:C,3,FALSE)),VLOOKUP(B11,'New Masses'!A:C,3,FALSE),"")</f>
        <v/>
      </c>
      <c r="AD11" s="451"/>
      <c r="AE11" s="451">
        <f t="shared" ref="AE11:AE13" si="3">10^(AF11)</f>
        <v>0.0000001096478196</v>
      </c>
      <c r="AF11" s="439">
        <v>-6.96</v>
      </c>
      <c r="AG11" s="438"/>
      <c r="AH11" s="459">
        <v>1.57</v>
      </c>
      <c r="AI11" s="436"/>
      <c r="AJ11" s="446" t="str">
        <f>IF(ISNUMBER(VLOOKUP(B11,'New Masses'!A:C,2, FALSE)),VLOOKUP(B11,'New Masses'!A:C,2, FALSE),"")</f>
        <v/>
      </c>
      <c r="AK11" s="436">
        <f t="shared" ref="AK11:AK12" si="4">LOG10(AH11)</f>
        <v>0.1958996524</v>
      </c>
      <c r="AL11" s="437"/>
      <c r="AM11" s="437">
        <v>0.29</v>
      </c>
      <c r="AN11" s="454" t="s">
        <v>2179</v>
      </c>
      <c r="AO11" s="437">
        <v>3.8</v>
      </c>
      <c r="AP11" s="438"/>
      <c r="AQ11" s="454">
        <v>5.63</v>
      </c>
      <c r="AR11" s="438"/>
      <c r="AS11" s="438"/>
      <c r="AT11" s="448"/>
      <c r="AU11" s="452"/>
      <c r="AV11" s="438"/>
      <c r="AW11" s="438"/>
      <c r="AX11" s="450"/>
    </row>
    <row r="12">
      <c r="A12" s="419" t="s">
        <v>764</v>
      </c>
      <c r="B12" s="419" t="s">
        <v>765</v>
      </c>
      <c r="C12" s="419"/>
      <c r="D12" s="436" t="s">
        <v>758</v>
      </c>
      <c r="E12" s="436"/>
      <c r="F12" s="436" t="s">
        <v>2180</v>
      </c>
      <c r="G12" s="437" t="s">
        <v>169</v>
      </c>
      <c r="H12" s="436" t="s">
        <v>759</v>
      </c>
      <c r="I12" s="456">
        <v>41609.0</v>
      </c>
      <c r="J12" s="436">
        <v>4786.30092</v>
      </c>
      <c r="K12" s="419">
        <v>550.0</v>
      </c>
      <c r="L12" s="436" t="s">
        <v>766</v>
      </c>
      <c r="M12" s="457">
        <v>1.0</v>
      </c>
      <c r="N12" s="422"/>
      <c r="O12" s="422"/>
      <c r="P12" s="422">
        <v>18.51</v>
      </c>
      <c r="Q12" s="436" t="s">
        <v>2175</v>
      </c>
      <c r="R12" s="436" t="s">
        <v>2176</v>
      </c>
      <c r="S12" s="436" t="s">
        <v>2177</v>
      </c>
      <c r="T12" s="419" t="s">
        <v>162</v>
      </c>
      <c r="U12" s="419" t="s">
        <v>2178</v>
      </c>
      <c r="V12" s="440"/>
      <c r="W12" s="458">
        <v>2.290867652767773</v>
      </c>
      <c r="X12" s="438"/>
      <c r="Y12" s="442">
        <f t="shared" si="1"/>
        <v>2.207271102</v>
      </c>
      <c r="Z12" s="442"/>
      <c r="AA12" s="443"/>
      <c r="AB12" s="443"/>
      <c r="AC12" s="436" t="str">
        <f>IF(ISNUMBER(VLOOKUP(B12,'New Masses'!A:C,3,FALSE)),VLOOKUP(B12,'New Masses'!A:C,3,FALSE),"")</f>
        <v/>
      </c>
      <c r="AD12" s="451"/>
      <c r="AE12" s="451">
        <f t="shared" si="3"/>
        <v>0.00000002454708916</v>
      </c>
      <c r="AF12" s="439">
        <v>-7.61</v>
      </c>
      <c r="AG12" s="438"/>
      <c r="AH12" s="459">
        <v>0.91</v>
      </c>
      <c r="AI12" s="436"/>
      <c r="AJ12" s="446" t="str">
        <f>IF(ISNUMBER(VLOOKUP(B12,'New Masses'!A:C,2, FALSE)),VLOOKUP(B12,'New Masses'!A:C,2, FALSE),"")</f>
        <v/>
      </c>
      <c r="AK12" s="436">
        <f t="shared" si="4"/>
        <v>-0.04095860768</v>
      </c>
      <c r="AL12" s="437"/>
      <c r="AM12" s="437">
        <v>-0.6</v>
      </c>
      <c r="AN12" s="454" t="s">
        <v>2181</v>
      </c>
      <c r="AO12" s="437">
        <v>0.9</v>
      </c>
      <c r="AP12" s="438"/>
      <c r="AQ12" s="454">
        <v>2.15</v>
      </c>
      <c r="AR12" s="438"/>
      <c r="AS12" s="438"/>
      <c r="AT12" s="448"/>
      <c r="AU12" s="449"/>
      <c r="AV12" s="438"/>
      <c r="AW12" s="438"/>
      <c r="AX12" s="450"/>
    </row>
    <row r="13">
      <c r="A13" s="419" t="s">
        <v>1354</v>
      </c>
      <c r="B13" s="436" t="s">
        <v>1355</v>
      </c>
      <c r="C13" s="436"/>
      <c r="D13" s="436" t="s">
        <v>158</v>
      </c>
      <c r="E13" s="436"/>
      <c r="F13" s="436" t="s">
        <v>2182</v>
      </c>
      <c r="G13" s="436" t="s">
        <v>159</v>
      </c>
      <c r="H13" s="436" t="s">
        <v>160</v>
      </c>
      <c r="I13" s="436" t="s">
        <v>1963</v>
      </c>
      <c r="J13" s="436">
        <v>2884.0315</v>
      </c>
      <c r="K13" s="436"/>
      <c r="L13" s="438"/>
      <c r="M13" s="453"/>
      <c r="N13" s="422">
        <v>14.296</v>
      </c>
      <c r="O13" s="422">
        <v>10.565</v>
      </c>
      <c r="P13" s="422"/>
      <c r="Q13" s="436" t="s">
        <v>2183</v>
      </c>
      <c r="R13" s="436" t="s">
        <v>2184</v>
      </c>
      <c r="S13" s="436" t="s">
        <v>1964</v>
      </c>
      <c r="T13" s="419" t="s">
        <v>162</v>
      </c>
      <c r="U13" s="436" t="s">
        <v>2185</v>
      </c>
      <c r="V13" s="451">
        <v>3.3436E28</v>
      </c>
      <c r="W13" s="458">
        <v>0.16595869074375605</v>
      </c>
      <c r="X13" s="438"/>
      <c r="Y13" s="442">
        <f t="shared" si="1"/>
        <v>1.636272674</v>
      </c>
      <c r="Z13" s="442"/>
      <c r="AA13" s="443"/>
      <c r="AB13" s="443"/>
      <c r="AC13" s="436" t="str">
        <f>IF(ISNUMBER(VLOOKUP(B13,'New Masses'!A:C,3,FALSE)),VLOOKUP(B13,'New Masses'!A:C,3,FALSE),"")</f>
        <v/>
      </c>
      <c r="AD13" s="451"/>
      <c r="AE13" s="451">
        <f t="shared" si="3"/>
        <v>0.0000000004168693835</v>
      </c>
      <c r="AF13" s="439">
        <v>-9.38</v>
      </c>
      <c r="AG13" s="438"/>
      <c r="AH13" s="459">
        <f t="shared" ref="AH13:AH14" si="5">10^AK13</f>
        <v>0.1412537545</v>
      </c>
      <c r="AI13" s="436"/>
      <c r="AJ13" s="446" t="str">
        <f>IF(ISNUMBER(VLOOKUP(B13,'New Masses'!A:C,2, FALSE)),VLOOKUP(B13,'New Masses'!A:C,2, FALSE),"")</f>
        <v/>
      </c>
      <c r="AK13" s="436">
        <v>-0.85</v>
      </c>
      <c r="AL13" s="436"/>
      <c r="AM13" s="436">
        <v>-2.89</v>
      </c>
      <c r="AN13" s="438"/>
      <c r="AO13" s="436">
        <v>1.0</v>
      </c>
      <c r="AP13" s="419" t="s">
        <v>156</v>
      </c>
      <c r="AQ13" s="436"/>
      <c r="AR13" s="438"/>
      <c r="AS13" s="438"/>
      <c r="AT13" s="455">
        <v>3.8</v>
      </c>
      <c r="AU13" s="449" t="s">
        <v>137</v>
      </c>
      <c r="AV13" s="438"/>
      <c r="AW13" s="438"/>
      <c r="AX13" s="450"/>
    </row>
    <row r="14">
      <c r="A14" s="419" t="s">
        <v>1354</v>
      </c>
      <c r="B14" s="436" t="s">
        <v>1989</v>
      </c>
      <c r="C14" s="436"/>
      <c r="D14" s="436" t="s">
        <v>158</v>
      </c>
      <c r="E14" s="436"/>
      <c r="F14" s="436" t="s">
        <v>2186</v>
      </c>
      <c r="G14" s="436" t="s">
        <v>159</v>
      </c>
      <c r="H14" s="436" t="s">
        <v>160</v>
      </c>
      <c r="I14" s="436" t="s">
        <v>1963</v>
      </c>
      <c r="J14" s="436">
        <v>3311.31121</v>
      </c>
      <c r="K14" s="436"/>
      <c r="L14" s="438"/>
      <c r="M14" s="453"/>
      <c r="N14" s="422">
        <v>14.296</v>
      </c>
      <c r="O14" s="422">
        <v>10.565</v>
      </c>
      <c r="P14" s="422"/>
      <c r="Q14" s="436" t="s">
        <v>2183</v>
      </c>
      <c r="R14" s="436" t="s">
        <v>2184</v>
      </c>
      <c r="S14" s="436" t="s">
        <v>1964</v>
      </c>
      <c r="T14" s="419" t="s">
        <v>162</v>
      </c>
      <c r="U14" s="436" t="s">
        <v>2185</v>
      </c>
      <c r="V14" s="451"/>
      <c r="W14" s="458">
        <v>0.5011872336272722</v>
      </c>
      <c r="X14" s="438"/>
      <c r="Y14" s="442">
        <f t="shared" si="1"/>
        <v>2.157027481</v>
      </c>
      <c r="Z14" s="442"/>
      <c r="AA14" s="443"/>
      <c r="AB14" s="443"/>
      <c r="AC14" s="436" t="str">
        <f>IF(ISNUMBER(VLOOKUP(B14,'New Masses'!A:C,3,FALSE)),VLOOKUP(B14,'New Masses'!A:C,3,FALSE),"")</f>
        <v/>
      </c>
      <c r="AD14" s="451"/>
      <c r="AE14" s="451"/>
      <c r="AF14" s="439"/>
      <c r="AG14" s="438"/>
      <c r="AH14" s="459">
        <f t="shared" si="5"/>
        <v>0.2691534804</v>
      </c>
      <c r="AI14" s="436"/>
      <c r="AJ14" s="446" t="str">
        <f>IF(ISNUMBER(VLOOKUP(B14,'New Masses'!A:C,2, FALSE)),VLOOKUP(B14,'New Masses'!A:C,2, FALSE),"")</f>
        <v/>
      </c>
      <c r="AK14" s="436">
        <v>-0.57</v>
      </c>
      <c r="AL14" s="436"/>
      <c r="AM14" s="436"/>
      <c r="AN14" s="438"/>
      <c r="AO14" s="436">
        <v>1.0</v>
      </c>
      <c r="AP14" s="419" t="s">
        <v>156</v>
      </c>
      <c r="AQ14" s="436"/>
      <c r="AR14" s="438"/>
      <c r="AS14" s="438"/>
      <c r="AT14" s="455">
        <v>4.4</v>
      </c>
      <c r="AU14" s="452" t="s">
        <v>137</v>
      </c>
      <c r="AV14" s="438"/>
      <c r="AW14" s="438"/>
      <c r="AX14" s="450"/>
    </row>
    <row r="15">
      <c r="A15" s="435" t="s">
        <v>1696</v>
      </c>
      <c r="B15" s="436" t="s">
        <v>1697</v>
      </c>
      <c r="C15" s="436"/>
      <c r="D15" s="436" t="s">
        <v>350</v>
      </c>
      <c r="E15" s="436"/>
      <c r="F15" s="436" t="s">
        <v>2187</v>
      </c>
      <c r="G15" s="437" t="s">
        <v>515</v>
      </c>
      <c r="H15" s="437" t="s">
        <v>702</v>
      </c>
      <c r="I15" s="437" t="s">
        <v>1999</v>
      </c>
      <c r="J15" s="437">
        <v>3300.0</v>
      </c>
      <c r="K15" s="438"/>
      <c r="L15" s="438"/>
      <c r="M15" s="453"/>
      <c r="N15" s="422">
        <v>14.6</v>
      </c>
      <c r="O15" s="422">
        <v>13.78</v>
      </c>
      <c r="P15" s="422">
        <v>17.71</v>
      </c>
      <c r="Q15" s="436" t="s">
        <v>1632</v>
      </c>
      <c r="R15" s="438"/>
      <c r="S15" s="436" t="s">
        <v>2000</v>
      </c>
      <c r="T15" s="436" t="s">
        <v>1632</v>
      </c>
      <c r="U15" s="436" t="s">
        <v>1633</v>
      </c>
      <c r="V15" s="451"/>
      <c r="W15" s="441">
        <v>0.03</v>
      </c>
      <c r="X15" s="438"/>
      <c r="Y15" s="442">
        <f t="shared" si="1"/>
        <v>0.5313594692</v>
      </c>
      <c r="Z15" s="442"/>
      <c r="AA15" s="443"/>
      <c r="AB15" s="443"/>
      <c r="AC15" s="436" t="str">
        <f>IF(ISNUMBER(VLOOKUP(B15,'New Masses'!A:C,3,FALSE)),VLOOKUP(B15,'New Masses'!A:C,3,FALSE),"")</f>
        <v/>
      </c>
      <c r="AD15" s="440"/>
      <c r="AE15" s="440">
        <f t="shared" ref="AE15:AE17" si="6">10^AF15</f>
        <v>0</v>
      </c>
      <c r="AF15" s="444">
        <v>-10.71</v>
      </c>
      <c r="AG15" s="438"/>
      <c r="AH15" s="445">
        <v>0.2</v>
      </c>
      <c r="AI15" s="438"/>
      <c r="AJ15" s="446" t="str">
        <f>IF(ISNUMBER(VLOOKUP(B15,'New Masses'!A:C,2, FALSE)),VLOOKUP(B15,'New Masses'!A:C,2, FALSE),"")</f>
        <v/>
      </c>
      <c r="AK15" s="438"/>
      <c r="AL15" s="437"/>
      <c r="AM15" s="447">
        <v>-3.73</v>
      </c>
      <c r="AN15" s="438"/>
      <c r="AO15" s="436">
        <v>3.0</v>
      </c>
      <c r="AP15" s="438"/>
      <c r="AQ15" s="436"/>
      <c r="AR15" s="436"/>
      <c r="AS15" s="438"/>
      <c r="AT15" s="448"/>
      <c r="AU15" s="452" t="s">
        <v>137</v>
      </c>
      <c r="AV15" s="438" t="s">
        <v>1698</v>
      </c>
      <c r="AW15" s="438"/>
      <c r="AX15" s="450">
        <v>239.320330262055</v>
      </c>
    </row>
    <row r="16">
      <c r="A16" s="435" t="s">
        <v>490</v>
      </c>
      <c r="B16" s="460" t="s">
        <v>491</v>
      </c>
      <c r="C16" s="440"/>
      <c r="D16" s="440" t="s">
        <v>314</v>
      </c>
      <c r="E16" s="440"/>
      <c r="F16" s="451" t="s">
        <v>2188</v>
      </c>
      <c r="G16" s="440" t="s">
        <v>169</v>
      </c>
      <c r="H16" s="440" t="s">
        <v>476</v>
      </c>
      <c r="I16" s="436">
        <v>2015.0</v>
      </c>
      <c r="J16" s="460">
        <v>2935.0</v>
      </c>
      <c r="K16" s="460">
        <v>66.0</v>
      </c>
      <c r="L16" s="460" t="s">
        <v>217</v>
      </c>
      <c r="M16" s="461">
        <v>0.5</v>
      </c>
      <c r="N16" s="422">
        <v>13.74</v>
      </c>
      <c r="O16" s="422">
        <v>12.44</v>
      </c>
      <c r="P16" s="422">
        <v>17.76</v>
      </c>
      <c r="Q16" s="440" t="s">
        <v>2189</v>
      </c>
      <c r="R16" s="451" t="s">
        <v>2190</v>
      </c>
      <c r="S16" s="451" t="s">
        <v>2191</v>
      </c>
      <c r="T16" s="462" t="s">
        <v>162</v>
      </c>
      <c r="U16" s="451" t="s">
        <v>2192</v>
      </c>
      <c r="V16" s="440"/>
      <c r="W16" s="463"/>
      <c r="X16" s="437"/>
      <c r="Y16" s="442" t="str">
        <f t="shared" si="1"/>
        <v/>
      </c>
      <c r="Z16" s="464"/>
      <c r="AA16" s="465">
        <v>1.03</v>
      </c>
      <c r="AB16" s="465">
        <v>0.27</v>
      </c>
      <c r="AC16" s="436" t="str">
        <f>IF(ISNUMBER(VLOOKUP(B16,'New Masses'!A:C,3,FALSE)),VLOOKUP(B16,'New Masses'!A:C,3,FALSE),"")</f>
        <v/>
      </c>
      <c r="AD16" s="440"/>
      <c r="AE16" s="440">
        <f t="shared" si="6"/>
        <v>0</v>
      </c>
      <c r="AF16" s="439">
        <v>-11.3</v>
      </c>
      <c r="AG16" s="440"/>
      <c r="AH16" s="445">
        <v>0.1</v>
      </c>
      <c r="AI16" s="460">
        <v>0.01</v>
      </c>
      <c r="AJ16" s="446" t="str">
        <f>IF(ISNUMBER(VLOOKUP(B16,'New Masses'!A:C,2, FALSE)),VLOOKUP(B16,'New Masses'!A:C,2, FALSE),"")</f>
        <v/>
      </c>
      <c r="AK16" s="440">
        <f>LOG10(AH16)</f>
        <v>-1</v>
      </c>
      <c r="AL16" s="460"/>
      <c r="AM16" s="460">
        <v>-4.9</v>
      </c>
      <c r="AN16" s="466">
        <v>43900.0</v>
      </c>
      <c r="AO16" s="436">
        <v>3.0</v>
      </c>
      <c r="AP16" s="440"/>
      <c r="AQ16" s="440"/>
      <c r="AR16" s="440"/>
      <c r="AS16" s="440"/>
      <c r="AT16" s="448"/>
      <c r="AU16" s="452" t="s">
        <v>137</v>
      </c>
      <c r="AV16" s="440"/>
      <c r="AW16" s="440"/>
      <c r="AX16" s="450">
        <v>175.254118471784</v>
      </c>
    </row>
    <row r="17">
      <c r="A17" s="455" t="s">
        <v>630</v>
      </c>
      <c r="B17" s="436"/>
      <c r="C17" s="420"/>
      <c r="D17" s="420" t="s">
        <v>268</v>
      </c>
      <c r="E17" s="420"/>
      <c r="F17" s="420" t="s">
        <v>2193</v>
      </c>
      <c r="G17" s="420" t="s">
        <v>169</v>
      </c>
      <c r="H17" s="420" t="s">
        <v>598</v>
      </c>
      <c r="I17" s="467">
        <v>37985.0</v>
      </c>
      <c r="J17" s="436">
        <v>2752.0</v>
      </c>
      <c r="K17" s="436"/>
      <c r="L17" s="420" t="s">
        <v>334</v>
      </c>
      <c r="M17" s="429"/>
      <c r="N17" s="422">
        <v>13.342</v>
      </c>
      <c r="O17" s="422">
        <v>12.174</v>
      </c>
      <c r="P17" s="422"/>
      <c r="Q17" s="420" t="s">
        <v>2194</v>
      </c>
      <c r="R17" s="420" t="s">
        <v>2195</v>
      </c>
      <c r="S17" s="420" t="s">
        <v>2196</v>
      </c>
      <c r="T17" s="420" t="s">
        <v>596</v>
      </c>
      <c r="U17" s="420" t="s">
        <v>597</v>
      </c>
      <c r="V17" s="440"/>
      <c r="W17" s="468"/>
      <c r="X17" s="436"/>
      <c r="Y17" s="442" t="str">
        <f t="shared" si="1"/>
        <v/>
      </c>
      <c r="Z17" s="469"/>
      <c r="AA17" s="470">
        <v>0.5</v>
      </c>
      <c r="AB17" s="470"/>
      <c r="AC17" s="436" t="str">
        <f>IF(ISNUMBER(VLOOKUP(B17,'New Masses'!A:C,3,FALSE)),VLOOKUP(B17,'New Masses'!A:C,3,FALSE),"")</f>
        <v/>
      </c>
      <c r="AD17" s="440"/>
      <c r="AE17" s="440">
        <f t="shared" si="6"/>
        <v>0</v>
      </c>
      <c r="AF17" s="439">
        <v>-11.3</v>
      </c>
      <c r="AG17" s="438"/>
      <c r="AH17" s="459">
        <v>0.035</v>
      </c>
      <c r="AI17" s="436"/>
      <c r="AJ17" s="446" t="str">
        <f>IF(ISNUMBER(VLOOKUP(B17,'New Masses'!A:C,2, FALSE)),VLOOKUP(B17,'New Masses'!A:C,2, FALSE),"")</f>
        <v/>
      </c>
      <c r="AK17" s="436"/>
      <c r="AL17" s="438"/>
      <c r="AM17" s="438"/>
      <c r="AN17" s="438"/>
      <c r="AO17" s="436">
        <v>2.0</v>
      </c>
      <c r="AP17" s="438"/>
      <c r="AQ17" s="436">
        <v>0.2</v>
      </c>
      <c r="AR17" s="438"/>
      <c r="AS17" s="420" t="s">
        <v>2197</v>
      </c>
      <c r="AT17" s="448"/>
      <c r="AU17" s="471"/>
      <c r="AV17" s="438"/>
      <c r="AW17" s="420" t="s">
        <v>2198</v>
      </c>
      <c r="AX17" s="450">
        <v>196.803904589467</v>
      </c>
    </row>
    <row r="18">
      <c r="A18" s="419" t="s">
        <v>630</v>
      </c>
      <c r="B18" s="419" t="s">
        <v>630</v>
      </c>
      <c r="C18" s="421" t="s">
        <v>631</v>
      </c>
      <c r="D18" s="420" t="s">
        <v>268</v>
      </c>
      <c r="E18" s="420"/>
      <c r="F18" s="420" t="s">
        <v>2193</v>
      </c>
      <c r="G18" s="420" t="s">
        <v>169</v>
      </c>
      <c r="H18" s="420" t="s">
        <v>269</v>
      </c>
      <c r="I18" s="420" t="s">
        <v>2199</v>
      </c>
      <c r="J18" s="436">
        <v>2770.0</v>
      </c>
      <c r="K18" s="421">
        <v>150.0</v>
      </c>
      <c r="L18" s="420" t="s">
        <v>232</v>
      </c>
      <c r="M18" s="422">
        <v>0.5</v>
      </c>
      <c r="N18" s="422">
        <v>13.342</v>
      </c>
      <c r="O18" s="422">
        <v>12.174</v>
      </c>
      <c r="P18" s="422"/>
      <c r="Q18" s="420" t="s">
        <v>2200</v>
      </c>
      <c r="R18" s="420" t="s">
        <v>2176</v>
      </c>
      <c r="S18" s="420" t="s">
        <v>2201</v>
      </c>
      <c r="T18" s="420" t="s">
        <v>596</v>
      </c>
      <c r="U18" s="420" t="s">
        <v>597</v>
      </c>
      <c r="V18" s="440"/>
      <c r="W18" s="458">
        <v>0.01096478196143185</v>
      </c>
      <c r="X18" s="454">
        <v>0.0105</v>
      </c>
      <c r="Y18" s="442">
        <f t="shared" si="1"/>
        <v>0.455927868</v>
      </c>
      <c r="Z18" s="442"/>
      <c r="AA18" s="443"/>
      <c r="AB18" s="443"/>
      <c r="AC18" s="436" t="str">
        <f>IF(ISNUMBER(VLOOKUP(B18,'New Masses'!A:C,3,FALSE)),VLOOKUP(B18,'New Masses'!A:C,3,FALSE),"")</f>
        <v/>
      </c>
      <c r="AD18" s="451"/>
      <c r="AE18" s="451">
        <f>(10^-12)</f>
        <v>0</v>
      </c>
      <c r="AF18" s="439">
        <f t="shared" ref="AF18:AF19" si="7">LOG10(AE18)</f>
        <v>-12</v>
      </c>
      <c r="AG18" s="438"/>
      <c r="AH18" s="459">
        <f>40*0.0009543</f>
        <v>0.038172</v>
      </c>
      <c r="AI18" s="420"/>
      <c r="AJ18" s="446">
        <f>IF(ISNUMBER(VLOOKUP(C18,'New Masses'!A:C,2, FALSE)),VLOOKUP(C18,'New Masses'!A:C,2, FALSE),"")</f>
        <v>0.028415</v>
      </c>
      <c r="AK18" s="420"/>
      <c r="AL18" s="438"/>
      <c r="AM18" s="438"/>
      <c r="AN18" s="438"/>
      <c r="AO18" s="436">
        <v>2.0</v>
      </c>
      <c r="AP18" s="438"/>
      <c r="AQ18" s="436">
        <v>0.2</v>
      </c>
      <c r="AR18" s="420"/>
      <c r="AS18" s="420" t="s">
        <v>2197</v>
      </c>
      <c r="AT18" s="448"/>
      <c r="AU18" s="452" t="s">
        <v>137</v>
      </c>
      <c r="AV18" s="438"/>
      <c r="AW18" s="438"/>
      <c r="AX18" s="450">
        <v>196.803904589467</v>
      </c>
    </row>
    <row r="19">
      <c r="A19" s="419" t="s">
        <v>630</v>
      </c>
      <c r="B19" s="419" t="s">
        <v>630</v>
      </c>
      <c r="C19" s="421" t="s">
        <v>631</v>
      </c>
      <c r="D19" s="420" t="s">
        <v>268</v>
      </c>
      <c r="E19" s="420"/>
      <c r="F19" s="420" t="s">
        <v>2193</v>
      </c>
      <c r="G19" s="420" t="s">
        <v>169</v>
      </c>
      <c r="H19" s="420" t="s">
        <v>269</v>
      </c>
      <c r="I19" s="420" t="s">
        <v>2199</v>
      </c>
      <c r="J19" s="436">
        <v>2770.0</v>
      </c>
      <c r="K19" s="421">
        <v>150.0</v>
      </c>
      <c r="L19" s="420" t="s">
        <v>232</v>
      </c>
      <c r="M19" s="422">
        <v>0.5</v>
      </c>
      <c r="N19" s="422">
        <v>13.342</v>
      </c>
      <c r="O19" s="422">
        <v>12.174</v>
      </c>
      <c r="P19" s="422"/>
      <c r="Q19" s="420" t="s">
        <v>2200</v>
      </c>
      <c r="R19" s="420" t="s">
        <v>2176</v>
      </c>
      <c r="S19" s="420" t="s">
        <v>2201</v>
      </c>
      <c r="T19" s="421" t="s">
        <v>162</v>
      </c>
      <c r="U19" s="420" t="s">
        <v>1965</v>
      </c>
      <c r="V19" s="440"/>
      <c r="W19" s="458">
        <v>0.01096478196143185</v>
      </c>
      <c r="X19" s="454">
        <v>0.0105</v>
      </c>
      <c r="Y19" s="442">
        <f t="shared" si="1"/>
        <v>0.455927868</v>
      </c>
      <c r="Z19" s="442"/>
      <c r="AA19" s="443"/>
      <c r="AB19" s="443"/>
      <c r="AC19" s="436" t="str">
        <f>IF(ISNUMBER(VLOOKUP(B19,'New Masses'!A:C,3,FALSE)),VLOOKUP(B19,'New Masses'!A:C,3,FALSE),"")</f>
        <v/>
      </c>
      <c r="AD19" s="451"/>
      <c r="AE19" s="451">
        <f>(10^-11.4)</f>
        <v>0</v>
      </c>
      <c r="AF19" s="439">
        <f t="shared" si="7"/>
        <v>-11.4</v>
      </c>
      <c r="AG19" s="438"/>
      <c r="AH19" s="459">
        <f>0.0009543*40</f>
        <v>0.038172</v>
      </c>
      <c r="AI19" s="420"/>
      <c r="AJ19" s="446">
        <f>IF(ISNUMBER(VLOOKUP(C19,'New Masses'!A:C,2, FALSE)),VLOOKUP(C19,'New Masses'!A:C,2, FALSE),"")</f>
        <v>0.028415</v>
      </c>
      <c r="AK19" s="420"/>
      <c r="AL19" s="438"/>
      <c r="AM19" s="438"/>
      <c r="AN19" s="438"/>
      <c r="AO19" s="436">
        <v>2.0</v>
      </c>
      <c r="AP19" s="438"/>
      <c r="AQ19" s="436">
        <v>0.2</v>
      </c>
      <c r="AR19" s="438"/>
      <c r="AS19" s="420" t="s">
        <v>2197</v>
      </c>
      <c r="AT19" s="448"/>
      <c r="AU19" s="449" t="s">
        <v>137</v>
      </c>
      <c r="AV19" s="438"/>
      <c r="AW19" s="438"/>
      <c r="AX19" s="450">
        <v>196.803904589467</v>
      </c>
    </row>
    <row r="20">
      <c r="A20" s="419" t="s">
        <v>667</v>
      </c>
      <c r="B20" s="436" t="s">
        <v>668</v>
      </c>
      <c r="C20" s="420"/>
      <c r="D20" s="420" t="s">
        <v>268</v>
      </c>
      <c r="E20" s="420"/>
      <c r="F20" s="420" t="s">
        <v>2202</v>
      </c>
      <c r="G20" s="420" t="s">
        <v>169</v>
      </c>
      <c r="H20" s="420" t="s">
        <v>598</v>
      </c>
      <c r="I20" s="467">
        <v>37985.0</v>
      </c>
      <c r="J20" s="436">
        <v>2962.0</v>
      </c>
      <c r="K20" s="436"/>
      <c r="L20" s="420" t="s">
        <v>642</v>
      </c>
      <c r="M20" s="429"/>
      <c r="N20" s="422">
        <v>14.31</v>
      </c>
      <c r="O20" s="422">
        <v>13.242</v>
      </c>
      <c r="P20" s="422"/>
      <c r="Q20" s="420" t="s">
        <v>2194</v>
      </c>
      <c r="R20" s="420" t="s">
        <v>2195</v>
      </c>
      <c r="S20" s="420" t="s">
        <v>2196</v>
      </c>
      <c r="T20" s="420" t="s">
        <v>596</v>
      </c>
      <c r="U20" s="420" t="s">
        <v>597</v>
      </c>
      <c r="V20" s="440"/>
      <c r="W20" s="468"/>
      <c r="X20" s="436"/>
      <c r="Y20" s="442" t="str">
        <f t="shared" si="1"/>
        <v/>
      </c>
      <c r="Z20" s="469"/>
      <c r="AA20" s="470">
        <v>0.36</v>
      </c>
      <c r="AB20" s="470"/>
      <c r="AC20" s="469">
        <f>IF(ISNUMBER(VLOOKUP(B20,'New Masses'!A:C,3,FALSE)),VLOOKUP(B20,'New Masses'!A:C,3,FALSE),"")</f>
        <v>0.586907</v>
      </c>
      <c r="AD20" s="440"/>
      <c r="AE20" s="440">
        <f t="shared" ref="AE20:AE22" si="8">10^AF20</f>
        <v>0</v>
      </c>
      <c r="AF20" s="439">
        <v>-12.0</v>
      </c>
      <c r="AG20" s="438"/>
      <c r="AH20" s="459">
        <v>0.07</v>
      </c>
      <c r="AI20" s="436"/>
      <c r="AJ20" s="446">
        <f>IF(ISNUMBER(VLOOKUP(B20,'New Masses'!A:C,2, FALSE)),VLOOKUP(B20,'New Masses'!A:C,2, FALSE),"")</f>
        <v>0.051704</v>
      </c>
      <c r="AK20" s="436"/>
      <c r="AL20" s="438"/>
      <c r="AM20" s="438"/>
      <c r="AN20" s="438"/>
      <c r="AO20" s="436">
        <v>2.0</v>
      </c>
      <c r="AP20" s="438"/>
      <c r="AQ20" s="436">
        <v>0.1</v>
      </c>
      <c r="AR20" s="420"/>
      <c r="AS20" s="420" t="s">
        <v>2197</v>
      </c>
      <c r="AT20" s="448"/>
      <c r="AU20" s="472" t="s">
        <v>137</v>
      </c>
      <c r="AV20" s="438"/>
      <c r="AW20" s="438"/>
      <c r="AX20" s="450">
        <v>194.768517616812</v>
      </c>
    </row>
    <row r="21">
      <c r="A21" s="419" t="s">
        <v>655</v>
      </c>
      <c r="B21" s="436" t="s">
        <v>656</v>
      </c>
      <c r="C21" s="420"/>
      <c r="D21" s="420" t="s">
        <v>268</v>
      </c>
      <c r="E21" s="420"/>
      <c r="F21" s="420" t="s">
        <v>2203</v>
      </c>
      <c r="G21" s="420" t="s">
        <v>169</v>
      </c>
      <c r="H21" s="420" t="s">
        <v>598</v>
      </c>
      <c r="I21" s="467">
        <v>37985.0</v>
      </c>
      <c r="J21" s="436">
        <v>2838.0</v>
      </c>
      <c r="K21" s="436"/>
      <c r="L21" s="420" t="s">
        <v>237</v>
      </c>
      <c r="M21" s="429"/>
      <c r="N21" s="422">
        <v>14.586</v>
      </c>
      <c r="O21" s="422">
        <v>13.545</v>
      </c>
      <c r="P21" s="422"/>
      <c r="Q21" s="420" t="s">
        <v>2194</v>
      </c>
      <c r="R21" s="420" t="s">
        <v>2195</v>
      </c>
      <c r="S21" s="420" t="s">
        <v>2196</v>
      </c>
      <c r="T21" s="420" t="s">
        <v>596</v>
      </c>
      <c r="U21" s="420" t="s">
        <v>597</v>
      </c>
      <c r="V21" s="440"/>
      <c r="W21" s="468"/>
      <c r="X21" s="436"/>
      <c r="Y21" s="442" t="str">
        <f t="shared" si="1"/>
        <v/>
      </c>
      <c r="Z21" s="469"/>
      <c r="AA21" s="470">
        <v>0.28</v>
      </c>
      <c r="AB21" s="470"/>
      <c r="AC21" s="469">
        <f>IF(ISNUMBER(VLOOKUP(B21,'New Masses'!A:C,3,FALSE)),VLOOKUP(B21,'New Masses'!A:C,3,FALSE),"")</f>
        <v>0.432801</v>
      </c>
      <c r="AD21" s="440"/>
      <c r="AE21" s="440">
        <f t="shared" si="8"/>
        <v>0</v>
      </c>
      <c r="AF21" s="439">
        <v>-11.0</v>
      </c>
      <c r="AG21" s="438"/>
      <c r="AH21" s="459">
        <v>0.055</v>
      </c>
      <c r="AI21" s="436"/>
      <c r="AJ21" s="446">
        <f>IF(ISNUMBER(VLOOKUP(B21,'New Masses'!A:C,2, FALSE)),VLOOKUP(B21,'New Masses'!A:C,2, FALSE),"")</f>
        <v>0.034934</v>
      </c>
      <c r="AK21" s="436"/>
      <c r="AL21" s="438"/>
      <c r="AM21" s="438"/>
      <c r="AN21" s="438"/>
      <c r="AO21" s="436">
        <v>2.0</v>
      </c>
      <c r="AP21" s="438"/>
      <c r="AQ21" s="436">
        <v>0.0</v>
      </c>
      <c r="AR21" s="438"/>
      <c r="AS21" s="420" t="s">
        <v>2197</v>
      </c>
      <c r="AT21" s="448"/>
      <c r="AU21" s="471"/>
      <c r="AV21" s="438"/>
      <c r="AW21" s="438"/>
      <c r="AX21" s="450">
        <v>189.605809522003</v>
      </c>
    </row>
    <row r="22">
      <c r="A22" s="419" t="s">
        <v>670</v>
      </c>
      <c r="B22" s="436" t="s">
        <v>671</v>
      </c>
      <c r="C22" s="420"/>
      <c r="D22" s="420" t="s">
        <v>268</v>
      </c>
      <c r="E22" s="420"/>
      <c r="F22" s="420" t="s">
        <v>2204</v>
      </c>
      <c r="G22" s="420" t="s">
        <v>169</v>
      </c>
      <c r="H22" s="420" t="s">
        <v>598</v>
      </c>
      <c r="I22" s="467">
        <v>37985.0</v>
      </c>
      <c r="J22" s="436">
        <v>2935.0</v>
      </c>
      <c r="K22" s="436"/>
      <c r="L22" s="420" t="s">
        <v>217</v>
      </c>
      <c r="M22" s="429"/>
      <c r="N22" s="422">
        <v>12.969</v>
      </c>
      <c r="O22" s="422">
        <v>11.811</v>
      </c>
      <c r="P22" s="422"/>
      <c r="Q22" s="420" t="s">
        <v>2194</v>
      </c>
      <c r="R22" s="420" t="s">
        <v>2195</v>
      </c>
      <c r="S22" s="420" t="s">
        <v>2196</v>
      </c>
      <c r="T22" s="420" t="s">
        <v>596</v>
      </c>
      <c r="U22" s="420" t="s">
        <v>597</v>
      </c>
      <c r="V22" s="440"/>
      <c r="W22" s="468"/>
      <c r="X22" s="436"/>
      <c r="Y22" s="442" t="str">
        <f t="shared" si="1"/>
        <v/>
      </c>
      <c r="Z22" s="469"/>
      <c r="AA22" s="470">
        <v>0.65</v>
      </c>
      <c r="AB22" s="470"/>
      <c r="AC22" s="469">
        <f>IF(ISNUMBER(VLOOKUP(B22,'New Masses'!A:C,3,FALSE)),VLOOKUP(B22,'New Masses'!A:C,3,FALSE),"")</f>
        <v>0.54289</v>
      </c>
      <c r="AD22" s="440"/>
      <c r="AE22" s="440">
        <f t="shared" si="8"/>
        <v>0</v>
      </c>
      <c r="AF22" s="439">
        <v>-12.0</v>
      </c>
      <c r="AG22" s="438"/>
      <c r="AH22" s="459">
        <v>0.075</v>
      </c>
      <c r="AI22" s="436"/>
      <c r="AJ22" s="446">
        <f>IF(ISNUMBER(VLOOKUP(B22,'New Masses'!A:C,2, FALSE)),VLOOKUP(B22,'New Masses'!A:C,2, FALSE),"")</f>
        <v>0.046938</v>
      </c>
      <c r="AK22" s="436"/>
      <c r="AL22" s="438"/>
      <c r="AM22" s="438"/>
      <c r="AN22" s="438"/>
      <c r="AO22" s="436">
        <v>2.0</v>
      </c>
      <c r="AP22" s="438"/>
      <c r="AQ22" s="436">
        <v>0.6</v>
      </c>
      <c r="AR22" s="420"/>
      <c r="AS22" s="420" t="s">
        <v>628</v>
      </c>
      <c r="AT22" s="448"/>
      <c r="AU22" s="472" t="s">
        <v>137</v>
      </c>
      <c r="AV22" s="438"/>
      <c r="AW22" s="438"/>
      <c r="AX22" s="450">
        <v>188.544062747464</v>
      </c>
    </row>
    <row r="23">
      <c r="A23" s="419" t="s">
        <v>281</v>
      </c>
      <c r="B23" s="419" t="s">
        <v>281</v>
      </c>
      <c r="C23" s="420" t="s">
        <v>282</v>
      </c>
      <c r="D23" s="420" t="s">
        <v>268</v>
      </c>
      <c r="E23" s="420"/>
      <c r="F23" s="420" t="s">
        <v>2205</v>
      </c>
      <c r="G23" s="420" t="s">
        <v>169</v>
      </c>
      <c r="H23" s="420" t="s">
        <v>269</v>
      </c>
      <c r="I23" s="420" t="s">
        <v>2199</v>
      </c>
      <c r="J23" s="436">
        <v>2910.0</v>
      </c>
      <c r="K23" s="421">
        <v>150.0</v>
      </c>
      <c r="L23" s="420" t="s">
        <v>217</v>
      </c>
      <c r="M23" s="422">
        <v>0.5</v>
      </c>
      <c r="N23" s="422">
        <v>12.21</v>
      </c>
      <c r="O23" s="422">
        <v>10.675</v>
      </c>
      <c r="P23" s="422"/>
      <c r="Q23" s="420" t="s">
        <v>2200</v>
      </c>
      <c r="R23" s="420" t="s">
        <v>2176</v>
      </c>
      <c r="S23" s="420" t="s">
        <v>2201</v>
      </c>
      <c r="T23" s="420" t="s">
        <v>596</v>
      </c>
      <c r="U23" s="420" t="s">
        <v>597</v>
      </c>
      <c r="V23" s="440"/>
      <c r="W23" s="458">
        <v>0.033884415613920256</v>
      </c>
      <c r="X23" s="454">
        <v>0.032</v>
      </c>
      <c r="Y23" s="442">
        <f t="shared" si="1"/>
        <v>0.7262224978</v>
      </c>
      <c r="Z23" s="442"/>
      <c r="AA23" s="443"/>
      <c r="AB23" s="443"/>
      <c r="AC23" s="436" t="str">
        <f>IF(ISNUMBER(VLOOKUP(B23,'New Masses'!A:C,3,FALSE)),VLOOKUP(B23,'New Masses'!A:C,3,FALSE),"")</f>
        <v/>
      </c>
      <c r="AD23" s="451"/>
      <c r="AE23" s="451">
        <f>(10^-10)</f>
        <v>0.0000000001</v>
      </c>
      <c r="AF23" s="439">
        <f t="shared" ref="AF23:AF24" si="9">LOG10(AE23)</f>
        <v>-10</v>
      </c>
      <c r="AG23" s="438"/>
      <c r="AH23" s="459">
        <f t="shared" ref="AH23:AH24" si="10">0.0009543*70</f>
        <v>0.066801</v>
      </c>
      <c r="AI23" s="420"/>
      <c r="AJ23" s="446">
        <f>IF(ISNUMBER(VLOOKUP(C23,'New Masses'!A:C,2, FALSE)),VLOOKUP(C23,'New Masses'!A:C,2, FALSE),"")</f>
        <v>0.038679</v>
      </c>
      <c r="AK23" s="420"/>
      <c r="AL23" s="438"/>
      <c r="AM23" s="438"/>
      <c r="AN23" s="438"/>
      <c r="AO23" s="436">
        <v>2.0</v>
      </c>
      <c r="AP23" s="438"/>
      <c r="AQ23" s="436">
        <v>0.8</v>
      </c>
      <c r="AR23" s="438"/>
      <c r="AS23" s="420" t="s">
        <v>2197</v>
      </c>
      <c r="AT23" s="448"/>
      <c r="AU23" s="452"/>
      <c r="AV23" s="438"/>
      <c r="AW23" s="438" t="s">
        <v>2206</v>
      </c>
      <c r="AX23" s="450"/>
    </row>
    <row r="24">
      <c r="A24" s="419" t="s">
        <v>281</v>
      </c>
      <c r="B24" s="419" t="s">
        <v>281</v>
      </c>
      <c r="C24" s="420" t="s">
        <v>282</v>
      </c>
      <c r="D24" s="420" t="s">
        <v>268</v>
      </c>
      <c r="E24" s="420"/>
      <c r="F24" s="420" t="s">
        <v>2205</v>
      </c>
      <c r="G24" s="420" t="s">
        <v>169</v>
      </c>
      <c r="H24" s="420" t="s">
        <v>269</v>
      </c>
      <c r="I24" s="420" t="s">
        <v>2199</v>
      </c>
      <c r="J24" s="436">
        <v>2910.0</v>
      </c>
      <c r="K24" s="421">
        <v>150.0</v>
      </c>
      <c r="L24" s="420" t="s">
        <v>217</v>
      </c>
      <c r="M24" s="422">
        <v>0.5</v>
      </c>
      <c r="N24" s="422">
        <v>12.21</v>
      </c>
      <c r="O24" s="422">
        <v>10.675</v>
      </c>
      <c r="P24" s="422"/>
      <c r="Q24" s="420" t="s">
        <v>2200</v>
      </c>
      <c r="R24" s="420" t="s">
        <v>2176</v>
      </c>
      <c r="S24" s="420" t="s">
        <v>2201</v>
      </c>
      <c r="T24" s="421" t="s">
        <v>162</v>
      </c>
      <c r="U24" s="420" t="s">
        <v>1965</v>
      </c>
      <c r="V24" s="440"/>
      <c r="W24" s="458">
        <v>0.033884415613920256</v>
      </c>
      <c r="X24" s="454">
        <v>0.032</v>
      </c>
      <c r="Y24" s="442">
        <f t="shared" si="1"/>
        <v>0.7262224978</v>
      </c>
      <c r="Z24" s="442"/>
      <c r="AA24" s="443"/>
      <c r="AB24" s="443"/>
      <c r="AC24" s="436" t="str">
        <f>IF(ISNUMBER(VLOOKUP(B24,'New Masses'!A:C,3,FALSE)),VLOOKUP(B24,'New Masses'!A:C,3,FALSE),"")</f>
        <v/>
      </c>
      <c r="AD24" s="451"/>
      <c r="AE24" s="451">
        <f>(10^-10.8)</f>
        <v>0</v>
      </c>
      <c r="AF24" s="439">
        <f t="shared" si="9"/>
        <v>-10.8</v>
      </c>
      <c r="AG24" s="438"/>
      <c r="AH24" s="459">
        <f t="shared" si="10"/>
        <v>0.066801</v>
      </c>
      <c r="AI24" s="420"/>
      <c r="AJ24" s="446">
        <f>IF(ISNUMBER(VLOOKUP(C24,'New Masses'!A:C,2, FALSE)),VLOOKUP(C24,'New Masses'!A:C,2, FALSE),"")</f>
        <v>0.038679</v>
      </c>
      <c r="AK24" s="420"/>
      <c r="AL24" s="438"/>
      <c r="AM24" s="438"/>
      <c r="AN24" s="438"/>
      <c r="AO24" s="436">
        <v>2.0</v>
      </c>
      <c r="AP24" s="438"/>
      <c r="AQ24" s="436">
        <v>0.8</v>
      </c>
      <c r="AR24" s="420"/>
      <c r="AS24" s="420" t="s">
        <v>2197</v>
      </c>
      <c r="AT24" s="448"/>
      <c r="AU24" s="449"/>
      <c r="AV24" s="438"/>
      <c r="AW24" s="438" t="s">
        <v>2206</v>
      </c>
      <c r="AX24" s="450"/>
    </row>
    <row r="25">
      <c r="A25" s="419" t="s">
        <v>281</v>
      </c>
      <c r="B25" s="457" t="s">
        <v>282</v>
      </c>
      <c r="C25" s="420"/>
      <c r="D25" s="438" t="s">
        <v>268</v>
      </c>
      <c r="E25" s="438"/>
      <c r="F25" s="420" t="s">
        <v>2205</v>
      </c>
      <c r="G25" s="420" t="s">
        <v>169</v>
      </c>
      <c r="H25" s="420" t="s">
        <v>201</v>
      </c>
      <c r="I25" s="438" t="s">
        <v>2207</v>
      </c>
      <c r="J25" s="436">
        <v>3100.0</v>
      </c>
      <c r="K25" s="438"/>
      <c r="L25" s="420" t="s">
        <v>283</v>
      </c>
      <c r="M25" s="429"/>
      <c r="N25" s="422">
        <v>12.21</v>
      </c>
      <c r="O25" s="422">
        <v>10.675</v>
      </c>
      <c r="P25" s="422"/>
      <c r="Q25" s="438" t="s">
        <v>2208</v>
      </c>
      <c r="R25" s="438" t="s">
        <v>2209</v>
      </c>
      <c r="S25" s="438" t="s">
        <v>2196</v>
      </c>
      <c r="T25" s="454" t="s">
        <v>162</v>
      </c>
      <c r="U25" s="438" t="s">
        <v>2210</v>
      </c>
      <c r="V25" s="423">
        <v>4.56</v>
      </c>
      <c r="W25" s="458"/>
      <c r="X25" s="438"/>
      <c r="Y25" s="442" t="str">
        <f t="shared" si="1"/>
        <v/>
      </c>
      <c r="Z25" s="442"/>
      <c r="AA25" s="443"/>
      <c r="AB25" s="443"/>
      <c r="AC25" s="469">
        <f>IF(ISNUMBER(VLOOKUP(B25,'New Masses'!A:C,3,FALSE)),VLOOKUP(B25,'New Masses'!A:C,3,FALSE),"")</f>
        <v>0.466998</v>
      </c>
      <c r="AD25" s="423"/>
      <c r="AE25" s="423">
        <f t="shared" ref="AE25:AE26" si="11">10^AF25</f>
        <v>0</v>
      </c>
      <c r="AF25" s="429">
        <v>-10.6</v>
      </c>
      <c r="AG25" s="438"/>
      <c r="AH25" s="459">
        <v>0.14</v>
      </c>
      <c r="AI25" s="438"/>
      <c r="AJ25" s="446">
        <f>IF(ISNUMBER(VLOOKUP(B25,'New Masses'!A:C,2, FALSE)),VLOOKUP(B25,'New Masses'!A:C,2, FALSE),"")</f>
        <v>0.038679</v>
      </c>
      <c r="AK25" s="438"/>
      <c r="AL25" s="438"/>
      <c r="AM25" s="438"/>
      <c r="AN25" s="438"/>
      <c r="AO25" s="436">
        <v>2.0</v>
      </c>
      <c r="AP25" s="438"/>
      <c r="AQ25" s="438"/>
      <c r="AR25" s="438"/>
      <c r="AS25" s="438"/>
      <c r="AT25" s="448"/>
      <c r="AU25" s="452"/>
      <c r="AV25" s="473" t="s">
        <v>2211</v>
      </c>
      <c r="AW25" s="438"/>
      <c r="AX25" s="450"/>
    </row>
    <row r="26">
      <c r="A26" s="419" t="s">
        <v>281</v>
      </c>
      <c r="B26" s="439" t="s">
        <v>282</v>
      </c>
      <c r="C26" s="420"/>
      <c r="D26" s="438" t="s">
        <v>268</v>
      </c>
      <c r="E26" s="438"/>
      <c r="F26" s="420" t="s">
        <v>2205</v>
      </c>
      <c r="G26" s="420" t="s">
        <v>169</v>
      </c>
      <c r="H26" s="420" t="s">
        <v>201</v>
      </c>
      <c r="I26" s="438" t="s">
        <v>2207</v>
      </c>
      <c r="J26" s="436">
        <v>3100.0</v>
      </c>
      <c r="K26" s="438"/>
      <c r="L26" s="420" t="s">
        <v>283</v>
      </c>
      <c r="M26" s="429"/>
      <c r="N26" s="422">
        <v>12.21</v>
      </c>
      <c r="O26" s="422">
        <v>10.675</v>
      </c>
      <c r="P26" s="422"/>
      <c r="Q26" s="438" t="s">
        <v>2208</v>
      </c>
      <c r="R26" s="438" t="s">
        <v>2209</v>
      </c>
      <c r="S26" s="438" t="s">
        <v>2196</v>
      </c>
      <c r="T26" s="454" t="s">
        <v>162</v>
      </c>
      <c r="U26" s="438" t="s">
        <v>2210</v>
      </c>
      <c r="V26" s="423">
        <v>4.56</v>
      </c>
      <c r="W26" s="458"/>
      <c r="X26" s="438"/>
      <c r="Y26" s="442" t="str">
        <f t="shared" si="1"/>
        <v/>
      </c>
      <c r="Z26" s="442"/>
      <c r="AA26" s="443"/>
      <c r="AB26" s="443"/>
      <c r="AC26" s="469">
        <f>IF(ISNUMBER(VLOOKUP(B26,'New Masses'!A:C,3,FALSE)),VLOOKUP(B26,'New Masses'!A:C,3,FALSE),"")</f>
        <v>0.466998</v>
      </c>
      <c r="AD26" s="423"/>
      <c r="AE26" s="423">
        <f t="shared" si="11"/>
        <v>0</v>
      </c>
      <c r="AF26" s="453">
        <v>-10.8</v>
      </c>
      <c r="AG26" s="438"/>
      <c r="AH26" s="459">
        <v>0.14</v>
      </c>
      <c r="AI26" s="438"/>
      <c r="AJ26" s="446">
        <f>IF(ISNUMBER(VLOOKUP(B26,'New Masses'!A:C,2, FALSE)),VLOOKUP(B26,'New Masses'!A:C,2, FALSE),"")</f>
        <v>0.038679</v>
      </c>
      <c r="AK26" s="438"/>
      <c r="AL26" s="438"/>
      <c r="AM26" s="438"/>
      <c r="AN26" s="438"/>
      <c r="AO26" s="436">
        <v>2.0</v>
      </c>
      <c r="AP26" s="438"/>
      <c r="AQ26" s="438"/>
      <c r="AR26" s="438"/>
      <c r="AS26" s="438"/>
      <c r="AT26" s="448"/>
      <c r="AU26" s="449"/>
      <c r="AV26" s="473" t="s">
        <v>2212</v>
      </c>
      <c r="AW26" s="438"/>
      <c r="AX26" s="450"/>
    </row>
    <row r="27">
      <c r="A27" s="419" t="s">
        <v>657</v>
      </c>
      <c r="B27" s="419" t="s">
        <v>657</v>
      </c>
      <c r="C27" s="420" t="s">
        <v>658</v>
      </c>
      <c r="D27" s="420" t="s">
        <v>268</v>
      </c>
      <c r="E27" s="420"/>
      <c r="F27" s="420" t="s">
        <v>2213</v>
      </c>
      <c r="G27" s="420" t="s">
        <v>169</v>
      </c>
      <c r="H27" s="420" t="s">
        <v>269</v>
      </c>
      <c r="I27" s="420" t="s">
        <v>2199</v>
      </c>
      <c r="J27" s="436">
        <v>2840.0</v>
      </c>
      <c r="K27" s="421">
        <v>150.0</v>
      </c>
      <c r="L27" s="420" t="s">
        <v>345</v>
      </c>
      <c r="M27" s="422">
        <v>0.5</v>
      </c>
      <c r="N27" s="422">
        <v>12.292</v>
      </c>
      <c r="O27" s="422">
        <v>11.097</v>
      </c>
      <c r="P27" s="422"/>
      <c r="Q27" s="420" t="s">
        <v>2200</v>
      </c>
      <c r="R27" s="420" t="s">
        <v>2176</v>
      </c>
      <c r="S27" s="420" t="s">
        <v>2201</v>
      </c>
      <c r="T27" s="420" t="s">
        <v>596</v>
      </c>
      <c r="U27" s="420" t="s">
        <v>597</v>
      </c>
      <c r="V27" s="440"/>
      <c r="W27" s="458">
        <v>0.034673685045253165</v>
      </c>
      <c r="X27" s="454">
        <v>0.033</v>
      </c>
      <c r="Y27" s="442">
        <f t="shared" si="1"/>
        <v>0.7712923018</v>
      </c>
      <c r="Z27" s="442"/>
      <c r="AA27" s="443"/>
      <c r="AB27" s="443"/>
      <c r="AC27" s="436" t="str">
        <f>IF(ISNUMBER(VLOOKUP(B27,'New Masses'!A:C,3,FALSE)),VLOOKUP(B27,'New Masses'!A:C,3,FALSE),"")</f>
        <v/>
      </c>
      <c r="AD27" s="451"/>
      <c r="AE27" s="451">
        <f>(10^-12)</f>
        <v>0</v>
      </c>
      <c r="AF27" s="439">
        <f t="shared" ref="AF27:AF32" si="12">LOG10(AE27)</f>
        <v>-12</v>
      </c>
      <c r="AG27" s="438"/>
      <c r="AH27" s="459">
        <f t="shared" ref="AH27:AH28" si="13">0.0009543*60</f>
        <v>0.057258</v>
      </c>
      <c r="AI27" s="420"/>
      <c r="AJ27" s="446">
        <f>IF(ISNUMBER(VLOOKUP(C27,'New Masses'!A:C,2, FALSE)),VLOOKUP(C27,'New Masses'!A:C,2, FALSE),"")</f>
        <v>0.038679</v>
      </c>
      <c r="AK27" s="420"/>
      <c r="AL27" s="438"/>
      <c r="AM27" s="438"/>
      <c r="AN27" s="438"/>
      <c r="AO27" s="436">
        <v>2.0</v>
      </c>
      <c r="AP27" s="438"/>
      <c r="AQ27" s="436">
        <v>0.3</v>
      </c>
      <c r="AR27" s="420"/>
      <c r="AS27" s="420" t="s">
        <v>2197</v>
      </c>
      <c r="AT27" s="448"/>
      <c r="AU27" s="452" t="s">
        <v>137</v>
      </c>
      <c r="AV27" s="438"/>
      <c r="AW27" s="438"/>
      <c r="AX27" s="450">
        <v>196.633632216454</v>
      </c>
    </row>
    <row r="28">
      <c r="A28" s="419" t="s">
        <v>657</v>
      </c>
      <c r="B28" s="419" t="s">
        <v>657</v>
      </c>
      <c r="C28" s="420" t="s">
        <v>658</v>
      </c>
      <c r="D28" s="420" t="s">
        <v>268</v>
      </c>
      <c r="E28" s="420"/>
      <c r="F28" s="420" t="s">
        <v>2213</v>
      </c>
      <c r="G28" s="420" t="s">
        <v>169</v>
      </c>
      <c r="H28" s="420" t="s">
        <v>269</v>
      </c>
      <c r="I28" s="420" t="s">
        <v>2199</v>
      </c>
      <c r="J28" s="436">
        <v>2840.0</v>
      </c>
      <c r="K28" s="421">
        <v>150.0</v>
      </c>
      <c r="L28" s="420" t="s">
        <v>345</v>
      </c>
      <c r="M28" s="422">
        <v>0.5</v>
      </c>
      <c r="N28" s="422">
        <v>12.292</v>
      </c>
      <c r="O28" s="422">
        <v>11.097</v>
      </c>
      <c r="P28" s="422"/>
      <c r="Q28" s="420" t="s">
        <v>2200</v>
      </c>
      <c r="R28" s="420" t="s">
        <v>2176</v>
      </c>
      <c r="S28" s="420" t="s">
        <v>2201</v>
      </c>
      <c r="T28" s="421" t="s">
        <v>162</v>
      </c>
      <c r="U28" s="420" t="s">
        <v>1965</v>
      </c>
      <c r="V28" s="440"/>
      <c r="W28" s="458">
        <v>0.034673685045253165</v>
      </c>
      <c r="X28" s="454">
        <v>0.033</v>
      </c>
      <c r="Y28" s="442">
        <f t="shared" si="1"/>
        <v>0.7712923018</v>
      </c>
      <c r="Z28" s="442"/>
      <c r="AA28" s="443"/>
      <c r="AB28" s="443"/>
      <c r="AC28" s="436" t="str">
        <f>IF(ISNUMBER(VLOOKUP(B28,'New Masses'!A:C,3,FALSE)),VLOOKUP(B28,'New Masses'!A:C,3,FALSE),"")</f>
        <v/>
      </c>
      <c r="AD28" s="451"/>
      <c r="AE28" s="451">
        <f>(10^-10.1)</f>
        <v>0</v>
      </c>
      <c r="AF28" s="439">
        <f t="shared" si="12"/>
        <v>-10.1</v>
      </c>
      <c r="AG28" s="438"/>
      <c r="AH28" s="459">
        <f t="shared" si="13"/>
        <v>0.057258</v>
      </c>
      <c r="AI28" s="420"/>
      <c r="AJ28" s="446">
        <f>IF(ISNUMBER(VLOOKUP(C28,'New Masses'!A:C,2, FALSE)),VLOOKUP(C28,'New Masses'!A:C,2, FALSE),"")</f>
        <v>0.038679</v>
      </c>
      <c r="AK28" s="420"/>
      <c r="AL28" s="438"/>
      <c r="AM28" s="438"/>
      <c r="AN28" s="438"/>
      <c r="AO28" s="436">
        <v>2.0</v>
      </c>
      <c r="AP28" s="438"/>
      <c r="AQ28" s="436">
        <v>0.3</v>
      </c>
      <c r="AR28" s="420"/>
      <c r="AS28" s="420" t="s">
        <v>2197</v>
      </c>
      <c r="AT28" s="448"/>
      <c r="AU28" s="449" t="s">
        <v>137</v>
      </c>
      <c r="AV28" s="438"/>
      <c r="AW28" s="438"/>
      <c r="AX28" s="450">
        <v>196.633632216454</v>
      </c>
    </row>
    <row r="29">
      <c r="A29" s="419" t="s">
        <v>688</v>
      </c>
      <c r="B29" s="439" t="s">
        <v>689</v>
      </c>
      <c r="C29" s="436"/>
      <c r="D29" s="436" t="s">
        <v>268</v>
      </c>
      <c r="E29" s="436"/>
      <c r="F29" s="436" t="s">
        <v>2214</v>
      </c>
      <c r="G29" s="436" t="s">
        <v>169</v>
      </c>
      <c r="H29" s="436" t="s">
        <v>269</v>
      </c>
      <c r="I29" s="436" t="s">
        <v>2199</v>
      </c>
      <c r="J29" s="436">
        <v>2980.0</v>
      </c>
      <c r="K29" s="419">
        <v>150.0</v>
      </c>
      <c r="L29" s="436" t="s">
        <v>353</v>
      </c>
      <c r="M29" s="457">
        <v>0.5</v>
      </c>
      <c r="N29" s="422">
        <v>12.054</v>
      </c>
      <c r="O29" s="422">
        <v>10.711</v>
      </c>
      <c r="P29" s="422"/>
      <c r="Q29" s="436" t="s">
        <v>2200</v>
      </c>
      <c r="R29" s="436" t="s">
        <v>2176</v>
      </c>
      <c r="S29" s="436" t="s">
        <v>2201</v>
      </c>
      <c r="T29" s="436" t="s">
        <v>596</v>
      </c>
      <c r="U29" s="436" t="s">
        <v>597</v>
      </c>
      <c r="V29" s="440"/>
      <c r="W29" s="458">
        <v>0.04897788193684462</v>
      </c>
      <c r="X29" s="438"/>
      <c r="Y29" s="442">
        <f t="shared" si="1"/>
        <v>0.8325745833</v>
      </c>
      <c r="Z29" s="442"/>
      <c r="AA29" s="443"/>
      <c r="AB29" s="443"/>
      <c r="AC29" s="436" t="str">
        <f>IF(ISNUMBER(VLOOKUP(B29,'New Masses'!A:C,3,FALSE)),VLOOKUP(B29,'New Masses'!A:C,3,FALSE),"")</f>
        <v/>
      </c>
      <c r="AD29" s="440"/>
      <c r="AE29" s="440">
        <f>(10^-12)</f>
        <v>0</v>
      </c>
      <c r="AF29" s="439">
        <f t="shared" si="12"/>
        <v>-12</v>
      </c>
      <c r="AG29" s="438"/>
      <c r="AH29" s="459">
        <f t="shared" ref="AH29:AH30" si="14">0.0009543*100</f>
        <v>0.09543</v>
      </c>
      <c r="AI29" s="436"/>
      <c r="AJ29" s="446" t="str">
        <f>IF(ISNUMBER(VLOOKUP(B29,'New Masses'!A:C,2, FALSE)),VLOOKUP(B29,'New Masses'!A:C,2, FALSE),"")</f>
        <v/>
      </c>
      <c r="AK29" s="436">
        <f t="shared" ref="AK29:AK30" si="15">LOG10(AH29)</f>
        <v>-1.020315076</v>
      </c>
      <c r="AL29" s="438"/>
      <c r="AM29" s="438"/>
      <c r="AN29" s="438"/>
      <c r="AO29" s="436">
        <v>2.0</v>
      </c>
      <c r="AP29" s="438"/>
      <c r="AQ29" s="436"/>
      <c r="AR29" s="438"/>
      <c r="AS29" s="438"/>
      <c r="AT29" s="448"/>
      <c r="AU29" s="452" t="s">
        <v>137</v>
      </c>
      <c r="AV29" s="438"/>
      <c r="AW29" s="438"/>
      <c r="AX29" s="450">
        <v>196.792285742398</v>
      </c>
    </row>
    <row r="30">
      <c r="A30" s="419" t="s">
        <v>688</v>
      </c>
      <c r="B30" s="439" t="s">
        <v>689</v>
      </c>
      <c r="C30" s="436"/>
      <c r="D30" s="436" t="s">
        <v>268</v>
      </c>
      <c r="E30" s="436"/>
      <c r="F30" s="436" t="s">
        <v>2214</v>
      </c>
      <c r="G30" s="436" t="s">
        <v>169</v>
      </c>
      <c r="H30" s="436" t="s">
        <v>269</v>
      </c>
      <c r="I30" s="436" t="s">
        <v>2199</v>
      </c>
      <c r="J30" s="436">
        <v>2980.0</v>
      </c>
      <c r="K30" s="419">
        <v>150.0</v>
      </c>
      <c r="L30" s="436" t="s">
        <v>353</v>
      </c>
      <c r="M30" s="457">
        <v>0.5</v>
      </c>
      <c r="N30" s="422">
        <v>12.054</v>
      </c>
      <c r="O30" s="422">
        <v>10.711</v>
      </c>
      <c r="P30" s="422"/>
      <c r="Q30" s="436" t="s">
        <v>2200</v>
      </c>
      <c r="R30" s="436" t="s">
        <v>2184</v>
      </c>
      <c r="S30" s="436" t="s">
        <v>2201</v>
      </c>
      <c r="T30" s="419" t="s">
        <v>162</v>
      </c>
      <c r="U30" s="436" t="s">
        <v>1965</v>
      </c>
      <c r="V30" s="440"/>
      <c r="W30" s="458">
        <v>0.04897788193684462</v>
      </c>
      <c r="X30" s="438"/>
      <c r="Y30" s="442">
        <f t="shared" si="1"/>
        <v>0.8325745833</v>
      </c>
      <c r="Z30" s="442"/>
      <c r="AA30" s="443"/>
      <c r="AB30" s="443"/>
      <c r="AC30" s="436" t="str">
        <f>IF(ISNUMBER(VLOOKUP(B30,'New Masses'!A:C,3,FALSE)),VLOOKUP(B30,'New Masses'!A:C,3,FALSE),"")</f>
        <v/>
      </c>
      <c r="AD30" s="440"/>
      <c r="AE30" s="440">
        <f>(10^-10)</f>
        <v>0.0000000001</v>
      </c>
      <c r="AF30" s="439">
        <f t="shared" si="12"/>
        <v>-10</v>
      </c>
      <c r="AG30" s="438"/>
      <c r="AH30" s="459">
        <f t="shared" si="14"/>
        <v>0.09543</v>
      </c>
      <c r="AI30" s="436"/>
      <c r="AJ30" s="446" t="str">
        <f>IF(ISNUMBER(VLOOKUP(B30,'New Masses'!A:C,2, FALSE)),VLOOKUP(B30,'New Masses'!A:C,2, FALSE),"")</f>
        <v/>
      </c>
      <c r="AK30" s="436">
        <f t="shared" si="15"/>
        <v>-1.020315076</v>
      </c>
      <c r="AL30" s="438"/>
      <c r="AM30" s="438"/>
      <c r="AN30" s="438"/>
      <c r="AO30" s="436">
        <v>2.0</v>
      </c>
      <c r="AP30" s="438"/>
      <c r="AQ30" s="436"/>
      <c r="AR30" s="438"/>
      <c r="AS30" s="438"/>
      <c r="AT30" s="448"/>
      <c r="AU30" s="449" t="s">
        <v>137</v>
      </c>
      <c r="AV30" s="438"/>
      <c r="AW30" s="438"/>
      <c r="AX30" s="450">
        <v>196.792285742398</v>
      </c>
    </row>
    <row r="31">
      <c r="A31" s="419" t="s">
        <v>266</v>
      </c>
      <c r="B31" s="419" t="s">
        <v>266</v>
      </c>
      <c r="C31" s="420" t="s">
        <v>267</v>
      </c>
      <c r="D31" s="420" t="s">
        <v>268</v>
      </c>
      <c r="E31" s="420"/>
      <c r="F31" s="420" t="s">
        <v>2215</v>
      </c>
      <c r="G31" s="420" t="s">
        <v>169</v>
      </c>
      <c r="H31" s="420" t="s">
        <v>269</v>
      </c>
      <c r="I31" s="420" t="s">
        <v>2199</v>
      </c>
      <c r="J31" s="436">
        <v>2840.0</v>
      </c>
      <c r="K31" s="421">
        <v>150.0</v>
      </c>
      <c r="L31" s="420" t="s">
        <v>345</v>
      </c>
      <c r="M31" s="422">
        <v>0.5</v>
      </c>
      <c r="N31" s="422">
        <v>12.263</v>
      </c>
      <c r="O31" s="422">
        <v>11.038</v>
      </c>
      <c r="P31" s="422"/>
      <c r="Q31" s="420" t="s">
        <v>2200</v>
      </c>
      <c r="R31" s="420" t="s">
        <v>2176</v>
      </c>
      <c r="S31" s="420" t="s">
        <v>2201</v>
      </c>
      <c r="T31" s="421" t="s">
        <v>162</v>
      </c>
      <c r="U31" s="420" t="s">
        <v>1965</v>
      </c>
      <c r="V31" s="440"/>
      <c r="W31" s="458">
        <v>0.026915348039269153</v>
      </c>
      <c r="X31" s="454">
        <v>0.026</v>
      </c>
      <c r="Y31" s="442">
        <f t="shared" si="1"/>
        <v>0.6795462133</v>
      </c>
      <c r="Z31" s="442"/>
      <c r="AA31" s="443"/>
      <c r="AB31" s="443"/>
      <c r="AC31" s="436" t="str">
        <f>IF(ISNUMBER(VLOOKUP(B31,'New Masses'!A:C,3,FALSE)),VLOOKUP(B31,'New Masses'!A:C,3,FALSE),"")</f>
        <v/>
      </c>
      <c r="AD31" s="451"/>
      <c r="AE31" s="451">
        <f>(10^-10.8)</f>
        <v>0</v>
      </c>
      <c r="AF31" s="439">
        <f t="shared" si="12"/>
        <v>-10.8</v>
      </c>
      <c r="AG31" s="438"/>
      <c r="AH31" s="459">
        <f t="shared" ref="AH31:AH32" si="16">0.0009543*50</f>
        <v>0.047715</v>
      </c>
      <c r="AI31" s="420"/>
      <c r="AJ31" s="446">
        <f>IF(ISNUMBER(VLOOKUP(C31,'New Masses'!A:C,2, FALSE)),VLOOKUP(C31,'New Masses'!A:C,2, FALSE),"")</f>
        <v>0.038679</v>
      </c>
      <c r="AK31" s="420"/>
      <c r="AL31" s="438"/>
      <c r="AM31" s="438"/>
      <c r="AN31" s="438"/>
      <c r="AO31" s="436">
        <v>2.0</v>
      </c>
      <c r="AP31" s="438"/>
      <c r="AQ31" s="436">
        <v>0.26</v>
      </c>
      <c r="AR31" s="438"/>
      <c r="AS31" s="420" t="s">
        <v>2197</v>
      </c>
      <c r="AT31" s="448"/>
      <c r="AU31" s="452" t="s">
        <v>137</v>
      </c>
      <c r="AV31" s="438"/>
      <c r="AW31" s="438" t="s">
        <v>2206</v>
      </c>
      <c r="AX31" s="450">
        <v>179.32394871335</v>
      </c>
    </row>
    <row r="32">
      <c r="A32" s="419" t="s">
        <v>266</v>
      </c>
      <c r="B32" s="419" t="s">
        <v>266</v>
      </c>
      <c r="C32" s="420" t="s">
        <v>267</v>
      </c>
      <c r="D32" s="420" t="s">
        <v>268</v>
      </c>
      <c r="E32" s="420"/>
      <c r="F32" s="420" t="s">
        <v>2215</v>
      </c>
      <c r="G32" s="420" t="s">
        <v>169</v>
      </c>
      <c r="H32" s="420" t="s">
        <v>269</v>
      </c>
      <c r="I32" s="420" t="s">
        <v>2199</v>
      </c>
      <c r="J32" s="436">
        <v>2840.0</v>
      </c>
      <c r="K32" s="421">
        <v>150.0</v>
      </c>
      <c r="L32" s="420" t="s">
        <v>345</v>
      </c>
      <c r="M32" s="422">
        <v>0.5</v>
      </c>
      <c r="N32" s="422">
        <v>12.263</v>
      </c>
      <c r="O32" s="422">
        <v>11.038</v>
      </c>
      <c r="P32" s="422"/>
      <c r="Q32" s="420" t="s">
        <v>2200</v>
      </c>
      <c r="R32" s="420" t="s">
        <v>2176</v>
      </c>
      <c r="S32" s="420" t="s">
        <v>2201</v>
      </c>
      <c r="T32" s="420" t="s">
        <v>596</v>
      </c>
      <c r="U32" s="420" t="s">
        <v>597</v>
      </c>
      <c r="V32" s="440"/>
      <c r="W32" s="458">
        <v>0.026915348039269153</v>
      </c>
      <c r="X32" s="454">
        <v>0.026</v>
      </c>
      <c r="Y32" s="442">
        <f t="shared" si="1"/>
        <v>0.6795462133</v>
      </c>
      <c r="Z32" s="442"/>
      <c r="AA32" s="443"/>
      <c r="AB32" s="443"/>
      <c r="AC32" s="436" t="str">
        <f>IF(ISNUMBER(VLOOKUP(B32,'New Masses'!A:C,3,FALSE)),VLOOKUP(B32,'New Masses'!A:C,3,FALSE),"")</f>
        <v/>
      </c>
      <c r="AD32" s="451"/>
      <c r="AE32" s="451">
        <f>(10^-10.5)</f>
        <v>0</v>
      </c>
      <c r="AF32" s="439">
        <f t="shared" si="12"/>
        <v>-10.5</v>
      </c>
      <c r="AG32" s="438"/>
      <c r="AH32" s="459">
        <f t="shared" si="16"/>
        <v>0.047715</v>
      </c>
      <c r="AI32" s="420"/>
      <c r="AJ32" s="446">
        <f>IF(ISNUMBER(VLOOKUP(C32,'New Masses'!A:C,2, FALSE)),VLOOKUP(C32,'New Masses'!A:C,2, FALSE),"")</f>
        <v>0.038679</v>
      </c>
      <c r="AK32" s="420"/>
      <c r="AL32" s="438"/>
      <c r="AM32" s="438"/>
      <c r="AN32" s="438"/>
      <c r="AO32" s="436">
        <v>2.0</v>
      </c>
      <c r="AP32" s="438"/>
      <c r="AQ32" s="436">
        <v>0.26</v>
      </c>
      <c r="AR32" s="438"/>
      <c r="AS32" s="420" t="s">
        <v>2197</v>
      </c>
      <c r="AT32" s="448"/>
      <c r="AU32" s="449" t="s">
        <v>137</v>
      </c>
      <c r="AV32" s="438"/>
      <c r="AW32" s="438" t="s">
        <v>2206</v>
      </c>
      <c r="AX32" s="450">
        <v>179.32394871335</v>
      </c>
    </row>
    <row r="33">
      <c r="A33" s="419" t="s">
        <v>266</v>
      </c>
      <c r="B33" s="439" t="s">
        <v>267</v>
      </c>
      <c r="C33" s="420"/>
      <c r="D33" s="438" t="s">
        <v>268</v>
      </c>
      <c r="E33" s="438"/>
      <c r="F33" s="420" t="s">
        <v>2215</v>
      </c>
      <c r="G33" s="420" t="s">
        <v>169</v>
      </c>
      <c r="H33" s="420" t="s">
        <v>201</v>
      </c>
      <c r="I33" s="438" t="s">
        <v>2207</v>
      </c>
      <c r="J33" s="436">
        <v>3025.0</v>
      </c>
      <c r="K33" s="438"/>
      <c r="L33" s="420" t="s">
        <v>270</v>
      </c>
      <c r="M33" s="429"/>
      <c r="N33" s="422">
        <v>12.263</v>
      </c>
      <c r="O33" s="422">
        <v>11.038</v>
      </c>
      <c r="P33" s="422"/>
      <c r="Q33" s="454" t="s">
        <v>2208</v>
      </c>
      <c r="R33" s="438" t="s">
        <v>2209</v>
      </c>
      <c r="S33" s="438" t="s">
        <v>2196</v>
      </c>
      <c r="T33" s="454" t="s">
        <v>162</v>
      </c>
      <c r="U33" s="438" t="s">
        <v>2210</v>
      </c>
      <c r="V33" s="423">
        <v>4.51</v>
      </c>
      <c r="W33" s="458"/>
      <c r="X33" s="438"/>
      <c r="Y33" s="442" t="str">
        <f t="shared" si="1"/>
        <v/>
      </c>
      <c r="Z33" s="442"/>
      <c r="AA33" s="443"/>
      <c r="AB33" s="443"/>
      <c r="AC33" s="469">
        <f>IF(ISNUMBER(VLOOKUP(B33,'New Masses'!A:C,3,FALSE)),VLOOKUP(B33,'New Masses'!A:C,3,FALSE),"")</f>
        <v>0.466998</v>
      </c>
      <c r="AD33" s="423"/>
      <c r="AE33" s="423">
        <f t="shared" ref="AE33:AE36" si="17">10^AF33</f>
        <v>0</v>
      </c>
      <c r="AF33" s="429">
        <v>-10.6</v>
      </c>
      <c r="AG33" s="438"/>
      <c r="AH33" s="459">
        <v>0.12</v>
      </c>
      <c r="AI33" s="438"/>
      <c r="AJ33" s="446">
        <f>IF(ISNUMBER(VLOOKUP(B33,'New Masses'!A:C,2, FALSE)),VLOOKUP(B33,'New Masses'!A:C,2, FALSE),"")</f>
        <v>0.038679</v>
      </c>
      <c r="AK33" s="438"/>
      <c r="AL33" s="438"/>
      <c r="AM33" s="438"/>
      <c r="AN33" s="438"/>
      <c r="AO33" s="436">
        <v>2.0</v>
      </c>
      <c r="AP33" s="438"/>
      <c r="AQ33" s="438"/>
      <c r="AR33" s="438"/>
      <c r="AS33" s="438"/>
      <c r="AT33" s="448"/>
      <c r="AU33" s="452"/>
      <c r="AV33" s="473" t="s">
        <v>2211</v>
      </c>
      <c r="AW33" s="438"/>
      <c r="AX33" s="450">
        <v>179.32394871335</v>
      </c>
    </row>
    <row r="34">
      <c r="A34" s="419" t="s">
        <v>266</v>
      </c>
      <c r="B34" s="439" t="s">
        <v>267</v>
      </c>
      <c r="C34" s="420"/>
      <c r="D34" s="438" t="s">
        <v>268</v>
      </c>
      <c r="E34" s="438"/>
      <c r="F34" s="420" t="s">
        <v>2215</v>
      </c>
      <c r="G34" s="420" t="s">
        <v>169</v>
      </c>
      <c r="H34" s="420" t="s">
        <v>201</v>
      </c>
      <c r="I34" s="438" t="s">
        <v>2207</v>
      </c>
      <c r="J34" s="436">
        <v>3025.0</v>
      </c>
      <c r="K34" s="438"/>
      <c r="L34" s="420" t="s">
        <v>270</v>
      </c>
      <c r="M34" s="429"/>
      <c r="N34" s="422">
        <v>12.263</v>
      </c>
      <c r="O34" s="422">
        <v>11.038</v>
      </c>
      <c r="P34" s="422"/>
      <c r="Q34" s="438" t="s">
        <v>2208</v>
      </c>
      <c r="R34" s="438" t="s">
        <v>2209</v>
      </c>
      <c r="S34" s="438" t="s">
        <v>2196</v>
      </c>
      <c r="T34" s="454" t="s">
        <v>162</v>
      </c>
      <c r="U34" s="438" t="s">
        <v>2210</v>
      </c>
      <c r="V34" s="423">
        <v>4.51</v>
      </c>
      <c r="W34" s="458"/>
      <c r="X34" s="438"/>
      <c r="Y34" s="442" t="str">
        <f t="shared" si="1"/>
        <v/>
      </c>
      <c r="Z34" s="442"/>
      <c r="AA34" s="443"/>
      <c r="AB34" s="443"/>
      <c r="AC34" s="469">
        <f>IF(ISNUMBER(VLOOKUP(B34,'New Masses'!A:C,3,FALSE)),VLOOKUP(B34,'New Masses'!A:C,3,FALSE),"")</f>
        <v>0.466998</v>
      </c>
      <c r="AD34" s="423"/>
      <c r="AE34" s="423">
        <f t="shared" si="17"/>
        <v>0</v>
      </c>
      <c r="AF34" s="453">
        <v>-10.8</v>
      </c>
      <c r="AG34" s="438"/>
      <c r="AH34" s="459">
        <v>0.12</v>
      </c>
      <c r="AI34" s="438"/>
      <c r="AJ34" s="446">
        <f>IF(ISNUMBER(VLOOKUP(B34,'New Masses'!A:C,2, FALSE)),VLOOKUP(B34,'New Masses'!A:C,2, FALSE),"")</f>
        <v>0.038679</v>
      </c>
      <c r="AK34" s="438"/>
      <c r="AL34" s="438"/>
      <c r="AM34" s="438"/>
      <c r="AN34" s="438"/>
      <c r="AO34" s="436">
        <v>2.0</v>
      </c>
      <c r="AP34" s="438"/>
      <c r="AQ34" s="438"/>
      <c r="AR34" s="438"/>
      <c r="AS34" s="438"/>
      <c r="AT34" s="448"/>
      <c r="AU34" s="449"/>
      <c r="AV34" s="473" t="s">
        <v>2212</v>
      </c>
      <c r="AW34" s="438"/>
      <c r="AX34" s="450">
        <v>179.32394871335</v>
      </c>
    </row>
    <row r="35">
      <c r="A35" s="419" t="s">
        <v>632</v>
      </c>
      <c r="B35" s="436" t="s">
        <v>633</v>
      </c>
      <c r="C35" s="420"/>
      <c r="D35" s="420" t="s">
        <v>268</v>
      </c>
      <c r="E35" s="420"/>
      <c r="F35" s="420" t="s">
        <v>2216</v>
      </c>
      <c r="G35" s="420" t="s">
        <v>169</v>
      </c>
      <c r="H35" s="420" t="s">
        <v>598</v>
      </c>
      <c r="I35" s="467">
        <v>37985.0</v>
      </c>
      <c r="J35" s="436">
        <v>2752.0</v>
      </c>
      <c r="K35" s="436"/>
      <c r="L35" s="420" t="s">
        <v>334</v>
      </c>
      <c r="M35" s="429"/>
      <c r="N35" s="422">
        <v>13.613</v>
      </c>
      <c r="O35" s="422">
        <v>12.421</v>
      </c>
      <c r="P35" s="422"/>
      <c r="Q35" s="420" t="s">
        <v>2194</v>
      </c>
      <c r="R35" s="420" t="s">
        <v>2195</v>
      </c>
      <c r="S35" s="420" t="s">
        <v>2196</v>
      </c>
      <c r="T35" s="420" t="s">
        <v>596</v>
      </c>
      <c r="U35" s="420" t="s">
        <v>597</v>
      </c>
      <c r="V35" s="440"/>
      <c r="W35" s="468"/>
      <c r="X35" s="436"/>
      <c r="Y35" s="442" t="str">
        <f t="shared" si="1"/>
        <v/>
      </c>
      <c r="Z35" s="469"/>
      <c r="AA35" s="470">
        <v>0.48</v>
      </c>
      <c r="AB35" s="470"/>
      <c r="AC35" s="469">
        <f>IF(ISNUMBER(VLOOKUP(B35,'New Masses'!A:C,3,FALSE)),VLOOKUP(B35,'New Masses'!A:C,3,FALSE),"")</f>
        <v>0.373813</v>
      </c>
      <c r="AD35" s="440"/>
      <c r="AE35" s="440">
        <f t="shared" si="17"/>
        <v>0</v>
      </c>
      <c r="AF35" s="439">
        <v>-12.0</v>
      </c>
      <c r="AG35" s="438"/>
      <c r="AH35" s="459">
        <v>0.035</v>
      </c>
      <c r="AI35" s="436"/>
      <c r="AJ35" s="446">
        <f>IF(ISNUMBER(VLOOKUP(B35,'New Masses'!A:C,2, FALSE)),VLOOKUP(B35,'New Masses'!A:C,2, FALSE),"")</f>
        <v>0.028415</v>
      </c>
      <c r="AK35" s="436"/>
      <c r="AL35" s="438"/>
      <c r="AM35" s="438"/>
      <c r="AN35" s="438"/>
      <c r="AO35" s="436">
        <v>2.0</v>
      </c>
      <c r="AP35" s="438"/>
      <c r="AQ35" s="436">
        <v>0.3</v>
      </c>
      <c r="AR35" s="420"/>
      <c r="AS35" s="420" t="s">
        <v>2197</v>
      </c>
      <c r="AT35" s="448"/>
      <c r="AU35" s="471" t="s">
        <v>137</v>
      </c>
      <c r="AV35" s="438"/>
      <c r="AW35" s="438"/>
      <c r="AX35" s="450">
        <v>184.240101700536</v>
      </c>
    </row>
    <row r="36">
      <c r="A36" s="435" t="s">
        <v>1731</v>
      </c>
      <c r="B36" s="436" t="s">
        <v>1732</v>
      </c>
      <c r="C36" s="436"/>
      <c r="D36" s="436" t="s">
        <v>350</v>
      </c>
      <c r="E36" s="436"/>
      <c r="F36" s="436" t="s">
        <v>2217</v>
      </c>
      <c r="G36" s="437" t="s">
        <v>169</v>
      </c>
      <c r="H36" s="437" t="s">
        <v>702</v>
      </c>
      <c r="I36" s="437" t="s">
        <v>1999</v>
      </c>
      <c r="J36" s="437">
        <v>3500.0</v>
      </c>
      <c r="K36" s="438"/>
      <c r="L36" s="436" t="s">
        <v>1423</v>
      </c>
      <c r="M36" s="439"/>
      <c r="N36" s="422">
        <v>11.363</v>
      </c>
      <c r="O36" s="422">
        <v>10.439</v>
      </c>
      <c r="P36" s="422">
        <v>13.22</v>
      </c>
      <c r="Q36" s="436" t="s">
        <v>1632</v>
      </c>
      <c r="R36" s="438"/>
      <c r="S36" s="436" t="s">
        <v>2000</v>
      </c>
      <c r="T36" s="436" t="s">
        <v>1632</v>
      </c>
      <c r="U36" s="436" t="s">
        <v>1633</v>
      </c>
      <c r="V36" s="451"/>
      <c r="W36" s="441">
        <v>0.63</v>
      </c>
      <c r="X36" s="438"/>
      <c r="Y36" s="442">
        <f t="shared" si="1"/>
        <v>2.164660851</v>
      </c>
      <c r="Z36" s="442"/>
      <c r="AA36" s="443"/>
      <c r="AB36" s="443"/>
      <c r="AC36" s="436" t="str">
        <f>IF(ISNUMBER(VLOOKUP(B36,'New Masses'!A:C,3,FALSE)),VLOOKUP(B36,'New Masses'!A:C,3,FALSE),"")</f>
        <v/>
      </c>
      <c r="AD36" s="440"/>
      <c r="AE36" s="440">
        <f t="shared" si="17"/>
        <v>0.000000001737800829</v>
      </c>
      <c r="AF36" s="444">
        <v>-8.76</v>
      </c>
      <c r="AG36" s="438"/>
      <c r="AH36" s="445">
        <v>0.6</v>
      </c>
      <c r="AI36" s="438"/>
      <c r="AJ36" s="446" t="str">
        <f>IF(ISNUMBER(VLOOKUP(B36,'New Masses'!A:C,2, FALSE)),VLOOKUP(B36,'New Masses'!A:C,2, FALSE),"")</f>
        <v/>
      </c>
      <c r="AK36" s="438"/>
      <c r="AL36" s="437"/>
      <c r="AM36" s="447">
        <v>-1.92</v>
      </c>
      <c r="AN36" s="438"/>
      <c r="AO36" s="436">
        <v>3.0</v>
      </c>
      <c r="AP36" s="438"/>
      <c r="AQ36" s="438"/>
      <c r="AR36" s="436"/>
      <c r="AS36" s="438"/>
      <c r="AT36" s="448"/>
      <c r="AU36" s="452"/>
      <c r="AV36" s="438" t="s">
        <v>1676</v>
      </c>
      <c r="AW36" s="438"/>
      <c r="AX36" s="450">
        <v>400.769477396601</v>
      </c>
    </row>
    <row r="37">
      <c r="A37" s="435" t="s">
        <v>2007</v>
      </c>
      <c r="B37" s="436" t="s">
        <v>2008</v>
      </c>
      <c r="C37" s="436"/>
      <c r="D37" s="436" t="s">
        <v>350</v>
      </c>
      <c r="E37" s="436"/>
      <c r="F37" s="436" t="s">
        <v>2218</v>
      </c>
      <c r="G37" s="437" t="s">
        <v>515</v>
      </c>
      <c r="H37" s="437" t="s">
        <v>702</v>
      </c>
      <c r="I37" s="437" t="s">
        <v>1999</v>
      </c>
      <c r="J37" s="437">
        <v>3900.0</v>
      </c>
      <c r="K37" s="438"/>
      <c r="L37" s="436" t="s">
        <v>2010</v>
      </c>
      <c r="M37" s="439"/>
      <c r="N37" s="422">
        <v>9.907</v>
      </c>
      <c r="O37" s="422">
        <v>9.119</v>
      </c>
      <c r="P37" s="422">
        <v>11.73</v>
      </c>
      <c r="Q37" s="436" t="s">
        <v>1632</v>
      </c>
      <c r="R37" s="438"/>
      <c r="S37" s="436" t="s">
        <v>2000</v>
      </c>
      <c r="T37" s="436" t="s">
        <v>1632</v>
      </c>
      <c r="U37" s="436" t="s">
        <v>1633</v>
      </c>
      <c r="V37" s="440"/>
      <c r="W37" s="441">
        <v>0.46</v>
      </c>
      <c r="X37" s="438"/>
      <c r="Y37" s="442">
        <f t="shared" si="1"/>
        <v>1.489722505</v>
      </c>
      <c r="Z37" s="442"/>
      <c r="AA37" s="443"/>
      <c r="AB37" s="443"/>
      <c r="AC37" s="436" t="str">
        <f>IF(ISNUMBER(VLOOKUP(B37,'New Masses'!A:C,3,FALSE)),VLOOKUP(B37,'New Masses'!A:C,3,FALSE),"")</f>
        <v/>
      </c>
      <c r="AD37" s="440"/>
      <c r="AE37" s="440"/>
      <c r="AF37" s="444"/>
      <c r="AG37" s="438"/>
      <c r="AH37" s="445">
        <v>1.0</v>
      </c>
      <c r="AI37" s="438"/>
      <c r="AJ37" s="446" t="str">
        <f>IF(ISNUMBER(VLOOKUP(B37,'New Masses'!A:C,2, FALSE)),VLOOKUP(B37,'New Masses'!A:C,2, FALSE),"")</f>
        <v/>
      </c>
      <c r="AK37" s="438"/>
      <c r="AL37" s="437"/>
      <c r="AM37" s="437"/>
      <c r="AN37" s="438"/>
      <c r="AO37" s="436">
        <v>3.0</v>
      </c>
      <c r="AP37" s="438"/>
      <c r="AQ37" s="438"/>
      <c r="AR37" s="436"/>
      <c r="AS37" s="438"/>
      <c r="AT37" s="448"/>
      <c r="AU37" s="449" t="s">
        <v>137</v>
      </c>
      <c r="AV37" s="438" t="s">
        <v>705</v>
      </c>
      <c r="AW37" s="438"/>
      <c r="AX37" s="450">
        <v>413.291453132749</v>
      </c>
    </row>
    <row r="38">
      <c r="A38" s="435" t="s">
        <v>2012</v>
      </c>
      <c r="B38" s="436" t="s">
        <v>2013</v>
      </c>
      <c r="C38" s="436"/>
      <c r="D38" s="436" t="s">
        <v>350</v>
      </c>
      <c r="E38" s="436"/>
      <c r="F38" s="436" t="s">
        <v>2219</v>
      </c>
      <c r="G38" s="437" t="s">
        <v>169</v>
      </c>
      <c r="H38" s="437" t="s">
        <v>702</v>
      </c>
      <c r="I38" s="437" t="s">
        <v>1999</v>
      </c>
      <c r="J38" s="437">
        <v>3700.0</v>
      </c>
      <c r="K38" s="438"/>
      <c r="L38" s="436" t="s">
        <v>434</v>
      </c>
      <c r="M38" s="439"/>
      <c r="N38" s="422">
        <v>10.156</v>
      </c>
      <c r="O38" s="422">
        <v>9.187</v>
      </c>
      <c r="P38" s="422">
        <v>12.41</v>
      </c>
      <c r="Q38" s="436" t="s">
        <v>1632</v>
      </c>
      <c r="R38" s="438"/>
      <c r="S38" s="436" t="s">
        <v>2000</v>
      </c>
      <c r="T38" s="436" t="s">
        <v>1632</v>
      </c>
      <c r="U38" s="436" t="s">
        <v>1633</v>
      </c>
      <c r="V38" s="451"/>
      <c r="W38" s="441">
        <v>1.73</v>
      </c>
      <c r="X38" s="438"/>
      <c r="Y38" s="442">
        <f t="shared" si="1"/>
        <v>3.209780101</v>
      </c>
      <c r="Z38" s="442"/>
      <c r="AA38" s="443"/>
      <c r="AB38" s="443"/>
      <c r="AC38" s="436" t="str">
        <f>IF(ISNUMBER(VLOOKUP(B38,'New Masses'!A:C,3,FALSE)),VLOOKUP(B38,'New Masses'!A:C,3,FALSE),"")</f>
        <v/>
      </c>
      <c r="AD38" s="440"/>
      <c r="AE38" s="440"/>
      <c r="AF38" s="444"/>
      <c r="AG38" s="438"/>
      <c r="AH38" s="445">
        <v>0.8</v>
      </c>
      <c r="AI38" s="438"/>
      <c r="AJ38" s="446" t="str">
        <f>IF(ISNUMBER(VLOOKUP(B38,'New Masses'!A:C,2, FALSE)),VLOOKUP(B38,'New Masses'!A:C,2, FALSE),"")</f>
        <v/>
      </c>
      <c r="AK38" s="438"/>
      <c r="AL38" s="437"/>
      <c r="AM38" s="437"/>
      <c r="AN38" s="438"/>
      <c r="AO38" s="436">
        <v>3.0</v>
      </c>
      <c r="AP38" s="438"/>
      <c r="AQ38" s="438"/>
      <c r="AR38" s="436"/>
      <c r="AS38" s="438"/>
      <c r="AT38" s="448"/>
      <c r="AU38" s="452" t="s">
        <v>137</v>
      </c>
      <c r="AV38" s="438" t="s">
        <v>1676</v>
      </c>
      <c r="AW38" s="438"/>
      <c r="AX38" s="450"/>
    </row>
    <row r="39">
      <c r="A39" s="435" t="s">
        <v>1673</v>
      </c>
      <c r="B39" s="436" t="s">
        <v>1674</v>
      </c>
      <c r="C39" s="436"/>
      <c r="D39" s="436" t="s">
        <v>350</v>
      </c>
      <c r="E39" s="436"/>
      <c r="F39" s="436" t="s">
        <v>2220</v>
      </c>
      <c r="G39" s="437" t="s">
        <v>169</v>
      </c>
      <c r="H39" s="437" t="s">
        <v>702</v>
      </c>
      <c r="I39" s="437" t="s">
        <v>1999</v>
      </c>
      <c r="J39" s="437">
        <v>3200.0</v>
      </c>
      <c r="K39" s="438"/>
      <c r="L39" s="436" t="s">
        <v>395</v>
      </c>
      <c r="M39" s="439"/>
      <c r="N39" s="422">
        <v>12.652</v>
      </c>
      <c r="O39" s="422">
        <v>11.648</v>
      </c>
      <c r="P39" s="422">
        <v>17.68</v>
      </c>
      <c r="Q39" s="436" t="s">
        <v>1632</v>
      </c>
      <c r="R39" s="438"/>
      <c r="S39" s="436" t="s">
        <v>2000</v>
      </c>
      <c r="T39" s="436" t="s">
        <v>1632</v>
      </c>
      <c r="U39" s="436" t="s">
        <v>1633</v>
      </c>
      <c r="V39" s="451"/>
      <c r="W39" s="441">
        <v>0.15</v>
      </c>
      <c r="X39" s="438"/>
      <c r="Y39" s="442">
        <f t="shared" si="1"/>
        <v>1.263575946</v>
      </c>
      <c r="Z39" s="442"/>
      <c r="AA39" s="443"/>
      <c r="AB39" s="443"/>
      <c r="AC39" s="436" t="str">
        <f>IF(ISNUMBER(VLOOKUP(B39,'New Masses'!A:C,3,FALSE)),VLOOKUP(B39,'New Masses'!A:C,3,FALSE),"")</f>
        <v/>
      </c>
      <c r="AD39" s="440"/>
      <c r="AE39" s="440">
        <f t="shared" ref="AE39:AE44" si="18">10^AF39</f>
        <v>0.000000000213796209</v>
      </c>
      <c r="AF39" s="444">
        <v>-9.67</v>
      </c>
      <c r="AG39" s="438"/>
      <c r="AH39" s="445">
        <v>0.2</v>
      </c>
      <c r="AI39" s="438"/>
      <c r="AJ39" s="446" t="str">
        <f>IF(ISNUMBER(VLOOKUP(B39,'New Masses'!A:C,2, FALSE)),VLOOKUP(B39,'New Masses'!A:C,2, FALSE),"")</f>
        <v/>
      </c>
      <c r="AK39" s="438"/>
      <c r="AL39" s="437"/>
      <c r="AM39" s="447">
        <v>-3.08</v>
      </c>
      <c r="AN39" s="438"/>
      <c r="AO39" s="436">
        <v>3.0</v>
      </c>
      <c r="AP39" s="438"/>
      <c r="AQ39" s="438"/>
      <c r="AR39" s="436"/>
      <c r="AS39" s="438"/>
      <c r="AT39" s="448"/>
      <c r="AU39" s="452"/>
      <c r="AV39" s="438" t="s">
        <v>1676</v>
      </c>
      <c r="AW39" s="438"/>
      <c r="AX39" s="450">
        <v>342.688735821253</v>
      </c>
    </row>
    <row r="40">
      <c r="A40" s="435" t="s">
        <v>1723</v>
      </c>
      <c r="B40" s="436" t="s">
        <v>1724</v>
      </c>
      <c r="C40" s="436"/>
      <c r="D40" s="436" t="s">
        <v>350</v>
      </c>
      <c r="E40" s="436"/>
      <c r="F40" s="436" t="s">
        <v>2221</v>
      </c>
      <c r="G40" s="437" t="s">
        <v>169</v>
      </c>
      <c r="H40" s="437" t="s">
        <v>702</v>
      </c>
      <c r="I40" s="437" t="s">
        <v>1999</v>
      </c>
      <c r="J40" s="437">
        <v>3300.0</v>
      </c>
      <c r="K40" s="438"/>
      <c r="L40" s="436" t="s">
        <v>427</v>
      </c>
      <c r="M40" s="439"/>
      <c r="N40" s="422">
        <v>11.52</v>
      </c>
      <c r="O40" s="422">
        <v>10.352</v>
      </c>
      <c r="P40" s="422">
        <v>14.88</v>
      </c>
      <c r="Q40" s="436" t="s">
        <v>1632</v>
      </c>
      <c r="R40" s="438"/>
      <c r="S40" s="436" t="s">
        <v>2000</v>
      </c>
      <c r="T40" s="436" t="s">
        <v>1632</v>
      </c>
      <c r="U40" s="436" t="s">
        <v>1633</v>
      </c>
      <c r="V40" s="440"/>
      <c r="W40" s="441">
        <v>0.51</v>
      </c>
      <c r="X40" s="438"/>
      <c r="Y40" s="442">
        <f t="shared" si="1"/>
        <v>2.190851217</v>
      </c>
      <c r="Z40" s="442"/>
      <c r="AA40" s="443"/>
      <c r="AB40" s="443"/>
      <c r="AC40" s="436" t="str">
        <f>IF(ISNUMBER(VLOOKUP(B40,'New Masses'!A:C,3,FALSE)),VLOOKUP(B40,'New Masses'!A:C,3,FALSE),"")</f>
        <v/>
      </c>
      <c r="AD40" s="440"/>
      <c r="AE40" s="440">
        <f t="shared" si="18"/>
        <v>0.000000001122018454</v>
      </c>
      <c r="AF40" s="444">
        <v>-8.95</v>
      </c>
      <c r="AG40" s="438"/>
      <c r="AH40" s="445">
        <v>0.4</v>
      </c>
      <c r="AI40" s="438"/>
      <c r="AJ40" s="446" t="str">
        <f>IF(ISNUMBER(VLOOKUP(B40,'New Masses'!A:C,2, FALSE)),VLOOKUP(B40,'New Masses'!A:C,2, FALSE),"")</f>
        <v/>
      </c>
      <c r="AK40" s="438"/>
      <c r="AL40" s="437"/>
      <c r="AM40" s="447">
        <v>-2.3</v>
      </c>
      <c r="AN40" s="438"/>
      <c r="AO40" s="436">
        <v>3.0</v>
      </c>
      <c r="AP40" s="438"/>
      <c r="AQ40" s="438"/>
      <c r="AR40" s="436"/>
      <c r="AS40" s="438"/>
      <c r="AT40" s="448"/>
      <c r="AU40" s="449"/>
      <c r="AV40" s="438" t="s">
        <v>1676</v>
      </c>
      <c r="AW40" s="438"/>
      <c r="AX40" s="450"/>
    </row>
    <row r="41">
      <c r="A41" s="435" t="s">
        <v>400</v>
      </c>
      <c r="B41" s="436" t="s">
        <v>401</v>
      </c>
      <c r="C41" s="436"/>
      <c r="D41" s="436" t="s">
        <v>350</v>
      </c>
      <c r="E41" s="436"/>
      <c r="F41" s="436" t="s">
        <v>2222</v>
      </c>
      <c r="G41" s="436" t="s">
        <v>169</v>
      </c>
      <c r="H41" s="436" t="s">
        <v>352</v>
      </c>
      <c r="I41" s="436" t="s">
        <v>2223</v>
      </c>
      <c r="J41" s="436">
        <v>3200.0</v>
      </c>
      <c r="K41" s="436"/>
      <c r="L41" s="436" t="s">
        <v>402</v>
      </c>
      <c r="M41" s="439"/>
      <c r="N41" s="422">
        <v>11.98</v>
      </c>
      <c r="O41" s="422">
        <v>11.077</v>
      </c>
      <c r="P41" s="422">
        <v>15.24</v>
      </c>
      <c r="Q41" s="436" t="s">
        <v>2224</v>
      </c>
      <c r="R41" s="436" t="s">
        <v>2225</v>
      </c>
      <c r="S41" s="436" t="s">
        <v>2191</v>
      </c>
      <c r="T41" s="436" t="s">
        <v>293</v>
      </c>
      <c r="U41" s="436" t="s">
        <v>294</v>
      </c>
      <c r="V41" s="440"/>
      <c r="W41" s="474">
        <v>0.27</v>
      </c>
      <c r="X41" s="436"/>
      <c r="Y41" s="442">
        <f t="shared" si="1"/>
        <v>1.695265025</v>
      </c>
      <c r="Z41" s="469"/>
      <c r="AA41" s="470">
        <v>1.73</v>
      </c>
      <c r="AB41" s="470"/>
      <c r="AC41" s="436" t="str">
        <f>IF(ISNUMBER(VLOOKUP(B41,'New Masses'!A:C,3,FALSE)),VLOOKUP(B41,'New Masses'!A:C,3,FALSE),"")</f>
        <v/>
      </c>
      <c r="AD41" s="440"/>
      <c r="AE41" s="440">
        <f t="shared" si="18"/>
        <v>0</v>
      </c>
      <c r="AF41" s="439">
        <v>-10.41</v>
      </c>
      <c r="AG41" s="438"/>
      <c r="AH41" s="459">
        <v>0.2</v>
      </c>
      <c r="AI41" s="436"/>
      <c r="AJ41" s="446" t="str">
        <f>IF(ISNUMBER(VLOOKUP(B41,'New Masses'!A:C,2, FALSE)),VLOOKUP(B41,'New Masses'!A:C,2, FALSE),"")</f>
        <v/>
      </c>
      <c r="AK41" s="436"/>
      <c r="AL41" s="436"/>
      <c r="AM41" s="436">
        <v>-4.0</v>
      </c>
      <c r="AN41" s="466">
        <v>43864.0</v>
      </c>
      <c r="AO41" s="436">
        <v>3.0</v>
      </c>
      <c r="AP41" s="436"/>
      <c r="AQ41" s="436"/>
      <c r="AR41" s="438"/>
      <c r="AS41" s="438"/>
      <c r="AT41" s="448"/>
      <c r="AU41" s="452" t="s">
        <v>137</v>
      </c>
      <c r="AV41" s="438"/>
      <c r="AW41" s="438"/>
      <c r="AX41" s="450">
        <v>384.659768434819</v>
      </c>
    </row>
    <row r="42">
      <c r="A42" s="435" t="s">
        <v>400</v>
      </c>
      <c r="B42" s="436" t="s">
        <v>401</v>
      </c>
      <c r="C42" s="436"/>
      <c r="D42" s="436" t="s">
        <v>350</v>
      </c>
      <c r="E42" s="436"/>
      <c r="F42" s="436" t="s">
        <v>2226</v>
      </c>
      <c r="G42" s="437" t="s">
        <v>515</v>
      </c>
      <c r="H42" s="437" t="s">
        <v>702</v>
      </c>
      <c r="I42" s="437" t="s">
        <v>1999</v>
      </c>
      <c r="J42" s="437">
        <v>3300.0</v>
      </c>
      <c r="K42" s="438"/>
      <c r="L42" s="438"/>
      <c r="M42" s="453"/>
      <c r="N42" s="422">
        <v>11.98</v>
      </c>
      <c r="O42" s="422">
        <v>11.077</v>
      </c>
      <c r="P42" s="422">
        <v>15.24</v>
      </c>
      <c r="Q42" s="436" t="s">
        <v>1632</v>
      </c>
      <c r="R42" s="438"/>
      <c r="S42" s="436" t="s">
        <v>2000</v>
      </c>
      <c r="T42" s="436" t="s">
        <v>1632</v>
      </c>
      <c r="U42" s="436" t="s">
        <v>1633</v>
      </c>
      <c r="V42" s="440"/>
      <c r="W42" s="441">
        <v>0.27</v>
      </c>
      <c r="X42" s="438"/>
      <c r="Y42" s="442">
        <f t="shared" si="1"/>
        <v>1.594078408</v>
      </c>
      <c r="Z42" s="442"/>
      <c r="AA42" s="443"/>
      <c r="AB42" s="443"/>
      <c r="AC42" s="436" t="str">
        <f>IF(ISNUMBER(VLOOKUP(B42,'New Masses'!A:C,3,FALSE)),VLOOKUP(B42,'New Masses'!A:C,3,FALSE),"")</f>
        <v/>
      </c>
      <c r="AD42" s="440"/>
      <c r="AE42" s="440">
        <f t="shared" si="18"/>
        <v>0.0000000003548133892</v>
      </c>
      <c r="AF42" s="444">
        <v>-9.45</v>
      </c>
      <c r="AG42" s="438"/>
      <c r="AH42" s="445">
        <v>0.3</v>
      </c>
      <c r="AI42" s="438"/>
      <c r="AJ42" s="446" t="str">
        <f>IF(ISNUMBER(VLOOKUP(B42,'New Masses'!A:C,2, FALSE)),VLOOKUP(B42,'New Masses'!A:C,2, FALSE),"")</f>
        <v/>
      </c>
      <c r="AK42" s="438"/>
      <c r="AL42" s="437"/>
      <c r="AM42" s="447">
        <v>-2.78</v>
      </c>
      <c r="AN42" s="438"/>
      <c r="AO42" s="436">
        <v>3.0</v>
      </c>
      <c r="AP42" s="438"/>
      <c r="AQ42" s="436"/>
      <c r="AR42" s="438"/>
      <c r="AS42" s="438"/>
      <c r="AT42" s="448"/>
      <c r="AU42" s="449" t="s">
        <v>137</v>
      </c>
      <c r="AV42" s="438"/>
      <c r="AW42" s="438"/>
      <c r="AX42" s="450">
        <v>384.659768434819</v>
      </c>
    </row>
    <row r="43">
      <c r="A43" s="419" t="s">
        <v>277</v>
      </c>
      <c r="B43" s="475" t="s">
        <v>278</v>
      </c>
      <c r="C43" s="420"/>
      <c r="D43" s="436" t="s">
        <v>2227</v>
      </c>
      <c r="E43" s="436"/>
      <c r="F43" s="436" t="s">
        <v>2228</v>
      </c>
      <c r="G43" s="436" t="s">
        <v>169</v>
      </c>
      <c r="H43" s="420" t="s">
        <v>201</v>
      </c>
      <c r="I43" s="438" t="s">
        <v>2207</v>
      </c>
      <c r="J43" s="436">
        <v>3025.0</v>
      </c>
      <c r="K43" s="438"/>
      <c r="L43" s="420" t="s">
        <v>270</v>
      </c>
      <c r="M43" s="429"/>
      <c r="N43" s="422">
        <v>13.682</v>
      </c>
      <c r="O43" s="422">
        <v>12.634</v>
      </c>
      <c r="P43" s="422"/>
      <c r="Q43" s="438" t="s">
        <v>2208</v>
      </c>
      <c r="R43" s="438" t="s">
        <v>2209</v>
      </c>
      <c r="S43" s="438" t="s">
        <v>2229</v>
      </c>
      <c r="T43" s="454" t="s">
        <v>162</v>
      </c>
      <c r="U43" s="438" t="s">
        <v>2210</v>
      </c>
      <c r="V43" s="423">
        <v>4.51</v>
      </c>
      <c r="W43" s="458"/>
      <c r="X43" s="438"/>
      <c r="Y43" s="442" t="str">
        <f t="shared" si="1"/>
        <v/>
      </c>
      <c r="Z43" s="442"/>
      <c r="AA43" s="443"/>
      <c r="AB43" s="443"/>
      <c r="AC43" s="436" t="str">
        <f>IF(ISNUMBER(VLOOKUP(B43,'New Masses'!A:C,3,FALSE)),VLOOKUP(B43,'New Masses'!A:C,3,FALSE),"")</f>
        <v/>
      </c>
      <c r="AD43" s="423"/>
      <c r="AE43" s="423">
        <f t="shared" si="18"/>
        <v>0</v>
      </c>
      <c r="AF43" s="429">
        <v>-10.6</v>
      </c>
      <c r="AG43" s="438"/>
      <c r="AH43" s="459">
        <v>0.12</v>
      </c>
      <c r="AI43" s="438"/>
      <c r="AJ43" s="446" t="str">
        <f>IF(ISNUMBER(VLOOKUP(B43,'New Masses'!A:C,2, FALSE)),VLOOKUP(B43,'New Masses'!A:C,2, FALSE),"")</f>
        <v/>
      </c>
      <c r="AK43" s="438"/>
      <c r="AL43" s="438"/>
      <c r="AM43" s="451"/>
      <c r="AN43" s="438"/>
      <c r="AO43" s="436">
        <v>1.0</v>
      </c>
      <c r="AP43" s="438"/>
      <c r="AQ43" s="438"/>
      <c r="AR43" s="436"/>
      <c r="AS43" s="438"/>
      <c r="AT43" s="448"/>
      <c r="AU43" s="452"/>
      <c r="AV43" s="438" t="s">
        <v>250</v>
      </c>
      <c r="AW43" s="438"/>
      <c r="AX43" s="450">
        <v>390.304828070723</v>
      </c>
    </row>
    <row r="44">
      <c r="A44" s="419" t="s">
        <v>277</v>
      </c>
      <c r="B44" s="476" t="s">
        <v>278</v>
      </c>
      <c r="C44" s="420"/>
      <c r="D44" s="436" t="s">
        <v>2227</v>
      </c>
      <c r="E44" s="436"/>
      <c r="F44" s="436" t="s">
        <v>2228</v>
      </c>
      <c r="G44" s="436" t="s">
        <v>169</v>
      </c>
      <c r="H44" s="420" t="s">
        <v>201</v>
      </c>
      <c r="I44" s="438" t="s">
        <v>2207</v>
      </c>
      <c r="J44" s="436">
        <v>3025.0</v>
      </c>
      <c r="K44" s="438"/>
      <c r="L44" s="420" t="s">
        <v>270</v>
      </c>
      <c r="M44" s="429"/>
      <c r="N44" s="422">
        <v>13.682</v>
      </c>
      <c r="O44" s="422">
        <v>12.634</v>
      </c>
      <c r="P44" s="422"/>
      <c r="Q44" s="438" t="s">
        <v>2208</v>
      </c>
      <c r="R44" s="438" t="s">
        <v>2209</v>
      </c>
      <c r="S44" s="438" t="s">
        <v>2229</v>
      </c>
      <c r="T44" s="454" t="s">
        <v>162</v>
      </c>
      <c r="U44" s="438" t="s">
        <v>2210</v>
      </c>
      <c r="V44" s="423">
        <v>4.51</v>
      </c>
      <c r="W44" s="458"/>
      <c r="X44" s="438"/>
      <c r="Y44" s="442" t="str">
        <f t="shared" si="1"/>
        <v/>
      </c>
      <c r="Z44" s="442"/>
      <c r="AA44" s="443"/>
      <c r="AB44" s="443"/>
      <c r="AC44" s="436" t="str">
        <f>IF(ISNUMBER(VLOOKUP(B44,'New Masses'!A:C,3,FALSE)),VLOOKUP(B44,'New Masses'!A:C,3,FALSE),"")</f>
        <v/>
      </c>
      <c r="AD44" s="423"/>
      <c r="AE44" s="423">
        <f t="shared" si="18"/>
        <v>0</v>
      </c>
      <c r="AF44" s="453">
        <v>-10.8</v>
      </c>
      <c r="AG44" s="438"/>
      <c r="AH44" s="459">
        <v>0.12</v>
      </c>
      <c r="AI44" s="438"/>
      <c r="AJ44" s="446" t="str">
        <f>IF(ISNUMBER(VLOOKUP(B44,'New Masses'!A:C,2, FALSE)),VLOOKUP(B44,'New Masses'!A:C,2, FALSE),"")</f>
        <v/>
      </c>
      <c r="AK44" s="438"/>
      <c r="AL44" s="438"/>
      <c r="AM44" s="451"/>
      <c r="AN44" s="438"/>
      <c r="AO44" s="436">
        <v>1.0</v>
      </c>
      <c r="AP44" s="438"/>
      <c r="AQ44" s="438"/>
      <c r="AR44" s="436"/>
      <c r="AS44" s="438"/>
      <c r="AT44" s="448"/>
      <c r="AU44" s="449"/>
      <c r="AV44" s="438" t="s">
        <v>249</v>
      </c>
      <c r="AW44" s="438"/>
      <c r="AX44" s="450">
        <v>390.304828070723</v>
      </c>
    </row>
    <row r="45">
      <c r="A45" s="419" t="s">
        <v>693</v>
      </c>
      <c r="B45" s="436" t="s">
        <v>694</v>
      </c>
      <c r="C45" s="436"/>
      <c r="D45" s="436" t="s">
        <v>2227</v>
      </c>
      <c r="E45" s="436"/>
      <c r="F45" s="436" t="s">
        <v>2230</v>
      </c>
      <c r="G45" s="436" t="s">
        <v>169</v>
      </c>
      <c r="H45" s="436" t="s">
        <v>248</v>
      </c>
      <c r="I45" s="436" t="s">
        <v>2231</v>
      </c>
      <c r="J45" s="436"/>
      <c r="K45" s="436"/>
      <c r="L45" s="436" t="s">
        <v>270</v>
      </c>
      <c r="M45" s="439"/>
      <c r="N45" s="422">
        <v>13.223</v>
      </c>
      <c r="O45" s="422">
        <v>11.93</v>
      </c>
      <c r="P45" s="422">
        <v>18.25</v>
      </c>
      <c r="Q45" s="436" t="s">
        <v>2232</v>
      </c>
      <c r="R45" s="436" t="s">
        <v>2233</v>
      </c>
      <c r="S45" s="436" t="s">
        <v>2234</v>
      </c>
      <c r="T45" s="436" t="s">
        <v>596</v>
      </c>
      <c r="U45" s="436" t="s">
        <v>597</v>
      </c>
      <c r="V45" s="451"/>
      <c r="W45" s="468">
        <v>0.11220184543019636</v>
      </c>
      <c r="X45" s="436"/>
      <c r="Y45" s="442"/>
      <c r="Z45" s="469"/>
      <c r="AA45" s="470">
        <v>1.0</v>
      </c>
      <c r="AB45" s="470"/>
      <c r="AC45" s="436" t="str">
        <f>IF(ISNUMBER(VLOOKUP(B45,'New Masses'!A:C,3,FALSE)),VLOOKUP(B45,'New Masses'!A:C,3,FALSE),"")</f>
        <v/>
      </c>
      <c r="AD45" s="451"/>
      <c r="AE45" s="451">
        <f t="shared" ref="AE45:AE46" si="19">10^(AF45)</f>
        <v>0.0000000001</v>
      </c>
      <c r="AF45" s="439">
        <v>-10.0</v>
      </c>
      <c r="AG45" s="436">
        <v>0.1</v>
      </c>
      <c r="AH45" s="459">
        <v>0.1</v>
      </c>
      <c r="AI45" s="436"/>
      <c r="AJ45" s="446" t="str">
        <f>IF(ISNUMBER(VLOOKUP(B45,'New Masses'!A:C,2, FALSE)),VLOOKUP(B45,'New Masses'!A:C,2, FALSE),"")</f>
        <v/>
      </c>
      <c r="AK45" s="436">
        <f t="shared" ref="AK45:AK46" si="20">LOG10(AH45)</f>
        <v>-1</v>
      </c>
      <c r="AL45" s="460">
        <f t="shared" ref="AL45:AL46" si="21">(6.67*10^(-11))*((2*10^(33))^2)*AE45*AH45/(3*10^7*AA45*7*10^10)</f>
        <v>1.27048E+27</v>
      </c>
      <c r="AM45" s="451">
        <f t="shared" ref="AM45:AM46" si="22">LOG10(AL45/(4*10^33))</f>
        <v>-6.498093461</v>
      </c>
      <c r="AN45" s="436"/>
      <c r="AO45" s="436">
        <v>0.25</v>
      </c>
      <c r="AP45" s="436"/>
      <c r="AQ45" s="419">
        <v>1.42</v>
      </c>
      <c r="AR45" s="436"/>
      <c r="AS45" s="421"/>
      <c r="AT45" s="448"/>
      <c r="AU45" s="452"/>
      <c r="AV45" s="438" t="s">
        <v>644</v>
      </c>
      <c r="AW45" s="438"/>
      <c r="AX45" s="450"/>
    </row>
    <row r="46">
      <c r="A46" s="419" t="s">
        <v>261</v>
      </c>
      <c r="B46" s="476" t="s">
        <v>262</v>
      </c>
      <c r="C46" s="420"/>
      <c r="D46" s="436" t="s">
        <v>2227</v>
      </c>
      <c r="E46" s="436"/>
      <c r="F46" s="436" t="s">
        <v>2235</v>
      </c>
      <c r="G46" s="436" t="s">
        <v>169</v>
      </c>
      <c r="H46" s="436" t="s">
        <v>248</v>
      </c>
      <c r="I46" s="436" t="s">
        <v>2231</v>
      </c>
      <c r="J46" s="436"/>
      <c r="K46" s="436"/>
      <c r="L46" s="436" t="s">
        <v>353</v>
      </c>
      <c r="M46" s="439"/>
      <c r="N46" s="422">
        <v>13.668</v>
      </c>
      <c r="O46" s="422">
        <v>12.327</v>
      </c>
      <c r="P46" s="422"/>
      <c r="Q46" s="436" t="s">
        <v>2232</v>
      </c>
      <c r="R46" s="436" t="s">
        <v>2236</v>
      </c>
      <c r="S46" s="436" t="s">
        <v>2234</v>
      </c>
      <c r="T46" s="436" t="s">
        <v>596</v>
      </c>
      <c r="U46" s="436" t="s">
        <v>597</v>
      </c>
      <c r="V46" s="451"/>
      <c r="W46" s="468">
        <v>0.07762471166286916</v>
      </c>
      <c r="X46" s="436"/>
      <c r="Y46" s="442"/>
      <c r="Z46" s="469"/>
      <c r="AA46" s="470">
        <v>1.0</v>
      </c>
      <c r="AB46" s="470"/>
      <c r="AC46" s="436" t="str">
        <f>IF(ISNUMBER(VLOOKUP(B46,'New Masses'!A:C,3,FALSE)),VLOOKUP(B46,'New Masses'!A:C,3,FALSE),"")</f>
        <v/>
      </c>
      <c r="AD46" s="451"/>
      <c r="AE46" s="451">
        <f t="shared" si="19"/>
        <v>0.0000000001</v>
      </c>
      <c r="AF46" s="439">
        <v>-10.0</v>
      </c>
      <c r="AG46" s="436">
        <v>0.09</v>
      </c>
      <c r="AH46" s="459">
        <v>0.09</v>
      </c>
      <c r="AI46" s="436"/>
      <c r="AJ46" s="446" t="str">
        <f>IF(ISNUMBER(VLOOKUP(B46,'New Masses'!A:C,2, FALSE)),VLOOKUP(B46,'New Masses'!A:C,2, FALSE),"")</f>
        <v/>
      </c>
      <c r="AK46" s="436">
        <f t="shared" si="20"/>
        <v>-1.045757491</v>
      </c>
      <c r="AL46" s="460">
        <f t="shared" si="21"/>
        <v>1.14343E+27</v>
      </c>
      <c r="AM46" s="451">
        <f t="shared" si="22"/>
        <v>-6.543850951</v>
      </c>
      <c r="AN46" s="438"/>
      <c r="AO46" s="436">
        <v>0.33</v>
      </c>
      <c r="AP46" s="438"/>
      <c r="AQ46" s="454">
        <v>1.21</v>
      </c>
      <c r="AR46" s="436"/>
      <c r="AS46" s="438"/>
      <c r="AT46" s="448"/>
      <c r="AU46" s="449"/>
      <c r="AV46" s="438" t="s">
        <v>644</v>
      </c>
      <c r="AW46" s="438"/>
      <c r="AX46" s="450">
        <v>490.436488474742</v>
      </c>
    </row>
    <row r="47">
      <c r="A47" s="419" t="s">
        <v>261</v>
      </c>
      <c r="B47" s="476" t="s">
        <v>262</v>
      </c>
      <c r="C47" s="420"/>
      <c r="D47" s="436" t="s">
        <v>2227</v>
      </c>
      <c r="E47" s="436"/>
      <c r="F47" s="436" t="s">
        <v>2235</v>
      </c>
      <c r="G47" s="436" t="s">
        <v>169</v>
      </c>
      <c r="H47" s="420" t="s">
        <v>201</v>
      </c>
      <c r="I47" s="438" t="s">
        <v>2207</v>
      </c>
      <c r="J47" s="436">
        <v>3000.0</v>
      </c>
      <c r="K47" s="438"/>
      <c r="L47" s="420" t="s">
        <v>253</v>
      </c>
      <c r="M47" s="429"/>
      <c r="N47" s="422">
        <v>13.668</v>
      </c>
      <c r="O47" s="422">
        <v>12.327</v>
      </c>
      <c r="P47" s="422"/>
      <c r="Q47" s="438" t="s">
        <v>2208</v>
      </c>
      <c r="R47" s="438" t="s">
        <v>2209</v>
      </c>
      <c r="S47" s="438" t="s">
        <v>2229</v>
      </c>
      <c r="T47" s="454" t="s">
        <v>162</v>
      </c>
      <c r="U47" s="438" t="s">
        <v>2210</v>
      </c>
      <c r="V47" s="451">
        <v>5.08</v>
      </c>
      <c r="W47" s="458"/>
      <c r="X47" s="438"/>
      <c r="Y47" s="442" t="str">
        <f t="shared" ref="Y47:Y71" si="23">IF((W47/((J47/5780)^4))^0.5&gt;0,(W47/((J47/5780)^4))^0.5,"")</f>
        <v/>
      </c>
      <c r="Z47" s="442"/>
      <c r="AA47" s="443"/>
      <c r="AB47" s="443"/>
      <c r="AC47" s="436" t="str">
        <f>IF(ISNUMBER(VLOOKUP(B47,'New Masses'!A:C,3,FALSE)),VLOOKUP(B47,'New Masses'!A:C,3,FALSE),"")</f>
        <v/>
      </c>
      <c r="AD47" s="423"/>
      <c r="AE47" s="423">
        <f t="shared" ref="AE47:AE48" si="24">10^AF47</f>
        <v>0.0000000001</v>
      </c>
      <c r="AF47" s="439">
        <v>-10.0</v>
      </c>
      <c r="AG47" s="438"/>
      <c r="AH47" s="459">
        <v>0.1</v>
      </c>
      <c r="AI47" s="438"/>
      <c r="AJ47" s="446" t="str">
        <f>IF(ISNUMBER(VLOOKUP(B47,'New Masses'!A:C,2, FALSE)),VLOOKUP(B47,'New Masses'!A:C,2, FALSE),"")</f>
        <v/>
      </c>
      <c r="AK47" s="438"/>
      <c r="AL47" s="438"/>
      <c r="AM47" s="451"/>
      <c r="AN47" s="438"/>
      <c r="AO47" s="436">
        <v>1.0</v>
      </c>
      <c r="AP47" s="438"/>
      <c r="AQ47" s="438"/>
      <c r="AR47" s="436"/>
      <c r="AS47" s="438"/>
      <c r="AT47" s="448"/>
      <c r="AU47" s="449"/>
      <c r="AV47" s="436" t="s">
        <v>2237</v>
      </c>
      <c r="AW47" s="438"/>
      <c r="AX47" s="450">
        <v>490.436488474742</v>
      </c>
    </row>
    <row r="48">
      <c r="A48" s="419" t="s">
        <v>261</v>
      </c>
      <c r="B48" s="475" t="s">
        <v>262</v>
      </c>
      <c r="C48" s="420"/>
      <c r="D48" s="436" t="s">
        <v>2227</v>
      </c>
      <c r="E48" s="436"/>
      <c r="F48" s="436" t="s">
        <v>2235</v>
      </c>
      <c r="G48" s="436" t="s">
        <v>169</v>
      </c>
      <c r="H48" s="420" t="s">
        <v>201</v>
      </c>
      <c r="I48" s="438" t="s">
        <v>2207</v>
      </c>
      <c r="J48" s="436">
        <v>3000.0</v>
      </c>
      <c r="K48" s="438"/>
      <c r="L48" s="420" t="s">
        <v>253</v>
      </c>
      <c r="M48" s="429"/>
      <c r="N48" s="422">
        <v>13.668</v>
      </c>
      <c r="O48" s="422">
        <v>12.327</v>
      </c>
      <c r="P48" s="422"/>
      <c r="Q48" s="438" t="s">
        <v>2208</v>
      </c>
      <c r="R48" s="438" t="s">
        <v>2209</v>
      </c>
      <c r="S48" s="438" t="s">
        <v>2229</v>
      </c>
      <c r="T48" s="454" t="s">
        <v>162</v>
      </c>
      <c r="U48" s="438" t="s">
        <v>2210</v>
      </c>
      <c r="V48" s="451">
        <v>5.08</v>
      </c>
      <c r="W48" s="458"/>
      <c r="X48" s="438"/>
      <c r="Y48" s="442" t="str">
        <f t="shared" si="23"/>
        <v/>
      </c>
      <c r="Z48" s="442"/>
      <c r="AA48" s="443"/>
      <c r="AB48" s="443"/>
      <c r="AC48" s="436" t="str">
        <f>IF(ISNUMBER(VLOOKUP(B48,'New Masses'!A:C,3,FALSE)),VLOOKUP(B48,'New Masses'!A:C,3,FALSE),"")</f>
        <v/>
      </c>
      <c r="AD48" s="423"/>
      <c r="AE48" s="423">
        <f t="shared" si="24"/>
        <v>0</v>
      </c>
      <c r="AF48" s="444">
        <v>-10.3</v>
      </c>
      <c r="AG48" s="438"/>
      <c r="AH48" s="459">
        <v>0.1</v>
      </c>
      <c r="AI48" s="438"/>
      <c r="AJ48" s="446" t="str">
        <f>IF(ISNUMBER(VLOOKUP(B48,'New Masses'!A:C,2, FALSE)),VLOOKUP(B48,'New Masses'!A:C,2, FALSE),"")</f>
        <v/>
      </c>
      <c r="AK48" s="438"/>
      <c r="AL48" s="438"/>
      <c r="AM48" s="451"/>
      <c r="AN48" s="438"/>
      <c r="AO48" s="436">
        <v>1.0</v>
      </c>
      <c r="AP48" s="438"/>
      <c r="AQ48" s="438"/>
      <c r="AR48" s="436"/>
      <c r="AS48" s="438"/>
      <c r="AT48" s="448"/>
      <c r="AU48" s="452"/>
      <c r="AV48" s="438" t="s">
        <v>249</v>
      </c>
      <c r="AW48" s="438"/>
      <c r="AX48" s="450">
        <v>490.436488474742</v>
      </c>
    </row>
    <row r="49">
      <c r="A49" s="436" t="s">
        <v>346</v>
      </c>
      <c r="B49" s="436" t="s">
        <v>346</v>
      </c>
      <c r="C49" s="438"/>
      <c r="D49" s="420" t="s">
        <v>199</v>
      </c>
      <c r="E49" s="420"/>
      <c r="F49" s="477" t="s">
        <v>2238</v>
      </c>
      <c r="G49" s="420"/>
      <c r="H49" s="420" t="s">
        <v>225</v>
      </c>
      <c r="I49" s="467">
        <v>39044.0</v>
      </c>
      <c r="J49" s="436">
        <v>2935.0</v>
      </c>
      <c r="K49" s="420"/>
      <c r="L49" s="420" t="s">
        <v>217</v>
      </c>
      <c r="M49" s="422">
        <v>0.5</v>
      </c>
      <c r="N49" s="422">
        <v>13.161</v>
      </c>
      <c r="O49" s="422">
        <v>11.639</v>
      </c>
      <c r="P49" s="422"/>
      <c r="Q49" s="420" t="s">
        <v>2239</v>
      </c>
      <c r="R49" s="420" t="s">
        <v>2240</v>
      </c>
      <c r="S49" s="420" t="s">
        <v>307</v>
      </c>
      <c r="T49" s="420" t="s">
        <v>293</v>
      </c>
      <c r="U49" s="420" t="s">
        <v>294</v>
      </c>
      <c r="V49" s="440"/>
      <c r="W49" s="468"/>
      <c r="X49" s="436"/>
      <c r="Y49" s="442" t="str">
        <f t="shared" si="23"/>
        <v/>
      </c>
      <c r="Z49" s="469"/>
      <c r="AA49" s="470">
        <v>0.46</v>
      </c>
      <c r="AB49" s="426"/>
      <c r="AC49" s="469">
        <f>IF(ISNUMBER(VLOOKUP(B49,'New Masses'!A:C,3,FALSE)),VLOOKUP(B49,'New Masses'!A:C,3,FALSE),"")</f>
        <v>0.644461</v>
      </c>
      <c r="AD49" s="451"/>
      <c r="AE49" s="451">
        <v>9.0E-10</v>
      </c>
      <c r="AF49" s="439">
        <f>log10(AE49)</f>
        <v>-9.045757491</v>
      </c>
      <c r="AG49" s="438"/>
      <c r="AH49" s="459">
        <v>0.065</v>
      </c>
      <c r="AI49" s="421">
        <v>0.03</v>
      </c>
      <c r="AJ49" s="446">
        <f>IF(ISNUMBER(VLOOKUP(B49,'New Masses'!A:C,2, FALSE)),VLOOKUP(B49,'New Masses'!A:C,2, FALSE),"")</f>
        <v>0.052624</v>
      </c>
      <c r="AK49" s="420"/>
      <c r="AL49" s="440"/>
      <c r="AM49" s="436">
        <f>log10(0.0032)</f>
        <v>-2.494850022</v>
      </c>
      <c r="AN49" s="438"/>
      <c r="AO49" s="436">
        <f>10^6.5/10^6</f>
        <v>3.16227766</v>
      </c>
      <c r="AP49" s="438"/>
      <c r="AQ49" s="436">
        <v>1.0</v>
      </c>
      <c r="AR49" s="438"/>
      <c r="AS49" s="420" t="s">
        <v>2241</v>
      </c>
      <c r="AT49" s="448"/>
      <c r="AU49" s="449"/>
      <c r="AV49" s="438"/>
      <c r="AW49" s="438"/>
      <c r="AX49" s="450">
        <v>131.0</v>
      </c>
    </row>
    <row r="50">
      <c r="A50" s="436" t="s">
        <v>346</v>
      </c>
      <c r="B50" s="436" t="s">
        <v>346</v>
      </c>
      <c r="C50" s="438"/>
      <c r="D50" s="420" t="s">
        <v>199</v>
      </c>
      <c r="E50" s="420"/>
      <c r="F50" s="420" t="s">
        <v>2242</v>
      </c>
      <c r="G50" s="420" t="s">
        <v>169</v>
      </c>
      <c r="H50" s="420" t="s">
        <v>598</v>
      </c>
      <c r="I50" s="467">
        <v>37985.0</v>
      </c>
      <c r="J50" s="436">
        <v>2962.0</v>
      </c>
      <c r="K50" s="436"/>
      <c r="L50" s="420" t="s">
        <v>642</v>
      </c>
      <c r="M50" s="422">
        <v>0.5</v>
      </c>
      <c r="N50" s="422">
        <v>13.161</v>
      </c>
      <c r="O50" s="422">
        <v>11.639</v>
      </c>
      <c r="P50" s="422"/>
      <c r="Q50" s="420" t="s">
        <v>2194</v>
      </c>
      <c r="R50" s="420" t="s">
        <v>2195</v>
      </c>
      <c r="S50" s="420" t="s">
        <v>2196</v>
      </c>
      <c r="T50" s="420" t="s">
        <v>596</v>
      </c>
      <c r="U50" s="420" t="s">
        <v>597</v>
      </c>
      <c r="V50" s="440"/>
      <c r="W50" s="468"/>
      <c r="X50" s="436"/>
      <c r="Y50" s="442" t="str">
        <f t="shared" si="23"/>
        <v/>
      </c>
      <c r="Z50" s="469"/>
      <c r="AA50" s="470">
        <v>0.53</v>
      </c>
      <c r="AB50" s="470"/>
      <c r="AC50" s="469">
        <f>IF(ISNUMBER(VLOOKUP(B50,'New Masses'!A:C,3,FALSE)),VLOOKUP(B50,'New Masses'!A:C,3,FALSE),"")</f>
        <v>0.644461</v>
      </c>
      <c r="AD50" s="440"/>
      <c r="AE50" s="440">
        <f t="shared" ref="AE50:AE71" si="25">10^AF50</f>
        <v>0.0000000001</v>
      </c>
      <c r="AF50" s="439">
        <v>-10.0</v>
      </c>
      <c r="AG50" s="438"/>
      <c r="AH50" s="459">
        <v>0.075</v>
      </c>
      <c r="AI50" s="436"/>
      <c r="AJ50" s="446">
        <f>IF(ISNUMBER(VLOOKUP(B50,'New Masses'!A:C,2, FALSE)),VLOOKUP(B50,'New Masses'!A:C,2, FALSE),"")</f>
        <v>0.052624</v>
      </c>
      <c r="AK50" s="436"/>
      <c r="AL50" s="438"/>
      <c r="AM50" s="438"/>
      <c r="AN50" s="438"/>
      <c r="AO50" s="436">
        <v>1.0</v>
      </c>
      <c r="AP50" s="438"/>
      <c r="AQ50" s="436">
        <v>1.0</v>
      </c>
      <c r="AR50" s="438"/>
      <c r="AS50" s="420" t="s">
        <v>2241</v>
      </c>
      <c r="AT50" s="448"/>
      <c r="AU50" s="452"/>
      <c r="AV50" s="420" t="s">
        <v>599</v>
      </c>
      <c r="AW50" s="438"/>
      <c r="AX50" s="450">
        <v>131.0</v>
      </c>
    </row>
    <row r="51">
      <c r="A51" s="419" t="s">
        <v>286</v>
      </c>
      <c r="B51" s="420" t="s">
        <v>287</v>
      </c>
      <c r="C51" s="420"/>
      <c r="D51" s="436" t="s">
        <v>199</v>
      </c>
      <c r="E51" s="436"/>
      <c r="F51" s="436" t="s">
        <v>2243</v>
      </c>
      <c r="G51" s="436" t="s">
        <v>169</v>
      </c>
      <c r="H51" s="420" t="s">
        <v>201</v>
      </c>
      <c r="I51" s="438" t="s">
        <v>2207</v>
      </c>
      <c r="J51" s="436">
        <v>3125.0</v>
      </c>
      <c r="K51" s="438"/>
      <c r="L51" s="420" t="s">
        <v>288</v>
      </c>
      <c r="M51" s="429"/>
      <c r="N51" s="422">
        <v>11.889</v>
      </c>
      <c r="O51" s="422">
        <v>10.792</v>
      </c>
      <c r="P51" s="422"/>
      <c r="Q51" s="438" t="s">
        <v>2208</v>
      </c>
      <c r="R51" s="438" t="s">
        <v>2209</v>
      </c>
      <c r="S51" s="438" t="s">
        <v>2229</v>
      </c>
      <c r="T51" s="454" t="s">
        <v>162</v>
      </c>
      <c r="U51" s="438" t="s">
        <v>2210</v>
      </c>
      <c r="V51" s="423">
        <v>4.58</v>
      </c>
      <c r="W51" s="458"/>
      <c r="X51" s="438"/>
      <c r="Y51" s="442" t="str">
        <f t="shared" si="23"/>
        <v/>
      </c>
      <c r="Z51" s="442"/>
      <c r="AA51" s="443"/>
      <c r="AB51" s="443"/>
      <c r="AC51" s="436" t="str">
        <f>IF(ISNUMBER(VLOOKUP(B51,'New Masses'!A:C,3,FALSE)),VLOOKUP(B51,'New Masses'!A:C,3,FALSE),"")</f>
        <v/>
      </c>
      <c r="AD51" s="423"/>
      <c r="AE51" s="423">
        <f t="shared" si="25"/>
        <v>0</v>
      </c>
      <c r="AF51" s="429">
        <v>-10.5</v>
      </c>
      <c r="AG51" s="438"/>
      <c r="AH51" s="459">
        <v>0.16</v>
      </c>
      <c r="AI51" s="438"/>
      <c r="AJ51" s="446" t="str">
        <f>IF(ISNUMBER(VLOOKUP(B51,'New Masses'!A:C,2, FALSE)),VLOOKUP(B51,'New Masses'!A:C,2, FALSE),"")</f>
        <v/>
      </c>
      <c r="AK51" s="438"/>
      <c r="AL51" s="438"/>
      <c r="AM51" s="438"/>
      <c r="AN51" s="438"/>
      <c r="AO51" s="436">
        <v>1.0</v>
      </c>
      <c r="AP51" s="438"/>
      <c r="AQ51" s="438"/>
      <c r="AR51" s="436"/>
      <c r="AS51" s="438"/>
      <c r="AT51" s="448"/>
      <c r="AU51" s="449"/>
      <c r="AV51" s="438" t="s">
        <v>207</v>
      </c>
      <c r="AW51" s="438"/>
      <c r="AX51" s="450">
        <v>137.370185175009</v>
      </c>
    </row>
    <row r="52">
      <c r="A52" s="419" t="s">
        <v>286</v>
      </c>
      <c r="B52" s="420" t="s">
        <v>287</v>
      </c>
      <c r="C52" s="420"/>
      <c r="D52" s="436" t="s">
        <v>199</v>
      </c>
      <c r="E52" s="436"/>
      <c r="F52" s="436" t="s">
        <v>2243</v>
      </c>
      <c r="G52" s="436" t="s">
        <v>169</v>
      </c>
      <c r="H52" s="420" t="s">
        <v>201</v>
      </c>
      <c r="I52" s="438" t="s">
        <v>2207</v>
      </c>
      <c r="J52" s="436">
        <v>3125.0</v>
      </c>
      <c r="K52" s="438"/>
      <c r="L52" s="420" t="s">
        <v>288</v>
      </c>
      <c r="M52" s="429"/>
      <c r="N52" s="422">
        <v>11.889</v>
      </c>
      <c r="O52" s="422">
        <v>10.792</v>
      </c>
      <c r="P52" s="422"/>
      <c r="Q52" s="438" t="s">
        <v>2208</v>
      </c>
      <c r="R52" s="438" t="s">
        <v>2209</v>
      </c>
      <c r="S52" s="438" t="s">
        <v>2229</v>
      </c>
      <c r="T52" s="454" t="s">
        <v>162</v>
      </c>
      <c r="U52" s="438" t="s">
        <v>2210</v>
      </c>
      <c r="V52" s="423">
        <v>4.58</v>
      </c>
      <c r="W52" s="458"/>
      <c r="X52" s="438"/>
      <c r="Y52" s="442" t="str">
        <f t="shared" si="23"/>
        <v/>
      </c>
      <c r="Z52" s="442"/>
      <c r="AA52" s="443"/>
      <c r="AB52" s="443"/>
      <c r="AC52" s="436" t="str">
        <f>IF(ISNUMBER(VLOOKUP(B52,'New Masses'!A:C,3,FALSE)),VLOOKUP(B52,'New Masses'!A:C,3,FALSE),"")</f>
        <v/>
      </c>
      <c r="AD52" s="423"/>
      <c r="AE52" s="423">
        <f t="shared" si="25"/>
        <v>0</v>
      </c>
      <c r="AF52" s="453">
        <v>-10.7</v>
      </c>
      <c r="AG52" s="438"/>
      <c r="AH52" s="459">
        <v>0.16</v>
      </c>
      <c r="AI52" s="438"/>
      <c r="AJ52" s="446" t="str">
        <f>IF(ISNUMBER(VLOOKUP(B52,'New Masses'!A:C,2, FALSE)),VLOOKUP(B52,'New Masses'!A:C,2, FALSE),"")</f>
        <v/>
      </c>
      <c r="AK52" s="438"/>
      <c r="AL52" s="438"/>
      <c r="AM52" s="438"/>
      <c r="AN52" s="438"/>
      <c r="AO52" s="436">
        <v>1.0</v>
      </c>
      <c r="AP52" s="438"/>
      <c r="AQ52" s="438"/>
      <c r="AR52" s="436"/>
      <c r="AS52" s="438"/>
      <c r="AT52" s="448"/>
      <c r="AU52" s="452"/>
      <c r="AV52" s="438" t="s">
        <v>206</v>
      </c>
      <c r="AW52" s="438"/>
      <c r="AX52" s="450">
        <v>137.370185175009</v>
      </c>
    </row>
    <row r="53">
      <c r="A53" s="419" t="s">
        <v>279</v>
      </c>
      <c r="B53" s="420" t="s">
        <v>280</v>
      </c>
      <c r="C53" s="420"/>
      <c r="D53" s="436" t="s">
        <v>199</v>
      </c>
      <c r="E53" s="436"/>
      <c r="F53" s="436" t="s">
        <v>2244</v>
      </c>
      <c r="G53" s="436" t="s">
        <v>159</v>
      </c>
      <c r="H53" s="420" t="s">
        <v>201</v>
      </c>
      <c r="I53" s="438" t="s">
        <v>2207</v>
      </c>
      <c r="J53" s="436">
        <v>3050.0</v>
      </c>
      <c r="K53" s="438"/>
      <c r="L53" s="420" t="s">
        <v>264</v>
      </c>
      <c r="M53" s="429"/>
      <c r="N53" s="422">
        <v>11.886</v>
      </c>
      <c r="O53" s="422">
        <v>11.007</v>
      </c>
      <c r="P53" s="422"/>
      <c r="Q53" s="438" t="s">
        <v>2208</v>
      </c>
      <c r="R53" s="438" t="s">
        <v>2209</v>
      </c>
      <c r="S53" s="438" t="s">
        <v>2229</v>
      </c>
      <c r="T53" s="454" t="s">
        <v>162</v>
      </c>
      <c r="U53" s="438" t="s">
        <v>2210</v>
      </c>
      <c r="V53" s="423">
        <v>4.52</v>
      </c>
      <c r="W53" s="458"/>
      <c r="X53" s="438"/>
      <c r="Y53" s="442" t="str">
        <f t="shared" si="23"/>
        <v/>
      </c>
      <c r="Z53" s="442"/>
      <c r="AA53" s="443"/>
      <c r="AB53" s="443"/>
      <c r="AC53" s="436" t="str">
        <f>IF(ISNUMBER(VLOOKUP(B53,'New Masses'!A:C,3,FALSE)),VLOOKUP(B53,'New Masses'!A:C,3,FALSE),"")</f>
        <v/>
      </c>
      <c r="AD53" s="423"/>
      <c r="AE53" s="423">
        <f t="shared" si="25"/>
        <v>0</v>
      </c>
      <c r="AF53" s="429">
        <v>-10.6</v>
      </c>
      <c r="AG53" s="438"/>
      <c r="AH53" s="459">
        <v>0.13</v>
      </c>
      <c r="AI53" s="438"/>
      <c r="AJ53" s="446" t="str">
        <f>IF(ISNUMBER(VLOOKUP(B53,'New Masses'!A:C,2, FALSE)),VLOOKUP(B53,'New Masses'!A:C,2, FALSE),"")</f>
        <v/>
      </c>
      <c r="AK53" s="438"/>
      <c r="AL53" s="438"/>
      <c r="AM53" s="438"/>
      <c r="AN53" s="438"/>
      <c r="AO53" s="436">
        <v>1.0</v>
      </c>
      <c r="AP53" s="438"/>
      <c r="AQ53" s="438"/>
      <c r="AR53" s="436"/>
      <c r="AS53" s="438"/>
      <c r="AT53" s="448"/>
      <c r="AU53" s="449"/>
      <c r="AV53" s="438" t="s">
        <v>207</v>
      </c>
      <c r="AW53" s="438"/>
      <c r="AX53" s="450">
        <v>129.893746915023</v>
      </c>
    </row>
    <row r="54">
      <c r="A54" s="419" t="s">
        <v>279</v>
      </c>
      <c r="B54" s="420" t="s">
        <v>280</v>
      </c>
      <c r="C54" s="420"/>
      <c r="D54" s="436" t="s">
        <v>199</v>
      </c>
      <c r="E54" s="436"/>
      <c r="F54" s="436" t="s">
        <v>2244</v>
      </c>
      <c r="G54" s="436" t="s">
        <v>159</v>
      </c>
      <c r="H54" s="420" t="s">
        <v>201</v>
      </c>
      <c r="I54" s="438" t="s">
        <v>2207</v>
      </c>
      <c r="J54" s="436">
        <v>3050.0</v>
      </c>
      <c r="K54" s="438"/>
      <c r="L54" s="420" t="s">
        <v>264</v>
      </c>
      <c r="M54" s="429"/>
      <c r="N54" s="422">
        <v>11.886</v>
      </c>
      <c r="O54" s="422">
        <v>11.007</v>
      </c>
      <c r="P54" s="422"/>
      <c r="Q54" s="438" t="s">
        <v>2208</v>
      </c>
      <c r="R54" s="438" t="s">
        <v>2209</v>
      </c>
      <c r="S54" s="438" t="s">
        <v>2229</v>
      </c>
      <c r="T54" s="454" t="s">
        <v>162</v>
      </c>
      <c r="U54" s="438" t="s">
        <v>2210</v>
      </c>
      <c r="V54" s="423">
        <v>4.52</v>
      </c>
      <c r="W54" s="458"/>
      <c r="X54" s="438"/>
      <c r="Y54" s="442" t="str">
        <f t="shared" si="23"/>
        <v/>
      </c>
      <c r="Z54" s="442"/>
      <c r="AA54" s="443"/>
      <c r="AB54" s="443"/>
      <c r="AC54" s="436" t="str">
        <f>IF(ISNUMBER(VLOOKUP(B54,'New Masses'!A:C,3,FALSE)),VLOOKUP(B54,'New Masses'!A:C,3,FALSE),"")</f>
        <v/>
      </c>
      <c r="AD54" s="423"/>
      <c r="AE54" s="423">
        <f t="shared" si="25"/>
        <v>0</v>
      </c>
      <c r="AF54" s="453">
        <v>-10.8</v>
      </c>
      <c r="AG54" s="438"/>
      <c r="AH54" s="459">
        <v>0.13</v>
      </c>
      <c r="AI54" s="438"/>
      <c r="AJ54" s="446" t="str">
        <f>IF(ISNUMBER(VLOOKUP(B54,'New Masses'!A:C,2, FALSE)),VLOOKUP(B54,'New Masses'!A:C,2, FALSE),"")</f>
        <v/>
      </c>
      <c r="AK54" s="438"/>
      <c r="AL54" s="438"/>
      <c r="AM54" s="438"/>
      <c r="AN54" s="438"/>
      <c r="AO54" s="436">
        <v>1.0</v>
      </c>
      <c r="AP54" s="438"/>
      <c r="AQ54" s="438"/>
      <c r="AR54" s="436"/>
      <c r="AS54" s="438"/>
      <c r="AT54" s="448"/>
      <c r="AU54" s="452"/>
      <c r="AV54" s="438" t="s">
        <v>206</v>
      </c>
      <c r="AW54" s="438"/>
      <c r="AX54" s="450">
        <v>129.893746915023</v>
      </c>
    </row>
    <row r="55">
      <c r="A55" s="419" t="s">
        <v>652</v>
      </c>
      <c r="B55" s="421" t="s">
        <v>653</v>
      </c>
      <c r="C55" s="420"/>
      <c r="D55" s="420" t="s">
        <v>199</v>
      </c>
      <c r="E55" s="420"/>
      <c r="F55" s="420" t="s">
        <v>2245</v>
      </c>
      <c r="G55" s="420" t="s">
        <v>159</v>
      </c>
      <c r="H55" s="420" t="s">
        <v>598</v>
      </c>
      <c r="I55" s="467">
        <v>37985.0</v>
      </c>
      <c r="J55" s="436">
        <v>2795.0</v>
      </c>
      <c r="K55" s="436"/>
      <c r="L55" s="420" t="s">
        <v>232</v>
      </c>
      <c r="M55" s="429"/>
      <c r="N55" s="422">
        <v>13.925</v>
      </c>
      <c r="O55" s="422">
        <v>12.753</v>
      </c>
      <c r="P55" s="422"/>
      <c r="Q55" s="420" t="s">
        <v>2194</v>
      </c>
      <c r="R55" s="420" t="s">
        <v>2195</v>
      </c>
      <c r="S55" s="420" t="s">
        <v>2196</v>
      </c>
      <c r="T55" s="420" t="s">
        <v>596</v>
      </c>
      <c r="U55" s="420" t="s">
        <v>597</v>
      </c>
      <c r="V55" s="440"/>
      <c r="W55" s="468"/>
      <c r="X55" s="436"/>
      <c r="Y55" s="442" t="str">
        <f t="shared" si="23"/>
        <v/>
      </c>
      <c r="Z55" s="469"/>
      <c r="AA55" s="470">
        <v>0.32</v>
      </c>
      <c r="AB55" s="470"/>
      <c r="AC55" s="469">
        <f>IF(ISNUMBER(VLOOKUP(B55,'New Masses'!A:C,3,FALSE)),VLOOKUP(B55,'New Masses'!A:C,3,FALSE),"")</f>
        <v>0.473141</v>
      </c>
      <c r="AD55" s="440"/>
      <c r="AE55" s="440">
        <f t="shared" si="25"/>
        <v>0</v>
      </c>
      <c r="AF55" s="439">
        <v>-12.0</v>
      </c>
      <c r="AG55" s="438"/>
      <c r="AH55" s="459">
        <v>0.045</v>
      </c>
      <c r="AI55" s="436"/>
      <c r="AJ55" s="446">
        <f>IF(ISNUMBER(VLOOKUP(B55,'New Masses'!A:C,2, FALSE)),VLOOKUP(B55,'New Masses'!A:C,2, FALSE),"")</f>
        <v>0.03139</v>
      </c>
      <c r="AK55" s="436"/>
      <c r="AL55" s="438"/>
      <c r="AM55" s="438"/>
      <c r="AN55" s="438"/>
      <c r="AO55" s="436">
        <v>1.0</v>
      </c>
      <c r="AP55" s="438"/>
      <c r="AQ55" s="436">
        <v>0.46</v>
      </c>
      <c r="AR55" s="436">
        <v>0.85</v>
      </c>
      <c r="AS55" s="420" t="s">
        <v>2246</v>
      </c>
      <c r="AT55" s="448"/>
      <c r="AU55" s="452" t="s">
        <v>137</v>
      </c>
      <c r="AV55" s="420" t="s">
        <v>599</v>
      </c>
      <c r="AW55" s="438"/>
      <c r="AX55" s="450">
        <v>125.6565555025</v>
      </c>
    </row>
    <row r="56">
      <c r="A56" s="419" t="s">
        <v>208</v>
      </c>
      <c r="B56" s="436" t="s">
        <v>209</v>
      </c>
      <c r="C56" s="420"/>
      <c r="D56" s="420" t="s">
        <v>199</v>
      </c>
      <c r="E56" s="420"/>
      <c r="F56" s="420" t="s">
        <v>2247</v>
      </c>
      <c r="G56" s="420" t="s">
        <v>169</v>
      </c>
      <c r="H56" s="420" t="s">
        <v>201</v>
      </c>
      <c r="I56" s="420" t="s">
        <v>2207</v>
      </c>
      <c r="J56" s="436">
        <v>2400.0</v>
      </c>
      <c r="K56" s="438"/>
      <c r="L56" s="420" t="s">
        <v>210</v>
      </c>
      <c r="M56" s="429"/>
      <c r="N56" s="422">
        <v>16.3</v>
      </c>
      <c r="O56" s="422">
        <v>14.93</v>
      </c>
      <c r="P56" s="422"/>
      <c r="Q56" s="420" t="s">
        <v>2208</v>
      </c>
      <c r="R56" s="438" t="s">
        <v>2209</v>
      </c>
      <c r="S56" s="420" t="s">
        <v>2229</v>
      </c>
      <c r="T56" s="454" t="s">
        <v>162</v>
      </c>
      <c r="U56" s="420" t="s">
        <v>2210</v>
      </c>
      <c r="V56" s="436">
        <v>4.62</v>
      </c>
      <c r="W56" s="458"/>
      <c r="X56" s="438"/>
      <c r="Y56" s="442" t="str">
        <f t="shared" si="23"/>
        <v/>
      </c>
      <c r="Z56" s="442"/>
      <c r="AA56" s="443"/>
      <c r="AB56" s="443"/>
      <c r="AC56" s="469">
        <f>IF(ISNUMBER(VLOOKUP(B56,'New Masses'!A:C,3,FALSE)),VLOOKUP(B56,'New Masses'!A:C,3,FALSE),"")</f>
        <v>0.356058</v>
      </c>
      <c r="AD56" s="423"/>
      <c r="AE56" s="423">
        <f t="shared" si="25"/>
        <v>0</v>
      </c>
      <c r="AF56" s="439">
        <v>-10.5</v>
      </c>
      <c r="AG56" s="438"/>
      <c r="AH56" s="459">
        <v>0.02</v>
      </c>
      <c r="AI56" s="438"/>
      <c r="AJ56" s="446">
        <f>IF(ISNUMBER(VLOOKUP(B56,'New Masses'!A:C,2, FALSE)),VLOOKUP(B56,'New Masses'!A:C,2, FALSE),"")</f>
        <v>0.018053</v>
      </c>
      <c r="AK56" s="438"/>
      <c r="AL56" s="438"/>
      <c r="AM56" s="438"/>
      <c r="AN56" s="438"/>
      <c r="AO56" s="436">
        <v>1.0</v>
      </c>
      <c r="AP56" s="438"/>
      <c r="AQ56" s="436">
        <v>0.02</v>
      </c>
      <c r="AR56" s="436">
        <v>0.85</v>
      </c>
      <c r="AS56" s="420" t="s">
        <v>2246</v>
      </c>
      <c r="AT56" s="448"/>
      <c r="AU56" s="449"/>
      <c r="AV56" s="420" t="s">
        <v>207</v>
      </c>
      <c r="AW56" s="438"/>
      <c r="AX56" s="450"/>
    </row>
    <row r="57">
      <c r="A57" s="419" t="s">
        <v>208</v>
      </c>
      <c r="B57" s="436" t="s">
        <v>209</v>
      </c>
      <c r="C57" s="420"/>
      <c r="D57" s="420" t="s">
        <v>199</v>
      </c>
      <c r="E57" s="420"/>
      <c r="F57" s="420" t="s">
        <v>2247</v>
      </c>
      <c r="G57" s="420" t="s">
        <v>169</v>
      </c>
      <c r="H57" s="420" t="s">
        <v>201</v>
      </c>
      <c r="I57" s="420" t="s">
        <v>2207</v>
      </c>
      <c r="J57" s="436">
        <v>2400.0</v>
      </c>
      <c r="K57" s="438"/>
      <c r="L57" s="420" t="s">
        <v>210</v>
      </c>
      <c r="M57" s="429"/>
      <c r="N57" s="422">
        <v>16.3</v>
      </c>
      <c r="O57" s="422">
        <v>14.93</v>
      </c>
      <c r="P57" s="422"/>
      <c r="Q57" s="420" t="s">
        <v>2208</v>
      </c>
      <c r="R57" s="438" t="s">
        <v>2209</v>
      </c>
      <c r="S57" s="420" t="s">
        <v>2229</v>
      </c>
      <c r="T57" s="454" t="s">
        <v>162</v>
      </c>
      <c r="U57" s="420" t="s">
        <v>2210</v>
      </c>
      <c r="V57" s="436">
        <v>4.62</v>
      </c>
      <c r="W57" s="458"/>
      <c r="X57" s="438"/>
      <c r="Y57" s="442" t="str">
        <f t="shared" si="23"/>
        <v/>
      </c>
      <c r="Z57" s="442"/>
      <c r="AA57" s="443"/>
      <c r="AB57" s="443"/>
      <c r="AC57" s="469">
        <f>IF(ISNUMBER(VLOOKUP(B57,'New Masses'!A:C,3,FALSE)),VLOOKUP(B57,'New Masses'!A:C,3,FALSE),"")</f>
        <v>0.356058</v>
      </c>
      <c r="AD57" s="423"/>
      <c r="AE57" s="423">
        <f t="shared" si="25"/>
        <v>0</v>
      </c>
      <c r="AF57" s="444">
        <v>-10.7</v>
      </c>
      <c r="AG57" s="438"/>
      <c r="AH57" s="459">
        <v>0.02</v>
      </c>
      <c r="AI57" s="438"/>
      <c r="AJ57" s="446">
        <f>IF(ISNUMBER(VLOOKUP(B57,'New Masses'!A:C,2, FALSE)),VLOOKUP(B57,'New Masses'!A:C,2, FALSE),"")</f>
        <v>0.018053</v>
      </c>
      <c r="AK57" s="438"/>
      <c r="AL57" s="438"/>
      <c r="AM57" s="438"/>
      <c r="AN57" s="438"/>
      <c r="AO57" s="436">
        <v>1.0</v>
      </c>
      <c r="AP57" s="438"/>
      <c r="AQ57" s="436">
        <v>0.02</v>
      </c>
      <c r="AR57" s="436">
        <v>0.85</v>
      </c>
      <c r="AS57" s="420" t="s">
        <v>2246</v>
      </c>
      <c r="AT57" s="448"/>
      <c r="AU57" s="452"/>
      <c r="AV57" s="420" t="s">
        <v>206</v>
      </c>
      <c r="AW57" s="438"/>
      <c r="AX57" s="450"/>
    </row>
    <row r="58">
      <c r="A58" s="419" t="s">
        <v>208</v>
      </c>
      <c r="B58" s="421" t="s">
        <v>209</v>
      </c>
      <c r="C58" s="420"/>
      <c r="D58" s="420" t="s">
        <v>199</v>
      </c>
      <c r="E58" s="420"/>
      <c r="F58" s="420" t="s">
        <v>2248</v>
      </c>
      <c r="G58" s="420" t="s">
        <v>169</v>
      </c>
      <c r="H58" s="420" t="s">
        <v>598</v>
      </c>
      <c r="I58" s="467">
        <v>37985.0</v>
      </c>
      <c r="J58" s="436">
        <v>2400.0</v>
      </c>
      <c r="K58" s="436"/>
      <c r="L58" s="420" t="s">
        <v>621</v>
      </c>
      <c r="M58" s="429"/>
      <c r="N58" s="422">
        <v>16.3</v>
      </c>
      <c r="O58" s="422">
        <v>14.93</v>
      </c>
      <c r="P58" s="422"/>
      <c r="Q58" s="420" t="s">
        <v>2194</v>
      </c>
      <c r="R58" s="420" t="s">
        <v>2195</v>
      </c>
      <c r="S58" s="420" t="s">
        <v>2196</v>
      </c>
      <c r="T58" s="420" t="s">
        <v>596</v>
      </c>
      <c r="U58" s="420" t="s">
        <v>597</v>
      </c>
      <c r="V58" s="440"/>
      <c r="W58" s="468"/>
      <c r="X58" s="436"/>
      <c r="Y58" s="442" t="str">
        <f t="shared" si="23"/>
        <v/>
      </c>
      <c r="Z58" s="469"/>
      <c r="AA58" s="470">
        <v>0.17</v>
      </c>
      <c r="AB58" s="470"/>
      <c r="AC58" s="469">
        <f>IF(ISNUMBER(VLOOKUP(B58,'New Masses'!A:C,3,FALSE)),VLOOKUP(B58,'New Masses'!A:C,3,FALSE),"")</f>
        <v>0.356058</v>
      </c>
      <c r="AD58" s="440"/>
      <c r="AE58" s="440">
        <f t="shared" si="25"/>
        <v>0</v>
      </c>
      <c r="AF58" s="439">
        <v>-11.4</v>
      </c>
      <c r="AG58" s="438"/>
      <c r="AH58" s="459">
        <v>0.02</v>
      </c>
      <c r="AI58" s="436"/>
      <c r="AJ58" s="446">
        <f>IF(ISNUMBER(VLOOKUP(B58,'New Masses'!A:C,2, FALSE)),VLOOKUP(B58,'New Masses'!A:C,2, FALSE),"")</f>
        <v>0.018053</v>
      </c>
      <c r="AK58" s="436"/>
      <c r="AL58" s="438"/>
      <c r="AM58" s="438"/>
      <c r="AN58" s="438"/>
      <c r="AO58" s="436">
        <v>1.0</v>
      </c>
      <c r="AP58" s="438"/>
      <c r="AQ58" s="436">
        <v>0.02</v>
      </c>
      <c r="AR58" s="436">
        <v>0.85</v>
      </c>
      <c r="AS58" s="420" t="s">
        <v>2246</v>
      </c>
      <c r="AT58" s="448"/>
      <c r="AU58" s="449"/>
      <c r="AV58" s="420" t="s">
        <v>599</v>
      </c>
      <c r="AW58" s="438"/>
      <c r="AX58" s="450"/>
    </row>
    <row r="59">
      <c r="A59" s="419" t="s">
        <v>251</v>
      </c>
      <c r="B59" s="420" t="s">
        <v>252</v>
      </c>
      <c r="C59" s="421" t="s">
        <v>2249</v>
      </c>
      <c r="D59" s="436" t="s">
        <v>199</v>
      </c>
      <c r="E59" s="436"/>
      <c r="F59" s="436" t="s">
        <v>2250</v>
      </c>
      <c r="G59" s="436" t="s">
        <v>169</v>
      </c>
      <c r="H59" s="420" t="s">
        <v>201</v>
      </c>
      <c r="I59" s="438" t="s">
        <v>2207</v>
      </c>
      <c r="J59" s="436">
        <v>3000.0</v>
      </c>
      <c r="K59" s="438"/>
      <c r="L59" s="420" t="s">
        <v>253</v>
      </c>
      <c r="M59" s="429"/>
      <c r="N59" s="422">
        <v>13.323</v>
      </c>
      <c r="O59" s="422">
        <v>12.079</v>
      </c>
      <c r="P59" s="422"/>
      <c r="Q59" s="438" t="s">
        <v>2208</v>
      </c>
      <c r="R59" s="438" t="s">
        <v>2209</v>
      </c>
      <c r="S59" s="438" t="s">
        <v>2229</v>
      </c>
      <c r="T59" s="454" t="s">
        <v>162</v>
      </c>
      <c r="U59" s="438" t="s">
        <v>2210</v>
      </c>
      <c r="V59" s="451">
        <v>5.18</v>
      </c>
      <c r="W59" s="458"/>
      <c r="X59" s="438"/>
      <c r="Y59" s="442" t="str">
        <f t="shared" si="23"/>
        <v/>
      </c>
      <c r="Z59" s="442"/>
      <c r="AA59" s="443"/>
      <c r="AB59" s="443"/>
      <c r="AC59" s="436" t="str">
        <f>IF(ISNUMBER(VLOOKUP(B59,'New Masses'!A:C,3,FALSE)),VLOOKUP(B59,'New Masses'!A:C,3,FALSE),"")</f>
        <v/>
      </c>
      <c r="AD59" s="423"/>
      <c r="AE59" s="423">
        <f t="shared" si="25"/>
        <v>0.0000000001258925412</v>
      </c>
      <c r="AF59" s="439">
        <v>-9.9</v>
      </c>
      <c r="AG59" s="438"/>
      <c r="AH59" s="459">
        <v>0.08</v>
      </c>
      <c r="AI59" s="438"/>
      <c r="AJ59" s="446" t="str">
        <f>IF(ISNUMBER(VLOOKUP(B59,'New Masses'!A:C,2, FALSE)),VLOOKUP(B59,'New Masses'!A:C,2, FALSE),"")</f>
        <v/>
      </c>
      <c r="AK59" s="438"/>
      <c r="AL59" s="438"/>
      <c r="AM59" s="438"/>
      <c r="AN59" s="438"/>
      <c r="AO59" s="436">
        <v>1.0</v>
      </c>
      <c r="AP59" s="438"/>
      <c r="AQ59" s="438"/>
      <c r="AR59" s="436"/>
      <c r="AS59" s="438"/>
      <c r="AT59" s="448"/>
      <c r="AU59" s="452"/>
      <c r="AV59" s="438" t="s">
        <v>207</v>
      </c>
      <c r="AW59" s="438"/>
      <c r="AX59" s="450">
        <v>155.879785509415</v>
      </c>
    </row>
    <row r="60">
      <c r="A60" s="419" t="s">
        <v>251</v>
      </c>
      <c r="B60" s="420" t="s">
        <v>252</v>
      </c>
      <c r="C60" s="421" t="s">
        <v>2249</v>
      </c>
      <c r="D60" s="436" t="s">
        <v>199</v>
      </c>
      <c r="E60" s="436"/>
      <c r="F60" s="436" t="s">
        <v>2250</v>
      </c>
      <c r="G60" s="436" t="s">
        <v>169</v>
      </c>
      <c r="H60" s="420" t="s">
        <v>201</v>
      </c>
      <c r="I60" s="438" t="s">
        <v>2207</v>
      </c>
      <c r="J60" s="436">
        <v>3000.0</v>
      </c>
      <c r="K60" s="438"/>
      <c r="L60" s="420" t="s">
        <v>253</v>
      </c>
      <c r="M60" s="429"/>
      <c r="N60" s="422">
        <v>13.323</v>
      </c>
      <c r="O60" s="422">
        <v>12.079</v>
      </c>
      <c r="P60" s="422"/>
      <c r="Q60" s="438" t="s">
        <v>2208</v>
      </c>
      <c r="R60" s="438" t="s">
        <v>2209</v>
      </c>
      <c r="S60" s="438" t="s">
        <v>2229</v>
      </c>
      <c r="T60" s="454" t="s">
        <v>162</v>
      </c>
      <c r="U60" s="438" t="s">
        <v>2210</v>
      </c>
      <c r="V60" s="451">
        <v>5.18</v>
      </c>
      <c r="W60" s="458"/>
      <c r="X60" s="438"/>
      <c r="Y60" s="442" t="str">
        <f t="shared" si="23"/>
        <v/>
      </c>
      <c r="Z60" s="442"/>
      <c r="AA60" s="443"/>
      <c r="AB60" s="443"/>
      <c r="AC60" s="436" t="str">
        <f>IF(ISNUMBER(VLOOKUP(B60,'New Masses'!A:C,3,FALSE)),VLOOKUP(B60,'New Masses'!A:C,3,FALSE),"")</f>
        <v/>
      </c>
      <c r="AD60" s="423"/>
      <c r="AE60" s="423">
        <f t="shared" si="25"/>
        <v>0</v>
      </c>
      <c r="AF60" s="444">
        <v>-10.2</v>
      </c>
      <c r="AG60" s="438"/>
      <c r="AH60" s="459">
        <v>0.08</v>
      </c>
      <c r="AI60" s="438"/>
      <c r="AJ60" s="446" t="str">
        <f>IF(ISNUMBER(VLOOKUP(B60,'New Masses'!A:C,2, FALSE)),VLOOKUP(B60,'New Masses'!A:C,2, FALSE),"")</f>
        <v/>
      </c>
      <c r="AK60" s="438"/>
      <c r="AL60" s="438"/>
      <c r="AM60" s="438"/>
      <c r="AN60" s="438"/>
      <c r="AO60" s="436">
        <v>1.0</v>
      </c>
      <c r="AP60" s="438"/>
      <c r="AQ60" s="438"/>
      <c r="AR60" s="436"/>
      <c r="AS60" s="438"/>
      <c r="AT60" s="448"/>
      <c r="AU60" s="449"/>
      <c r="AV60" s="438" t="s">
        <v>206</v>
      </c>
      <c r="AW60" s="438"/>
      <c r="AX60" s="450">
        <v>155.879785509415</v>
      </c>
    </row>
    <row r="61">
      <c r="A61" s="419" t="s">
        <v>251</v>
      </c>
      <c r="B61" s="420" t="s">
        <v>252</v>
      </c>
      <c r="C61" s="421" t="s">
        <v>2249</v>
      </c>
      <c r="D61" s="436" t="s">
        <v>199</v>
      </c>
      <c r="E61" s="436"/>
      <c r="F61" s="436" t="s">
        <v>2250</v>
      </c>
      <c r="G61" s="436" t="s">
        <v>169</v>
      </c>
      <c r="H61" s="436" t="s">
        <v>598</v>
      </c>
      <c r="I61" s="467">
        <v>37985.0</v>
      </c>
      <c r="J61" s="436">
        <v>2990.0</v>
      </c>
      <c r="K61" s="436"/>
      <c r="L61" s="436" t="s">
        <v>353</v>
      </c>
      <c r="M61" s="439"/>
      <c r="N61" s="422">
        <v>13.323</v>
      </c>
      <c r="O61" s="422">
        <v>12.079</v>
      </c>
      <c r="P61" s="422"/>
      <c r="Q61" s="436" t="s">
        <v>2194</v>
      </c>
      <c r="R61" s="436" t="s">
        <v>2195</v>
      </c>
      <c r="S61" s="436" t="s">
        <v>2196</v>
      </c>
      <c r="T61" s="436" t="s">
        <v>596</v>
      </c>
      <c r="U61" s="436" t="s">
        <v>597</v>
      </c>
      <c r="V61" s="451"/>
      <c r="W61" s="468"/>
      <c r="X61" s="436"/>
      <c r="Y61" s="442" t="str">
        <f t="shared" si="23"/>
        <v/>
      </c>
      <c r="Z61" s="469"/>
      <c r="AA61" s="470">
        <v>0.53</v>
      </c>
      <c r="AB61" s="470"/>
      <c r="AC61" s="436" t="str">
        <f>IF(ISNUMBER(VLOOKUP(B61,'New Masses'!A:C,3,FALSE)),VLOOKUP(B61,'New Masses'!A:C,3,FALSE),"")</f>
        <v/>
      </c>
      <c r="AD61" s="440"/>
      <c r="AE61" s="440">
        <f t="shared" si="25"/>
        <v>0.0000000001</v>
      </c>
      <c r="AF61" s="439">
        <v>-10.0</v>
      </c>
      <c r="AG61" s="436"/>
      <c r="AH61" s="459">
        <v>0.08</v>
      </c>
      <c r="AI61" s="436"/>
      <c r="AJ61" s="446" t="str">
        <f>IF(ISNUMBER(VLOOKUP(B61,'New Masses'!A:C,2, FALSE)),VLOOKUP(B61,'New Masses'!A:C,2, FALSE),"")</f>
        <v/>
      </c>
      <c r="AK61" s="436"/>
      <c r="AL61" s="436"/>
      <c r="AM61" s="436"/>
      <c r="AN61" s="436"/>
      <c r="AO61" s="436">
        <v>1.0</v>
      </c>
      <c r="AP61" s="436"/>
      <c r="AQ61" s="436"/>
      <c r="AR61" s="436"/>
      <c r="AS61" s="438"/>
      <c r="AT61" s="448"/>
      <c r="AU61" s="452"/>
      <c r="AV61" s="438" t="s">
        <v>599</v>
      </c>
      <c r="AW61" s="438"/>
      <c r="AX61" s="450">
        <v>155.879785509415</v>
      </c>
    </row>
    <row r="62">
      <c r="A62" s="419" t="s">
        <v>197</v>
      </c>
      <c r="B62" s="421" t="s">
        <v>198</v>
      </c>
      <c r="C62" s="420"/>
      <c r="D62" s="420" t="s">
        <v>199</v>
      </c>
      <c r="E62" s="420"/>
      <c r="F62" s="420" t="s">
        <v>2251</v>
      </c>
      <c r="G62" s="420" t="s">
        <v>159</v>
      </c>
      <c r="H62" s="420" t="s">
        <v>598</v>
      </c>
      <c r="I62" s="467">
        <v>37985.0</v>
      </c>
      <c r="J62" s="436">
        <v>2300.0</v>
      </c>
      <c r="K62" s="436"/>
      <c r="L62" s="420" t="s">
        <v>204</v>
      </c>
      <c r="M62" s="429"/>
      <c r="N62" s="422">
        <v>15.0</v>
      </c>
      <c r="O62" s="422">
        <v>13.28</v>
      </c>
      <c r="P62" s="422">
        <v>20.54</v>
      </c>
      <c r="Q62" s="420" t="s">
        <v>2194</v>
      </c>
      <c r="R62" s="420" t="s">
        <v>2195</v>
      </c>
      <c r="S62" s="420" t="s">
        <v>2196</v>
      </c>
      <c r="T62" s="420" t="s">
        <v>596</v>
      </c>
      <c r="U62" s="420" t="s">
        <v>597</v>
      </c>
      <c r="V62" s="440"/>
      <c r="W62" s="468"/>
      <c r="X62" s="436"/>
      <c r="Y62" s="442" t="str">
        <f t="shared" si="23"/>
        <v/>
      </c>
      <c r="Z62" s="469"/>
      <c r="AA62" s="470">
        <v>0.3</v>
      </c>
      <c r="AB62" s="470"/>
      <c r="AC62" s="469">
        <f>IF(ISNUMBER(VLOOKUP(B62,'New Masses'!A:C,3,FALSE)),VLOOKUP(B62,'New Masses'!A:C,3,FALSE),"")</f>
        <v>0.337079</v>
      </c>
      <c r="AD62" s="440"/>
      <c r="AE62" s="440">
        <f t="shared" si="25"/>
        <v>0</v>
      </c>
      <c r="AF62" s="439">
        <v>-12.0</v>
      </c>
      <c r="AG62" s="438"/>
      <c r="AH62" s="459">
        <v>0.011</v>
      </c>
      <c r="AI62" s="436"/>
      <c r="AJ62" s="446">
        <f>IF(ISNUMBER(VLOOKUP(B62,'New Masses'!A:C,2, FALSE)),VLOOKUP(B62,'New Masses'!A:C,2, FALSE),"")</f>
        <v>0.016167</v>
      </c>
      <c r="AK62" s="436"/>
      <c r="AL62" s="438"/>
      <c r="AM62" s="438"/>
      <c r="AN62" s="438"/>
      <c r="AO62" s="436">
        <v>1.0</v>
      </c>
      <c r="AP62" s="438"/>
      <c r="AQ62" s="436">
        <v>2.16</v>
      </c>
      <c r="AR62" s="436">
        <v>0.85</v>
      </c>
      <c r="AS62" s="420" t="s">
        <v>2246</v>
      </c>
      <c r="AT62" s="448"/>
      <c r="AU62" s="449" t="s">
        <v>137</v>
      </c>
      <c r="AV62" s="420" t="s">
        <v>599</v>
      </c>
      <c r="AW62" s="438"/>
      <c r="AX62" s="450">
        <v>134.692832994356</v>
      </c>
    </row>
    <row r="63">
      <c r="A63" s="419" t="s">
        <v>197</v>
      </c>
      <c r="B63" s="436" t="s">
        <v>198</v>
      </c>
      <c r="C63" s="419" t="s">
        <v>468</v>
      </c>
      <c r="D63" s="420" t="s">
        <v>199</v>
      </c>
      <c r="E63" s="420"/>
      <c r="F63" s="420" t="s">
        <v>2251</v>
      </c>
      <c r="G63" s="420" t="s">
        <v>159</v>
      </c>
      <c r="H63" s="420" t="s">
        <v>201</v>
      </c>
      <c r="I63" s="420" t="s">
        <v>2207</v>
      </c>
      <c r="J63" s="436">
        <v>2300.0</v>
      </c>
      <c r="K63" s="438"/>
      <c r="L63" s="420" t="s">
        <v>204</v>
      </c>
      <c r="M63" s="429"/>
      <c r="N63" s="422">
        <v>15.0</v>
      </c>
      <c r="O63" s="422">
        <v>13.28</v>
      </c>
      <c r="P63" s="422">
        <v>20.54</v>
      </c>
      <c r="Q63" s="420" t="s">
        <v>2208</v>
      </c>
      <c r="R63" s="438" t="s">
        <v>2209</v>
      </c>
      <c r="S63" s="420" t="s">
        <v>2229</v>
      </c>
      <c r="T63" s="454" t="s">
        <v>162</v>
      </c>
      <c r="U63" s="420" t="s">
        <v>2210</v>
      </c>
      <c r="V63" s="436">
        <v>4.08</v>
      </c>
      <c r="W63" s="458"/>
      <c r="X63" s="438"/>
      <c r="Y63" s="442" t="str">
        <f t="shared" si="23"/>
        <v/>
      </c>
      <c r="Z63" s="442"/>
      <c r="AA63" s="443"/>
      <c r="AB63" s="443"/>
      <c r="AC63" s="469">
        <f>IF(ISNUMBER(VLOOKUP(B63,'New Masses'!A:C,3,FALSE)),VLOOKUP(B63,'New Masses'!A:C,3,FALSE),"")</f>
        <v>0.337079</v>
      </c>
      <c r="AD63" s="423"/>
      <c r="AE63" s="423">
        <f t="shared" si="25"/>
        <v>0</v>
      </c>
      <c r="AF63" s="429">
        <v>-11.1</v>
      </c>
      <c r="AG63" s="438"/>
      <c r="AH63" s="459">
        <v>0.015</v>
      </c>
      <c r="AI63" s="438"/>
      <c r="AJ63" s="446">
        <f>IF(ISNUMBER(VLOOKUP(B63,'New Masses'!A:C,2, FALSE)),VLOOKUP(B63,'New Masses'!A:C,2, FALSE),"")</f>
        <v>0.016167</v>
      </c>
      <c r="AK63" s="438"/>
      <c r="AL63" s="438"/>
      <c r="AM63" s="438"/>
      <c r="AN63" s="438"/>
      <c r="AO63" s="436">
        <v>1.0</v>
      </c>
      <c r="AP63" s="438"/>
      <c r="AQ63" s="436">
        <v>2.16</v>
      </c>
      <c r="AR63" s="436">
        <v>0.85</v>
      </c>
      <c r="AS63" s="420" t="s">
        <v>2246</v>
      </c>
      <c r="AT63" s="448"/>
      <c r="AU63" s="449"/>
      <c r="AV63" s="420" t="s">
        <v>207</v>
      </c>
      <c r="AW63" s="438"/>
      <c r="AX63" s="450">
        <v>134.692832994356</v>
      </c>
    </row>
    <row r="64">
      <c r="A64" s="419" t="s">
        <v>197</v>
      </c>
      <c r="B64" s="436" t="s">
        <v>198</v>
      </c>
      <c r="C64" s="419" t="s">
        <v>468</v>
      </c>
      <c r="D64" s="420" t="s">
        <v>199</v>
      </c>
      <c r="E64" s="420"/>
      <c r="F64" s="420" t="s">
        <v>2251</v>
      </c>
      <c r="G64" s="420" t="s">
        <v>159</v>
      </c>
      <c r="H64" s="420" t="s">
        <v>201</v>
      </c>
      <c r="I64" s="420" t="s">
        <v>2207</v>
      </c>
      <c r="J64" s="436">
        <v>2300.0</v>
      </c>
      <c r="K64" s="438"/>
      <c r="L64" s="420" t="s">
        <v>204</v>
      </c>
      <c r="M64" s="429"/>
      <c r="N64" s="422">
        <v>15.0</v>
      </c>
      <c r="O64" s="422">
        <v>13.28</v>
      </c>
      <c r="P64" s="422">
        <v>20.54</v>
      </c>
      <c r="Q64" s="420" t="s">
        <v>2208</v>
      </c>
      <c r="R64" s="438" t="s">
        <v>2209</v>
      </c>
      <c r="S64" s="420" t="s">
        <v>2229</v>
      </c>
      <c r="T64" s="454" t="s">
        <v>162</v>
      </c>
      <c r="U64" s="420" t="s">
        <v>2210</v>
      </c>
      <c r="V64" s="436">
        <v>4.08</v>
      </c>
      <c r="W64" s="458"/>
      <c r="X64" s="438"/>
      <c r="Y64" s="442" t="str">
        <f t="shared" si="23"/>
        <v/>
      </c>
      <c r="Z64" s="442"/>
      <c r="AA64" s="443"/>
      <c r="AB64" s="443"/>
      <c r="AC64" s="469">
        <f>IF(ISNUMBER(VLOOKUP(B64,'New Masses'!A:C,3,FALSE)),VLOOKUP(B64,'New Masses'!A:C,3,FALSE),"")</f>
        <v>0.337079</v>
      </c>
      <c r="AD64" s="423"/>
      <c r="AE64" s="423">
        <f t="shared" si="25"/>
        <v>0</v>
      </c>
      <c r="AF64" s="453">
        <v>-11.2</v>
      </c>
      <c r="AG64" s="438"/>
      <c r="AH64" s="459">
        <v>0.015</v>
      </c>
      <c r="AI64" s="438"/>
      <c r="AJ64" s="446">
        <f>IF(ISNUMBER(VLOOKUP(B64,'New Masses'!A:C,2, FALSE)),VLOOKUP(B64,'New Masses'!A:C,2, FALSE),"")</f>
        <v>0.016167</v>
      </c>
      <c r="AK64" s="438"/>
      <c r="AL64" s="438"/>
      <c r="AM64" s="438"/>
      <c r="AN64" s="438"/>
      <c r="AO64" s="436">
        <v>1.0</v>
      </c>
      <c r="AP64" s="438"/>
      <c r="AQ64" s="436">
        <v>2.16</v>
      </c>
      <c r="AR64" s="436">
        <v>0.85</v>
      </c>
      <c r="AS64" s="420" t="s">
        <v>2246</v>
      </c>
      <c r="AT64" s="448"/>
      <c r="AU64" s="452"/>
      <c r="AV64" s="420" t="s">
        <v>206</v>
      </c>
      <c r="AW64" s="438"/>
      <c r="AX64" s="450">
        <v>134.692832994356</v>
      </c>
    </row>
    <row r="65">
      <c r="A65" s="419" t="s">
        <v>639</v>
      </c>
      <c r="B65" s="421" t="s">
        <v>640</v>
      </c>
      <c r="C65" s="420"/>
      <c r="D65" s="420" t="s">
        <v>199</v>
      </c>
      <c r="E65" s="420"/>
      <c r="F65" s="420" t="s">
        <v>2252</v>
      </c>
      <c r="G65" s="420" t="s">
        <v>159</v>
      </c>
      <c r="H65" s="420" t="s">
        <v>598</v>
      </c>
      <c r="I65" s="467">
        <v>37985.0</v>
      </c>
      <c r="J65" s="436">
        <v>2795.0</v>
      </c>
      <c r="K65" s="436"/>
      <c r="L65" s="420" t="s">
        <v>232</v>
      </c>
      <c r="M65" s="429"/>
      <c r="N65" s="422">
        <v>12.64</v>
      </c>
      <c r="O65" s="422">
        <v>11.536</v>
      </c>
      <c r="P65" s="422">
        <v>19.1</v>
      </c>
      <c r="Q65" s="420" t="s">
        <v>2194</v>
      </c>
      <c r="R65" s="420" t="s">
        <v>2195</v>
      </c>
      <c r="S65" s="420" t="s">
        <v>2196</v>
      </c>
      <c r="T65" s="420" t="s">
        <v>596</v>
      </c>
      <c r="U65" s="420" t="s">
        <v>597</v>
      </c>
      <c r="V65" s="440"/>
      <c r="W65" s="468"/>
      <c r="X65" s="436"/>
      <c r="Y65" s="442" t="str">
        <f t="shared" si="23"/>
        <v/>
      </c>
      <c r="Z65" s="469"/>
      <c r="AA65" s="470">
        <v>0.59</v>
      </c>
      <c r="AB65" s="470"/>
      <c r="AC65" s="469">
        <f>IF(ISNUMBER(VLOOKUP(B65,'New Masses'!A:C,3,FALSE)),VLOOKUP(B65,'New Masses'!A:C,3,FALSE),"")</f>
        <v>0.473141</v>
      </c>
      <c r="AD65" s="440"/>
      <c r="AE65" s="440">
        <f t="shared" si="25"/>
        <v>0</v>
      </c>
      <c r="AF65" s="439">
        <v>-12.0</v>
      </c>
      <c r="AG65" s="438"/>
      <c r="AH65" s="459">
        <v>0.04</v>
      </c>
      <c r="AI65" s="436"/>
      <c r="AJ65" s="446">
        <f>IF(ISNUMBER(VLOOKUP(B65,'New Masses'!A:C,2, FALSE)),VLOOKUP(B65,'New Masses'!A:C,2, FALSE),"")</f>
        <v>0.03139</v>
      </c>
      <c r="AK65" s="436"/>
      <c r="AL65" s="438"/>
      <c r="AM65" s="438"/>
      <c r="AN65" s="438"/>
      <c r="AO65" s="436">
        <v>1.0</v>
      </c>
      <c r="AP65" s="438"/>
      <c r="AQ65" s="436">
        <v>0.13</v>
      </c>
      <c r="AR65" s="436">
        <v>0.85</v>
      </c>
      <c r="AS65" s="420" t="s">
        <v>2246</v>
      </c>
      <c r="AT65" s="448"/>
      <c r="AU65" s="452" t="s">
        <v>137</v>
      </c>
      <c r="AV65" s="420" t="s">
        <v>599</v>
      </c>
      <c r="AW65" s="438"/>
      <c r="AX65" s="450">
        <v>128.228143512938</v>
      </c>
    </row>
    <row r="66">
      <c r="A66" s="419" t="s">
        <v>211</v>
      </c>
      <c r="B66" s="436" t="s">
        <v>212</v>
      </c>
      <c r="C66" s="419" t="s">
        <v>474</v>
      </c>
      <c r="D66" s="420" t="s">
        <v>199</v>
      </c>
      <c r="E66" s="420"/>
      <c r="F66" s="420" t="s">
        <v>2253</v>
      </c>
      <c r="G66" s="420" t="s">
        <v>169</v>
      </c>
      <c r="H66" s="420" t="s">
        <v>201</v>
      </c>
      <c r="I66" s="420" t="s">
        <v>2207</v>
      </c>
      <c r="J66" s="436">
        <v>2550.0</v>
      </c>
      <c r="K66" s="438"/>
      <c r="L66" s="420" t="s">
        <v>213</v>
      </c>
      <c r="M66" s="429"/>
      <c r="N66" s="422">
        <v>14.99</v>
      </c>
      <c r="O66" s="422">
        <v>13.69</v>
      </c>
      <c r="P66" s="422">
        <v>20.56</v>
      </c>
      <c r="Q66" s="420" t="s">
        <v>2208</v>
      </c>
      <c r="R66" s="438" t="s">
        <v>2209</v>
      </c>
      <c r="S66" s="420" t="s">
        <v>2229</v>
      </c>
      <c r="T66" s="454" t="s">
        <v>162</v>
      </c>
      <c r="U66" s="420" t="s">
        <v>2210</v>
      </c>
      <c r="V66" s="436">
        <v>4.34</v>
      </c>
      <c r="W66" s="458"/>
      <c r="X66" s="438"/>
      <c r="Y66" s="442" t="str">
        <f t="shared" si="23"/>
        <v/>
      </c>
      <c r="Z66" s="442"/>
      <c r="AA66" s="443"/>
      <c r="AB66" s="443"/>
      <c r="AC66" s="469">
        <f>IF(ISNUMBER(VLOOKUP(B66,'New Masses'!A:C,3,FALSE)),VLOOKUP(B66,'New Masses'!A:C,3,FALSE),"")</f>
        <v>0.38356</v>
      </c>
      <c r="AD66" s="423"/>
      <c r="AE66" s="423">
        <f t="shared" si="25"/>
        <v>0</v>
      </c>
      <c r="AF66" s="439">
        <v>-10.8</v>
      </c>
      <c r="AG66" s="438"/>
      <c r="AH66" s="459">
        <v>0.025</v>
      </c>
      <c r="AI66" s="438"/>
      <c r="AJ66" s="446">
        <f>IF(ISNUMBER(VLOOKUP(B66,'New Masses'!A:C,2, FALSE)),VLOOKUP(B66,'New Masses'!A:C,2, FALSE),"")</f>
        <v>0.020985</v>
      </c>
      <c r="AK66" s="438"/>
      <c r="AL66" s="438"/>
      <c r="AM66" s="438"/>
      <c r="AN66" s="438"/>
      <c r="AO66" s="436">
        <v>1.0</v>
      </c>
      <c r="AP66" s="438"/>
      <c r="AQ66" s="436">
        <v>0.68</v>
      </c>
      <c r="AR66" s="436">
        <v>0.85</v>
      </c>
      <c r="AS66" s="420" t="s">
        <v>2246</v>
      </c>
      <c r="AT66" s="448"/>
      <c r="AU66" s="449"/>
      <c r="AV66" s="420" t="s">
        <v>207</v>
      </c>
      <c r="AW66" s="438"/>
      <c r="AX66" s="450">
        <v>116.059097292341</v>
      </c>
    </row>
    <row r="67">
      <c r="A67" s="419" t="s">
        <v>211</v>
      </c>
      <c r="B67" s="436" t="s">
        <v>212</v>
      </c>
      <c r="C67" s="419" t="s">
        <v>474</v>
      </c>
      <c r="D67" s="420" t="s">
        <v>199</v>
      </c>
      <c r="E67" s="420"/>
      <c r="F67" s="420" t="s">
        <v>2253</v>
      </c>
      <c r="G67" s="420" t="s">
        <v>169</v>
      </c>
      <c r="H67" s="420" t="s">
        <v>201</v>
      </c>
      <c r="I67" s="420" t="s">
        <v>2207</v>
      </c>
      <c r="J67" s="436">
        <v>2550.0</v>
      </c>
      <c r="K67" s="438"/>
      <c r="L67" s="420" t="s">
        <v>213</v>
      </c>
      <c r="M67" s="429"/>
      <c r="N67" s="422">
        <v>14.99</v>
      </c>
      <c r="O67" s="422">
        <v>13.69</v>
      </c>
      <c r="P67" s="422">
        <v>20.56</v>
      </c>
      <c r="Q67" s="420" t="s">
        <v>2208</v>
      </c>
      <c r="R67" s="438" t="s">
        <v>2209</v>
      </c>
      <c r="S67" s="420" t="s">
        <v>2229</v>
      </c>
      <c r="T67" s="454" t="s">
        <v>162</v>
      </c>
      <c r="U67" s="420" t="s">
        <v>2210</v>
      </c>
      <c r="V67" s="436">
        <v>4.34</v>
      </c>
      <c r="W67" s="458"/>
      <c r="X67" s="438"/>
      <c r="Y67" s="442" t="str">
        <f t="shared" si="23"/>
        <v/>
      </c>
      <c r="Z67" s="442"/>
      <c r="AA67" s="443"/>
      <c r="AB67" s="443"/>
      <c r="AC67" s="469">
        <f>IF(ISNUMBER(VLOOKUP(B67,'New Masses'!A:C,3,FALSE)),VLOOKUP(B67,'New Masses'!A:C,3,FALSE),"")</f>
        <v>0.38356</v>
      </c>
      <c r="AD67" s="423"/>
      <c r="AE67" s="423">
        <f t="shared" si="25"/>
        <v>0</v>
      </c>
      <c r="AF67" s="444">
        <v>-11.0</v>
      </c>
      <c r="AG67" s="438"/>
      <c r="AH67" s="459">
        <v>0.025</v>
      </c>
      <c r="AI67" s="438"/>
      <c r="AJ67" s="446">
        <f>IF(ISNUMBER(VLOOKUP(B67,'New Masses'!A:C,2, FALSE)),VLOOKUP(B67,'New Masses'!A:C,2, FALSE),"")</f>
        <v>0.020985</v>
      </c>
      <c r="AK67" s="438"/>
      <c r="AL67" s="438"/>
      <c r="AM67" s="438"/>
      <c r="AN67" s="438"/>
      <c r="AO67" s="436">
        <v>1.0</v>
      </c>
      <c r="AP67" s="438"/>
      <c r="AQ67" s="436">
        <v>0.68</v>
      </c>
      <c r="AR67" s="436">
        <v>0.85</v>
      </c>
      <c r="AS67" s="420" t="s">
        <v>2246</v>
      </c>
      <c r="AT67" s="448"/>
      <c r="AU67" s="452"/>
      <c r="AV67" s="420" t="s">
        <v>206</v>
      </c>
      <c r="AW67" s="438"/>
      <c r="AX67" s="450">
        <v>116.059097292341</v>
      </c>
    </row>
    <row r="68">
      <c r="A68" s="419" t="s">
        <v>211</v>
      </c>
      <c r="B68" s="421" t="s">
        <v>212</v>
      </c>
      <c r="C68" s="420"/>
      <c r="D68" s="420" t="s">
        <v>199</v>
      </c>
      <c r="E68" s="420"/>
      <c r="F68" s="420" t="s">
        <v>2253</v>
      </c>
      <c r="G68" s="420" t="s">
        <v>169</v>
      </c>
      <c r="H68" s="420" t="s">
        <v>598</v>
      </c>
      <c r="I68" s="467">
        <v>37985.0</v>
      </c>
      <c r="J68" s="436">
        <v>2555.0</v>
      </c>
      <c r="K68" s="436"/>
      <c r="L68" s="420" t="s">
        <v>213</v>
      </c>
      <c r="M68" s="429"/>
      <c r="N68" s="422">
        <v>14.99</v>
      </c>
      <c r="O68" s="422">
        <v>13.69</v>
      </c>
      <c r="P68" s="422">
        <v>20.56</v>
      </c>
      <c r="Q68" s="420" t="s">
        <v>2194</v>
      </c>
      <c r="R68" s="420" t="s">
        <v>2195</v>
      </c>
      <c r="S68" s="420" t="s">
        <v>2196</v>
      </c>
      <c r="T68" s="420" t="s">
        <v>596</v>
      </c>
      <c r="U68" s="420" t="s">
        <v>597</v>
      </c>
      <c r="V68" s="440"/>
      <c r="W68" s="468"/>
      <c r="X68" s="436"/>
      <c r="Y68" s="442" t="str">
        <f t="shared" si="23"/>
        <v/>
      </c>
      <c r="Z68" s="469"/>
      <c r="AA68" s="470">
        <v>0.23</v>
      </c>
      <c r="AB68" s="470"/>
      <c r="AC68" s="469">
        <f>IF(ISNUMBER(VLOOKUP(B68,'New Masses'!A:C,3,FALSE)),VLOOKUP(B68,'New Masses'!A:C,3,FALSE),"")</f>
        <v>0.38356</v>
      </c>
      <c r="AD68" s="440"/>
      <c r="AE68" s="440">
        <f t="shared" si="25"/>
        <v>0</v>
      </c>
      <c r="AF68" s="439">
        <v>-11.4</v>
      </c>
      <c r="AG68" s="438"/>
      <c r="AH68" s="459">
        <v>0.025</v>
      </c>
      <c r="AI68" s="436"/>
      <c r="AJ68" s="446">
        <f>IF(ISNUMBER(VLOOKUP(B68,'New Masses'!A:C,2, FALSE)),VLOOKUP(B68,'New Masses'!A:C,2, FALSE),"")</f>
        <v>0.020985</v>
      </c>
      <c r="AK68" s="436"/>
      <c r="AL68" s="438"/>
      <c r="AM68" s="438"/>
      <c r="AN68" s="438"/>
      <c r="AO68" s="436">
        <v>1.0</v>
      </c>
      <c r="AP68" s="438"/>
      <c r="AQ68" s="436">
        <v>0.68</v>
      </c>
      <c r="AR68" s="436">
        <v>0.85</v>
      </c>
      <c r="AS68" s="420" t="s">
        <v>2246</v>
      </c>
      <c r="AT68" s="448"/>
      <c r="AU68" s="449"/>
      <c r="AV68" s="420" t="s">
        <v>599</v>
      </c>
      <c r="AW68" s="438"/>
      <c r="AX68" s="450">
        <v>116.059097292341</v>
      </c>
    </row>
    <row r="69">
      <c r="A69" s="419" t="s">
        <v>219</v>
      </c>
      <c r="B69" s="436" t="s">
        <v>220</v>
      </c>
      <c r="C69" s="419" t="s">
        <v>2254</v>
      </c>
      <c r="D69" s="420" t="s">
        <v>199</v>
      </c>
      <c r="E69" s="420"/>
      <c r="F69" s="420" t="s">
        <v>2255</v>
      </c>
      <c r="G69" s="420" t="s">
        <v>169</v>
      </c>
      <c r="H69" s="420" t="s">
        <v>201</v>
      </c>
      <c r="I69" s="420" t="s">
        <v>2207</v>
      </c>
      <c r="J69" s="436">
        <v>2650.0</v>
      </c>
      <c r="K69" s="438"/>
      <c r="L69" s="420" t="s">
        <v>221</v>
      </c>
      <c r="M69" s="429"/>
      <c r="N69" s="422">
        <v>14.52</v>
      </c>
      <c r="O69" s="422">
        <v>13.27</v>
      </c>
      <c r="P69" s="422"/>
      <c r="Q69" s="420" t="s">
        <v>2208</v>
      </c>
      <c r="R69" s="438" t="s">
        <v>2209</v>
      </c>
      <c r="S69" s="420" t="s">
        <v>2229</v>
      </c>
      <c r="T69" s="454" t="s">
        <v>162</v>
      </c>
      <c r="U69" s="420" t="s">
        <v>2210</v>
      </c>
      <c r="V69" s="436">
        <v>4.18</v>
      </c>
      <c r="W69" s="458"/>
      <c r="X69" s="438"/>
      <c r="Y69" s="442" t="str">
        <f t="shared" si="23"/>
        <v/>
      </c>
      <c r="Z69" s="442"/>
      <c r="AA69" s="443"/>
      <c r="AB69" s="443"/>
      <c r="AC69" s="469">
        <f>IF(ISNUMBER(VLOOKUP(B69,'New Masses'!A:C,3,FALSE)),VLOOKUP(B69,'New Masses'!A:C,3,FALSE),"")</f>
        <v>0.401333</v>
      </c>
      <c r="AD69" s="423"/>
      <c r="AE69" s="423">
        <f t="shared" si="25"/>
        <v>0</v>
      </c>
      <c r="AF69" s="439">
        <v>-11.0</v>
      </c>
      <c r="AG69" s="438"/>
      <c r="AH69" s="459">
        <v>0.03</v>
      </c>
      <c r="AI69" s="438"/>
      <c r="AJ69" s="446">
        <f>IF(ISNUMBER(VLOOKUP(B69,'New Masses'!A:C,2, FALSE)),VLOOKUP(B69,'New Masses'!A:C,2, FALSE),"")</f>
        <v>0.022968</v>
      </c>
      <c r="AK69" s="438"/>
      <c r="AL69" s="438"/>
      <c r="AM69" s="438"/>
      <c r="AN69" s="438"/>
      <c r="AO69" s="436">
        <v>1.0</v>
      </c>
      <c r="AP69" s="438"/>
      <c r="AQ69" s="436">
        <v>0.93</v>
      </c>
      <c r="AR69" s="436">
        <v>0.85</v>
      </c>
      <c r="AS69" s="420" t="s">
        <v>2246</v>
      </c>
      <c r="AT69" s="448"/>
      <c r="AU69" s="449"/>
      <c r="AV69" s="420" t="s">
        <v>207</v>
      </c>
      <c r="AW69" s="438"/>
      <c r="AX69" s="450">
        <v>122.821454451663</v>
      </c>
    </row>
    <row r="70">
      <c r="A70" s="419" t="s">
        <v>219</v>
      </c>
      <c r="B70" s="436" t="s">
        <v>220</v>
      </c>
      <c r="C70" s="419" t="s">
        <v>2254</v>
      </c>
      <c r="D70" s="420" t="s">
        <v>199</v>
      </c>
      <c r="E70" s="420"/>
      <c r="F70" s="420" t="s">
        <v>2255</v>
      </c>
      <c r="G70" s="420" t="s">
        <v>169</v>
      </c>
      <c r="H70" s="420" t="s">
        <v>201</v>
      </c>
      <c r="I70" s="420" t="s">
        <v>2207</v>
      </c>
      <c r="J70" s="436">
        <v>2650.0</v>
      </c>
      <c r="K70" s="438"/>
      <c r="L70" s="420" t="s">
        <v>221</v>
      </c>
      <c r="M70" s="429"/>
      <c r="N70" s="422">
        <v>14.52</v>
      </c>
      <c r="O70" s="422">
        <v>13.27</v>
      </c>
      <c r="P70" s="422"/>
      <c r="Q70" s="420" t="s">
        <v>2208</v>
      </c>
      <c r="R70" s="438" t="s">
        <v>2209</v>
      </c>
      <c r="S70" s="420" t="s">
        <v>2229</v>
      </c>
      <c r="T70" s="454" t="s">
        <v>162</v>
      </c>
      <c r="U70" s="420" t="s">
        <v>2210</v>
      </c>
      <c r="V70" s="436">
        <v>4.18</v>
      </c>
      <c r="W70" s="458"/>
      <c r="X70" s="438"/>
      <c r="Y70" s="442" t="str">
        <f t="shared" si="23"/>
        <v/>
      </c>
      <c r="Z70" s="442"/>
      <c r="AA70" s="443"/>
      <c r="AB70" s="443"/>
      <c r="AC70" s="469">
        <f>IF(ISNUMBER(VLOOKUP(B70,'New Masses'!A:C,3,FALSE)),VLOOKUP(B70,'New Masses'!A:C,3,FALSE),"")</f>
        <v>0.401333</v>
      </c>
      <c r="AD70" s="423"/>
      <c r="AE70" s="423">
        <f t="shared" si="25"/>
        <v>0</v>
      </c>
      <c r="AF70" s="444">
        <v>-11.2</v>
      </c>
      <c r="AG70" s="438"/>
      <c r="AH70" s="459">
        <v>0.03</v>
      </c>
      <c r="AI70" s="438"/>
      <c r="AJ70" s="446">
        <f>IF(ISNUMBER(VLOOKUP(B70,'New Masses'!A:C,2, FALSE)),VLOOKUP(B70,'New Masses'!A:C,2, FALSE),"")</f>
        <v>0.022968</v>
      </c>
      <c r="AK70" s="438"/>
      <c r="AL70" s="438"/>
      <c r="AM70" s="438"/>
      <c r="AN70" s="438"/>
      <c r="AO70" s="436">
        <v>1.0</v>
      </c>
      <c r="AP70" s="438"/>
      <c r="AQ70" s="436">
        <v>0.93</v>
      </c>
      <c r="AR70" s="436">
        <v>0.85</v>
      </c>
      <c r="AS70" s="420" t="s">
        <v>2246</v>
      </c>
      <c r="AT70" s="448"/>
      <c r="AU70" s="452"/>
      <c r="AV70" s="420" t="s">
        <v>206</v>
      </c>
      <c r="AW70" s="438"/>
      <c r="AX70" s="450">
        <v>122.821454451663</v>
      </c>
    </row>
    <row r="71">
      <c r="A71" s="419" t="s">
        <v>219</v>
      </c>
      <c r="B71" s="421" t="s">
        <v>220</v>
      </c>
      <c r="C71" s="420"/>
      <c r="D71" s="420" t="s">
        <v>199</v>
      </c>
      <c r="E71" s="420"/>
      <c r="F71" s="420" t="s">
        <v>2255</v>
      </c>
      <c r="G71" s="420" t="s">
        <v>169</v>
      </c>
      <c r="H71" s="420" t="s">
        <v>598</v>
      </c>
      <c r="I71" s="467">
        <v>37985.0</v>
      </c>
      <c r="J71" s="436">
        <v>2632.0</v>
      </c>
      <c r="K71" s="436"/>
      <c r="L71" s="420" t="s">
        <v>221</v>
      </c>
      <c r="M71" s="429"/>
      <c r="N71" s="422">
        <v>14.52</v>
      </c>
      <c r="O71" s="422">
        <v>13.27</v>
      </c>
      <c r="P71" s="422"/>
      <c r="Q71" s="420" t="s">
        <v>2194</v>
      </c>
      <c r="R71" s="420" t="s">
        <v>2195</v>
      </c>
      <c r="S71" s="420" t="s">
        <v>2196</v>
      </c>
      <c r="T71" s="420" t="s">
        <v>596</v>
      </c>
      <c r="U71" s="420" t="s">
        <v>597</v>
      </c>
      <c r="V71" s="440"/>
      <c r="W71" s="468"/>
      <c r="X71" s="436"/>
      <c r="Y71" s="442" t="str">
        <f t="shared" si="23"/>
        <v/>
      </c>
      <c r="Z71" s="469"/>
      <c r="AA71" s="470">
        <v>0.28</v>
      </c>
      <c r="AB71" s="470"/>
      <c r="AC71" s="469">
        <f>IF(ISNUMBER(VLOOKUP(B71,'New Masses'!A:C,3,FALSE)),VLOOKUP(B71,'New Masses'!A:C,3,FALSE),"")</f>
        <v>0.401333</v>
      </c>
      <c r="AD71" s="440"/>
      <c r="AE71" s="440">
        <f t="shared" si="25"/>
        <v>0</v>
      </c>
      <c r="AF71" s="439">
        <v>-11.4</v>
      </c>
      <c r="AG71" s="438"/>
      <c r="AH71" s="459">
        <v>0.03</v>
      </c>
      <c r="AI71" s="436"/>
      <c r="AJ71" s="446">
        <f>IF(ISNUMBER(VLOOKUP(B71,'New Masses'!A:C,2, FALSE)),VLOOKUP(B71,'New Masses'!A:C,2, FALSE),"")</f>
        <v>0.022968</v>
      </c>
      <c r="AK71" s="436"/>
      <c r="AL71" s="438"/>
      <c r="AM71" s="438"/>
      <c r="AN71" s="438"/>
      <c r="AO71" s="436">
        <v>1.0</v>
      </c>
      <c r="AP71" s="438"/>
      <c r="AQ71" s="436">
        <v>0.93</v>
      </c>
      <c r="AR71" s="436">
        <v>0.85</v>
      </c>
      <c r="AS71" s="420" t="s">
        <v>2246</v>
      </c>
      <c r="AT71" s="448"/>
      <c r="AU71" s="452"/>
      <c r="AV71" s="420" t="s">
        <v>599</v>
      </c>
      <c r="AW71" s="438"/>
      <c r="AX71" s="450">
        <v>122.821454451663</v>
      </c>
    </row>
    <row r="72">
      <c r="A72" s="419" t="s">
        <v>438</v>
      </c>
      <c r="B72" s="419" t="s">
        <v>439</v>
      </c>
      <c r="C72" s="419"/>
      <c r="D72" s="436" t="s">
        <v>199</v>
      </c>
      <c r="E72" s="436"/>
      <c r="F72" s="436" t="s">
        <v>2256</v>
      </c>
      <c r="G72" s="436" t="s">
        <v>169</v>
      </c>
      <c r="H72" s="436" t="s">
        <v>413</v>
      </c>
      <c r="I72" s="456">
        <v>35400.0</v>
      </c>
      <c r="J72" s="438"/>
      <c r="K72" s="438"/>
      <c r="L72" s="436" t="s">
        <v>434</v>
      </c>
      <c r="M72" s="439"/>
      <c r="N72" s="422">
        <v>8.67</v>
      </c>
      <c r="O72" s="422">
        <v>7.364</v>
      </c>
      <c r="P72" s="422">
        <v>11.54</v>
      </c>
      <c r="Q72" s="436" t="s">
        <v>2189</v>
      </c>
      <c r="R72" s="436" t="s">
        <v>2257</v>
      </c>
      <c r="S72" s="436" t="s">
        <v>414</v>
      </c>
      <c r="T72" s="436" t="s">
        <v>293</v>
      </c>
      <c r="U72" s="436" t="s">
        <v>294</v>
      </c>
      <c r="V72" s="440"/>
      <c r="W72" s="468"/>
      <c r="X72" s="436"/>
      <c r="Y72" s="442"/>
      <c r="Z72" s="469"/>
      <c r="AA72" s="470">
        <v>2.31</v>
      </c>
      <c r="AB72" s="470"/>
      <c r="AC72" s="436" t="str">
        <f>IF(ISNUMBER(VLOOKUP(B72,'New Masses'!A:C,3,FALSE)),VLOOKUP(B72,'New Masses'!A:C,3,FALSE),"")</f>
        <v/>
      </c>
      <c r="AD72" s="451"/>
      <c r="AE72" s="451">
        <v>1.75E-8</v>
      </c>
      <c r="AF72" s="453">
        <f>LOG10(AE72)</f>
        <v>-7.756961951</v>
      </c>
      <c r="AG72" s="438"/>
      <c r="AH72" s="459">
        <v>0.442</v>
      </c>
      <c r="AI72" s="436"/>
      <c r="AJ72" s="446" t="str">
        <f>IF(ISNUMBER(VLOOKUP(B72,'New Masses'!A:C,2, FALSE)),VLOOKUP(B72,'New Masses'!A:C,2, FALSE),"")</f>
        <v/>
      </c>
      <c r="AK72" s="436"/>
      <c r="AL72" s="436"/>
      <c r="AM72" s="436">
        <v>0.084</v>
      </c>
      <c r="AN72" s="438"/>
      <c r="AO72" s="436">
        <v>1.0</v>
      </c>
      <c r="AP72" s="438"/>
      <c r="AQ72" s="438"/>
      <c r="AR72" s="438"/>
      <c r="AS72" s="438"/>
      <c r="AT72" s="448"/>
      <c r="AU72" s="449"/>
      <c r="AV72" s="438"/>
      <c r="AW72" s="438"/>
      <c r="AX72" s="450"/>
    </row>
    <row r="73">
      <c r="A73" s="419" t="s">
        <v>690</v>
      </c>
      <c r="B73" s="419" t="s">
        <v>691</v>
      </c>
      <c r="C73" s="436"/>
      <c r="D73" s="436" t="s">
        <v>199</v>
      </c>
      <c r="E73" s="436"/>
      <c r="F73" s="436" t="s">
        <v>2258</v>
      </c>
      <c r="G73" s="436" t="s">
        <v>169</v>
      </c>
      <c r="H73" s="436" t="s">
        <v>598</v>
      </c>
      <c r="I73" s="467">
        <v>37985.0</v>
      </c>
      <c r="J73" s="436">
        <v>2990.0</v>
      </c>
      <c r="K73" s="436"/>
      <c r="L73" s="436" t="s">
        <v>353</v>
      </c>
      <c r="M73" s="439"/>
      <c r="N73" s="422">
        <v>11.907</v>
      </c>
      <c r="O73" s="422">
        <v>10.269</v>
      </c>
      <c r="P73" s="422"/>
      <c r="Q73" s="436" t="s">
        <v>2194</v>
      </c>
      <c r="R73" s="436" t="s">
        <v>2195</v>
      </c>
      <c r="S73" s="436" t="s">
        <v>2196</v>
      </c>
      <c r="T73" s="436" t="s">
        <v>596</v>
      </c>
      <c r="U73" s="436" t="s">
        <v>597</v>
      </c>
      <c r="V73" s="451"/>
      <c r="W73" s="468"/>
      <c r="X73" s="436"/>
      <c r="Y73" s="442" t="str">
        <f>IF((W73/((J73/5780)^4))^0.5&gt;0,(W73/((J73/5780)^4))^0.5,"")</f>
        <v/>
      </c>
      <c r="Z73" s="469"/>
      <c r="AA73" s="470">
        <v>1.2</v>
      </c>
      <c r="AB73" s="470"/>
      <c r="AC73" s="436" t="str">
        <f>IF(ISNUMBER(VLOOKUP(B73,'New Masses'!A:C,3,FALSE)),VLOOKUP(B73,'New Masses'!A:C,3,FALSE),"")</f>
        <v/>
      </c>
      <c r="AD73" s="440"/>
      <c r="AE73" s="440">
        <f>10^AF73</f>
        <v>0</v>
      </c>
      <c r="AF73" s="439">
        <v>-12.0</v>
      </c>
      <c r="AG73" s="436"/>
      <c r="AH73" s="459">
        <v>0.1</v>
      </c>
      <c r="AI73" s="436"/>
      <c r="AJ73" s="446" t="str">
        <f>IF(ISNUMBER(VLOOKUP(B73,'New Masses'!A:C,2, FALSE)),VLOOKUP(B73,'New Masses'!A:C,2, FALSE),"")</f>
        <v/>
      </c>
      <c r="AK73" s="436"/>
      <c r="AL73" s="436"/>
      <c r="AM73" s="436"/>
      <c r="AN73" s="436"/>
      <c r="AO73" s="436">
        <v>1.0</v>
      </c>
      <c r="AP73" s="436"/>
      <c r="AQ73" s="436"/>
      <c r="AR73" s="436"/>
      <c r="AS73" s="438"/>
      <c r="AT73" s="448"/>
      <c r="AU73" s="449" t="s">
        <v>137</v>
      </c>
      <c r="AV73" s="438" t="s">
        <v>599</v>
      </c>
      <c r="AW73" s="438"/>
      <c r="AX73" s="450">
        <v>152.251031500738</v>
      </c>
    </row>
    <row r="74">
      <c r="A74" s="419" t="s">
        <v>451</v>
      </c>
      <c r="B74" s="419" t="s">
        <v>452</v>
      </c>
      <c r="C74" s="419"/>
      <c r="D74" s="436" t="s">
        <v>199</v>
      </c>
      <c r="E74" s="436"/>
      <c r="F74" s="436" t="s">
        <v>2259</v>
      </c>
      <c r="G74" s="436" t="s">
        <v>169</v>
      </c>
      <c r="H74" s="436" t="s">
        <v>413</v>
      </c>
      <c r="I74" s="456">
        <v>35400.0</v>
      </c>
      <c r="J74" s="438"/>
      <c r="K74" s="438"/>
      <c r="L74" s="436" t="s">
        <v>453</v>
      </c>
      <c r="M74" s="439"/>
      <c r="N74" s="422">
        <v>9.341</v>
      </c>
      <c r="O74" s="422">
        <v>7.888</v>
      </c>
      <c r="P74" s="422">
        <v>12.15</v>
      </c>
      <c r="Q74" s="436" t="s">
        <v>2189</v>
      </c>
      <c r="R74" s="436" t="s">
        <v>2257</v>
      </c>
      <c r="S74" s="436" t="s">
        <v>414</v>
      </c>
      <c r="T74" s="436" t="s">
        <v>293</v>
      </c>
      <c r="U74" s="436" t="s">
        <v>294</v>
      </c>
      <c r="V74" s="440"/>
      <c r="W74" s="468"/>
      <c r="X74" s="436"/>
      <c r="Y74" s="442"/>
      <c r="Z74" s="469"/>
      <c r="AA74" s="470">
        <v>1.735</v>
      </c>
      <c r="AB74" s="470"/>
      <c r="AC74" s="436" t="str">
        <f>IF(ISNUMBER(VLOOKUP(B74,'New Masses'!A:C,3,FALSE)),VLOOKUP(B74,'New Masses'!A:C,3,FALSE),"")</f>
        <v/>
      </c>
      <c r="AD74" s="451"/>
      <c r="AE74" s="451">
        <v>9.6E-9</v>
      </c>
      <c r="AF74" s="453">
        <f t="shared" ref="AF74:AF76" si="26">LOG10(AE74)</f>
        <v>-8.017728767</v>
      </c>
      <c r="AG74" s="438"/>
      <c r="AH74" s="459">
        <v>0.668</v>
      </c>
      <c r="AI74" s="436"/>
      <c r="AJ74" s="446" t="str">
        <f>IF(ISNUMBER(VLOOKUP(B74,'New Masses'!A:C,2, FALSE)),VLOOKUP(B74,'New Masses'!A:C,2, FALSE),"")</f>
        <v/>
      </c>
      <c r="AK74" s="436"/>
      <c r="AL74" s="436"/>
      <c r="AM74" s="436">
        <v>0.094</v>
      </c>
      <c r="AN74" s="438"/>
      <c r="AO74" s="436">
        <v>1.0</v>
      </c>
      <c r="AP74" s="438"/>
      <c r="AQ74" s="438"/>
      <c r="AR74" s="438"/>
      <c r="AS74" s="438"/>
      <c r="AT74" s="448"/>
      <c r="AU74" s="452"/>
      <c r="AV74" s="438"/>
      <c r="AW74" s="438"/>
      <c r="AX74" s="450">
        <v>130.504006472998</v>
      </c>
    </row>
    <row r="75">
      <c r="A75" s="419" t="s">
        <v>440</v>
      </c>
      <c r="B75" s="419" t="s">
        <v>441</v>
      </c>
      <c r="C75" s="419"/>
      <c r="D75" s="436" t="s">
        <v>199</v>
      </c>
      <c r="E75" s="436"/>
      <c r="F75" s="436" t="s">
        <v>2260</v>
      </c>
      <c r="G75" s="436" t="s">
        <v>169</v>
      </c>
      <c r="H75" s="436" t="s">
        <v>413</v>
      </c>
      <c r="I75" s="456">
        <v>35400.0</v>
      </c>
      <c r="J75" s="438"/>
      <c r="K75" s="438"/>
      <c r="L75" s="436" t="s">
        <v>434</v>
      </c>
      <c r="M75" s="439"/>
      <c r="N75" s="422">
        <v>9.053</v>
      </c>
      <c r="O75" s="422">
        <v>7.468</v>
      </c>
      <c r="P75" s="422">
        <v>12.02</v>
      </c>
      <c r="Q75" s="436" t="s">
        <v>2189</v>
      </c>
      <c r="R75" s="436" t="s">
        <v>2257</v>
      </c>
      <c r="S75" s="436" t="s">
        <v>414</v>
      </c>
      <c r="T75" s="436" t="s">
        <v>293</v>
      </c>
      <c r="U75" s="436" t="s">
        <v>294</v>
      </c>
      <c r="V75" s="440"/>
      <c r="W75" s="468"/>
      <c r="X75" s="436"/>
      <c r="Y75" s="442"/>
      <c r="Z75" s="469"/>
      <c r="AA75" s="470">
        <v>2.15</v>
      </c>
      <c r="AB75" s="470"/>
      <c r="AC75" s="436" t="str">
        <f>IF(ISNUMBER(VLOOKUP(B75,'New Masses'!A:C,3,FALSE)),VLOOKUP(B75,'New Masses'!A:C,3,FALSE),"")</f>
        <v/>
      </c>
      <c r="AD75" s="451"/>
      <c r="AE75" s="451">
        <v>6.4E-9</v>
      </c>
      <c r="AF75" s="453">
        <f t="shared" si="26"/>
        <v>-8.193820026</v>
      </c>
      <c r="AG75" s="438"/>
      <c r="AH75" s="459">
        <v>0.461</v>
      </c>
      <c r="AI75" s="436"/>
      <c r="AJ75" s="446" t="str">
        <f>IF(ISNUMBER(VLOOKUP(B75,'New Masses'!A:C,2, FALSE)),VLOOKUP(B75,'New Masses'!A:C,2, FALSE),"")</f>
        <v/>
      </c>
      <c r="AK75" s="436"/>
      <c r="AL75" s="436"/>
      <c r="AM75" s="436">
        <v>0.035</v>
      </c>
      <c r="AN75" s="438"/>
      <c r="AO75" s="436">
        <v>1.0</v>
      </c>
      <c r="AP75" s="438"/>
      <c r="AQ75" s="438"/>
      <c r="AR75" s="438"/>
      <c r="AS75" s="438"/>
      <c r="AT75" s="448"/>
      <c r="AU75" s="449"/>
      <c r="AV75" s="438"/>
      <c r="AW75" s="438"/>
      <c r="AX75" s="450">
        <v>129.262428582508</v>
      </c>
    </row>
    <row r="76">
      <c r="A76" s="419" t="s">
        <v>457</v>
      </c>
      <c r="B76" s="419" t="s">
        <v>458</v>
      </c>
      <c r="C76" s="419"/>
      <c r="D76" s="436" t="s">
        <v>199</v>
      </c>
      <c r="E76" s="436"/>
      <c r="F76" s="436" t="s">
        <v>2261</v>
      </c>
      <c r="G76" s="436" t="s">
        <v>169</v>
      </c>
      <c r="H76" s="436" t="s">
        <v>413</v>
      </c>
      <c r="I76" s="456">
        <v>35400.0</v>
      </c>
      <c r="J76" s="438"/>
      <c r="K76" s="438"/>
      <c r="L76" s="436" t="s">
        <v>459</v>
      </c>
      <c r="M76" s="439"/>
      <c r="N76" s="422">
        <v>10.699</v>
      </c>
      <c r="O76" s="422">
        <v>8.384</v>
      </c>
      <c r="P76" s="422">
        <v>13.05</v>
      </c>
      <c r="Q76" s="436" t="s">
        <v>2189</v>
      </c>
      <c r="R76" s="436" t="s">
        <v>2257</v>
      </c>
      <c r="S76" s="436" t="s">
        <v>414</v>
      </c>
      <c r="T76" s="436" t="s">
        <v>293</v>
      </c>
      <c r="U76" s="436" t="s">
        <v>294</v>
      </c>
      <c r="V76" s="440"/>
      <c r="W76" s="468"/>
      <c r="X76" s="436"/>
      <c r="Y76" s="442"/>
      <c r="Z76" s="469"/>
      <c r="AA76" s="470">
        <v>0.76</v>
      </c>
      <c r="AB76" s="470"/>
      <c r="AC76" s="436" t="str">
        <f>IF(ISNUMBER(VLOOKUP(B76,'New Masses'!A:C,3,FALSE)),VLOOKUP(B76,'New Masses'!A:C,3,FALSE),"")</f>
        <v/>
      </c>
      <c r="AD76" s="451"/>
      <c r="AE76" s="451">
        <v>1.3E-9</v>
      </c>
      <c r="AF76" s="453">
        <f t="shared" si="26"/>
        <v>-8.886056648</v>
      </c>
      <c r="AG76" s="438"/>
      <c r="AH76" s="459">
        <v>0.81</v>
      </c>
      <c r="AI76" s="436"/>
      <c r="AJ76" s="446" t="str">
        <f>IF(ISNUMBER(VLOOKUP(B76,'New Masses'!A:C,2, FALSE)),VLOOKUP(B76,'New Masses'!A:C,2, FALSE),"")</f>
        <v/>
      </c>
      <c r="AK76" s="436"/>
      <c r="AL76" s="436"/>
      <c r="AM76" s="436">
        <v>0.035</v>
      </c>
      <c r="AN76" s="438"/>
      <c r="AO76" s="436">
        <v>1.0</v>
      </c>
      <c r="AP76" s="438"/>
      <c r="AQ76" s="438"/>
      <c r="AR76" s="438"/>
      <c r="AS76" s="438"/>
      <c r="AT76" s="448"/>
      <c r="AU76" s="449"/>
      <c r="AV76" s="438"/>
      <c r="AW76" s="438"/>
      <c r="AX76" s="450">
        <v>136.574706364381</v>
      </c>
    </row>
    <row r="77">
      <c r="A77" s="419" t="s">
        <v>634</v>
      </c>
      <c r="B77" s="436" t="s">
        <v>635</v>
      </c>
      <c r="C77" s="420"/>
      <c r="D77" s="420" t="s">
        <v>199</v>
      </c>
      <c r="E77" s="420"/>
      <c r="F77" s="420" t="s">
        <v>2262</v>
      </c>
      <c r="G77" s="420" t="s">
        <v>159</v>
      </c>
      <c r="H77" s="420" t="s">
        <v>598</v>
      </c>
      <c r="I77" s="467">
        <v>37985.0</v>
      </c>
      <c r="J77" s="436">
        <v>2752.0</v>
      </c>
      <c r="K77" s="436"/>
      <c r="L77" s="420" t="s">
        <v>334</v>
      </c>
      <c r="M77" s="429"/>
      <c r="N77" s="422">
        <v>13.724</v>
      </c>
      <c r="O77" s="422">
        <v>12.367</v>
      </c>
      <c r="P77" s="422"/>
      <c r="Q77" s="420" t="s">
        <v>2194</v>
      </c>
      <c r="R77" s="420" t="s">
        <v>2195</v>
      </c>
      <c r="S77" s="420" t="s">
        <v>2196</v>
      </c>
      <c r="T77" s="420" t="s">
        <v>596</v>
      </c>
      <c r="U77" s="420" t="s">
        <v>597</v>
      </c>
      <c r="V77" s="440"/>
      <c r="W77" s="468"/>
      <c r="X77" s="436"/>
      <c r="Y77" s="442" t="str">
        <f t="shared" ref="Y77:Y86" si="27">IF((W77/((J77/5780)^4))^0.5&gt;0,(W77/((J77/5780)^4))^0.5,"")</f>
        <v/>
      </c>
      <c r="Z77" s="469"/>
      <c r="AA77" s="470">
        <v>0.41</v>
      </c>
      <c r="AB77" s="470"/>
      <c r="AC77" s="469">
        <f>IF(ISNUMBER(VLOOKUP(B77,'New Masses'!A:C,3,FALSE)),VLOOKUP(B77,'New Masses'!A:C,3,FALSE),"")</f>
        <v>0.446101</v>
      </c>
      <c r="AD77" s="440"/>
      <c r="AE77" s="440">
        <f t="shared" ref="AE77:AE78" si="28">10^AF77</f>
        <v>0</v>
      </c>
      <c r="AF77" s="439">
        <v>-12.0</v>
      </c>
      <c r="AG77" s="438"/>
      <c r="AH77" s="459">
        <v>0.035</v>
      </c>
      <c r="AI77" s="436"/>
      <c r="AJ77" s="446">
        <f>IF(ISNUMBER(VLOOKUP(B77,'New Masses'!A:C,2, FALSE)),VLOOKUP(B77,'New Masses'!A:C,2, FALSE),"")</f>
        <v>0.028161</v>
      </c>
      <c r="AK77" s="436"/>
      <c r="AL77" s="438"/>
      <c r="AM77" s="438"/>
      <c r="AN77" s="438"/>
      <c r="AO77" s="436">
        <v>1.0</v>
      </c>
      <c r="AP77" s="438"/>
      <c r="AQ77" s="436">
        <v>0.81</v>
      </c>
      <c r="AR77" s="436">
        <v>0.85</v>
      </c>
      <c r="AS77" s="420" t="s">
        <v>2246</v>
      </c>
      <c r="AT77" s="448"/>
      <c r="AU77" s="449" t="s">
        <v>137</v>
      </c>
      <c r="AV77" s="420" t="s">
        <v>599</v>
      </c>
      <c r="AW77" s="438"/>
      <c r="AX77" s="450">
        <v>183.908045977011</v>
      </c>
    </row>
    <row r="78">
      <c r="A78" s="436" t="s">
        <v>669</v>
      </c>
      <c r="B78" s="436" t="s">
        <v>669</v>
      </c>
      <c r="C78" s="438"/>
      <c r="D78" s="420" t="s">
        <v>199</v>
      </c>
      <c r="E78" s="420"/>
      <c r="F78" s="420" t="s">
        <v>2263</v>
      </c>
      <c r="G78" s="420" t="s">
        <v>169</v>
      </c>
      <c r="H78" s="420" t="s">
        <v>598</v>
      </c>
      <c r="I78" s="467">
        <v>37985.0</v>
      </c>
      <c r="J78" s="436">
        <v>2838.0</v>
      </c>
      <c r="K78" s="436"/>
      <c r="L78" s="420" t="s">
        <v>237</v>
      </c>
      <c r="M78" s="422">
        <v>0.35</v>
      </c>
      <c r="N78" s="422">
        <v>15.18</v>
      </c>
      <c r="O78" s="422">
        <v>12.98</v>
      </c>
      <c r="P78" s="422">
        <v>20.33</v>
      </c>
      <c r="Q78" s="420" t="s">
        <v>2194</v>
      </c>
      <c r="R78" s="420" t="s">
        <v>2195</v>
      </c>
      <c r="S78" s="420" t="s">
        <v>2196</v>
      </c>
      <c r="T78" s="420" t="s">
        <v>596</v>
      </c>
      <c r="U78" s="420" t="s">
        <v>597</v>
      </c>
      <c r="V78" s="440"/>
      <c r="W78" s="468"/>
      <c r="X78" s="436"/>
      <c r="Y78" s="442" t="str">
        <f t="shared" si="27"/>
        <v/>
      </c>
      <c r="Z78" s="469"/>
      <c r="AA78" s="470">
        <v>0.18</v>
      </c>
      <c r="AB78" s="470"/>
      <c r="AC78" s="469">
        <f>IF(ISNUMBER(VLOOKUP(B78,'New Masses'!A:C,3,FALSE)),VLOOKUP(B78,'New Masses'!A:C,3,FALSE),"")</f>
        <v>0.502954</v>
      </c>
      <c r="AD78" s="440"/>
      <c r="AE78" s="440">
        <f t="shared" si="28"/>
        <v>0</v>
      </c>
      <c r="AF78" s="439">
        <v>-10.8</v>
      </c>
      <c r="AG78" s="438"/>
      <c r="AH78" s="459">
        <v>0.07</v>
      </c>
      <c r="AI78" s="436"/>
      <c r="AJ78" s="446">
        <f>IF(ISNUMBER(VLOOKUP(B78,'New Masses'!A:C,2, FALSE)),VLOOKUP(B78,'New Masses'!A:C,2, FALSE),"")</f>
        <v>0.035005</v>
      </c>
      <c r="AK78" s="436"/>
      <c r="AL78" s="438"/>
      <c r="AM78" s="438"/>
      <c r="AN78" s="438"/>
      <c r="AO78" s="436">
        <v>1.0</v>
      </c>
      <c r="AP78" s="438"/>
      <c r="AQ78" s="436">
        <v>10.6</v>
      </c>
      <c r="AR78" s="436">
        <v>4.0</v>
      </c>
      <c r="AS78" s="420" t="s">
        <v>2246</v>
      </c>
      <c r="AT78" s="448"/>
      <c r="AU78" s="449"/>
      <c r="AV78" s="420" t="s">
        <v>599</v>
      </c>
      <c r="AW78" s="438"/>
      <c r="AX78" s="450">
        <v>145.410129269604</v>
      </c>
    </row>
    <row r="79">
      <c r="A79" s="436" t="s">
        <v>336</v>
      </c>
      <c r="B79" s="436" t="s">
        <v>336</v>
      </c>
      <c r="C79" s="438"/>
      <c r="D79" s="420" t="s">
        <v>199</v>
      </c>
      <c r="E79" s="420"/>
      <c r="F79" s="477" t="s">
        <v>2264</v>
      </c>
      <c r="G79" s="420"/>
      <c r="H79" s="420" t="s">
        <v>225</v>
      </c>
      <c r="I79" s="467">
        <v>39044.0</v>
      </c>
      <c r="J79" s="436">
        <v>2838.0</v>
      </c>
      <c r="K79" s="420"/>
      <c r="L79" s="420" t="s">
        <v>237</v>
      </c>
      <c r="M79" s="422">
        <v>0.5</v>
      </c>
      <c r="N79" s="422">
        <v>12.646</v>
      </c>
      <c r="O79" s="422">
        <v>11.368</v>
      </c>
      <c r="P79" s="422">
        <v>18.4</v>
      </c>
      <c r="Q79" s="420" t="s">
        <v>2239</v>
      </c>
      <c r="R79" s="420" t="s">
        <v>2240</v>
      </c>
      <c r="S79" s="420" t="s">
        <v>307</v>
      </c>
      <c r="T79" s="420" t="s">
        <v>293</v>
      </c>
      <c r="U79" s="420" t="s">
        <v>294</v>
      </c>
      <c r="V79" s="440"/>
      <c r="W79" s="468"/>
      <c r="X79" s="436"/>
      <c r="Y79" s="442" t="str">
        <f t="shared" si="27"/>
        <v/>
      </c>
      <c r="Z79" s="469"/>
      <c r="AA79" s="470">
        <v>0.51</v>
      </c>
      <c r="AB79" s="426"/>
      <c r="AC79" s="469">
        <f>IF(ISNUMBER(VLOOKUP(B79,'New Masses'!A:C,3,FALSE)),VLOOKUP(B79,'New Masses'!A:C,3,FALSE),"")</f>
        <v>0.502954</v>
      </c>
      <c r="AD79" s="451"/>
      <c r="AE79" s="451">
        <v>6.9E-12</v>
      </c>
      <c r="AF79" s="439">
        <f>log10(AE79)</f>
        <v>-11.16115091</v>
      </c>
      <c r="AG79" s="438"/>
      <c r="AH79" s="459">
        <v>0.05</v>
      </c>
      <c r="AI79" s="421">
        <v>0.02</v>
      </c>
      <c r="AJ79" s="446">
        <f>IF(ISNUMBER(VLOOKUP(B79,'New Masses'!A:C,2, FALSE)),VLOOKUP(B79,'New Masses'!A:C,2, FALSE),"")</f>
        <v>0.035005</v>
      </c>
      <c r="AK79" s="420"/>
      <c r="AL79" s="420"/>
      <c r="AM79" s="436">
        <f>log10(0.000017)</f>
        <v>-4.769551079</v>
      </c>
      <c r="AN79" s="438"/>
      <c r="AO79" s="436">
        <f>10^6.5/10^6</f>
        <v>3.16227766</v>
      </c>
      <c r="AP79" s="438"/>
      <c r="AQ79" s="436">
        <v>0.8</v>
      </c>
      <c r="AR79" s="438"/>
      <c r="AS79" s="420" t="s">
        <v>2241</v>
      </c>
      <c r="AT79" s="448"/>
      <c r="AU79" s="452"/>
      <c r="AV79" s="438"/>
      <c r="AW79" s="438"/>
      <c r="AX79" s="450">
        <v>144.0</v>
      </c>
    </row>
    <row r="80">
      <c r="A80" s="436" t="s">
        <v>336</v>
      </c>
      <c r="B80" s="436" t="s">
        <v>336</v>
      </c>
      <c r="C80" s="438"/>
      <c r="D80" s="420" t="s">
        <v>199</v>
      </c>
      <c r="E80" s="420"/>
      <c r="F80" s="420" t="s">
        <v>2265</v>
      </c>
      <c r="G80" s="420" t="s">
        <v>169</v>
      </c>
      <c r="H80" s="420" t="s">
        <v>598</v>
      </c>
      <c r="I80" s="467">
        <v>37985.0</v>
      </c>
      <c r="J80" s="436">
        <v>2838.0</v>
      </c>
      <c r="K80" s="436"/>
      <c r="L80" s="420" t="s">
        <v>237</v>
      </c>
      <c r="M80" s="422">
        <v>0.25</v>
      </c>
      <c r="N80" s="422">
        <v>12.646</v>
      </c>
      <c r="O80" s="422">
        <v>11.368</v>
      </c>
      <c r="P80" s="422">
        <v>18.4</v>
      </c>
      <c r="Q80" s="420" t="s">
        <v>2194</v>
      </c>
      <c r="R80" s="420" t="s">
        <v>2195</v>
      </c>
      <c r="S80" s="420" t="s">
        <v>2196</v>
      </c>
      <c r="T80" s="420" t="s">
        <v>596</v>
      </c>
      <c r="U80" s="420" t="s">
        <v>597</v>
      </c>
      <c r="V80" s="440"/>
      <c r="W80" s="468"/>
      <c r="X80" s="436"/>
      <c r="Y80" s="442" t="str">
        <f t="shared" si="27"/>
        <v/>
      </c>
      <c r="Z80" s="469"/>
      <c r="AA80" s="470">
        <v>0.57</v>
      </c>
      <c r="AB80" s="470"/>
      <c r="AC80" s="469">
        <f>IF(ISNUMBER(VLOOKUP(B80,'New Masses'!A:C,3,FALSE)),VLOOKUP(B80,'New Masses'!A:C,3,FALSE),"")</f>
        <v>0.502954</v>
      </c>
      <c r="AD80" s="440"/>
      <c r="AE80" s="440">
        <f t="shared" ref="AE80:AE83" si="29">10^AF80</f>
        <v>0</v>
      </c>
      <c r="AF80" s="439">
        <v>-11.3</v>
      </c>
      <c r="AG80" s="438"/>
      <c r="AH80" s="459">
        <v>0.05</v>
      </c>
      <c r="AI80" s="436"/>
      <c r="AJ80" s="446">
        <f>IF(ISNUMBER(VLOOKUP(B80,'New Masses'!A:C,2, FALSE)),VLOOKUP(B80,'New Masses'!A:C,2, FALSE),"")</f>
        <v>0.035005</v>
      </c>
      <c r="AK80" s="436"/>
      <c r="AL80" s="438"/>
      <c r="AM80" s="438"/>
      <c r="AN80" s="438"/>
      <c r="AO80" s="436">
        <v>1.0</v>
      </c>
      <c r="AP80" s="438"/>
      <c r="AQ80" s="436">
        <v>0.8</v>
      </c>
      <c r="AR80" s="438"/>
      <c r="AS80" s="420" t="s">
        <v>2241</v>
      </c>
      <c r="AT80" s="448"/>
      <c r="AU80" s="452"/>
      <c r="AV80" s="420" t="s">
        <v>599</v>
      </c>
      <c r="AW80" s="438"/>
      <c r="AX80" s="450">
        <v>144.0</v>
      </c>
    </row>
    <row r="81">
      <c r="A81" s="419" t="s">
        <v>238</v>
      </c>
      <c r="B81" s="435" t="s">
        <v>239</v>
      </c>
      <c r="C81" s="421" t="s">
        <v>662</v>
      </c>
      <c r="D81" s="420" t="s">
        <v>199</v>
      </c>
      <c r="E81" s="420"/>
      <c r="F81" s="420" t="s">
        <v>2266</v>
      </c>
      <c r="G81" s="420" t="s">
        <v>169</v>
      </c>
      <c r="H81" s="420" t="s">
        <v>201</v>
      </c>
      <c r="I81" s="420" t="s">
        <v>2207</v>
      </c>
      <c r="J81" s="436">
        <v>2900.0</v>
      </c>
      <c r="K81" s="438"/>
      <c r="L81" s="420" t="s">
        <v>240</v>
      </c>
      <c r="M81" s="429"/>
      <c r="N81" s="422">
        <v>12.168</v>
      </c>
      <c r="O81" s="422">
        <v>10.332</v>
      </c>
      <c r="P81" s="422"/>
      <c r="Q81" s="420" t="s">
        <v>2208</v>
      </c>
      <c r="R81" s="438" t="s">
        <v>2209</v>
      </c>
      <c r="S81" s="420" t="s">
        <v>2229</v>
      </c>
      <c r="T81" s="454" t="s">
        <v>162</v>
      </c>
      <c r="U81" s="420" t="s">
        <v>2210</v>
      </c>
      <c r="V81" s="436">
        <v>4.4</v>
      </c>
      <c r="W81" s="458"/>
      <c r="X81" s="438"/>
      <c r="Y81" s="442" t="str">
        <f t="shared" si="27"/>
        <v/>
      </c>
      <c r="Z81" s="442"/>
      <c r="AA81" s="443"/>
      <c r="AB81" s="443"/>
      <c r="AC81" s="469">
        <f>IF(ISNUMBER(VLOOKUP(B81,'New Masses'!A:C,3,FALSE)),VLOOKUP(B81,'New Masses'!A:C,3,FALSE),"")</f>
        <v>0.53496</v>
      </c>
      <c r="AD81" s="423"/>
      <c r="AE81" s="423">
        <f t="shared" si="29"/>
        <v>0</v>
      </c>
      <c r="AF81" s="429">
        <v>-10.7</v>
      </c>
      <c r="AG81" s="438"/>
      <c r="AH81" s="459">
        <v>0.06</v>
      </c>
      <c r="AI81" s="438"/>
      <c r="AJ81" s="446">
        <f>IF(ISNUMBER(VLOOKUP(B81,'New Masses'!A:C,2, FALSE)),VLOOKUP(B81,'New Masses'!A:C,2, FALSE),"")</f>
        <v>0.038933</v>
      </c>
      <c r="AK81" s="438"/>
      <c r="AL81" s="438"/>
      <c r="AM81" s="438"/>
      <c r="AN81" s="438"/>
      <c r="AO81" s="436">
        <v>1.0</v>
      </c>
      <c r="AP81" s="438"/>
      <c r="AQ81" s="436">
        <v>6.37</v>
      </c>
      <c r="AR81" s="436">
        <v>0.85</v>
      </c>
      <c r="AS81" s="420" t="s">
        <v>2246</v>
      </c>
      <c r="AT81" s="448"/>
      <c r="AU81" s="449"/>
      <c r="AV81" s="420" t="s">
        <v>207</v>
      </c>
      <c r="AW81" s="438"/>
      <c r="AX81" s="450">
        <v>147.132389724273</v>
      </c>
    </row>
    <row r="82">
      <c r="A82" s="419" t="s">
        <v>238</v>
      </c>
      <c r="B82" s="435" t="s">
        <v>239</v>
      </c>
      <c r="C82" s="421" t="s">
        <v>662</v>
      </c>
      <c r="D82" s="420" t="s">
        <v>199</v>
      </c>
      <c r="E82" s="420"/>
      <c r="F82" s="420" t="s">
        <v>2266</v>
      </c>
      <c r="G82" s="420" t="s">
        <v>169</v>
      </c>
      <c r="H82" s="420" t="s">
        <v>201</v>
      </c>
      <c r="I82" s="420" t="s">
        <v>2207</v>
      </c>
      <c r="J82" s="436">
        <v>2900.0</v>
      </c>
      <c r="K82" s="438"/>
      <c r="L82" s="420" t="s">
        <v>240</v>
      </c>
      <c r="M82" s="429"/>
      <c r="N82" s="422">
        <v>12.168</v>
      </c>
      <c r="O82" s="422">
        <v>10.332</v>
      </c>
      <c r="P82" s="422"/>
      <c r="Q82" s="420" t="s">
        <v>2208</v>
      </c>
      <c r="R82" s="438" t="s">
        <v>2209</v>
      </c>
      <c r="S82" s="420" t="s">
        <v>2229</v>
      </c>
      <c r="T82" s="454" t="s">
        <v>162</v>
      </c>
      <c r="U82" s="420" t="s">
        <v>2210</v>
      </c>
      <c r="V82" s="436">
        <v>4.4</v>
      </c>
      <c r="W82" s="458"/>
      <c r="X82" s="438"/>
      <c r="Y82" s="442" t="str">
        <f t="shared" si="27"/>
        <v/>
      </c>
      <c r="Z82" s="442"/>
      <c r="AA82" s="443"/>
      <c r="AB82" s="443"/>
      <c r="AC82" s="469">
        <f>IF(ISNUMBER(VLOOKUP(B82,'New Masses'!A:C,3,FALSE)),VLOOKUP(B82,'New Masses'!A:C,3,FALSE),"")</f>
        <v>0.53496</v>
      </c>
      <c r="AD82" s="423"/>
      <c r="AE82" s="423">
        <f t="shared" si="29"/>
        <v>0</v>
      </c>
      <c r="AF82" s="453">
        <v>-10.9</v>
      </c>
      <c r="AG82" s="438"/>
      <c r="AH82" s="459">
        <v>0.06</v>
      </c>
      <c r="AI82" s="438"/>
      <c r="AJ82" s="446">
        <f>IF(ISNUMBER(VLOOKUP(B82,'New Masses'!A:C,2, FALSE)),VLOOKUP(B82,'New Masses'!A:C,2, FALSE),"")</f>
        <v>0.038933</v>
      </c>
      <c r="AK82" s="438"/>
      <c r="AL82" s="438"/>
      <c r="AM82" s="438"/>
      <c r="AN82" s="438"/>
      <c r="AO82" s="436">
        <v>1.0</v>
      </c>
      <c r="AP82" s="438"/>
      <c r="AQ82" s="436">
        <v>6.37</v>
      </c>
      <c r="AR82" s="436">
        <v>0.85</v>
      </c>
      <c r="AS82" s="420" t="s">
        <v>2246</v>
      </c>
      <c r="AT82" s="448"/>
      <c r="AU82" s="452"/>
      <c r="AV82" s="420" t="s">
        <v>206</v>
      </c>
      <c r="AW82" s="438"/>
      <c r="AX82" s="450">
        <v>147.132389724273</v>
      </c>
    </row>
    <row r="83">
      <c r="A83" s="419" t="s">
        <v>238</v>
      </c>
      <c r="B83" s="478" t="s">
        <v>662</v>
      </c>
      <c r="C83" s="428" t="s">
        <v>239</v>
      </c>
      <c r="D83" s="420" t="s">
        <v>199</v>
      </c>
      <c r="E83" s="420"/>
      <c r="F83" s="423" t="s">
        <v>2266</v>
      </c>
      <c r="G83" s="420" t="s">
        <v>169</v>
      </c>
      <c r="H83" s="420" t="s">
        <v>598</v>
      </c>
      <c r="I83" s="467">
        <v>37985.0</v>
      </c>
      <c r="J83" s="436">
        <v>2880.0</v>
      </c>
      <c r="K83" s="436"/>
      <c r="L83" s="420" t="s">
        <v>345</v>
      </c>
      <c r="M83" s="429"/>
      <c r="N83" s="422">
        <v>12.168</v>
      </c>
      <c r="O83" s="422">
        <v>10.332</v>
      </c>
      <c r="P83" s="422"/>
      <c r="Q83" s="420" t="s">
        <v>2194</v>
      </c>
      <c r="R83" s="420" t="s">
        <v>2195</v>
      </c>
      <c r="S83" s="420" t="s">
        <v>2196</v>
      </c>
      <c r="T83" s="420" t="s">
        <v>596</v>
      </c>
      <c r="U83" s="420" t="s">
        <v>597</v>
      </c>
      <c r="V83" s="440"/>
      <c r="W83" s="468"/>
      <c r="X83" s="436"/>
      <c r="Y83" s="442" t="str">
        <f t="shared" si="27"/>
        <v/>
      </c>
      <c r="Z83" s="469"/>
      <c r="AA83" s="470">
        <v>0.94</v>
      </c>
      <c r="AB83" s="470"/>
      <c r="AC83" s="469">
        <f>IF(ISNUMBER(VLOOKUP(B83,'New Masses'!A:C,3,FALSE)),VLOOKUP(B83,'New Masses'!A:C,3,FALSE),"")</f>
        <v>0.53496</v>
      </c>
      <c r="AD83" s="440"/>
      <c r="AE83" s="440">
        <f t="shared" si="29"/>
        <v>0</v>
      </c>
      <c r="AF83" s="439">
        <v>-11.3</v>
      </c>
      <c r="AG83" s="438"/>
      <c r="AH83" s="459">
        <v>0.06</v>
      </c>
      <c r="AI83" s="436"/>
      <c r="AJ83" s="446">
        <f>IF(ISNUMBER(VLOOKUP(B83,'New Masses'!A:C,2, FALSE)),VLOOKUP(B83,'New Masses'!A:C,2, FALSE),"")</f>
        <v>0.038933</v>
      </c>
      <c r="AK83" s="436"/>
      <c r="AL83" s="438"/>
      <c r="AM83" s="438"/>
      <c r="AN83" s="438"/>
      <c r="AO83" s="436">
        <v>1.0</v>
      </c>
      <c r="AP83" s="438"/>
      <c r="AQ83" s="436">
        <v>6.37</v>
      </c>
      <c r="AR83" s="436">
        <v>0.85</v>
      </c>
      <c r="AS83" s="420" t="s">
        <v>2246</v>
      </c>
      <c r="AT83" s="448"/>
      <c r="AU83" s="452"/>
      <c r="AV83" s="420" t="s">
        <v>599</v>
      </c>
      <c r="AW83" s="420" t="s">
        <v>2267</v>
      </c>
      <c r="AX83" s="450">
        <v>147.132389724273</v>
      </c>
    </row>
    <row r="84">
      <c r="A84" s="436" t="s">
        <v>333</v>
      </c>
      <c r="B84" s="436" t="s">
        <v>333</v>
      </c>
      <c r="C84" s="438"/>
      <c r="D84" s="420" t="s">
        <v>199</v>
      </c>
      <c r="E84" s="420"/>
      <c r="F84" s="477" t="s">
        <v>2268</v>
      </c>
      <c r="G84" s="420"/>
      <c r="H84" s="420" t="s">
        <v>225</v>
      </c>
      <c r="I84" s="467">
        <v>39044.0</v>
      </c>
      <c r="J84" s="436">
        <v>2752.0</v>
      </c>
      <c r="K84" s="420"/>
      <c r="L84" s="420" t="s">
        <v>334</v>
      </c>
      <c r="M84" s="422">
        <v>0.5</v>
      </c>
      <c r="N84" s="422">
        <v>13.73</v>
      </c>
      <c r="O84" s="422">
        <v>12.22</v>
      </c>
      <c r="P84" s="422"/>
      <c r="Q84" s="420" t="s">
        <v>2239</v>
      </c>
      <c r="R84" s="420" t="s">
        <v>2240</v>
      </c>
      <c r="S84" s="420" t="s">
        <v>307</v>
      </c>
      <c r="T84" s="420" t="s">
        <v>293</v>
      </c>
      <c r="U84" s="420" t="s">
        <v>294</v>
      </c>
      <c r="V84" s="440"/>
      <c r="W84" s="468"/>
      <c r="X84" s="436"/>
      <c r="Y84" s="442" t="str">
        <f t="shared" si="27"/>
        <v/>
      </c>
      <c r="Z84" s="469"/>
      <c r="AA84" s="470">
        <v>0.25</v>
      </c>
      <c r="AB84" s="426"/>
      <c r="AC84" s="469">
        <f>IF(ISNUMBER(VLOOKUP(B84,'New Masses'!A:C,3,FALSE)),VLOOKUP(B84,'New Masses'!A:C,3,FALSE),"")</f>
        <v>0.283246</v>
      </c>
      <c r="AD84" s="451"/>
      <c r="AE84" s="451">
        <v>1.9E-11</v>
      </c>
      <c r="AF84" s="439">
        <f>log10(AE84)</f>
        <v>-10.7212464</v>
      </c>
      <c r="AG84" s="438"/>
      <c r="AH84" s="459">
        <v>0.035</v>
      </c>
      <c r="AI84" s="421">
        <v>0.017</v>
      </c>
      <c r="AJ84" s="446">
        <f>IF(ISNUMBER(VLOOKUP(B84,'New Masses'!A:C,2, FALSE)),VLOOKUP(B84,'New Masses'!A:C,2, FALSE),"")</f>
        <v>0.031573</v>
      </c>
      <c r="AK84" s="420"/>
      <c r="AL84" s="420"/>
      <c r="AM84" s="436">
        <f>log10(0.000067)</f>
        <v>-4.173925197</v>
      </c>
      <c r="AN84" s="438"/>
      <c r="AO84" s="436">
        <f>10^7/10^6</f>
        <v>10</v>
      </c>
      <c r="AP84" s="438"/>
      <c r="AQ84" s="436">
        <v>1.0</v>
      </c>
      <c r="AR84" s="438"/>
      <c r="AS84" s="420" t="s">
        <v>2241</v>
      </c>
      <c r="AT84" s="448"/>
      <c r="AU84" s="449"/>
      <c r="AV84" s="438"/>
      <c r="AW84" s="438"/>
      <c r="AX84" s="450">
        <v>136.0</v>
      </c>
    </row>
    <row r="85">
      <c r="A85" s="436" t="s">
        <v>333</v>
      </c>
      <c r="B85" s="436" t="s">
        <v>333</v>
      </c>
      <c r="C85" s="438"/>
      <c r="D85" s="420" t="s">
        <v>199</v>
      </c>
      <c r="E85" s="420"/>
      <c r="F85" s="420" t="s">
        <v>2269</v>
      </c>
      <c r="G85" s="420" t="s">
        <v>169</v>
      </c>
      <c r="H85" s="420" t="s">
        <v>598</v>
      </c>
      <c r="I85" s="467">
        <v>37985.0</v>
      </c>
      <c r="J85" s="436">
        <v>2752.0</v>
      </c>
      <c r="K85" s="436"/>
      <c r="L85" s="420" t="s">
        <v>334</v>
      </c>
      <c r="M85" s="422">
        <v>0.25</v>
      </c>
      <c r="N85" s="422">
        <v>13.73</v>
      </c>
      <c r="O85" s="422">
        <v>12.22</v>
      </c>
      <c r="P85" s="422"/>
      <c r="Q85" s="420" t="s">
        <v>2194</v>
      </c>
      <c r="R85" s="420" t="s">
        <v>2195</v>
      </c>
      <c r="S85" s="420" t="s">
        <v>2196</v>
      </c>
      <c r="T85" s="420" t="s">
        <v>596</v>
      </c>
      <c r="U85" s="420" t="s">
        <v>597</v>
      </c>
      <c r="V85" s="440"/>
      <c r="W85" s="468"/>
      <c r="X85" s="436"/>
      <c r="Y85" s="442" t="str">
        <f t="shared" si="27"/>
        <v/>
      </c>
      <c r="Z85" s="469"/>
      <c r="AA85" s="470">
        <v>0.41</v>
      </c>
      <c r="AB85" s="470"/>
      <c r="AC85" s="469">
        <f>IF(ISNUMBER(VLOOKUP(B85,'New Masses'!A:C,3,FALSE)),VLOOKUP(B85,'New Masses'!A:C,3,FALSE),"")</f>
        <v>0.283246</v>
      </c>
      <c r="AD85" s="440"/>
      <c r="AE85" s="440">
        <f>10^AF85</f>
        <v>0</v>
      </c>
      <c r="AF85" s="439">
        <v>-11.3</v>
      </c>
      <c r="AG85" s="438"/>
      <c r="AH85" s="459">
        <v>0.035</v>
      </c>
      <c r="AI85" s="436"/>
      <c r="AJ85" s="446">
        <f>IF(ISNUMBER(VLOOKUP(B85,'New Masses'!A:C,2, FALSE)),VLOOKUP(B85,'New Masses'!A:C,2, FALSE),"")</f>
        <v>0.031573</v>
      </c>
      <c r="AK85" s="436"/>
      <c r="AL85" s="438"/>
      <c r="AM85" s="438"/>
      <c r="AN85" s="438"/>
      <c r="AO85" s="436">
        <v>1.0</v>
      </c>
      <c r="AP85" s="438"/>
      <c r="AQ85" s="436">
        <v>1.0</v>
      </c>
      <c r="AR85" s="438"/>
      <c r="AS85" s="420" t="s">
        <v>2241</v>
      </c>
      <c r="AT85" s="448"/>
      <c r="AU85" s="449"/>
      <c r="AV85" s="420" t="s">
        <v>599</v>
      </c>
      <c r="AW85" s="438"/>
      <c r="AX85" s="450">
        <v>136.0</v>
      </c>
    </row>
    <row r="86">
      <c r="A86" s="436" t="s">
        <v>335</v>
      </c>
      <c r="B86" s="436" t="s">
        <v>335</v>
      </c>
      <c r="C86" s="438"/>
      <c r="D86" s="420" t="s">
        <v>199</v>
      </c>
      <c r="E86" s="420"/>
      <c r="F86" s="477" t="s">
        <v>2270</v>
      </c>
      <c r="G86" s="420"/>
      <c r="H86" s="420" t="s">
        <v>225</v>
      </c>
      <c r="I86" s="467">
        <v>39044.0</v>
      </c>
      <c r="J86" s="436">
        <v>2838.0</v>
      </c>
      <c r="K86" s="420"/>
      <c r="L86" s="420" t="s">
        <v>237</v>
      </c>
      <c r="M86" s="422">
        <v>0.5</v>
      </c>
      <c r="N86" s="422">
        <v>12.195</v>
      </c>
      <c r="O86" s="422">
        <v>10.761</v>
      </c>
      <c r="P86" s="422"/>
      <c r="Q86" s="420" t="s">
        <v>2239</v>
      </c>
      <c r="R86" s="420" t="s">
        <v>2240</v>
      </c>
      <c r="S86" s="420" t="s">
        <v>307</v>
      </c>
      <c r="T86" s="420" t="s">
        <v>293</v>
      </c>
      <c r="U86" s="420" t="s">
        <v>294</v>
      </c>
      <c r="V86" s="440"/>
      <c r="W86" s="468"/>
      <c r="X86" s="436"/>
      <c r="Y86" s="442" t="str">
        <f t="shared" si="27"/>
        <v/>
      </c>
      <c r="Z86" s="469"/>
      <c r="AA86" s="470">
        <v>0.45</v>
      </c>
      <c r="AB86" s="426"/>
      <c r="AC86" s="436" t="str">
        <f>IF(ISNUMBER(VLOOKUP(B86,'New Masses'!A:C,3,FALSE)),VLOOKUP(B86,'New Masses'!A:C,3,FALSE),"")</f>
        <v/>
      </c>
      <c r="AD86" s="451"/>
      <c r="AE86" s="451">
        <v>9.2E-12</v>
      </c>
      <c r="AF86" s="439">
        <f>log10(AE86)</f>
        <v>-11.03621217</v>
      </c>
      <c r="AG86" s="438"/>
      <c r="AH86" s="459">
        <v>0.05</v>
      </c>
      <c r="AI86" s="421">
        <v>0.024</v>
      </c>
      <c r="AJ86" s="446" t="str">
        <f>IF(ISNUMBER(VLOOKUP(B86,'New Masses'!A:C,2, FALSE)),VLOOKUP(B86,'New Masses'!A:C,2, FALSE),"")</f>
        <v/>
      </c>
      <c r="AK86" s="420"/>
      <c r="AL86" s="420"/>
      <c r="AM86" s="436">
        <f>log10(0.000026)</f>
        <v>-4.585026652</v>
      </c>
      <c r="AN86" s="438"/>
      <c r="AO86" s="436">
        <f>10^6.6/10^6</f>
        <v>3.981071706</v>
      </c>
      <c r="AP86" s="438"/>
      <c r="AQ86" s="438"/>
      <c r="AR86" s="438"/>
      <c r="AS86" s="438"/>
      <c r="AT86" s="448"/>
      <c r="AU86" s="452"/>
      <c r="AV86" s="438"/>
      <c r="AW86" s="438"/>
      <c r="AX86" s="450">
        <v>141.0</v>
      </c>
    </row>
    <row r="87">
      <c r="A87" s="419" t="s">
        <v>445</v>
      </c>
      <c r="B87" s="419" t="s">
        <v>446</v>
      </c>
      <c r="C87" s="419"/>
      <c r="D87" s="436" t="s">
        <v>199</v>
      </c>
      <c r="E87" s="436"/>
      <c r="F87" s="436" t="s">
        <v>2271</v>
      </c>
      <c r="G87" s="436" t="s">
        <v>169</v>
      </c>
      <c r="H87" s="436" t="s">
        <v>413</v>
      </c>
      <c r="I87" s="456">
        <v>35400.0</v>
      </c>
      <c r="J87" s="438"/>
      <c r="K87" s="438"/>
      <c r="L87" s="436" t="s">
        <v>434</v>
      </c>
      <c r="M87" s="439"/>
      <c r="N87" s="422">
        <v>9.341</v>
      </c>
      <c r="O87" s="422">
        <v>8.283</v>
      </c>
      <c r="P87" s="422"/>
      <c r="Q87" s="436" t="s">
        <v>2189</v>
      </c>
      <c r="R87" s="436" t="s">
        <v>2257</v>
      </c>
      <c r="S87" s="436" t="s">
        <v>414</v>
      </c>
      <c r="T87" s="436" t="s">
        <v>293</v>
      </c>
      <c r="U87" s="436" t="s">
        <v>294</v>
      </c>
      <c r="V87" s="440"/>
      <c r="W87" s="468"/>
      <c r="X87" s="436"/>
      <c r="Y87" s="442"/>
      <c r="Z87" s="469"/>
      <c r="AA87" s="470">
        <v>1.78</v>
      </c>
      <c r="AB87" s="470"/>
      <c r="AC87" s="436" t="str">
        <f>IF(ISNUMBER(VLOOKUP(B87,'New Masses'!A:C,3,FALSE)),VLOOKUP(B87,'New Masses'!A:C,3,FALSE),"")</f>
        <v/>
      </c>
      <c r="AD87" s="451"/>
      <c r="AE87" s="451">
        <v>9.6E-9</v>
      </c>
      <c r="AF87" s="453">
        <f>LOG10(AE87)</f>
        <v>-8.017728767</v>
      </c>
      <c r="AG87" s="438"/>
      <c r="AH87" s="459">
        <v>0.524</v>
      </c>
      <c r="AI87" s="436"/>
      <c r="AJ87" s="446" t="str">
        <f>IF(ISNUMBER(VLOOKUP(B87,'New Masses'!A:C,2, FALSE)),VLOOKUP(B87,'New Masses'!A:C,2, FALSE),"")</f>
        <v/>
      </c>
      <c r="AK87" s="436"/>
      <c r="AL87" s="436"/>
      <c r="AM87" s="436">
        <v>0.071</v>
      </c>
      <c r="AN87" s="438"/>
      <c r="AO87" s="436">
        <v>1.0</v>
      </c>
      <c r="AP87" s="438"/>
      <c r="AQ87" s="438"/>
      <c r="AR87" s="438"/>
      <c r="AS87" s="438"/>
      <c r="AT87" s="448"/>
      <c r="AU87" s="452"/>
      <c r="AV87" s="438"/>
      <c r="AW87" s="438"/>
      <c r="AX87" s="450">
        <v>159.637304045209</v>
      </c>
    </row>
    <row r="88">
      <c r="A88" s="419" t="s">
        <v>396</v>
      </c>
      <c r="B88" s="419" t="s">
        <v>396</v>
      </c>
      <c r="C88" s="436"/>
      <c r="D88" s="436" t="s">
        <v>199</v>
      </c>
      <c r="E88" s="436"/>
      <c r="F88" s="436" t="s">
        <v>2272</v>
      </c>
      <c r="G88" s="436" t="s">
        <v>159</v>
      </c>
      <c r="H88" s="436" t="s">
        <v>598</v>
      </c>
      <c r="I88" s="467">
        <v>37985.0</v>
      </c>
      <c r="J88" s="436">
        <v>3161.0</v>
      </c>
      <c r="K88" s="436"/>
      <c r="L88" s="436" t="s">
        <v>398</v>
      </c>
      <c r="M88" s="439"/>
      <c r="N88" s="422">
        <v>11.051</v>
      </c>
      <c r="O88" s="422">
        <v>9.984</v>
      </c>
      <c r="P88" s="422"/>
      <c r="Q88" s="436" t="s">
        <v>2194</v>
      </c>
      <c r="R88" s="436" t="s">
        <v>2195</v>
      </c>
      <c r="S88" s="436" t="s">
        <v>2196</v>
      </c>
      <c r="T88" s="436" t="s">
        <v>596</v>
      </c>
      <c r="U88" s="436" t="s">
        <v>597</v>
      </c>
      <c r="V88" s="451"/>
      <c r="W88" s="468"/>
      <c r="X88" s="436"/>
      <c r="Y88" s="442" t="str">
        <f t="shared" ref="Y88:Y170" si="30">IF((W88/((J88/5780)^4))^0.5&gt;0,(W88/((J88/5780)^4))^0.5,"")</f>
        <v/>
      </c>
      <c r="Z88" s="469"/>
      <c r="AA88" s="470">
        <v>1.0</v>
      </c>
      <c r="AB88" s="470"/>
      <c r="AC88" s="436" t="str">
        <f>IF(ISNUMBER(VLOOKUP(B88,'New Masses'!A:C,3,FALSE)),VLOOKUP(B88,'New Masses'!A:C,3,FALSE),"")</f>
        <v/>
      </c>
      <c r="AD88" s="440"/>
      <c r="AE88" s="440"/>
      <c r="AF88" s="439"/>
      <c r="AG88" s="436"/>
      <c r="AH88" s="459">
        <v>0.2</v>
      </c>
      <c r="AI88" s="436"/>
      <c r="AJ88" s="446" t="str">
        <f>IF(ISNUMBER(VLOOKUP(B88,'New Masses'!A:C,2, FALSE)),VLOOKUP(B88,'New Masses'!A:C,2, FALSE),"")</f>
        <v/>
      </c>
      <c r="AK88" s="436"/>
      <c r="AL88" s="436"/>
      <c r="AM88" s="436"/>
      <c r="AN88" s="436"/>
      <c r="AO88" s="436">
        <v>1.0</v>
      </c>
      <c r="AP88" s="436"/>
      <c r="AQ88" s="436"/>
      <c r="AR88" s="436"/>
      <c r="AS88" s="438"/>
      <c r="AT88" s="448"/>
      <c r="AU88" s="449" t="s">
        <v>137</v>
      </c>
      <c r="AV88" s="438" t="s">
        <v>599</v>
      </c>
      <c r="AW88" s="438"/>
      <c r="AX88" s="450">
        <v>156.737355213868</v>
      </c>
    </row>
    <row r="89">
      <c r="A89" s="436" t="s">
        <v>673</v>
      </c>
      <c r="B89" s="436" t="s">
        <v>673</v>
      </c>
      <c r="C89" s="438"/>
      <c r="D89" s="420" t="s">
        <v>199</v>
      </c>
      <c r="E89" s="420"/>
      <c r="F89" s="420" t="s">
        <v>2273</v>
      </c>
      <c r="G89" s="420" t="s">
        <v>169</v>
      </c>
      <c r="H89" s="420" t="s">
        <v>598</v>
      </c>
      <c r="I89" s="467">
        <v>37985.0</v>
      </c>
      <c r="J89" s="436">
        <v>3014.0</v>
      </c>
      <c r="K89" s="436"/>
      <c r="L89" s="420" t="s">
        <v>674</v>
      </c>
      <c r="M89" s="422">
        <v>0.25</v>
      </c>
      <c r="N89" s="422">
        <v>13.18</v>
      </c>
      <c r="O89" s="422">
        <v>12.155</v>
      </c>
      <c r="P89" s="422"/>
      <c r="Q89" s="420" t="s">
        <v>2194</v>
      </c>
      <c r="R89" s="420" t="s">
        <v>2195</v>
      </c>
      <c r="S89" s="420" t="s">
        <v>2196</v>
      </c>
      <c r="T89" s="420" t="s">
        <v>596</v>
      </c>
      <c r="U89" s="420" t="s">
        <v>597</v>
      </c>
      <c r="V89" s="440"/>
      <c r="W89" s="468"/>
      <c r="X89" s="436"/>
      <c r="Y89" s="442" t="str">
        <f t="shared" si="30"/>
        <v/>
      </c>
      <c r="Z89" s="469"/>
      <c r="AA89" s="470">
        <v>0.44</v>
      </c>
      <c r="AB89" s="470"/>
      <c r="AC89" s="469">
        <f>IF(ISNUMBER(VLOOKUP(B89,'New Masses'!A:C,3,FALSE)),VLOOKUP(B89,'New Masses'!A:C,3,FALSE),"")</f>
        <v>0.690178</v>
      </c>
      <c r="AD89" s="440"/>
      <c r="AE89" s="440">
        <f t="shared" ref="AE89:AE111" si="31">10^AF89</f>
        <v>0</v>
      </c>
      <c r="AF89" s="439">
        <v>-12.0</v>
      </c>
      <c r="AG89" s="438"/>
      <c r="AH89" s="459">
        <v>0.075</v>
      </c>
      <c r="AI89" s="436"/>
      <c r="AJ89" s="446">
        <f>IF(ISNUMBER(VLOOKUP(B89,'New Masses'!A:C,2, FALSE)),VLOOKUP(B89,'New Masses'!A:C,2, FALSE),"")</f>
        <v>0.058417</v>
      </c>
      <c r="AK89" s="436"/>
      <c r="AL89" s="438"/>
      <c r="AM89" s="438"/>
      <c r="AN89" s="438"/>
      <c r="AO89" s="436">
        <v>1.0</v>
      </c>
      <c r="AP89" s="438"/>
      <c r="AQ89" s="436">
        <v>1.0</v>
      </c>
      <c r="AR89" s="420"/>
      <c r="AS89" s="420" t="s">
        <v>2241</v>
      </c>
      <c r="AT89" s="448"/>
      <c r="AU89" s="452" t="s">
        <v>137</v>
      </c>
      <c r="AV89" s="438"/>
      <c r="AW89" s="438"/>
      <c r="AX89" s="450">
        <v>164.828825264962</v>
      </c>
    </row>
    <row r="90">
      <c r="A90" s="435" t="s">
        <v>1664</v>
      </c>
      <c r="B90" s="436" t="s">
        <v>1665</v>
      </c>
      <c r="C90" s="436"/>
      <c r="D90" s="436" t="s">
        <v>350</v>
      </c>
      <c r="E90" s="436"/>
      <c r="F90" s="436" t="s">
        <v>2274</v>
      </c>
      <c r="G90" s="437" t="s">
        <v>169</v>
      </c>
      <c r="H90" s="437" t="s">
        <v>702</v>
      </c>
      <c r="I90" s="437" t="s">
        <v>1999</v>
      </c>
      <c r="J90" s="437">
        <v>3100.0</v>
      </c>
      <c r="K90" s="438"/>
      <c r="L90" s="436" t="s">
        <v>1285</v>
      </c>
      <c r="M90" s="439"/>
      <c r="N90" s="422">
        <v>12.824</v>
      </c>
      <c r="O90" s="422">
        <v>11.931</v>
      </c>
      <c r="P90" s="422">
        <v>15.57</v>
      </c>
      <c r="Q90" s="436" t="s">
        <v>1632</v>
      </c>
      <c r="R90" s="438"/>
      <c r="S90" s="436" t="s">
        <v>2000</v>
      </c>
      <c r="T90" s="436" t="s">
        <v>1632</v>
      </c>
      <c r="U90" s="436" t="s">
        <v>1633</v>
      </c>
      <c r="V90" s="440"/>
      <c r="W90" s="441">
        <v>0.09</v>
      </c>
      <c r="X90" s="438"/>
      <c r="Y90" s="442">
        <f t="shared" si="30"/>
        <v>1.042926119</v>
      </c>
      <c r="Z90" s="442"/>
      <c r="AA90" s="443"/>
      <c r="AB90" s="443"/>
      <c r="AC90" s="436" t="str">
        <f>IF(ISNUMBER(VLOOKUP(B90,'New Masses'!A:C,3,FALSE)),VLOOKUP(B90,'New Masses'!A:C,3,FALSE),"")</f>
        <v/>
      </c>
      <c r="AD90" s="440"/>
      <c r="AE90" s="440">
        <f t="shared" si="31"/>
        <v>0.0000000002454708916</v>
      </c>
      <c r="AF90" s="444">
        <v>-9.61</v>
      </c>
      <c r="AG90" s="438"/>
      <c r="AH90" s="445">
        <v>0.15</v>
      </c>
      <c r="AI90" s="438"/>
      <c r="AJ90" s="446" t="str">
        <f>IF(ISNUMBER(VLOOKUP(B90,'New Masses'!A:C,2, FALSE)),VLOOKUP(B90,'New Masses'!A:C,2, FALSE),"")</f>
        <v/>
      </c>
      <c r="AK90" s="438"/>
      <c r="AL90" s="437"/>
      <c r="AM90" s="447">
        <v>-3.07</v>
      </c>
      <c r="AN90" s="438"/>
      <c r="AO90" s="436">
        <v>3.0</v>
      </c>
      <c r="AP90" s="438"/>
      <c r="AQ90" s="438"/>
      <c r="AR90" s="436"/>
      <c r="AS90" s="438"/>
      <c r="AT90" s="448"/>
      <c r="AU90" s="449"/>
      <c r="AV90" s="438" t="s">
        <v>705</v>
      </c>
      <c r="AW90" s="438"/>
      <c r="AX90" s="450">
        <v>349.198589237699</v>
      </c>
    </row>
    <row r="91">
      <c r="A91" s="435" t="s">
        <v>1664</v>
      </c>
      <c r="B91" s="436" t="s">
        <v>1717</v>
      </c>
      <c r="C91" s="436"/>
      <c r="D91" s="436" t="s">
        <v>350</v>
      </c>
      <c r="E91" s="436"/>
      <c r="F91" s="436" t="s">
        <v>2275</v>
      </c>
      <c r="G91" s="437" t="s">
        <v>712</v>
      </c>
      <c r="H91" s="437" t="s">
        <v>702</v>
      </c>
      <c r="I91" s="437" t="s">
        <v>1999</v>
      </c>
      <c r="J91" s="437">
        <v>3400.0</v>
      </c>
      <c r="K91" s="438"/>
      <c r="L91" s="438"/>
      <c r="M91" s="453"/>
      <c r="N91" s="422">
        <v>12.824</v>
      </c>
      <c r="O91" s="422">
        <v>11.931</v>
      </c>
      <c r="P91" s="422">
        <v>15.57</v>
      </c>
      <c r="Q91" s="436" t="s">
        <v>1632</v>
      </c>
      <c r="R91" s="438"/>
      <c r="S91" s="436" t="s">
        <v>2000</v>
      </c>
      <c r="T91" s="436" t="s">
        <v>1632</v>
      </c>
      <c r="U91" s="436" t="s">
        <v>1633</v>
      </c>
      <c r="V91" s="451"/>
      <c r="W91" s="441">
        <v>0.14</v>
      </c>
      <c r="X91" s="438"/>
      <c r="Y91" s="442">
        <f t="shared" si="30"/>
        <v>1.081338985</v>
      </c>
      <c r="Z91" s="442"/>
      <c r="AA91" s="443"/>
      <c r="AB91" s="443"/>
      <c r="AC91" s="436" t="str">
        <f>IF(ISNUMBER(VLOOKUP(B91,'New Masses'!A:C,3,FALSE)),VLOOKUP(B91,'New Masses'!A:C,3,FALSE),"")</f>
        <v/>
      </c>
      <c r="AD91" s="440"/>
      <c r="AE91" s="440">
        <f t="shared" si="31"/>
        <v>0.0000000001513561248</v>
      </c>
      <c r="AF91" s="444">
        <v>-9.82</v>
      </c>
      <c r="AG91" s="438"/>
      <c r="AH91" s="445">
        <v>0.35</v>
      </c>
      <c r="AI91" s="438"/>
      <c r="AJ91" s="446" t="str">
        <f>IF(ISNUMBER(VLOOKUP(B91,'New Masses'!A:C,2, FALSE)),VLOOKUP(B91,'New Masses'!A:C,2, FALSE),"")</f>
        <v/>
      </c>
      <c r="AK91" s="438"/>
      <c r="AL91" s="437"/>
      <c r="AM91" s="447">
        <v>-2.93</v>
      </c>
      <c r="AN91" s="438"/>
      <c r="AO91" s="436">
        <v>3.0</v>
      </c>
      <c r="AP91" s="438"/>
      <c r="AQ91" s="438"/>
      <c r="AR91" s="436"/>
      <c r="AS91" s="438"/>
      <c r="AT91" s="448"/>
      <c r="AU91" s="452"/>
      <c r="AV91" s="438" t="s">
        <v>1718</v>
      </c>
      <c r="AW91" s="438"/>
      <c r="AX91" s="450">
        <v>349.198589237699</v>
      </c>
    </row>
    <row r="92">
      <c r="A92" s="435" t="s">
        <v>405</v>
      </c>
      <c r="B92" s="436" t="s">
        <v>406</v>
      </c>
      <c r="C92" s="436"/>
      <c r="D92" s="436" t="s">
        <v>350</v>
      </c>
      <c r="E92" s="436"/>
      <c r="F92" s="436" t="s">
        <v>2276</v>
      </c>
      <c r="G92" s="436" t="s">
        <v>169</v>
      </c>
      <c r="H92" s="436" t="s">
        <v>352</v>
      </c>
      <c r="I92" s="436" t="s">
        <v>2223</v>
      </c>
      <c r="J92" s="436">
        <v>3200.0</v>
      </c>
      <c r="K92" s="436"/>
      <c r="L92" s="436" t="s">
        <v>402</v>
      </c>
      <c r="M92" s="439"/>
      <c r="N92" s="422">
        <v>12.479</v>
      </c>
      <c r="O92" s="422">
        <v>11.551</v>
      </c>
      <c r="P92" s="422">
        <v>15.67</v>
      </c>
      <c r="Q92" s="436" t="s">
        <v>2224</v>
      </c>
      <c r="R92" s="436" t="s">
        <v>2225</v>
      </c>
      <c r="S92" s="436" t="s">
        <v>2191</v>
      </c>
      <c r="T92" s="436" t="s">
        <v>293</v>
      </c>
      <c r="U92" s="436" t="s">
        <v>294</v>
      </c>
      <c r="V92" s="440"/>
      <c r="W92" s="474">
        <v>0.18</v>
      </c>
      <c r="X92" s="436"/>
      <c r="Y92" s="442">
        <f t="shared" si="30"/>
        <v>1.384178097</v>
      </c>
      <c r="Z92" s="469"/>
      <c r="AA92" s="470">
        <v>1.45</v>
      </c>
      <c r="AB92" s="470"/>
      <c r="AC92" s="436" t="str">
        <f>IF(ISNUMBER(VLOOKUP(B92,'New Masses'!A:C,3,FALSE)),VLOOKUP(B92,'New Masses'!A:C,3,FALSE),"")</f>
        <v/>
      </c>
      <c r="AD92" s="440"/>
      <c r="AE92" s="440">
        <f t="shared" si="31"/>
        <v>0.0000000003801893963</v>
      </c>
      <c r="AF92" s="439">
        <v>-9.42</v>
      </c>
      <c r="AG92" s="438"/>
      <c r="AH92" s="459">
        <v>0.2</v>
      </c>
      <c r="AI92" s="436"/>
      <c r="AJ92" s="446" t="str">
        <f>IF(ISNUMBER(VLOOKUP(B92,'New Masses'!A:C,2, FALSE)),VLOOKUP(B92,'New Masses'!A:C,2, FALSE),"")</f>
        <v/>
      </c>
      <c r="AK92" s="436"/>
      <c r="AL92" s="436"/>
      <c r="AM92" s="419">
        <v>-2.71</v>
      </c>
      <c r="AN92" s="466">
        <v>43864.0</v>
      </c>
      <c r="AO92" s="436">
        <v>3.0</v>
      </c>
      <c r="AP92" s="438"/>
      <c r="AQ92" s="438"/>
      <c r="AR92" s="438"/>
      <c r="AS92" s="438"/>
      <c r="AT92" s="448"/>
      <c r="AU92" s="449"/>
      <c r="AV92" s="438"/>
      <c r="AW92" s="438"/>
      <c r="AX92" s="450"/>
    </row>
    <row r="93">
      <c r="A93" s="435" t="s">
        <v>405</v>
      </c>
      <c r="B93" s="436" t="s">
        <v>406</v>
      </c>
      <c r="C93" s="436"/>
      <c r="D93" s="436" t="s">
        <v>350</v>
      </c>
      <c r="E93" s="436"/>
      <c r="F93" s="436" t="s">
        <v>2277</v>
      </c>
      <c r="G93" s="437" t="s">
        <v>169</v>
      </c>
      <c r="H93" s="437" t="s">
        <v>702</v>
      </c>
      <c r="I93" s="437" t="s">
        <v>1999</v>
      </c>
      <c r="J93" s="437">
        <v>3300.0</v>
      </c>
      <c r="K93" s="438"/>
      <c r="L93" s="438"/>
      <c r="M93" s="453"/>
      <c r="N93" s="422">
        <v>12.479</v>
      </c>
      <c r="O93" s="422">
        <v>11.551</v>
      </c>
      <c r="P93" s="422">
        <v>15.67</v>
      </c>
      <c r="Q93" s="436" t="s">
        <v>1632</v>
      </c>
      <c r="R93" s="438"/>
      <c r="S93" s="436" t="s">
        <v>2000</v>
      </c>
      <c r="T93" s="436" t="s">
        <v>1632</v>
      </c>
      <c r="U93" s="436" t="s">
        <v>1633</v>
      </c>
      <c r="V93" s="451"/>
      <c r="W93" s="441">
        <v>0.18</v>
      </c>
      <c r="X93" s="438"/>
      <c r="Y93" s="442">
        <f t="shared" si="30"/>
        <v>1.30155957</v>
      </c>
      <c r="Z93" s="442"/>
      <c r="AA93" s="443"/>
      <c r="AB93" s="443"/>
      <c r="AC93" s="436" t="str">
        <f>IF(ISNUMBER(VLOOKUP(B93,'New Masses'!A:C,3,FALSE)),VLOOKUP(B93,'New Masses'!A:C,3,FALSE),"")</f>
        <v/>
      </c>
      <c r="AD93" s="440"/>
      <c r="AE93" s="440">
        <f t="shared" si="31"/>
        <v>0.0000000003311311215</v>
      </c>
      <c r="AF93" s="444">
        <v>-9.48</v>
      </c>
      <c r="AG93" s="438"/>
      <c r="AH93" s="445">
        <v>0.3</v>
      </c>
      <c r="AI93" s="438"/>
      <c r="AJ93" s="446" t="str">
        <f>IF(ISNUMBER(VLOOKUP(B93,'New Masses'!A:C,2, FALSE)),VLOOKUP(B93,'New Masses'!A:C,2, FALSE),"")</f>
        <v/>
      </c>
      <c r="AK93" s="438"/>
      <c r="AL93" s="437"/>
      <c r="AM93" s="447">
        <v>-2.73</v>
      </c>
      <c r="AN93" s="438"/>
      <c r="AO93" s="436">
        <v>3.0</v>
      </c>
      <c r="AP93" s="438"/>
      <c r="AQ93" s="438"/>
      <c r="AR93" s="438"/>
      <c r="AS93" s="438"/>
      <c r="AT93" s="448"/>
      <c r="AU93" s="452"/>
      <c r="AV93" s="438"/>
      <c r="AW93" s="438"/>
      <c r="AX93" s="450"/>
    </row>
    <row r="94">
      <c r="A94" s="435" t="s">
        <v>1686</v>
      </c>
      <c r="B94" s="436" t="s">
        <v>1687</v>
      </c>
      <c r="C94" s="436"/>
      <c r="D94" s="436" t="s">
        <v>350</v>
      </c>
      <c r="E94" s="436"/>
      <c r="F94" s="436" t="s">
        <v>2278</v>
      </c>
      <c r="G94" s="437" t="s">
        <v>169</v>
      </c>
      <c r="H94" s="437" t="s">
        <v>702</v>
      </c>
      <c r="I94" s="437" t="s">
        <v>1999</v>
      </c>
      <c r="J94" s="437">
        <v>3200.0</v>
      </c>
      <c r="K94" s="438"/>
      <c r="L94" s="436" t="s">
        <v>288</v>
      </c>
      <c r="M94" s="439"/>
      <c r="N94" s="422">
        <v>13.204</v>
      </c>
      <c r="O94" s="422">
        <v>12.241</v>
      </c>
      <c r="P94" s="422">
        <v>16.76</v>
      </c>
      <c r="Q94" s="436" t="s">
        <v>1632</v>
      </c>
      <c r="R94" s="438"/>
      <c r="S94" s="436" t="s">
        <v>2000</v>
      </c>
      <c r="T94" s="436" t="s">
        <v>1632</v>
      </c>
      <c r="U94" s="436" t="s">
        <v>1633</v>
      </c>
      <c r="V94" s="451"/>
      <c r="W94" s="441">
        <v>0.09</v>
      </c>
      <c r="X94" s="438"/>
      <c r="Y94" s="442">
        <f t="shared" si="30"/>
        <v>0.9787617188</v>
      </c>
      <c r="Z94" s="442"/>
      <c r="AA94" s="443"/>
      <c r="AB94" s="443"/>
      <c r="AC94" s="436" t="str">
        <f>IF(ISNUMBER(VLOOKUP(B94,'New Masses'!A:C,3,FALSE)),VLOOKUP(B94,'New Masses'!A:C,3,FALSE),"")</f>
        <v/>
      </c>
      <c r="AD94" s="440"/>
      <c r="AE94" s="440">
        <f t="shared" si="31"/>
        <v>0</v>
      </c>
      <c r="AF94" s="444">
        <v>-10.07</v>
      </c>
      <c r="AG94" s="438"/>
      <c r="AH94" s="445">
        <v>0.2</v>
      </c>
      <c r="AI94" s="438"/>
      <c r="AJ94" s="446" t="str">
        <f>IF(ISNUMBER(VLOOKUP(B94,'New Masses'!A:C,2, FALSE)),VLOOKUP(B94,'New Masses'!A:C,2, FALSE),"")</f>
        <v/>
      </c>
      <c r="AK94" s="438"/>
      <c r="AL94" s="437"/>
      <c r="AM94" s="447">
        <v>-3.38</v>
      </c>
      <c r="AN94" s="438"/>
      <c r="AO94" s="436">
        <v>3.0</v>
      </c>
      <c r="AP94" s="438"/>
      <c r="AQ94" s="436"/>
      <c r="AR94" s="436"/>
      <c r="AS94" s="438"/>
      <c r="AT94" s="448"/>
      <c r="AU94" s="452" t="s">
        <v>137</v>
      </c>
      <c r="AV94" s="438" t="s">
        <v>705</v>
      </c>
      <c r="AW94" s="438"/>
      <c r="AX94" s="450"/>
    </row>
    <row r="95">
      <c r="A95" s="435" t="s">
        <v>1715</v>
      </c>
      <c r="B95" s="436" t="s">
        <v>1716</v>
      </c>
      <c r="C95" s="436"/>
      <c r="D95" s="436" t="s">
        <v>350</v>
      </c>
      <c r="E95" s="436"/>
      <c r="F95" s="436" t="s">
        <v>2279</v>
      </c>
      <c r="G95" s="437" t="s">
        <v>515</v>
      </c>
      <c r="H95" s="437" t="s">
        <v>702</v>
      </c>
      <c r="I95" s="437" t="s">
        <v>1999</v>
      </c>
      <c r="J95" s="437">
        <v>3400.0</v>
      </c>
      <c r="K95" s="438"/>
      <c r="L95" s="436" t="s">
        <v>704</v>
      </c>
      <c r="M95" s="439"/>
      <c r="N95" s="422">
        <v>12.76</v>
      </c>
      <c r="O95" s="422">
        <v>11.803</v>
      </c>
      <c r="P95" s="422">
        <v>15.54</v>
      </c>
      <c r="Q95" s="436" t="s">
        <v>1632</v>
      </c>
      <c r="R95" s="438"/>
      <c r="S95" s="436" t="s">
        <v>2000</v>
      </c>
      <c r="T95" s="436" t="s">
        <v>1632</v>
      </c>
      <c r="U95" s="436" t="s">
        <v>1633</v>
      </c>
      <c r="V95" s="440"/>
      <c r="W95" s="441">
        <v>0.16</v>
      </c>
      <c r="X95" s="438"/>
      <c r="Y95" s="442">
        <f t="shared" si="30"/>
        <v>1.156</v>
      </c>
      <c r="Z95" s="442"/>
      <c r="AA95" s="443"/>
      <c r="AB95" s="443"/>
      <c r="AC95" s="436" t="str">
        <f>IF(ISNUMBER(VLOOKUP(B95,'New Masses'!A:C,3,FALSE)),VLOOKUP(B95,'New Masses'!A:C,3,FALSE),"")</f>
        <v/>
      </c>
      <c r="AD95" s="440"/>
      <c r="AE95" s="440">
        <f t="shared" si="31"/>
        <v>0.0000000001659586907</v>
      </c>
      <c r="AF95" s="444">
        <v>-9.78</v>
      </c>
      <c r="AG95" s="438"/>
      <c r="AH95" s="445">
        <v>0.35</v>
      </c>
      <c r="AI95" s="438"/>
      <c r="AJ95" s="446" t="str">
        <f>IF(ISNUMBER(VLOOKUP(B95,'New Masses'!A:C,2, FALSE)),VLOOKUP(B95,'New Masses'!A:C,2, FALSE),"")</f>
        <v/>
      </c>
      <c r="AK95" s="438"/>
      <c r="AL95" s="437"/>
      <c r="AM95" s="447">
        <v>-2.9</v>
      </c>
      <c r="AN95" s="438"/>
      <c r="AO95" s="436">
        <v>3.0</v>
      </c>
      <c r="AP95" s="438"/>
      <c r="AQ95" s="436"/>
      <c r="AR95" s="436"/>
      <c r="AS95" s="438"/>
      <c r="AT95" s="448"/>
      <c r="AU95" s="449" t="s">
        <v>137</v>
      </c>
      <c r="AV95" s="438" t="s">
        <v>705</v>
      </c>
      <c r="AW95" s="438"/>
      <c r="AX95" s="450">
        <v>402.933354823112</v>
      </c>
    </row>
    <row r="96">
      <c r="A96" s="435" t="s">
        <v>1692</v>
      </c>
      <c r="B96" s="436" t="s">
        <v>1693</v>
      </c>
      <c r="C96" s="436"/>
      <c r="D96" s="436" t="s">
        <v>350</v>
      </c>
      <c r="E96" s="436"/>
      <c r="F96" s="436" t="s">
        <v>2280</v>
      </c>
      <c r="G96" s="437" t="s">
        <v>169</v>
      </c>
      <c r="H96" s="437" t="s">
        <v>702</v>
      </c>
      <c r="I96" s="437" t="s">
        <v>1999</v>
      </c>
      <c r="J96" s="437">
        <v>3200.0</v>
      </c>
      <c r="K96" s="438"/>
      <c r="L96" s="438"/>
      <c r="M96" s="453"/>
      <c r="N96" s="422">
        <v>13.796</v>
      </c>
      <c r="O96" s="422">
        <v>12.776</v>
      </c>
      <c r="P96" s="422">
        <v>17.01</v>
      </c>
      <c r="Q96" s="436" t="s">
        <v>1632</v>
      </c>
      <c r="R96" s="438"/>
      <c r="S96" s="436" t="s">
        <v>2000</v>
      </c>
      <c r="T96" s="436" t="s">
        <v>1632</v>
      </c>
      <c r="U96" s="436" t="s">
        <v>1633</v>
      </c>
      <c r="V96" s="440"/>
      <c r="W96" s="441">
        <v>0.05</v>
      </c>
      <c r="X96" s="438"/>
      <c r="Y96" s="442">
        <f t="shared" si="30"/>
        <v>0.7295259123</v>
      </c>
      <c r="Z96" s="442"/>
      <c r="AA96" s="443"/>
      <c r="AB96" s="443"/>
      <c r="AC96" s="436" t="str">
        <f>IF(ISNUMBER(VLOOKUP(B96,'New Masses'!A:C,3,FALSE)),VLOOKUP(B96,'New Masses'!A:C,3,FALSE),"")</f>
        <v/>
      </c>
      <c r="AD96" s="440"/>
      <c r="AE96" s="440">
        <f t="shared" si="31"/>
        <v>0.0000000001230268771</v>
      </c>
      <c r="AF96" s="444">
        <v>-9.91</v>
      </c>
      <c r="AG96" s="438"/>
      <c r="AH96" s="445">
        <v>0.2</v>
      </c>
      <c r="AI96" s="438"/>
      <c r="AJ96" s="446" t="str">
        <f>IF(ISNUMBER(VLOOKUP(B96,'New Masses'!A:C,2, FALSE)),VLOOKUP(B96,'New Masses'!A:C,2, FALSE),"")</f>
        <v/>
      </c>
      <c r="AK96" s="438"/>
      <c r="AL96" s="437"/>
      <c r="AM96" s="447">
        <v>-3.08</v>
      </c>
      <c r="AN96" s="438"/>
      <c r="AO96" s="436">
        <v>3.0</v>
      </c>
      <c r="AP96" s="438"/>
      <c r="AQ96" s="438"/>
      <c r="AR96" s="438"/>
      <c r="AS96" s="438"/>
      <c r="AT96" s="448"/>
      <c r="AU96" s="449"/>
      <c r="AV96" s="438"/>
      <c r="AW96" s="438"/>
      <c r="AX96" s="450"/>
    </row>
    <row r="97">
      <c r="A97" s="435" t="s">
        <v>424</v>
      </c>
      <c r="B97" s="436" t="s">
        <v>425</v>
      </c>
      <c r="C97" s="436"/>
      <c r="D97" s="436" t="s">
        <v>350</v>
      </c>
      <c r="E97" s="436"/>
      <c r="F97" s="436" t="s">
        <v>2281</v>
      </c>
      <c r="G97" s="437" t="s">
        <v>169</v>
      </c>
      <c r="H97" s="437" t="s">
        <v>702</v>
      </c>
      <c r="I97" s="437" t="s">
        <v>1999</v>
      </c>
      <c r="J97" s="437">
        <v>3300.0</v>
      </c>
      <c r="K97" s="438"/>
      <c r="L97" s="436" t="s">
        <v>1285</v>
      </c>
      <c r="M97" s="439"/>
      <c r="N97" s="422">
        <v>12.913</v>
      </c>
      <c r="O97" s="422">
        <v>11.89</v>
      </c>
      <c r="P97" s="422">
        <v>15.92</v>
      </c>
      <c r="Q97" s="436" t="s">
        <v>1632</v>
      </c>
      <c r="R97" s="438"/>
      <c r="S97" s="436" t="s">
        <v>2000</v>
      </c>
      <c r="T97" s="436" t="s">
        <v>1632</v>
      </c>
      <c r="U97" s="436" t="s">
        <v>1633</v>
      </c>
      <c r="V97" s="451"/>
      <c r="W97" s="441">
        <v>0.12</v>
      </c>
      <c r="X97" s="438"/>
      <c r="Y97" s="442">
        <f t="shared" si="30"/>
        <v>1.062718938</v>
      </c>
      <c r="Z97" s="442"/>
      <c r="AA97" s="443"/>
      <c r="AB97" s="443"/>
      <c r="AC97" s="436" t="str">
        <f>IF(ISNUMBER(VLOOKUP(B97,'New Masses'!A:C,3,FALSE)),VLOOKUP(B97,'New Masses'!A:C,3,FALSE),"")</f>
        <v/>
      </c>
      <c r="AD97" s="440"/>
      <c r="AE97" s="440">
        <f t="shared" si="31"/>
        <v>0.000000001288249552</v>
      </c>
      <c r="AF97" s="444">
        <v>-8.89</v>
      </c>
      <c r="AG97" s="438"/>
      <c r="AH97" s="445">
        <v>0.3</v>
      </c>
      <c r="AI97" s="438"/>
      <c r="AJ97" s="446" t="str">
        <f>IF(ISNUMBER(VLOOKUP(B97,'New Masses'!A:C,2, FALSE)),VLOOKUP(B97,'New Masses'!A:C,2, FALSE),"")</f>
        <v/>
      </c>
      <c r="AK97" s="438"/>
      <c r="AL97" s="437"/>
      <c r="AM97" s="447">
        <v>-2.05</v>
      </c>
      <c r="AN97" s="438"/>
      <c r="AO97" s="436">
        <v>3.0</v>
      </c>
      <c r="AP97" s="438"/>
      <c r="AQ97" s="438"/>
      <c r="AR97" s="436"/>
      <c r="AS97" s="438"/>
      <c r="AT97" s="448"/>
      <c r="AU97" s="452"/>
      <c r="AV97" s="438" t="s">
        <v>705</v>
      </c>
      <c r="AW97" s="438"/>
      <c r="AX97" s="450">
        <v>428.338901739055</v>
      </c>
    </row>
    <row r="98">
      <c r="A98" s="435" t="s">
        <v>424</v>
      </c>
      <c r="B98" s="436" t="s">
        <v>425</v>
      </c>
      <c r="C98" s="436"/>
      <c r="D98" s="436" t="s">
        <v>350</v>
      </c>
      <c r="E98" s="436"/>
      <c r="F98" s="436" t="s">
        <v>2282</v>
      </c>
      <c r="G98" s="436" t="s">
        <v>169</v>
      </c>
      <c r="H98" s="436" t="s">
        <v>352</v>
      </c>
      <c r="I98" s="436" t="s">
        <v>2223</v>
      </c>
      <c r="J98" s="436">
        <v>3350.0</v>
      </c>
      <c r="K98" s="436"/>
      <c r="L98" s="436" t="s">
        <v>422</v>
      </c>
      <c r="M98" s="439"/>
      <c r="N98" s="422">
        <v>12.913</v>
      </c>
      <c r="O98" s="422">
        <v>11.89</v>
      </c>
      <c r="P98" s="422">
        <v>15.92</v>
      </c>
      <c r="Q98" s="436" t="s">
        <v>2224</v>
      </c>
      <c r="R98" s="436" t="s">
        <v>2225</v>
      </c>
      <c r="S98" s="436" t="s">
        <v>2191</v>
      </c>
      <c r="T98" s="436" t="s">
        <v>293</v>
      </c>
      <c r="U98" s="436" t="s">
        <v>294</v>
      </c>
      <c r="V98" s="440"/>
      <c r="W98" s="474">
        <v>0.12</v>
      </c>
      <c r="X98" s="436"/>
      <c r="Y98" s="442">
        <f t="shared" si="30"/>
        <v>1.031232724</v>
      </c>
      <c r="Z98" s="469"/>
      <c r="AA98" s="470">
        <v>0.97</v>
      </c>
      <c r="AB98" s="470"/>
      <c r="AC98" s="436" t="str">
        <f>IF(ISNUMBER(VLOOKUP(B98,'New Masses'!A:C,3,FALSE)),VLOOKUP(B98,'New Masses'!A:C,3,FALSE),"")</f>
        <v/>
      </c>
      <c r="AD98" s="440"/>
      <c r="AE98" s="440">
        <f t="shared" si="31"/>
        <v>0.0000000002089296131</v>
      </c>
      <c r="AF98" s="439">
        <v>-9.68</v>
      </c>
      <c r="AG98" s="438"/>
      <c r="AH98" s="459">
        <v>0.3</v>
      </c>
      <c r="AI98" s="436"/>
      <c r="AJ98" s="446" t="str">
        <f>IF(ISNUMBER(VLOOKUP(B98,'New Masses'!A:C,2, FALSE)),VLOOKUP(B98,'New Masses'!A:C,2, FALSE),"")</f>
        <v/>
      </c>
      <c r="AK98" s="436"/>
      <c r="AL98" s="436"/>
      <c r="AM98" s="436">
        <v>-3.0</v>
      </c>
      <c r="AN98" s="466">
        <v>43864.0</v>
      </c>
      <c r="AO98" s="436">
        <v>3.0</v>
      </c>
      <c r="AP98" s="438"/>
      <c r="AQ98" s="438"/>
      <c r="AR98" s="438"/>
      <c r="AS98" s="438"/>
      <c r="AT98" s="448"/>
      <c r="AU98" s="449"/>
      <c r="AV98" s="438"/>
      <c r="AW98" s="438"/>
      <c r="AX98" s="450">
        <v>428.338901739055</v>
      </c>
    </row>
    <row r="99">
      <c r="A99" s="435" t="s">
        <v>1629</v>
      </c>
      <c r="B99" s="436" t="s">
        <v>1630</v>
      </c>
      <c r="C99" s="436"/>
      <c r="D99" s="436" t="s">
        <v>350</v>
      </c>
      <c r="E99" s="436"/>
      <c r="F99" s="436" t="s">
        <v>2283</v>
      </c>
      <c r="G99" s="437" t="s">
        <v>169</v>
      </c>
      <c r="H99" s="437" t="s">
        <v>702</v>
      </c>
      <c r="I99" s="437" t="s">
        <v>1999</v>
      </c>
      <c r="J99" s="437">
        <v>2900.0</v>
      </c>
      <c r="K99" s="438"/>
      <c r="L99" s="438"/>
      <c r="M99" s="453"/>
      <c r="N99" s="422">
        <v>14.89</v>
      </c>
      <c r="O99" s="422">
        <v>13.94</v>
      </c>
      <c r="P99" s="422">
        <v>19.72</v>
      </c>
      <c r="Q99" s="436" t="s">
        <v>1632</v>
      </c>
      <c r="R99" s="438"/>
      <c r="S99" s="436" t="s">
        <v>2000</v>
      </c>
      <c r="T99" s="436" t="s">
        <v>1632</v>
      </c>
      <c r="U99" s="436" t="s">
        <v>1633</v>
      </c>
      <c r="V99" s="451"/>
      <c r="W99" s="441">
        <v>0.02</v>
      </c>
      <c r="X99" s="438"/>
      <c r="Y99" s="442">
        <f t="shared" si="30"/>
        <v>0.5617908725</v>
      </c>
      <c r="Z99" s="442"/>
      <c r="AA99" s="443"/>
      <c r="AB99" s="443"/>
      <c r="AC99" s="436" t="str">
        <f>IF(ISNUMBER(VLOOKUP(B99,'New Masses'!A:C,3,FALSE)),VLOOKUP(B99,'New Masses'!A:C,3,FALSE),"")</f>
        <v/>
      </c>
      <c r="AD99" s="440"/>
      <c r="AE99" s="440">
        <f t="shared" si="31"/>
        <v>0</v>
      </c>
      <c r="AF99" s="444">
        <v>-10.91</v>
      </c>
      <c r="AG99" s="438"/>
      <c r="AH99" s="445">
        <v>0.06</v>
      </c>
      <c r="AI99" s="438"/>
      <c r="AJ99" s="446" t="str">
        <f>IF(ISNUMBER(VLOOKUP(B99,'New Masses'!A:C,2, FALSE)),VLOOKUP(B99,'New Masses'!A:C,2, FALSE),"")</f>
        <v/>
      </c>
      <c r="AK99" s="438"/>
      <c r="AL99" s="437"/>
      <c r="AM99" s="447">
        <v>-4.49</v>
      </c>
      <c r="AN99" s="438"/>
      <c r="AO99" s="436">
        <v>3.0</v>
      </c>
      <c r="AP99" s="438"/>
      <c r="AQ99" s="454">
        <v>0.73</v>
      </c>
      <c r="AS99" s="454" t="s">
        <v>2173</v>
      </c>
      <c r="AT99" s="455">
        <v>0.19</v>
      </c>
      <c r="AU99" s="452" t="s">
        <v>137</v>
      </c>
      <c r="AV99" s="438"/>
      <c r="AW99" s="438"/>
      <c r="AX99" s="450"/>
    </row>
    <row r="100">
      <c r="A100" s="435" t="s">
        <v>1677</v>
      </c>
      <c r="B100" s="436" t="s">
        <v>1678</v>
      </c>
      <c r="C100" s="436"/>
      <c r="D100" s="436" t="s">
        <v>350</v>
      </c>
      <c r="E100" s="436"/>
      <c r="F100" s="436" t="s">
        <v>2284</v>
      </c>
      <c r="G100" s="437" t="s">
        <v>169</v>
      </c>
      <c r="H100" s="437" t="s">
        <v>702</v>
      </c>
      <c r="I100" s="437" t="s">
        <v>1999</v>
      </c>
      <c r="J100" s="437">
        <v>3200.0</v>
      </c>
      <c r="K100" s="438"/>
      <c r="L100" s="438"/>
      <c r="M100" s="453"/>
      <c r="N100" s="422">
        <v>12.795</v>
      </c>
      <c r="O100" s="422">
        <v>11.858</v>
      </c>
      <c r="P100" s="422">
        <v>16.28</v>
      </c>
      <c r="Q100" s="436" t="s">
        <v>1632</v>
      </c>
      <c r="R100" s="438"/>
      <c r="S100" s="436" t="s">
        <v>2000</v>
      </c>
      <c r="T100" s="436" t="s">
        <v>1632</v>
      </c>
      <c r="U100" s="436" t="s">
        <v>1633</v>
      </c>
      <c r="V100" s="451"/>
      <c r="W100" s="441">
        <v>0.14</v>
      </c>
      <c r="X100" s="438"/>
      <c r="Y100" s="442">
        <f t="shared" si="30"/>
        <v>1.220730338</v>
      </c>
      <c r="Z100" s="442"/>
      <c r="AA100" s="443"/>
      <c r="AB100" s="443"/>
      <c r="AC100" s="436" t="str">
        <f>IF(ISNUMBER(VLOOKUP(B100,'New Masses'!A:C,3,FALSE)),VLOOKUP(B100,'New Masses'!A:C,3,FALSE),"")</f>
        <v/>
      </c>
      <c r="AD100" s="440"/>
      <c r="AE100" s="440">
        <f t="shared" si="31"/>
        <v>0.0000000001513561248</v>
      </c>
      <c r="AF100" s="444">
        <v>-9.82</v>
      </c>
      <c r="AG100" s="438"/>
      <c r="AH100" s="445">
        <v>0.2</v>
      </c>
      <c r="AI100" s="438"/>
      <c r="AJ100" s="446" t="str">
        <f>IF(ISNUMBER(VLOOKUP(B100,'New Masses'!A:C,2, FALSE)),VLOOKUP(B100,'New Masses'!A:C,2, FALSE),"")</f>
        <v/>
      </c>
      <c r="AK100" s="438"/>
      <c r="AL100" s="437"/>
      <c r="AM100" s="447">
        <v>-3.2</v>
      </c>
      <c r="AN100" s="438"/>
      <c r="AO100" s="436">
        <v>3.0</v>
      </c>
      <c r="AP100" s="438"/>
      <c r="AQ100" s="436"/>
      <c r="AR100" s="438"/>
      <c r="AS100" s="438"/>
      <c r="AT100" s="448"/>
      <c r="AU100" s="452" t="s">
        <v>137</v>
      </c>
      <c r="AV100" s="438"/>
      <c r="AW100" s="438"/>
      <c r="AX100" s="450">
        <v>372.106869092803</v>
      </c>
    </row>
    <row r="101">
      <c r="A101" s="435" t="s">
        <v>1640</v>
      </c>
      <c r="B101" s="436" t="s">
        <v>1641</v>
      </c>
      <c r="C101" s="436"/>
      <c r="D101" s="436" t="s">
        <v>350</v>
      </c>
      <c r="E101" s="436"/>
      <c r="F101" s="436" t="s">
        <v>2285</v>
      </c>
      <c r="G101" s="437" t="s">
        <v>515</v>
      </c>
      <c r="H101" s="437" t="s">
        <v>702</v>
      </c>
      <c r="I101" s="437" t="s">
        <v>1999</v>
      </c>
      <c r="J101" s="437">
        <v>3000.0</v>
      </c>
      <c r="K101" s="438"/>
      <c r="L101" s="438"/>
      <c r="M101" s="453"/>
      <c r="N101" s="422">
        <v>14.8</v>
      </c>
      <c r="O101" s="422">
        <v>13.94</v>
      </c>
      <c r="P101" s="422">
        <v>19.41</v>
      </c>
      <c r="Q101" s="436" t="s">
        <v>1632</v>
      </c>
      <c r="R101" s="438"/>
      <c r="S101" s="436" t="s">
        <v>2000</v>
      </c>
      <c r="T101" s="436" t="s">
        <v>1632</v>
      </c>
      <c r="U101" s="436" t="s">
        <v>1633</v>
      </c>
      <c r="V101" s="440"/>
      <c r="W101" s="441">
        <v>0.01</v>
      </c>
      <c r="X101" s="438"/>
      <c r="Y101" s="442">
        <f t="shared" si="30"/>
        <v>0.3712044444</v>
      </c>
      <c r="Z101" s="442"/>
      <c r="AA101" s="443"/>
      <c r="AB101" s="443"/>
      <c r="AC101" s="436" t="str">
        <f>IF(ISNUMBER(VLOOKUP(B101,'New Masses'!A:C,3,FALSE)),VLOOKUP(B101,'New Masses'!A:C,3,FALSE),"")</f>
        <v/>
      </c>
      <c r="AD101" s="440"/>
      <c r="AE101" s="440">
        <f t="shared" si="31"/>
        <v>0</v>
      </c>
      <c r="AF101" s="444">
        <v>-11.11</v>
      </c>
      <c r="AG101" s="438"/>
      <c r="AH101" s="445">
        <v>0.08</v>
      </c>
      <c r="AI101" s="438"/>
      <c r="AJ101" s="446" t="str">
        <f>IF(ISNUMBER(VLOOKUP(B101,'New Masses'!A:C,2, FALSE)),VLOOKUP(B101,'New Masses'!A:C,2, FALSE),"")</f>
        <v/>
      </c>
      <c r="AK101" s="438"/>
      <c r="AL101" s="437"/>
      <c r="AM101" s="447">
        <v>-4.46</v>
      </c>
      <c r="AN101" s="438"/>
      <c r="AO101" s="436">
        <v>3.0</v>
      </c>
      <c r="AP101" s="438"/>
      <c r="AQ101" s="436"/>
      <c r="AR101" s="438"/>
      <c r="AS101" s="438"/>
      <c r="AT101" s="448"/>
      <c r="AU101" s="449" t="s">
        <v>137</v>
      </c>
      <c r="AV101" s="438"/>
      <c r="AW101" s="438"/>
      <c r="AX101" s="450">
        <v>314.851547495355</v>
      </c>
    </row>
    <row r="102">
      <c r="A102" s="435" t="s">
        <v>1671</v>
      </c>
      <c r="B102" s="436" t="s">
        <v>1672</v>
      </c>
      <c r="C102" s="436"/>
      <c r="D102" s="436" t="s">
        <v>350</v>
      </c>
      <c r="E102" s="436"/>
      <c r="F102" s="436" t="s">
        <v>2286</v>
      </c>
      <c r="G102" s="437" t="s">
        <v>515</v>
      </c>
      <c r="H102" s="437" t="s">
        <v>702</v>
      </c>
      <c r="I102" s="437" t="s">
        <v>1999</v>
      </c>
      <c r="J102" s="437">
        <v>3100.0</v>
      </c>
      <c r="K102" s="438"/>
      <c r="L102" s="438"/>
      <c r="M102" s="453"/>
      <c r="N102" s="422">
        <v>12.14</v>
      </c>
      <c r="O102" s="422">
        <v>11.27</v>
      </c>
      <c r="P102" s="422">
        <v>16.0</v>
      </c>
      <c r="Q102" s="436" t="s">
        <v>1632</v>
      </c>
      <c r="R102" s="438"/>
      <c r="S102" s="436" t="s">
        <v>2000</v>
      </c>
      <c r="T102" s="436" t="s">
        <v>1632</v>
      </c>
      <c r="U102" s="436" t="s">
        <v>1633</v>
      </c>
      <c r="V102" s="440"/>
      <c r="W102" s="441">
        <v>0.25</v>
      </c>
      <c r="X102" s="438"/>
      <c r="Y102" s="442">
        <f t="shared" si="30"/>
        <v>1.738210198</v>
      </c>
      <c r="Z102" s="442"/>
      <c r="AA102" s="443"/>
      <c r="AB102" s="443"/>
      <c r="AC102" s="436" t="str">
        <f>IF(ISNUMBER(VLOOKUP(B102,'New Masses'!A:C,3,FALSE)),VLOOKUP(B102,'New Masses'!A:C,3,FALSE),"")</f>
        <v/>
      </c>
      <c r="AD102" s="440"/>
      <c r="AE102" s="440">
        <f t="shared" si="31"/>
        <v>0.0000000002951209227</v>
      </c>
      <c r="AF102" s="444">
        <v>-9.53</v>
      </c>
      <c r="AG102" s="438"/>
      <c r="AH102" s="445">
        <v>0.2</v>
      </c>
      <c r="AI102" s="438"/>
      <c r="AJ102" s="446" t="str">
        <f>IF(ISNUMBER(VLOOKUP(B102,'New Masses'!A:C,2, FALSE)),VLOOKUP(B102,'New Masses'!A:C,2, FALSE),"")</f>
        <v/>
      </c>
      <c r="AK102" s="438"/>
      <c r="AL102" s="437"/>
      <c r="AM102" s="447">
        <v>-3.08</v>
      </c>
      <c r="AN102" s="438"/>
      <c r="AO102" s="436">
        <v>3.0</v>
      </c>
      <c r="AP102" s="438"/>
      <c r="AQ102" s="436"/>
      <c r="AR102" s="438"/>
      <c r="AS102" s="438"/>
      <c r="AT102" s="448"/>
      <c r="AU102" s="449" t="s">
        <v>137</v>
      </c>
      <c r="AV102" s="438"/>
      <c r="AW102" s="438"/>
      <c r="AX102" s="450">
        <v>380.676843427614</v>
      </c>
    </row>
    <row r="103">
      <c r="A103" s="435" t="s">
        <v>1650</v>
      </c>
      <c r="B103" s="436" t="s">
        <v>1651</v>
      </c>
      <c r="C103" s="436"/>
      <c r="D103" s="436" t="s">
        <v>350</v>
      </c>
      <c r="E103" s="436"/>
      <c r="F103" s="436" t="s">
        <v>2287</v>
      </c>
      <c r="G103" s="437" t="s">
        <v>169</v>
      </c>
      <c r="H103" s="437" t="s">
        <v>702</v>
      </c>
      <c r="I103" s="437" t="s">
        <v>1999</v>
      </c>
      <c r="J103" s="437">
        <v>3000.0</v>
      </c>
      <c r="K103" s="438"/>
      <c r="L103" s="438"/>
      <c r="M103" s="453"/>
      <c r="N103" s="422">
        <v>14.07</v>
      </c>
      <c r="O103" s="422">
        <v>13.15</v>
      </c>
      <c r="P103" s="422">
        <v>18.11</v>
      </c>
      <c r="Q103" s="436" t="s">
        <v>1632</v>
      </c>
      <c r="R103" s="438"/>
      <c r="S103" s="436" t="s">
        <v>2000</v>
      </c>
      <c r="T103" s="436" t="s">
        <v>1632</v>
      </c>
      <c r="U103" s="436" t="s">
        <v>1633</v>
      </c>
      <c r="V103" s="451"/>
      <c r="W103" s="441">
        <v>0.04</v>
      </c>
      <c r="X103" s="438"/>
      <c r="Y103" s="442">
        <f t="shared" si="30"/>
        <v>0.7424088889</v>
      </c>
      <c r="Z103" s="442"/>
      <c r="AA103" s="443"/>
      <c r="AB103" s="443"/>
      <c r="AC103" s="436" t="str">
        <f>IF(ISNUMBER(VLOOKUP(B103,'New Masses'!A:C,3,FALSE)),VLOOKUP(B103,'New Masses'!A:C,3,FALSE),"")</f>
        <v/>
      </c>
      <c r="AD103" s="440"/>
      <c r="AE103" s="440">
        <f t="shared" si="31"/>
        <v>0</v>
      </c>
      <c r="AF103" s="444">
        <v>-10.54</v>
      </c>
      <c r="AG103" s="438"/>
      <c r="AH103" s="445">
        <v>0.1</v>
      </c>
      <c r="AI103" s="438"/>
      <c r="AJ103" s="446" t="str">
        <f>IF(ISNUMBER(VLOOKUP(B103,'New Masses'!A:C,2, FALSE)),VLOOKUP(B103,'New Masses'!A:C,2, FALSE),"")</f>
        <v/>
      </c>
      <c r="AK103" s="438"/>
      <c r="AL103" s="437"/>
      <c r="AM103" s="447">
        <v>-4.03</v>
      </c>
      <c r="AN103" s="438"/>
      <c r="AO103" s="436">
        <v>3.0</v>
      </c>
      <c r="AP103" s="438"/>
      <c r="AQ103" s="436"/>
      <c r="AR103" s="438"/>
      <c r="AS103" s="438"/>
      <c r="AT103" s="448"/>
      <c r="AU103" s="452" t="s">
        <v>137</v>
      </c>
      <c r="AV103" s="438"/>
      <c r="AW103" s="438"/>
      <c r="AX103" s="450">
        <v>427.478305475997</v>
      </c>
    </row>
    <row r="104">
      <c r="A104" s="435" t="s">
        <v>1657</v>
      </c>
      <c r="B104" s="436" t="s">
        <v>1658</v>
      </c>
      <c r="C104" s="436"/>
      <c r="D104" s="436" t="s">
        <v>350</v>
      </c>
      <c r="E104" s="436"/>
      <c r="F104" s="436" t="s">
        <v>2288</v>
      </c>
      <c r="G104" s="437" t="s">
        <v>169</v>
      </c>
      <c r="H104" s="437" t="s">
        <v>702</v>
      </c>
      <c r="I104" s="437" t="s">
        <v>1999</v>
      </c>
      <c r="J104" s="437">
        <v>3100.0</v>
      </c>
      <c r="K104" s="438"/>
      <c r="L104" s="438"/>
      <c r="M104" s="453"/>
      <c r="N104" s="422">
        <v>13.84</v>
      </c>
      <c r="O104" s="422">
        <v>12.96</v>
      </c>
      <c r="P104" s="422">
        <v>17.8</v>
      </c>
      <c r="Q104" s="436" t="s">
        <v>1632</v>
      </c>
      <c r="R104" s="438"/>
      <c r="S104" s="436" t="s">
        <v>2000</v>
      </c>
      <c r="T104" s="436" t="s">
        <v>1632</v>
      </c>
      <c r="U104" s="436" t="s">
        <v>1633</v>
      </c>
      <c r="V104" s="440"/>
      <c r="W104" s="441">
        <v>0.05</v>
      </c>
      <c r="X104" s="438"/>
      <c r="Y104" s="442">
        <f t="shared" si="30"/>
        <v>0.7773512323</v>
      </c>
      <c r="Z104" s="442"/>
      <c r="AA104" s="443"/>
      <c r="AB104" s="443"/>
      <c r="AC104" s="436" t="str">
        <f>IF(ISNUMBER(VLOOKUP(B104,'New Masses'!A:C,3,FALSE)),VLOOKUP(B104,'New Masses'!A:C,3,FALSE),"")</f>
        <v/>
      </c>
      <c r="AD104" s="440"/>
      <c r="AE104" s="440">
        <f t="shared" si="31"/>
        <v>0</v>
      </c>
      <c r="AF104" s="444">
        <v>-10.44</v>
      </c>
      <c r="AG104" s="438"/>
      <c r="AH104" s="445">
        <v>0.13</v>
      </c>
      <c r="AI104" s="438"/>
      <c r="AJ104" s="446" t="str">
        <f>IF(ISNUMBER(VLOOKUP(B104,'New Masses'!A:C,2, FALSE)),VLOOKUP(B104,'New Masses'!A:C,2, FALSE),"")</f>
        <v/>
      </c>
      <c r="AK104" s="438"/>
      <c r="AL104" s="437"/>
      <c r="AM104" s="447">
        <v>-3.82</v>
      </c>
      <c r="AN104" s="438"/>
      <c r="AO104" s="436">
        <v>3.0</v>
      </c>
      <c r="AP104" s="438"/>
      <c r="AQ104" s="436"/>
      <c r="AR104" s="438"/>
      <c r="AS104" s="438"/>
      <c r="AT104" s="448"/>
      <c r="AU104" s="449" t="s">
        <v>137</v>
      </c>
      <c r="AV104" s="438"/>
      <c r="AW104" s="438"/>
      <c r="AX104" s="450">
        <v>398.851308232291</v>
      </c>
    </row>
    <row r="105">
      <c r="A105" s="435" t="s">
        <v>710</v>
      </c>
      <c r="B105" s="436" t="s">
        <v>711</v>
      </c>
      <c r="C105" s="436"/>
      <c r="D105" s="436" t="s">
        <v>350</v>
      </c>
      <c r="E105" s="436"/>
      <c r="F105" s="436" t="s">
        <v>2289</v>
      </c>
      <c r="G105" s="437" t="s">
        <v>712</v>
      </c>
      <c r="H105" s="437" t="s">
        <v>702</v>
      </c>
      <c r="I105" s="437" t="s">
        <v>1999</v>
      </c>
      <c r="J105" s="437">
        <v>3700.0</v>
      </c>
      <c r="K105" s="438"/>
      <c r="L105" s="436" t="s">
        <v>713</v>
      </c>
      <c r="M105" s="439"/>
      <c r="N105" s="422">
        <v>12.338</v>
      </c>
      <c r="O105" s="422">
        <v>11.282</v>
      </c>
      <c r="P105" s="422">
        <v>14.62</v>
      </c>
      <c r="Q105" s="436" t="s">
        <v>1632</v>
      </c>
      <c r="R105" s="438"/>
      <c r="S105" s="436" t="s">
        <v>2000</v>
      </c>
      <c r="T105" s="436" t="s">
        <v>1632</v>
      </c>
      <c r="U105" s="436" t="s">
        <v>1633</v>
      </c>
      <c r="V105" s="440"/>
      <c r="W105" s="441">
        <v>0.21</v>
      </c>
      <c r="X105" s="438"/>
      <c r="Y105" s="442">
        <f t="shared" si="30"/>
        <v>1.118309144</v>
      </c>
      <c r="Z105" s="442"/>
      <c r="AA105" s="443"/>
      <c r="AB105" s="443"/>
      <c r="AC105" s="436" t="str">
        <f>IF(ISNUMBER(VLOOKUP(B105,'New Masses'!A:C,3,FALSE)),VLOOKUP(B105,'New Masses'!A:C,3,FALSE),"")</f>
        <v/>
      </c>
      <c r="AD105" s="440"/>
      <c r="AE105" s="440">
        <f t="shared" si="31"/>
        <v>0.0000000003548133892</v>
      </c>
      <c r="AF105" s="444">
        <v>-9.45</v>
      </c>
      <c r="AG105" s="438"/>
      <c r="AH105" s="445">
        <v>0.7</v>
      </c>
      <c r="AI105" s="438"/>
      <c r="AJ105" s="446" t="str">
        <f>IF(ISNUMBER(VLOOKUP(B105,'New Masses'!A:C,2, FALSE)),VLOOKUP(B105,'New Masses'!A:C,2, FALSE),"")</f>
        <v/>
      </c>
      <c r="AK105" s="438"/>
      <c r="AL105" s="437"/>
      <c r="AM105" s="447">
        <v>-2.26</v>
      </c>
      <c r="AN105" s="438"/>
      <c r="AO105" s="436">
        <v>3.0</v>
      </c>
      <c r="AP105" s="438"/>
      <c r="AQ105" s="438"/>
      <c r="AR105" s="436"/>
      <c r="AS105" s="438"/>
      <c r="AT105" s="448"/>
      <c r="AU105" s="449"/>
      <c r="AV105" s="438" t="s">
        <v>705</v>
      </c>
      <c r="AW105" s="438"/>
      <c r="AX105" s="450">
        <v>398.692289291125</v>
      </c>
    </row>
    <row r="106">
      <c r="A106" s="435" t="s">
        <v>393</v>
      </c>
      <c r="B106" s="436" t="s">
        <v>394</v>
      </c>
      <c r="C106" s="436"/>
      <c r="D106" s="436" t="s">
        <v>350</v>
      </c>
      <c r="E106" s="436"/>
      <c r="F106" s="436" t="s">
        <v>2290</v>
      </c>
      <c r="G106" s="436" t="s">
        <v>169</v>
      </c>
      <c r="H106" s="436" t="s">
        <v>352</v>
      </c>
      <c r="I106" s="436" t="s">
        <v>2223</v>
      </c>
      <c r="J106" s="436">
        <v>3270.0</v>
      </c>
      <c r="K106" s="436"/>
      <c r="L106" s="436" t="s">
        <v>395</v>
      </c>
      <c r="M106" s="439"/>
      <c r="N106" s="422">
        <v>14.45</v>
      </c>
      <c r="O106" s="422">
        <v>12.61</v>
      </c>
      <c r="P106" s="422">
        <v>18.46</v>
      </c>
      <c r="Q106" s="436" t="s">
        <v>2224</v>
      </c>
      <c r="R106" s="436" t="s">
        <v>2225</v>
      </c>
      <c r="S106" s="436" t="s">
        <v>2191</v>
      </c>
      <c r="T106" s="436" t="s">
        <v>293</v>
      </c>
      <c r="U106" s="436" t="s">
        <v>294</v>
      </c>
      <c r="V106" s="440"/>
      <c r="W106" s="474">
        <v>0.03</v>
      </c>
      <c r="X106" s="436"/>
      <c r="Y106" s="442">
        <f t="shared" si="30"/>
        <v>0.5411539077</v>
      </c>
      <c r="Z106" s="469"/>
      <c r="AA106" s="470">
        <v>0.46</v>
      </c>
      <c r="AB106" s="470"/>
      <c r="AC106" s="436" t="str">
        <f>IF(ISNUMBER(VLOOKUP(B106,'New Masses'!A:C,3,FALSE)),VLOOKUP(B106,'New Masses'!A:C,3,FALSE),"")</f>
        <v/>
      </c>
      <c r="AD106" s="440"/>
      <c r="AE106" s="440">
        <f t="shared" si="31"/>
        <v>0</v>
      </c>
      <c r="AF106" s="439">
        <v>-10.39</v>
      </c>
      <c r="AG106" s="438"/>
      <c r="AH106" s="459">
        <v>0.19</v>
      </c>
      <c r="AI106" s="436"/>
      <c r="AJ106" s="446" t="str">
        <f>IF(ISNUMBER(VLOOKUP(B106,'New Masses'!A:C,2, FALSE)),VLOOKUP(B106,'New Masses'!A:C,2, FALSE),"")</f>
        <v/>
      </c>
      <c r="AK106" s="436"/>
      <c r="AL106" s="436"/>
      <c r="AM106" s="436">
        <v>-3.5</v>
      </c>
      <c r="AN106" s="466">
        <v>43864.0</v>
      </c>
      <c r="AO106" s="436">
        <v>3.0</v>
      </c>
      <c r="AP106" s="438"/>
      <c r="AQ106" s="438"/>
      <c r="AR106" s="438"/>
      <c r="AS106" s="438"/>
      <c r="AT106" s="448"/>
      <c r="AU106" s="449"/>
      <c r="AV106" s="438"/>
      <c r="AW106" s="438"/>
      <c r="AX106" s="450">
        <v>335.863505071538</v>
      </c>
    </row>
    <row r="107">
      <c r="A107" s="435" t="s">
        <v>393</v>
      </c>
      <c r="B107" s="436" t="s">
        <v>394</v>
      </c>
      <c r="C107" s="436"/>
      <c r="D107" s="436" t="s">
        <v>350</v>
      </c>
      <c r="E107" s="436"/>
      <c r="F107" s="436" t="s">
        <v>2291</v>
      </c>
      <c r="G107" s="437" t="s">
        <v>169</v>
      </c>
      <c r="H107" s="437" t="s">
        <v>702</v>
      </c>
      <c r="I107" s="437" t="s">
        <v>1999</v>
      </c>
      <c r="J107" s="437">
        <v>3300.0</v>
      </c>
      <c r="K107" s="438"/>
      <c r="L107" s="438"/>
      <c r="M107" s="453"/>
      <c r="N107" s="422">
        <v>14.45</v>
      </c>
      <c r="O107" s="422">
        <v>12.61</v>
      </c>
      <c r="P107" s="422">
        <v>18.46</v>
      </c>
      <c r="Q107" s="436" t="s">
        <v>1632</v>
      </c>
      <c r="R107" s="438"/>
      <c r="S107" s="436" t="s">
        <v>2000</v>
      </c>
      <c r="T107" s="436" t="s">
        <v>1632</v>
      </c>
      <c r="U107" s="436" t="s">
        <v>1633</v>
      </c>
      <c r="V107" s="451"/>
      <c r="W107" s="441">
        <v>0.03</v>
      </c>
      <c r="X107" s="438"/>
      <c r="Y107" s="442">
        <f t="shared" si="30"/>
        <v>0.5313594692</v>
      </c>
      <c r="Z107" s="442"/>
      <c r="AA107" s="443"/>
      <c r="AB107" s="443"/>
      <c r="AC107" s="436" t="str">
        <f>IF(ISNUMBER(VLOOKUP(B107,'New Masses'!A:C,3,FALSE)),VLOOKUP(B107,'New Masses'!A:C,3,FALSE),"")</f>
        <v/>
      </c>
      <c r="AD107" s="440"/>
      <c r="AE107" s="440">
        <f t="shared" si="31"/>
        <v>0.0000000001380384265</v>
      </c>
      <c r="AF107" s="444">
        <v>-9.86</v>
      </c>
      <c r="AG107" s="438"/>
      <c r="AH107" s="445">
        <v>0.2</v>
      </c>
      <c r="AI107" s="438"/>
      <c r="AJ107" s="446" t="str">
        <f>IF(ISNUMBER(VLOOKUP(B107,'New Masses'!A:C,2, FALSE)),VLOOKUP(B107,'New Masses'!A:C,2, FALSE),"")</f>
        <v/>
      </c>
      <c r="AK107" s="438"/>
      <c r="AL107" s="437"/>
      <c r="AM107" s="447">
        <v>-2.85</v>
      </c>
      <c r="AN107" s="438"/>
      <c r="AO107" s="436">
        <v>3.0</v>
      </c>
      <c r="AP107" s="438"/>
      <c r="AQ107" s="438"/>
      <c r="AR107" s="438"/>
      <c r="AS107" s="438"/>
      <c r="AT107" s="448"/>
      <c r="AU107" s="452"/>
      <c r="AV107" s="438"/>
      <c r="AW107" s="438"/>
      <c r="AX107" s="450">
        <v>335.863505071538</v>
      </c>
    </row>
    <row r="108">
      <c r="A108" s="435" t="s">
        <v>1713</v>
      </c>
      <c r="B108" s="436" t="s">
        <v>1714</v>
      </c>
      <c r="C108" s="436"/>
      <c r="D108" s="436" t="s">
        <v>350</v>
      </c>
      <c r="E108" s="436"/>
      <c r="F108" s="436" t="s">
        <v>2292</v>
      </c>
      <c r="G108" s="437" t="s">
        <v>169</v>
      </c>
      <c r="H108" s="437" t="s">
        <v>702</v>
      </c>
      <c r="I108" s="437" t="s">
        <v>1999</v>
      </c>
      <c r="J108" s="437">
        <v>3400.0</v>
      </c>
      <c r="K108" s="438"/>
      <c r="L108" s="436" t="s">
        <v>1285</v>
      </c>
      <c r="M108" s="439"/>
      <c r="N108" s="422">
        <v>12.438</v>
      </c>
      <c r="O108" s="422">
        <v>11.156</v>
      </c>
      <c r="P108" s="422">
        <v>15.33</v>
      </c>
      <c r="Q108" s="436" t="s">
        <v>1632</v>
      </c>
      <c r="R108" s="438"/>
      <c r="S108" s="436" t="s">
        <v>2000</v>
      </c>
      <c r="T108" s="436" t="s">
        <v>1632</v>
      </c>
      <c r="U108" s="436" t="s">
        <v>1633</v>
      </c>
      <c r="V108" s="451"/>
      <c r="W108" s="441">
        <v>0.17</v>
      </c>
      <c r="X108" s="438"/>
      <c r="Y108" s="442">
        <f t="shared" si="30"/>
        <v>1.191577526</v>
      </c>
      <c r="Z108" s="442"/>
      <c r="AA108" s="443"/>
      <c r="AB108" s="443"/>
      <c r="AC108" s="436" t="str">
        <f>IF(ISNUMBER(VLOOKUP(B108,'New Masses'!A:C,3,FALSE)),VLOOKUP(B108,'New Masses'!A:C,3,FALSE),"")</f>
        <v/>
      </c>
      <c r="AD108" s="440"/>
      <c r="AE108" s="440">
        <f t="shared" si="31"/>
        <v>0.0000000002454708916</v>
      </c>
      <c r="AF108" s="444">
        <v>-9.61</v>
      </c>
      <c r="AG108" s="438"/>
      <c r="AH108" s="445">
        <v>0.35</v>
      </c>
      <c r="AI108" s="438"/>
      <c r="AJ108" s="446" t="str">
        <f>IF(ISNUMBER(VLOOKUP(B108,'New Masses'!A:C,2, FALSE)),VLOOKUP(B108,'New Masses'!A:C,2, FALSE),"")</f>
        <v/>
      </c>
      <c r="AK108" s="438"/>
      <c r="AL108" s="437"/>
      <c r="AM108" s="447">
        <v>-2.75</v>
      </c>
      <c r="AN108" s="438"/>
      <c r="AO108" s="436">
        <v>3.0</v>
      </c>
      <c r="AP108" s="438"/>
      <c r="AQ108" s="438"/>
      <c r="AR108" s="436"/>
      <c r="AS108" s="438"/>
      <c r="AT108" s="448"/>
      <c r="AU108" s="452"/>
      <c r="AV108" s="438" t="s">
        <v>705</v>
      </c>
      <c r="AW108" s="438"/>
      <c r="AX108" s="450">
        <v>410.205923373533</v>
      </c>
    </row>
    <row r="109">
      <c r="A109" s="435" t="s">
        <v>1694</v>
      </c>
      <c r="B109" s="436" t="s">
        <v>1695</v>
      </c>
      <c r="C109" s="436"/>
      <c r="D109" s="436" t="s">
        <v>350</v>
      </c>
      <c r="E109" s="436"/>
      <c r="F109" s="436" t="s">
        <v>2293</v>
      </c>
      <c r="G109" s="437" t="s">
        <v>169</v>
      </c>
      <c r="H109" s="437" t="s">
        <v>702</v>
      </c>
      <c r="I109" s="437" t="s">
        <v>1999</v>
      </c>
      <c r="J109" s="437">
        <v>3200.0</v>
      </c>
      <c r="K109" s="438"/>
      <c r="L109" s="436" t="s">
        <v>402</v>
      </c>
      <c r="M109" s="439"/>
      <c r="N109" s="422">
        <v>13.83</v>
      </c>
      <c r="O109" s="422">
        <v>12.88</v>
      </c>
      <c r="P109" s="422">
        <v>17.38</v>
      </c>
      <c r="Q109" s="436" t="s">
        <v>1632</v>
      </c>
      <c r="R109" s="438"/>
      <c r="S109" s="436" t="s">
        <v>2000</v>
      </c>
      <c r="T109" s="436" t="s">
        <v>1632</v>
      </c>
      <c r="U109" s="436" t="s">
        <v>1633</v>
      </c>
      <c r="V109" s="451"/>
      <c r="W109" s="441">
        <v>0.05</v>
      </c>
      <c r="X109" s="438"/>
      <c r="Y109" s="442">
        <f t="shared" si="30"/>
        <v>0.7295259123</v>
      </c>
      <c r="Z109" s="442"/>
      <c r="AA109" s="443"/>
      <c r="AB109" s="443"/>
      <c r="AC109" s="436" t="str">
        <f>IF(ISNUMBER(VLOOKUP(B109,'New Masses'!A:C,3,FALSE)),VLOOKUP(B109,'New Masses'!A:C,3,FALSE),"")</f>
        <v/>
      </c>
      <c r="AD109" s="440"/>
      <c r="AE109" s="440">
        <f t="shared" si="31"/>
        <v>0</v>
      </c>
      <c r="AF109" s="444">
        <v>-10.12</v>
      </c>
      <c r="AG109" s="438"/>
      <c r="AH109" s="445">
        <v>0.2</v>
      </c>
      <c r="AI109" s="438"/>
      <c r="AJ109" s="446" t="str">
        <f>IF(ISNUMBER(VLOOKUP(B109,'New Masses'!A:C,2, FALSE)),VLOOKUP(B109,'New Masses'!A:C,2, FALSE),"")</f>
        <v/>
      </c>
      <c r="AK109" s="438"/>
      <c r="AL109" s="437"/>
      <c r="AM109" s="447">
        <v>-3.28</v>
      </c>
      <c r="AN109" s="438"/>
      <c r="AO109" s="436">
        <v>3.0</v>
      </c>
      <c r="AP109" s="438"/>
      <c r="AQ109" s="438"/>
      <c r="AR109" s="436"/>
      <c r="AS109" s="438"/>
      <c r="AT109" s="448"/>
      <c r="AU109" s="452"/>
      <c r="AV109" s="438" t="s">
        <v>705</v>
      </c>
      <c r="AW109" s="438"/>
      <c r="AX109" s="450">
        <v>347.258394971698</v>
      </c>
    </row>
    <row r="110">
      <c r="A110" s="435" t="s">
        <v>1737</v>
      </c>
      <c r="B110" s="436" t="s">
        <v>1738</v>
      </c>
      <c r="C110" s="436"/>
      <c r="D110" s="436" t="s">
        <v>350</v>
      </c>
      <c r="E110" s="436"/>
      <c r="F110" s="436" t="s">
        <v>2294</v>
      </c>
      <c r="G110" s="437" t="s">
        <v>515</v>
      </c>
      <c r="H110" s="437" t="s">
        <v>702</v>
      </c>
      <c r="I110" s="437" t="s">
        <v>1999</v>
      </c>
      <c r="J110" s="437">
        <v>3600.0</v>
      </c>
      <c r="K110" s="438"/>
      <c r="L110" s="436" t="s">
        <v>571</v>
      </c>
      <c r="M110" s="439"/>
      <c r="N110" s="422">
        <v>11.948</v>
      </c>
      <c r="O110" s="422">
        <v>11.028</v>
      </c>
      <c r="P110" s="422">
        <v>14.21</v>
      </c>
      <c r="Q110" s="436" t="s">
        <v>1632</v>
      </c>
      <c r="R110" s="438"/>
      <c r="S110" s="436" t="s">
        <v>2000</v>
      </c>
      <c r="T110" s="436" t="s">
        <v>1632</v>
      </c>
      <c r="U110" s="436" t="s">
        <v>1633</v>
      </c>
      <c r="V110" s="451"/>
      <c r="W110" s="441">
        <v>0.35</v>
      </c>
      <c r="X110" s="438"/>
      <c r="Y110" s="442">
        <f t="shared" si="30"/>
        <v>1.525052159</v>
      </c>
      <c r="Z110" s="442"/>
      <c r="AA110" s="443"/>
      <c r="AB110" s="443"/>
      <c r="AC110" s="436" t="str">
        <f>IF(ISNUMBER(VLOOKUP(B110,'New Masses'!A:C,3,FALSE)),VLOOKUP(B110,'New Masses'!A:C,3,FALSE),"")</f>
        <v/>
      </c>
      <c r="AD110" s="440"/>
      <c r="AE110" s="440">
        <f t="shared" si="31"/>
        <v>0.0000000004168693835</v>
      </c>
      <c r="AF110" s="444">
        <v>-9.38</v>
      </c>
      <c r="AG110" s="438"/>
      <c r="AH110" s="445">
        <v>0.6</v>
      </c>
      <c r="AI110" s="438"/>
      <c r="AJ110" s="446" t="str">
        <f>IF(ISNUMBER(VLOOKUP(B110,'New Masses'!A:C,2, FALSE)),VLOOKUP(B110,'New Masses'!A:C,2, FALSE),"")</f>
        <v/>
      </c>
      <c r="AK110" s="438"/>
      <c r="AL110" s="437"/>
      <c r="AM110" s="447">
        <v>-2.39</v>
      </c>
      <c r="AN110" s="438"/>
      <c r="AO110" s="436">
        <v>3.0</v>
      </c>
      <c r="AP110" s="438"/>
      <c r="AQ110" s="438"/>
      <c r="AR110" s="436"/>
      <c r="AS110" s="438"/>
      <c r="AT110" s="448"/>
      <c r="AU110" s="452" t="s">
        <v>137</v>
      </c>
      <c r="AV110" s="438" t="s">
        <v>705</v>
      </c>
      <c r="AW110" s="438"/>
      <c r="AX110" s="450">
        <v>429.922613929492</v>
      </c>
    </row>
    <row r="111">
      <c r="A111" s="435" t="s">
        <v>700</v>
      </c>
      <c r="B111" s="436" t="s">
        <v>701</v>
      </c>
      <c r="C111" s="436"/>
      <c r="D111" s="436" t="s">
        <v>350</v>
      </c>
      <c r="E111" s="436"/>
      <c r="F111" s="436" t="s">
        <v>2295</v>
      </c>
      <c r="G111" s="437" t="s">
        <v>515</v>
      </c>
      <c r="H111" s="437" t="s">
        <v>702</v>
      </c>
      <c r="I111" s="437" t="s">
        <v>1999</v>
      </c>
      <c r="J111" s="437">
        <v>3200.0</v>
      </c>
      <c r="K111" s="438"/>
      <c r="L111" s="436" t="s">
        <v>704</v>
      </c>
      <c r="M111" s="439"/>
      <c r="N111" s="422">
        <v>13.036</v>
      </c>
      <c r="O111" s="422">
        <v>11.702</v>
      </c>
      <c r="P111" s="422">
        <v>16.82</v>
      </c>
      <c r="Q111" s="436" t="s">
        <v>1632</v>
      </c>
      <c r="R111" s="438"/>
      <c r="S111" s="436" t="s">
        <v>2000</v>
      </c>
      <c r="T111" s="436" t="s">
        <v>1632</v>
      </c>
      <c r="U111" s="436" t="s">
        <v>1633</v>
      </c>
      <c r="V111" s="440"/>
      <c r="W111" s="441">
        <v>0.1</v>
      </c>
      <c r="X111" s="438"/>
      <c r="Y111" s="442">
        <f t="shared" si="30"/>
        <v>1.031705439</v>
      </c>
      <c r="Z111" s="442"/>
      <c r="AA111" s="443"/>
      <c r="AB111" s="443"/>
      <c r="AC111" s="436" t="str">
        <f>IF(ISNUMBER(VLOOKUP(B111,'New Masses'!A:C,3,FALSE)),VLOOKUP(B111,'New Masses'!A:C,3,FALSE),"")</f>
        <v/>
      </c>
      <c r="AD111" s="440"/>
      <c r="AE111" s="440">
        <f t="shared" si="31"/>
        <v>0.0000000004265795188</v>
      </c>
      <c r="AF111" s="444">
        <v>-9.37</v>
      </c>
      <c r="AG111" s="438"/>
      <c r="AH111" s="445">
        <v>0.2</v>
      </c>
      <c r="AI111" s="438"/>
      <c r="AJ111" s="446" t="str">
        <f>IF(ISNUMBER(VLOOKUP(B111,'New Masses'!A:C,2, FALSE)),VLOOKUP(B111,'New Masses'!A:C,2, FALSE),"")</f>
        <v/>
      </c>
      <c r="AK111" s="438"/>
      <c r="AL111" s="437"/>
      <c r="AM111" s="447">
        <v>-2.68</v>
      </c>
      <c r="AN111" s="438"/>
      <c r="AO111" s="436">
        <v>3.0</v>
      </c>
      <c r="AP111" s="438"/>
      <c r="AQ111" s="438"/>
      <c r="AR111" s="436"/>
      <c r="AS111" s="438"/>
      <c r="AT111" s="448"/>
      <c r="AU111" s="449"/>
      <c r="AV111" s="438" t="s">
        <v>705</v>
      </c>
      <c r="AW111" s="438"/>
      <c r="AX111" s="450">
        <v>335.334160490929</v>
      </c>
    </row>
    <row r="112">
      <c r="A112" s="435" t="s">
        <v>2014</v>
      </c>
      <c r="B112" s="436" t="s">
        <v>2015</v>
      </c>
      <c r="C112" s="436"/>
      <c r="D112" s="436" t="s">
        <v>350</v>
      </c>
      <c r="E112" s="436"/>
      <c r="F112" s="436" t="s">
        <v>2296</v>
      </c>
      <c r="G112" s="437" t="s">
        <v>515</v>
      </c>
      <c r="H112" s="437" t="s">
        <v>702</v>
      </c>
      <c r="I112" s="437" t="s">
        <v>1999</v>
      </c>
      <c r="J112" s="437">
        <v>4200.0</v>
      </c>
      <c r="K112" s="438"/>
      <c r="L112" s="436" t="s">
        <v>2016</v>
      </c>
      <c r="M112" s="439"/>
      <c r="N112" s="422">
        <v>10.721</v>
      </c>
      <c r="O112" s="422">
        <v>10.117</v>
      </c>
      <c r="P112" s="422">
        <v>12.05</v>
      </c>
      <c r="Q112" s="436" t="s">
        <v>1632</v>
      </c>
      <c r="R112" s="438"/>
      <c r="S112" s="436" t="s">
        <v>2000</v>
      </c>
      <c r="T112" s="436" t="s">
        <v>1632</v>
      </c>
      <c r="U112" s="436" t="s">
        <v>1633</v>
      </c>
      <c r="V112" s="451"/>
      <c r="W112" s="441">
        <v>1.17</v>
      </c>
      <c r="X112" s="438"/>
      <c r="Y112" s="442">
        <f t="shared" si="30"/>
        <v>2.048566313</v>
      </c>
      <c r="Z112" s="442"/>
      <c r="AA112" s="443"/>
      <c r="AB112" s="443"/>
      <c r="AC112" s="436" t="str">
        <f>IF(ISNUMBER(VLOOKUP(B112,'New Masses'!A:C,3,FALSE)),VLOOKUP(B112,'New Masses'!A:C,3,FALSE),"")</f>
        <v/>
      </c>
      <c r="AD112" s="440"/>
      <c r="AE112" s="440"/>
      <c r="AF112" s="444"/>
      <c r="AG112" s="438"/>
      <c r="AH112" s="445">
        <v>1.3</v>
      </c>
      <c r="AI112" s="438"/>
      <c r="AJ112" s="446" t="str">
        <f>IF(ISNUMBER(VLOOKUP(B112,'New Masses'!A:C,2, FALSE)),VLOOKUP(B112,'New Masses'!A:C,2, FALSE),"")</f>
        <v/>
      </c>
      <c r="AK112" s="438"/>
      <c r="AL112" s="437"/>
      <c r="AM112" s="447"/>
      <c r="AN112" s="438"/>
      <c r="AO112" s="436">
        <v>3.0</v>
      </c>
      <c r="AP112" s="438"/>
      <c r="AQ112" s="438"/>
      <c r="AR112" s="436"/>
      <c r="AS112" s="438"/>
      <c r="AT112" s="448"/>
      <c r="AU112" s="452" t="s">
        <v>137</v>
      </c>
      <c r="AV112" s="438" t="s">
        <v>705</v>
      </c>
      <c r="AW112" s="438"/>
      <c r="AX112" s="450">
        <v>373.468778010158</v>
      </c>
    </row>
    <row r="113">
      <c r="A113" s="435" t="s">
        <v>1661</v>
      </c>
      <c r="B113" s="436" t="s">
        <v>1662</v>
      </c>
      <c r="C113" s="436"/>
      <c r="D113" s="436" t="s">
        <v>350</v>
      </c>
      <c r="E113" s="436"/>
      <c r="F113" s="436" t="s">
        <v>2297</v>
      </c>
      <c r="G113" s="437" t="s">
        <v>515</v>
      </c>
      <c r="H113" s="437" t="s">
        <v>702</v>
      </c>
      <c r="I113" s="437" t="s">
        <v>1999</v>
      </c>
      <c r="J113" s="437">
        <v>3200.0</v>
      </c>
      <c r="K113" s="438"/>
      <c r="L113" s="436" t="s">
        <v>2298</v>
      </c>
      <c r="M113" s="439"/>
      <c r="N113" s="422">
        <v>11.097</v>
      </c>
      <c r="O113" s="422">
        <v>10.218</v>
      </c>
      <c r="P113" s="422">
        <v>13.22</v>
      </c>
      <c r="Q113" s="436" t="s">
        <v>1632</v>
      </c>
      <c r="R113" s="438"/>
      <c r="S113" s="436" t="s">
        <v>2000</v>
      </c>
      <c r="T113" s="436" t="s">
        <v>1632</v>
      </c>
      <c r="U113" s="436" t="s">
        <v>1633</v>
      </c>
      <c r="V113" s="451"/>
      <c r="W113" s="441">
        <v>0.02</v>
      </c>
      <c r="X113" s="438"/>
      <c r="Y113" s="442">
        <f t="shared" si="30"/>
        <v>0.461392699</v>
      </c>
      <c r="Z113" s="442"/>
      <c r="AA113" s="443"/>
      <c r="AB113" s="443"/>
      <c r="AC113" s="436" t="str">
        <f>IF(ISNUMBER(VLOOKUP(B113,'New Masses'!A:C,3,FALSE)),VLOOKUP(B113,'New Masses'!A:C,3,FALSE),"")</f>
        <v/>
      </c>
      <c r="AD113" s="440"/>
      <c r="AE113" s="440">
        <f t="shared" ref="AE113:AE121" si="32">10^AF113</f>
        <v>0.000000001288249552</v>
      </c>
      <c r="AF113" s="444">
        <v>-8.89</v>
      </c>
      <c r="AG113" s="438"/>
      <c r="AH113" s="445">
        <v>0.15</v>
      </c>
      <c r="AI113" s="438"/>
      <c r="AJ113" s="446" t="str">
        <f>IF(ISNUMBER(VLOOKUP(B113,'New Masses'!A:C,2, FALSE)),VLOOKUP(B113,'New Masses'!A:C,2, FALSE),"")</f>
        <v/>
      </c>
      <c r="AK113" s="438"/>
      <c r="AL113" s="437"/>
      <c r="AM113" s="447">
        <v>-1.97</v>
      </c>
      <c r="AN113" s="438"/>
      <c r="AO113" s="436">
        <v>3.0</v>
      </c>
      <c r="AP113" s="438"/>
      <c r="AQ113" s="438"/>
      <c r="AR113" s="436"/>
      <c r="AS113" s="438"/>
      <c r="AT113" s="448"/>
      <c r="AU113" s="452"/>
      <c r="AV113" s="438" t="s">
        <v>705</v>
      </c>
      <c r="AW113" s="438"/>
      <c r="AX113" s="450">
        <v>1990.84212621939</v>
      </c>
    </row>
    <row r="114">
      <c r="A114" s="435" t="s">
        <v>1690</v>
      </c>
      <c r="B114" s="436" t="s">
        <v>1691</v>
      </c>
      <c r="C114" s="436"/>
      <c r="D114" s="436" t="s">
        <v>350</v>
      </c>
      <c r="E114" s="436"/>
      <c r="F114" s="436" t="s">
        <v>2299</v>
      </c>
      <c r="G114" s="437" t="s">
        <v>169</v>
      </c>
      <c r="H114" s="437" t="s">
        <v>702</v>
      </c>
      <c r="I114" s="437" t="s">
        <v>1999</v>
      </c>
      <c r="J114" s="437">
        <v>3200.0</v>
      </c>
      <c r="K114" s="438"/>
      <c r="L114" s="438"/>
      <c r="M114" s="453"/>
      <c r="N114" s="422">
        <v>13.496</v>
      </c>
      <c r="O114" s="422">
        <v>12.565</v>
      </c>
      <c r="P114" s="422">
        <v>16.96</v>
      </c>
      <c r="Q114" s="436" t="s">
        <v>1632</v>
      </c>
      <c r="R114" s="438"/>
      <c r="S114" s="436" t="s">
        <v>2000</v>
      </c>
      <c r="T114" s="436" t="s">
        <v>1632</v>
      </c>
      <c r="U114" s="436" t="s">
        <v>1633</v>
      </c>
      <c r="V114" s="451"/>
      <c r="W114" s="441">
        <v>0.08</v>
      </c>
      <c r="X114" s="438"/>
      <c r="Y114" s="442">
        <f t="shared" si="30"/>
        <v>0.922785398</v>
      </c>
      <c r="Z114" s="442"/>
      <c r="AA114" s="443"/>
      <c r="AB114" s="443"/>
      <c r="AC114" s="436" t="str">
        <f>IF(ISNUMBER(VLOOKUP(B114,'New Masses'!A:C,3,FALSE)),VLOOKUP(B114,'New Masses'!A:C,3,FALSE),"")</f>
        <v/>
      </c>
      <c r="AD114" s="440"/>
      <c r="AE114" s="440">
        <f t="shared" si="32"/>
        <v>0</v>
      </c>
      <c r="AF114" s="444">
        <v>-10.22</v>
      </c>
      <c r="AG114" s="438"/>
      <c r="AH114" s="445">
        <v>0.2</v>
      </c>
      <c r="AI114" s="438"/>
      <c r="AJ114" s="446" t="str">
        <f>IF(ISNUMBER(VLOOKUP(B114,'New Masses'!A:C,2, FALSE)),VLOOKUP(B114,'New Masses'!A:C,2, FALSE),"")</f>
        <v/>
      </c>
      <c r="AK114" s="438"/>
      <c r="AL114" s="437"/>
      <c r="AM114" s="447">
        <v>-3.49</v>
      </c>
      <c r="AN114" s="438"/>
      <c r="AO114" s="436">
        <v>3.0</v>
      </c>
      <c r="AP114" s="438"/>
      <c r="AQ114" s="436"/>
      <c r="AR114" s="438"/>
      <c r="AS114" s="438"/>
      <c r="AT114" s="448"/>
      <c r="AU114" s="452" t="s">
        <v>137</v>
      </c>
      <c r="AV114" s="438"/>
      <c r="AW114" s="438"/>
      <c r="AX114" s="450">
        <v>370.356653457279</v>
      </c>
    </row>
    <row r="115">
      <c r="A115" s="435" t="s">
        <v>1666</v>
      </c>
      <c r="B115" s="436" t="s">
        <v>1667</v>
      </c>
      <c r="C115" s="436"/>
      <c r="D115" s="436" t="s">
        <v>350</v>
      </c>
      <c r="E115" s="436"/>
      <c r="F115" s="436" t="s">
        <v>2300</v>
      </c>
      <c r="G115" s="437" t="s">
        <v>515</v>
      </c>
      <c r="H115" s="437" t="s">
        <v>702</v>
      </c>
      <c r="I115" s="437" t="s">
        <v>1999</v>
      </c>
      <c r="J115" s="437">
        <v>3100.0</v>
      </c>
      <c r="K115" s="438"/>
      <c r="L115" s="438"/>
      <c r="M115" s="453"/>
      <c r="N115" s="422">
        <v>13.178</v>
      </c>
      <c r="O115" s="422">
        <v>12.118</v>
      </c>
      <c r="P115" s="422">
        <v>17.25</v>
      </c>
      <c r="Q115" s="436" t="s">
        <v>1632</v>
      </c>
      <c r="R115" s="438"/>
      <c r="S115" s="436" t="s">
        <v>2000</v>
      </c>
      <c r="T115" s="436" t="s">
        <v>1632</v>
      </c>
      <c r="U115" s="436" t="s">
        <v>1633</v>
      </c>
      <c r="V115" s="440"/>
      <c r="W115" s="441">
        <v>0.08</v>
      </c>
      <c r="X115" s="438"/>
      <c r="Y115" s="442">
        <f t="shared" si="30"/>
        <v>0.9832801743</v>
      </c>
      <c r="Z115" s="442"/>
      <c r="AA115" s="443"/>
      <c r="AB115" s="443"/>
      <c r="AC115" s="436" t="str">
        <f>IF(ISNUMBER(VLOOKUP(B115,'New Masses'!A:C,3,FALSE)),VLOOKUP(B115,'New Masses'!A:C,3,FALSE),"")</f>
        <v/>
      </c>
      <c r="AD115" s="440"/>
      <c r="AE115" s="440">
        <f t="shared" si="32"/>
        <v>0</v>
      </c>
      <c r="AF115" s="444">
        <v>-10.25</v>
      </c>
      <c r="AG115" s="438"/>
      <c r="AH115" s="445">
        <v>0.15</v>
      </c>
      <c r="AI115" s="438"/>
      <c r="AJ115" s="446" t="str">
        <f>IF(ISNUMBER(VLOOKUP(B115,'New Masses'!A:C,2, FALSE)),VLOOKUP(B115,'New Masses'!A:C,2, FALSE),"")</f>
        <v/>
      </c>
      <c r="AK115" s="438"/>
      <c r="AL115" s="437"/>
      <c r="AM115" s="447">
        <v>-3.67</v>
      </c>
      <c r="AN115" s="438"/>
      <c r="AO115" s="436">
        <v>3.0</v>
      </c>
      <c r="AP115" s="438"/>
      <c r="AQ115" s="436"/>
      <c r="AR115" s="438"/>
      <c r="AS115" s="438"/>
      <c r="AT115" s="448"/>
      <c r="AU115" s="449" t="s">
        <v>137</v>
      </c>
      <c r="AV115" s="438"/>
      <c r="AW115" s="438"/>
      <c r="AX115" s="450">
        <v>419.023674837628</v>
      </c>
    </row>
    <row r="116">
      <c r="A116" s="435" t="s">
        <v>1668</v>
      </c>
      <c r="B116" s="436" t="s">
        <v>1669</v>
      </c>
      <c r="C116" s="436"/>
      <c r="D116" s="436" t="s">
        <v>350</v>
      </c>
      <c r="E116" s="436"/>
      <c r="F116" s="436" t="s">
        <v>2301</v>
      </c>
      <c r="G116" s="437" t="s">
        <v>169</v>
      </c>
      <c r="H116" s="437" t="s">
        <v>702</v>
      </c>
      <c r="I116" s="437" t="s">
        <v>1999</v>
      </c>
      <c r="J116" s="437">
        <v>3100.0</v>
      </c>
      <c r="K116" s="438"/>
      <c r="L116" s="436" t="s">
        <v>713</v>
      </c>
      <c r="M116" s="439"/>
      <c r="N116" s="422">
        <v>12.843</v>
      </c>
      <c r="O116" s="422">
        <v>11.462</v>
      </c>
      <c r="P116" s="422"/>
      <c r="Q116" s="436" t="s">
        <v>1632</v>
      </c>
      <c r="R116" s="438"/>
      <c r="S116" s="436" t="s">
        <v>2000</v>
      </c>
      <c r="T116" s="436" t="s">
        <v>1632</v>
      </c>
      <c r="U116" s="436" t="s">
        <v>1633</v>
      </c>
      <c r="V116" s="440"/>
      <c r="W116" s="441">
        <v>0.13</v>
      </c>
      <c r="X116" s="438"/>
      <c r="Y116" s="442">
        <f t="shared" si="30"/>
        <v>1.253441199</v>
      </c>
      <c r="Z116" s="442"/>
      <c r="AA116" s="443"/>
      <c r="AB116" s="443"/>
      <c r="AC116" s="436" t="str">
        <f>IF(ISNUMBER(VLOOKUP(B116,'New Masses'!A:C,3,FALSE)),VLOOKUP(B116,'New Masses'!A:C,3,FALSE),"")</f>
        <v/>
      </c>
      <c r="AD116" s="440"/>
      <c r="AE116" s="440">
        <f t="shared" si="32"/>
        <v>0.00000000660693448</v>
      </c>
      <c r="AF116" s="444">
        <v>-8.18</v>
      </c>
      <c r="AG116" s="438"/>
      <c r="AH116" s="445">
        <v>0.17</v>
      </c>
      <c r="AI116" s="438"/>
      <c r="AJ116" s="446" t="str">
        <f>IF(ISNUMBER(VLOOKUP(B116,'New Masses'!A:C,2, FALSE)),VLOOKUP(B116,'New Masses'!A:C,2, FALSE),"")</f>
        <v/>
      </c>
      <c r="AK116" s="438"/>
      <c r="AL116" s="437"/>
      <c r="AM116" s="447">
        <v>-1.66</v>
      </c>
      <c r="AN116" s="438"/>
      <c r="AO116" s="436">
        <v>3.0</v>
      </c>
      <c r="AP116" s="438"/>
      <c r="AQ116" s="436"/>
      <c r="AR116" s="436"/>
      <c r="AS116" s="438"/>
      <c r="AT116" s="448"/>
      <c r="AU116" s="449" t="s">
        <v>1670</v>
      </c>
      <c r="AV116" s="438" t="s">
        <v>705</v>
      </c>
      <c r="AW116" s="438"/>
      <c r="AX116" s="450">
        <v>387.23667905824</v>
      </c>
    </row>
    <row r="117">
      <c r="A117" s="435" t="s">
        <v>1679</v>
      </c>
      <c r="B117" s="436" t="s">
        <v>1680</v>
      </c>
      <c r="C117" s="436"/>
      <c r="D117" s="436" t="s">
        <v>350</v>
      </c>
      <c r="E117" s="436"/>
      <c r="F117" s="436" t="s">
        <v>2302</v>
      </c>
      <c r="G117" s="437" t="s">
        <v>169</v>
      </c>
      <c r="H117" s="437" t="s">
        <v>702</v>
      </c>
      <c r="I117" s="437" t="s">
        <v>1999</v>
      </c>
      <c r="J117" s="437">
        <v>3200.0</v>
      </c>
      <c r="K117" s="438"/>
      <c r="L117" s="438"/>
      <c r="M117" s="453"/>
      <c r="N117" s="422">
        <v>13.032</v>
      </c>
      <c r="O117" s="422">
        <v>11.913</v>
      </c>
      <c r="P117" s="422">
        <v>16.45</v>
      </c>
      <c r="Q117" s="436" t="s">
        <v>1632</v>
      </c>
      <c r="R117" s="438"/>
      <c r="S117" s="436" t="s">
        <v>2000</v>
      </c>
      <c r="T117" s="436" t="s">
        <v>1632</v>
      </c>
      <c r="U117" s="436" t="s">
        <v>1633</v>
      </c>
      <c r="V117" s="440"/>
      <c r="W117" s="441">
        <v>0.1</v>
      </c>
      <c r="X117" s="438"/>
      <c r="Y117" s="442">
        <f t="shared" si="30"/>
        <v>1.031705439</v>
      </c>
      <c r="Z117" s="442"/>
      <c r="AA117" s="443"/>
      <c r="AB117" s="443"/>
      <c r="AC117" s="436" t="str">
        <f>IF(ISNUMBER(VLOOKUP(B117,'New Masses'!A:C,3,FALSE)),VLOOKUP(B117,'New Masses'!A:C,3,FALSE),"")</f>
        <v/>
      </c>
      <c r="AD117" s="440"/>
      <c r="AE117" s="440">
        <f t="shared" si="32"/>
        <v>0.0000000001621810097</v>
      </c>
      <c r="AF117" s="444">
        <v>-9.79</v>
      </c>
      <c r="AG117" s="438"/>
      <c r="AH117" s="445">
        <v>0.2</v>
      </c>
      <c r="AI117" s="438"/>
      <c r="AJ117" s="446" t="str">
        <f>IF(ISNUMBER(VLOOKUP(B117,'New Masses'!A:C,2, FALSE)),VLOOKUP(B117,'New Masses'!A:C,2, FALSE),"")</f>
        <v/>
      </c>
      <c r="AK117" s="438"/>
      <c r="AL117" s="437"/>
      <c r="AM117" s="447">
        <v>-3.12</v>
      </c>
      <c r="AN117" s="438"/>
      <c r="AO117" s="436">
        <v>3.0</v>
      </c>
      <c r="AP117" s="438"/>
      <c r="AQ117" s="438"/>
      <c r="AR117" s="438"/>
      <c r="AS117" s="438"/>
      <c r="AT117" s="448"/>
      <c r="AU117" s="449"/>
      <c r="AV117" s="438"/>
      <c r="AW117" s="438"/>
      <c r="AX117" s="450">
        <v>362.818373122414</v>
      </c>
    </row>
    <row r="118">
      <c r="A118" s="435" t="s">
        <v>1688</v>
      </c>
      <c r="B118" s="436" t="s">
        <v>1689</v>
      </c>
      <c r="C118" s="436"/>
      <c r="D118" s="436" t="s">
        <v>350</v>
      </c>
      <c r="E118" s="436"/>
      <c r="F118" s="436" t="s">
        <v>2303</v>
      </c>
      <c r="G118" s="437" t="s">
        <v>169</v>
      </c>
      <c r="H118" s="437" t="s">
        <v>702</v>
      </c>
      <c r="I118" s="437" t="s">
        <v>1999</v>
      </c>
      <c r="J118" s="437">
        <v>3200.0</v>
      </c>
      <c r="K118" s="438"/>
      <c r="L118" s="436" t="s">
        <v>395</v>
      </c>
      <c r="M118" s="439"/>
      <c r="N118" s="422">
        <v>13.4</v>
      </c>
      <c r="O118" s="422">
        <v>12.44</v>
      </c>
      <c r="P118" s="422">
        <v>16.86</v>
      </c>
      <c r="Q118" s="436" t="s">
        <v>1632</v>
      </c>
      <c r="R118" s="438"/>
      <c r="S118" s="436" t="s">
        <v>2000</v>
      </c>
      <c r="T118" s="436" t="s">
        <v>1632</v>
      </c>
      <c r="U118" s="436" t="s">
        <v>1633</v>
      </c>
      <c r="V118" s="440"/>
      <c r="W118" s="441">
        <v>0.08</v>
      </c>
      <c r="X118" s="438"/>
      <c r="Y118" s="442">
        <f t="shared" si="30"/>
        <v>0.922785398</v>
      </c>
      <c r="Z118" s="442"/>
      <c r="AA118" s="443"/>
      <c r="AB118" s="443"/>
      <c r="AC118" s="436" t="str">
        <f>IF(ISNUMBER(VLOOKUP(B118,'New Masses'!A:C,3,FALSE)),VLOOKUP(B118,'New Masses'!A:C,3,FALSE),"")</f>
        <v/>
      </c>
      <c r="AD118" s="440"/>
      <c r="AE118" s="440">
        <f t="shared" si="32"/>
        <v>0</v>
      </c>
      <c r="AF118" s="444">
        <v>-10.06</v>
      </c>
      <c r="AG118" s="438"/>
      <c r="AH118" s="445">
        <v>0.2</v>
      </c>
      <c r="AI118" s="438"/>
      <c r="AJ118" s="446" t="str">
        <f>IF(ISNUMBER(VLOOKUP(B118,'New Masses'!A:C,2, FALSE)),VLOOKUP(B118,'New Masses'!A:C,2, FALSE),"")</f>
        <v/>
      </c>
      <c r="AK118" s="438"/>
      <c r="AL118" s="437"/>
      <c r="AM118" s="447">
        <v>-3.32</v>
      </c>
      <c r="AN118" s="438"/>
      <c r="AO118" s="436">
        <v>3.0</v>
      </c>
      <c r="AP118" s="438"/>
      <c r="AQ118" s="438"/>
      <c r="AR118" s="436"/>
      <c r="AS118" s="438"/>
      <c r="AT118" s="448"/>
      <c r="AU118" s="449"/>
      <c r="AV118" s="438" t="s">
        <v>1676</v>
      </c>
      <c r="AW118" s="438"/>
      <c r="AX118" s="450">
        <v>436.395374209033</v>
      </c>
    </row>
    <row r="119">
      <c r="A119" s="435" t="s">
        <v>407</v>
      </c>
      <c r="B119" s="436" t="s">
        <v>408</v>
      </c>
      <c r="C119" s="436"/>
      <c r="D119" s="436" t="s">
        <v>350</v>
      </c>
      <c r="E119" s="436"/>
      <c r="F119" s="436" t="s">
        <v>2304</v>
      </c>
      <c r="G119" s="437" t="s">
        <v>169</v>
      </c>
      <c r="H119" s="437" t="s">
        <v>702</v>
      </c>
      <c r="I119" s="437" t="s">
        <v>1999</v>
      </c>
      <c r="J119" s="437">
        <v>3100.0</v>
      </c>
      <c r="K119" s="438"/>
      <c r="L119" s="438"/>
      <c r="M119" s="453"/>
      <c r="N119" s="422">
        <v>13.46</v>
      </c>
      <c r="O119" s="422">
        <v>12.67</v>
      </c>
      <c r="P119" s="422">
        <v>16.86</v>
      </c>
      <c r="Q119" s="436" t="s">
        <v>1632</v>
      </c>
      <c r="R119" s="438"/>
      <c r="S119" s="436" t="s">
        <v>2000</v>
      </c>
      <c r="T119" s="436" t="s">
        <v>1632</v>
      </c>
      <c r="U119" s="436" t="s">
        <v>1633</v>
      </c>
      <c r="V119" s="451"/>
      <c r="W119" s="441">
        <v>0.07</v>
      </c>
      <c r="X119" s="438"/>
      <c r="Y119" s="442">
        <f t="shared" si="30"/>
        <v>0.9197743819</v>
      </c>
      <c r="Z119" s="442"/>
      <c r="AA119" s="443"/>
      <c r="AB119" s="443"/>
      <c r="AC119" s="436" t="str">
        <f>IF(ISNUMBER(VLOOKUP(B119,'New Masses'!A:C,3,FALSE)),VLOOKUP(B119,'New Masses'!A:C,3,FALSE),"")</f>
        <v/>
      </c>
      <c r="AD119" s="440"/>
      <c r="AE119" s="440">
        <f t="shared" si="32"/>
        <v>0</v>
      </c>
      <c r="AF119" s="444">
        <v>-10.09</v>
      </c>
      <c r="AG119" s="438"/>
      <c r="AH119" s="445">
        <v>0.16</v>
      </c>
      <c r="AI119" s="438"/>
      <c r="AJ119" s="446" t="str">
        <f>IF(ISNUMBER(VLOOKUP(B119,'New Masses'!A:C,2, FALSE)),VLOOKUP(B119,'New Masses'!A:C,2, FALSE),"")</f>
        <v/>
      </c>
      <c r="AK119" s="438"/>
      <c r="AL119" s="437"/>
      <c r="AM119" s="447">
        <v>-3.47</v>
      </c>
      <c r="AN119" s="438"/>
      <c r="AO119" s="436">
        <v>3.0</v>
      </c>
      <c r="AP119" s="438"/>
      <c r="AQ119" s="438"/>
      <c r="AR119" s="438"/>
      <c r="AS119" s="438"/>
      <c r="AT119" s="448"/>
      <c r="AU119" s="452"/>
      <c r="AV119" s="438"/>
      <c r="AW119" s="438"/>
      <c r="AX119" s="450">
        <v>381.766816828281</v>
      </c>
    </row>
    <row r="120">
      <c r="A120" s="435" t="s">
        <v>407</v>
      </c>
      <c r="B120" s="436" t="s">
        <v>408</v>
      </c>
      <c r="C120" s="436"/>
      <c r="D120" s="436" t="s">
        <v>350</v>
      </c>
      <c r="E120" s="436"/>
      <c r="F120" s="436" t="s">
        <v>2305</v>
      </c>
      <c r="G120" s="436" t="s">
        <v>169</v>
      </c>
      <c r="H120" s="436" t="s">
        <v>352</v>
      </c>
      <c r="I120" s="436" t="s">
        <v>2223</v>
      </c>
      <c r="J120" s="436">
        <v>3200.0</v>
      </c>
      <c r="K120" s="436"/>
      <c r="L120" s="436" t="s">
        <v>402</v>
      </c>
      <c r="M120" s="439"/>
      <c r="N120" s="422">
        <v>13.46</v>
      </c>
      <c r="O120" s="422">
        <v>12.67</v>
      </c>
      <c r="P120" s="422">
        <v>16.86</v>
      </c>
      <c r="Q120" s="436" t="s">
        <v>2224</v>
      </c>
      <c r="R120" s="436" t="s">
        <v>2225</v>
      </c>
      <c r="S120" s="436" t="s">
        <v>2191</v>
      </c>
      <c r="T120" s="436" t="s">
        <v>293</v>
      </c>
      <c r="U120" s="436" t="s">
        <v>294</v>
      </c>
      <c r="V120" s="440"/>
      <c r="W120" s="474">
        <v>0.07</v>
      </c>
      <c r="X120" s="436"/>
      <c r="Y120" s="442">
        <f t="shared" si="30"/>
        <v>0.8631867002</v>
      </c>
      <c r="Z120" s="469"/>
      <c r="AA120" s="470">
        <v>0.84</v>
      </c>
      <c r="AB120" s="470"/>
      <c r="AC120" s="436" t="str">
        <f>IF(ISNUMBER(VLOOKUP(B120,'New Masses'!A:C,3,FALSE)),VLOOKUP(B120,'New Masses'!A:C,3,FALSE),"")</f>
        <v/>
      </c>
      <c r="AD120" s="440"/>
      <c r="AE120" s="440">
        <f t="shared" si="32"/>
        <v>0</v>
      </c>
      <c r="AF120" s="439">
        <v>-11.38</v>
      </c>
      <c r="AG120" s="438"/>
      <c r="AH120" s="459">
        <v>0.2</v>
      </c>
      <c r="AI120" s="436"/>
      <c r="AJ120" s="446" t="str">
        <f>IF(ISNUMBER(VLOOKUP(B120,'New Masses'!A:C,2, FALSE)),VLOOKUP(B120,'New Masses'!A:C,2, FALSE),"")</f>
        <v/>
      </c>
      <c r="AK120" s="436"/>
      <c r="AL120" s="436"/>
      <c r="AM120" s="419">
        <v>-4.85</v>
      </c>
      <c r="AN120" s="466">
        <v>43864.0</v>
      </c>
      <c r="AO120" s="436">
        <v>3.0</v>
      </c>
      <c r="AP120" s="438"/>
      <c r="AQ120" s="436"/>
      <c r="AR120" s="438"/>
      <c r="AS120" s="438"/>
      <c r="AT120" s="448"/>
      <c r="AU120" s="449" t="s">
        <v>137</v>
      </c>
      <c r="AV120" s="438"/>
      <c r="AW120" s="438"/>
      <c r="AX120" s="450">
        <v>381.766816828281</v>
      </c>
    </row>
    <row r="121">
      <c r="A121" s="435" t="s">
        <v>1681</v>
      </c>
      <c r="B121" s="436" t="s">
        <v>1682</v>
      </c>
      <c r="C121" s="436"/>
      <c r="D121" s="436" t="s">
        <v>350</v>
      </c>
      <c r="E121" s="436"/>
      <c r="F121" s="436" t="s">
        <v>2306</v>
      </c>
      <c r="G121" s="437" t="s">
        <v>515</v>
      </c>
      <c r="H121" s="437" t="s">
        <v>702</v>
      </c>
      <c r="I121" s="437" t="s">
        <v>1999</v>
      </c>
      <c r="J121" s="437">
        <v>3200.0</v>
      </c>
      <c r="K121" s="438"/>
      <c r="L121" s="438"/>
      <c r="M121" s="453"/>
      <c r="N121" s="422">
        <v>13.096</v>
      </c>
      <c r="O121" s="422">
        <v>12.249</v>
      </c>
      <c r="P121" s="422">
        <v>17.08</v>
      </c>
      <c r="Q121" s="436" t="s">
        <v>1632</v>
      </c>
      <c r="R121" s="438"/>
      <c r="S121" s="436" t="s">
        <v>2000</v>
      </c>
      <c r="T121" s="436" t="s">
        <v>1632</v>
      </c>
      <c r="U121" s="436" t="s">
        <v>1633</v>
      </c>
      <c r="V121" s="451"/>
      <c r="W121" s="441">
        <v>0.07</v>
      </c>
      <c r="X121" s="438"/>
      <c r="Y121" s="442">
        <f t="shared" si="30"/>
        <v>0.8631867002</v>
      </c>
      <c r="Z121" s="442"/>
      <c r="AA121" s="443"/>
      <c r="AB121" s="443"/>
      <c r="AC121" s="436" t="str">
        <f>IF(ISNUMBER(VLOOKUP(B121,'New Masses'!A:C,3,FALSE)),VLOOKUP(B121,'New Masses'!A:C,3,FALSE),"")</f>
        <v/>
      </c>
      <c r="AD121" s="440"/>
      <c r="AE121" s="440">
        <f t="shared" si="32"/>
        <v>0</v>
      </c>
      <c r="AF121" s="444">
        <v>-10.25</v>
      </c>
      <c r="AG121" s="438"/>
      <c r="AH121" s="445">
        <v>0.2</v>
      </c>
      <c r="AI121" s="438"/>
      <c r="AJ121" s="446" t="str">
        <f>IF(ISNUMBER(VLOOKUP(B121,'New Masses'!A:C,2, FALSE)),VLOOKUP(B121,'New Masses'!A:C,2, FALSE),"")</f>
        <v/>
      </c>
      <c r="AK121" s="438"/>
      <c r="AL121" s="437"/>
      <c r="AM121" s="447">
        <v>-3.51</v>
      </c>
      <c r="AN121" s="438"/>
      <c r="AO121" s="436">
        <v>3.0</v>
      </c>
      <c r="AP121" s="438"/>
      <c r="AQ121" s="436"/>
      <c r="AR121" s="438"/>
      <c r="AS121" s="438"/>
      <c r="AT121" s="448"/>
      <c r="AU121" s="452" t="s">
        <v>137</v>
      </c>
      <c r="AV121" s="438"/>
      <c r="AW121" s="438"/>
      <c r="AX121" s="450">
        <v>403.372191521116</v>
      </c>
    </row>
    <row r="122">
      <c r="A122" s="419" t="s">
        <v>793</v>
      </c>
      <c r="B122" s="419" t="s">
        <v>793</v>
      </c>
      <c r="C122" s="436"/>
      <c r="D122" s="436" t="s">
        <v>758</v>
      </c>
      <c r="E122" s="436"/>
      <c r="F122" s="436" t="s">
        <v>2307</v>
      </c>
      <c r="G122" s="437" t="s">
        <v>169</v>
      </c>
      <c r="H122" s="436" t="s">
        <v>759</v>
      </c>
      <c r="I122" s="456">
        <v>41609.0</v>
      </c>
      <c r="J122" s="436">
        <v>7244.3596</v>
      </c>
      <c r="K122" s="419">
        <v>850.0</v>
      </c>
      <c r="L122" s="436" t="s">
        <v>794</v>
      </c>
      <c r="M122" s="457">
        <v>1.0</v>
      </c>
      <c r="N122" s="422">
        <v>13.39</v>
      </c>
      <c r="O122" s="422">
        <v>11.22</v>
      </c>
      <c r="P122" s="422">
        <v>17.02</v>
      </c>
      <c r="Q122" s="436" t="s">
        <v>2175</v>
      </c>
      <c r="R122" s="436" t="s">
        <v>2176</v>
      </c>
      <c r="S122" s="436" t="s">
        <v>2177</v>
      </c>
      <c r="T122" s="419" t="s">
        <v>162</v>
      </c>
      <c r="U122" s="419" t="s">
        <v>2178</v>
      </c>
      <c r="V122" s="440"/>
      <c r="W122" s="441">
        <v>18.620871366628677</v>
      </c>
      <c r="X122" s="438"/>
      <c r="Y122" s="442">
        <f t="shared" si="30"/>
        <v>2.746981135</v>
      </c>
      <c r="Z122" s="442"/>
      <c r="AA122" s="443"/>
      <c r="AB122" s="443"/>
      <c r="AC122" s="436" t="str">
        <f>IF(ISNUMBER(VLOOKUP(B122,'New Masses'!A:C,3,FALSE)),VLOOKUP(B122,'New Masses'!A:C,3,FALSE),"")</f>
        <v/>
      </c>
      <c r="AD122" s="451"/>
      <c r="AE122" s="451">
        <f t="shared" ref="AE122:AE143" si="33">10^(AF122)</f>
        <v>0.0000001202264435</v>
      </c>
      <c r="AF122" s="439">
        <v>-6.92</v>
      </c>
      <c r="AG122" s="438"/>
      <c r="AH122" s="459">
        <v>1.79</v>
      </c>
      <c r="AI122" s="436"/>
      <c r="AJ122" s="446" t="str">
        <f>IF(ISNUMBER(VLOOKUP(B122,'New Masses'!A:C,2, FALSE)),VLOOKUP(B122,'New Masses'!A:C,2, FALSE),"")</f>
        <v/>
      </c>
      <c r="AK122" s="436">
        <f t="shared" ref="AK122:AK143" si="34">LOG10(AH122)</f>
        <v>0.252853031</v>
      </c>
      <c r="AL122" s="437"/>
      <c r="AM122" s="437">
        <v>0.28</v>
      </c>
      <c r="AN122" s="479">
        <v>43895.0</v>
      </c>
      <c r="AO122" s="437">
        <v>4.0</v>
      </c>
      <c r="AP122" s="438"/>
      <c r="AQ122" s="454">
        <v>3.1</v>
      </c>
      <c r="AR122" s="438"/>
      <c r="AS122" s="438"/>
      <c r="AT122" s="448"/>
      <c r="AU122" s="449"/>
      <c r="AV122" s="438"/>
      <c r="AW122" s="438"/>
      <c r="AX122" s="450"/>
    </row>
    <row r="123">
      <c r="A123" s="419" t="s">
        <v>796</v>
      </c>
      <c r="B123" s="419" t="s">
        <v>796</v>
      </c>
      <c r="C123" s="436"/>
      <c r="D123" s="436" t="s">
        <v>758</v>
      </c>
      <c r="E123" s="436"/>
      <c r="F123" s="436" t="s">
        <v>2308</v>
      </c>
      <c r="G123" s="437" t="s">
        <v>169</v>
      </c>
      <c r="H123" s="436" t="s">
        <v>759</v>
      </c>
      <c r="I123" s="456">
        <v>41609.0</v>
      </c>
      <c r="J123" s="436">
        <v>6456.54229</v>
      </c>
      <c r="K123" s="419">
        <v>750.0</v>
      </c>
      <c r="L123" s="436" t="s">
        <v>797</v>
      </c>
      <c r="M123" s="457">
        <v>1.0</v>
      </c>
      <c r="N123" s="422">
        <v>14.02</v>
      </c>
      <c r="O123" s="422">
        <v>12.23</v>
      </c>
      <c r="P123" s="422">
        <v>18.21</v>
      </c>
      <c r="Q123" s="436" t="s">
        <v>2175</v>
      </c>
      <c r="R123" s="436" t="s">
        <v>2176</v>
      </c>
      <c r="S123" s="436" t="s">
        <v>2177</v>
      </c>
      <c r="T123" s="419" t="s">
        <v>162</v>
      </c>
      <c r="U123" s="419" t="s">
        <v>2178</v>
      </c>
      <c r="V123" s="440"/>
      <c r="W123" s="458">
        <v>12.882495516931343</v>
      </c>
      <c r="X123" s="438"/>
      <c r="Y123" s="442">
        <f t="shared" si="30"/>
        <v>2.876442367</v>
      </c>
      <c r="Z123" s="442"/>
      <c r="AA123" s="443"/>
      <c r="AB123" s="443"/>
      <c r="AC123" s="436" t="str">
        <f>IF(ISNUMBER(VLOOKUP(B123,'New Masses'!A:C,3,FALSE)),VLOOKUP(B123,'New Masses'!A:C,3,FALSE),"")</f>
        <v/>
      </c>
      <c r="AD123" s="451"/>
      <c r="AE123" s="451">
        <f t="shared" si="33"/>
        <v>0.0000005754399373</v>
      </c>
      <c r="AF123" s="439">
        <v>-6.24</v>
      </c>
      <c r="AG123" s="438"/>
      <c r="AH123" s="459">
        <v>1.83</v>
      </c>
      <c r="AI123" s="436"/>
      <c r="AJ123" s="446" t="str">
        <f>IF(ISNUMBER(VLOOKUP(B123,'New Masses'!A:C,2, FALSE)),VLOOKUP(B123,'New Masses'!A:C,2, FALSE),"")</f>
        <v/>
      </c>
      <c r="AK123" s="436">
        <f t="shared" si="34"/>
        <v>0.2624510897</v>
      </c>
      <c r="AL123" s="437"/>
      <c r="AM123" s="437">
        <v>0.95</v>
      </c>
      <c r="AN123" s="454" t="s">
        <v>2309</v>
      </c>
      <c r="AO123" s="437">
        <v>3.5</v>
      </c>
      <c r="AP123" s="438"/>
      <c r="AQ123" s="454">
        <v>3.64</v>
      </c>
      <c r="AR123" s="438"/>
      <c r="AS123" s="438"/>
      <c r="AT123" s="448"/>
      <c r="AU123" s="452"/>
      <c r="AV123" s="438"/>
      <c r="AW123" s="438"/>
      <c r="AX123" s="450"/>
    </row>
    <row r="124">
      <c r="A124" s="419" t="s">
        <v>781</v>
      </c>
      <c r="B124" s="419" t="s">
        <v>781</v>
      </c>
      <c r="C124" s="436"/>
      <c r="D124" s="436" t="s">
        <v>758</v>
      </c>
      <c r="E124" s="436"/>
      <c r="F124" s="436" t="s">
        <v>2310</v>
      </c>
      <c r="G124" s="437" t="s">
        <v>159</v>
      </c>
      <c r="H124" s="436" t="s">
        <v>759</v>
      </c>
      <c r="I124" s="456">
        <v>41609.0</v>
      </c>
      <c r="J124" s="436">
        <v>6760.829754</v>
      </c>
      <c r="K124" s="419">
        <v>800.0</v>
      </c>
      <c r="L124" s="436" t="s">
        <v>776</v>
      </c>
      <c r="M124" s="457">
        <v>1.0</v>
      </c>
      <c r="N124" s="422">
        <v>14.74</v>
      </c>
      <c r="O124" s="422">
        <v>13.52</v>
      </c>
      <c r="P124" s="422">
        <v>17.4</v>
      </c>
      <c r="Q124" s="436" t="s">
        <v>2175</v>
      </c>
      <c r="R124" s="436" t="s">
        <v>2176</v>
      </c>
      <c r="S124" s="436" t="s">
        <v>2177</v>
      </c>
      <c r="T124" s="419" t="s">
        <v>162</v>
      </c>
      <c r="U124" s="419" t="s">
        <v>2178</v>
      </c>
      <c r="V124" s="440"/>
      <c r="W124" s="458">
        <v>10.0</v>
      </c>
      <c r="X124" s="438"/>
      <c r="Y124" s="442">
        <f t="shared" si="30"/>
        <v>2.311296581</v>
      </c>
      <c r="Z124" s="442"/>
      <c r="AA124" s="443"/>
      <c r="AB124" s="443"/>
      <c r="AC124" s="436" t="str">
        <f>IF(ISNUMBER(VLOOKUP(B124,'New Masses'!A:C,3,FALSE)),VLOOKUP(B124,'New Masses'!A:C,3,FALSE),"")</f>
        <v/>
      </c>
      <c r="AD124" s="451"/>
      <c r="AE124" s="451">
        <f t="shared" si="33"/>
        <v>0.00000001174897555</v>
      </c>
      <c r="AF124" s="439">
        <v>-7.93</v>
      </c>
      <c r="AG124" s="438"/>
      <c r="AH124" s="459">
        <v>1.57</v>
      </c>
      <c r="AI124" s="436"/>
      <c r="AJ124" s="446" t="str">
        <f>IF(ISNUMBER(VLOOKUP(B124,'New Masses'!A:C,2, FALSE)),VLOOKUP(B124,'New Masses'!A:C,2, FALSE),"")</f>
        <v/>
      </c>
      <c r="AK124" s="436">
        <f t="shared" si="34"/>
        <v>0.1958996524</v>
      </c>
      <c r="AL124" s="437"/>
      <c r="AM124" s="437">
        <v>-0.71</v>
      </c>
      <c r="AN124" s="454" t="s">
        <v>2311</v>
      </c>
      <c r="AO124" s="437">
        <v>5.6</v>
      </c>
      <c r="AP124" s="438"/>
      <c r="AQ124" s="454">
        <v>3.0</v>
      </c>
      <c r="AR124" s="438"/>
      <c r="AS124" s="438"/>
      <c r="AT124" s="448"/>
      <c r="AU124" s="449"/>
      <c r="AV124" s="438"/>
      <c r="AW124" s="438"/>
      <c r="AX124" s="450">
        <v>5327.65050612679</v>
      </c>
    </row>
    <row r="125">
      <c r="A125" s="419" t="s">
        <v>784</v>
      </c>
      <c r="B125" s="419" t="s">
        <v>784</v>
      </c>
      <c r="C125" s="436"/>
      <c r="D125" s="436" t="s">
        <v>758</v>
      </c>
      <c r="E125" s="436"/>
      <c r="F125" s="436" t="s">
        <v>2312</v>
      </c>
      <c r="G125" s="437" t="s">
        <v>169</v>
      </c>
      <c r="H125" s="436" t="s">
        <v>759</v>
      </c>
      <c r="I125" s="456">
        <v>41609.0</v>
      </c>
      <c r="J125" s="436">
        <v>7585.77575</v>
      </c>
      <c r="K125" s="419">
        <v>750.0</v>
      </c>
      <c r="L125" s="436" t="s">
        <v>786</v>
      </c>
      <c r="M125" s="457">
        <v>1.0</v>
      </c>
      <c r="N125" s="422">
        <v>14.58</v>
      </c>
      <c r="O125" s="422">
        <v>13.03</v>
      </c>
      <c r="P125" s="422">
        <v>16.98</v>
      </c>
      <c r="Q125" s="436" t="s">
        <v>2175</v>
      </c>
      <c r="R125" s="436" t="s">
        <v>2176</v>
      </c>
      <c r="S125" s="436" t="s">
        <v>2177</v>
      </c>
      <c r="T125" s="419" t="s">
        <v>162</v>
      </c>
      <c r="U125" s="419" t="s">
        <v>2178</v>
      </c>
      <c r="V125" s="440"/>
      <c r="W125" s="458">
        <v>9.549925860214358</v>
      </c>
      <c r="X125" s="438"/>
      <c r="Y125" s="442">
        <f t="shared" si="30"/>
        <v>1.794137307</v>
      </c>
      <c r="Z125" s="442"/>
      <c r="AA125" s="443"/>
      <c r="AB125" s="443"/>
      <c r="AC125" s="436" t="str">
        <f>IF(ISNUMBER(VLOOKUP(B125,'New Masses'!A:C,3,FALSE)),VLOOKUP(B125,'New Masses'!A:C,3,FALSE),"")</f>
        <v/>
      </c>
      <c r="AD125" s="451"/>
      <c r="AE125" s="451">
        <f t="shared" si="33"/>
        <v>0.0000000316227766</v>
      </c>
      <c r="AF125" s="439">
        <v>-7.5</v>
      </c>
      <c r="AG125" s="438"/>
      <c r="AH125" s="459">
        <v>1.6</v>
      </c>
      <c r="AI125" s="436"/>
      <c r="AJ125" s="446" t="str">
        <f>IF(ISNUMBER(VLOOKUP(B125,'New Masses'!A:C,2, FALSE)),VLOOKUP(B125,'New Masses'!A:C,2, FALSE),"")</f>
        <v/>
      </c>
      <c r="AK125" s="436">
        <f t="shared" si="34"/>
        <v>0.2041199827</v>
      </c>
      <c r="AL125" s="437"/>
      <c r="AM125" s="437">
        <v>-0.26</v>
      </c>
      <c r="AN125" s="454" t="s">
        <v>2313</v>
      </c>
      <c r="AO125" s="437">
        <v>5.5</v>
      </c>
      <c r="AP125" s="438"/>
      <c r="AQ125" s="454">
        <v>1.9</v>
      </c>
      <c r="AR125" s="438"/>
      <c r="AS125" s="438"/>
      <c r="AT125" s="448"/>
      <c r="AU125" s="452"/>
      <c r="AV125" s="438"/>
      <c r="AW125" s="438"/>
      <c r="AX125" s="450">
        <v>2926.54375182908</v>
      </c>
    </row>
    <row r="126">
      <c r="A126" s="419" t="s">
        <v>795</v>
      </c>
      <c r="B126" s="419" t="s">
        <v>795</v>
      </c>
      <c r="C126" s="436"/>
      <c r="D126" s="436" t="s">
        <v>758</v>
      </c>
      <c r="E126" s="436"/>
      <c r="F126" s="436" t="s">
        <v>2314</v>
      </c>
      <c r="G126" s="437" t="s">
        <v>159</v>
      </c>
      <c r="H126" s="436" t="s">
        <v>759</v>
      </c>
      <c r="I126" s="456">
        <v>41609.0</v>
      </c>
      <c r="J126" s="436">
        <v>7244.3596</v>
      </c>
      <c r="K126" s="419">
        <v>850.0</v>
      </c>
      <c r="L126" s="436" t="s">
        <v>794</v>
      </c>
      <c r="M126" s="457">
        <v>1.0</v>
      </c>
      <c r="N126" s="422">
        <v>13.87</v>
      </c>
      <c r="O126" s="422">
        <v>12.99</v>
      </c>
      <c r="P126" s="422">
        <v>16.3</v>
      </c>
      <c r="Q126" s="436" t="s">
        <v>2175</v>
      </c>
      <c r="R126" s="436" t="s">
        <v>2176</v>
      </c>
      <c r="S126" s="436" t="s">
        <v>2177</v>
      </c>
      <c r="T126" s="419" t="s">
        <v>162</v>
      </c>
      <c r="U126" s="419" t="s">
        <v>2178</v>
      </c>
      <c r="V126" s="440"/>
      <c r="W126" s="458">
        <v>18.620871366628677</v>
      </c>
      <c r="X126" s="438"/>
      <c r="Y126" s="442">
        <f t="shared" si="30"/>
        <v>2.746981135</v>
      </c>
      <c r="Z126" s="442"/>
      <c r="AA126" s="443"/>
      <c r="AB126" s="443"/>
      <c r="AC126" s="436" t="str">
        <f>IF(ISNUMBER(VLOOKUP(B126,'New Masses'!A:C,3,FALSE)),VLOOKUP(B126,'New Masses'!A:C,3,FALSE),"")</f>
        <v/>
      </c>
      <c r="AD126" s="451"/>
      <c r="AE126" s="451">
        <f t="shared" si="33"/>
        <v>0.00000001412537545</v>
      </c>
      <c r="AF126" s="439">
        <v>-7.85</v>
      </c>
      <c r="AG126" s="438"/>
      <c r="AH126" s="459">
        <v>1.79</v>
      </c>
      <c r="AI126" s="436"/>
      <c r="AJ126" s="446" t="str">
        <f>IF(ISNUMBER(VLOOKUP(B126,'New Masses'!A:C,2, FALSE)),VLOOKUP(B126,'New Masses'!A:C,2, FALSE),"")</f>
        <v/>
      </c>
      <c r="AK126" s="436">
        <f t="shared" si="34"/>
        <v>0.252853031</v>
      </c>
      <c r="AL126" s="437"/>
      <c r="AM126" s="437">
        <v>-0.65</v>
      </c>
      <c r="AN126" s="454" t="s">
        <v>2315</v>
      </c>
      <c r="AO126" s="437">
        <v>3.9</v>
      </c>
      <c r="AP126" s="438"/>
      <c r="AQ126" s="454">
        <v>2.28</v>
      </c>
      <c r="AR126" s="438"/>
      <c r="AS126" s="438"/>
      <c r="AT126" s="448"/>
      <c r="AU126" s="449"/>
      <c r="AV126" s="438"/>
      <c r="AW126" s="438"/>
      <c r="AX126" s="450">
        <v>6635.700066357</v>
      </c>
    </row>
    <row r="127">
      <c r="A127" s="419" t="s">
        <v>775</v>
      </c>
      <c r="B127" s="419" t="s">
        <v>775</v>
      </c>
      <c r="C127" s="436"/>
      <c r="D127" s="436" t="s">
        <v>758</v>
      </c>
      <c r="E127" s="436"/>
      <c r="F127" s="436" t="s">
        <v>2316</v>
      </c>
      <c r="G127" s="437" t="s">
        <v>169</v>
      </c>
      <c r="H127" s="436" t="s">
        <v>759</v>
      </c>
      <c r="I127" s="456">
        <v>41609.0</v>
      </c>
      <c r="J127" s="436">
        <v>6760.82975</v>
      </c>
      <c r="K127" s="419">
        <v>800.0</v>
      </c>
      <c r="L127" s="436" t="s">
        <v>776</v>
      </c>
      <c r="M127" s="457">
        <v>1.0</v>
      </c>
      <c r="N127" s="422">
        <v>15.31</v>
      </c>
      <c r="O127" s="422">
        <v>13.85</v>
      </c>
      <c r="P127" s="422">
        <v>17.08</v>
      </c>
      <c r="Q127" s="436" t="s">
        <v>2175</v>
      </c>
      <c r="R127" s="436" t="s">
        <v>2176</v>
      </c>
      <c r="S127" s="436" t="s">
        <v>2177</v>
      </c>
      <c r="T127" s="419" t="s">
        <v>162</v>
      </c>
      <c r="U127" s="419" t="s">
        <v>2178</v>
      </c>
      <c r="V127" s="440"/>
      <c r="W127" s="458">
        <v>4.570881896148751</v>
      </c>
      <c r="X127" s="438"/>
      <c r="Y127" s="442">
        <f t="shared" si="30"/>
        <v>1.562628271</v>
      </c>
      <c r="Z127" s="442"/>
      <c r="AA127" s="443"/>
      <c r="AB127" s="443"/>
      <c r="AC127" s="436" t="str">
        <f>IF(ISNUMBER(VLOOKUP(B127,'New Masses'!A:C,3,FALSE)),VLOOKUP(B127,'New Masses'!A:C,3,FALSE),"")</f>
        <v/>
      </c>
      <c r="AD127" s="451"/>
      <c r="AE127" s="451">
        <f t="shared" si="33"/>
        <v>0.00000001258925412</v>
      </c>
      <c r="AF127" s="439">
        <v>-7.9</v>
      </c>
      <c r="AG127" s="438"/>
      <c r="AH127" s="459">
        <v>1.26</v>
      </c>
      <c r="AI127" s="436"/>
      <c r="AJ127" s="446" t="str">
        <f>IF(ISNUMBER(VLOOKUP(B127,'New Masses'!A:C,2, FALSE)),VLOOKUP(B127,'New Masses'!A:C,2, FALSE),"")</f>
        <v/>
      </c>
      <c r="AK127" s="436">
        <f t="shared" si="34"/>
        <v>0.1003705451</v>
      </c>
      <c r="AL127" s="437"/>
      <c r="AM127" s="437">
        <v>-0.6</v>
      </c>
      <c r="AN127" s="454" t="s">
        <v>2317</v>
      </c>
      <c r="AO127" s="437">
        <v>10.9</v>
      </c>
      <c r="AP127" s="438"/>
      <c r="AQ127" s="454">
        <v>1.3</v>
      </c>
      <c r="AR127" s="438"/>
      <c r="AS127" s="438"/>
      <c r="AT127" s="448"/>
      <c r="AU127" s="452"/>
      <c r="AV127" s="438"/>
      <c r="AW127" s="438"/>
      <c r="AX127" s="450">
        <v>2652.5198938992</v>
      </c>
    </row>
    <row r="128">
      <c r="A128" s="419" t="s">
        <v>791</v>
      </c>
      <c r="B128" s="419" t="s">
        <v>791</v>
      </c>
      <c r="C128" s="436"/>
      <c r="D128" s="436" t="s">
        <v>758</v>
      </c>
      <c r="E128" s="436"/>
      <c r="F128" s="436" t="s">
        <v>2318</v>
      </c>
      <c r="G128" s="437" t="s">
        <v>169</v>
      </c>
      <c r="H128" s="436" t="s">
        <v>759</v>
      </c>
      <c r="I128" s="456">
        <v>41609.0</v>
      </c>
      <c r="J128" s="436">
        <v>6025.595861</v>
      </c>
      <c r="K128" s="419">
        <v>700.0</v>
      </c>
      <c r="L128" s="436" t="s">
        <v>792</v>
      </c>
      <c r="M128" s="457">
        <v>1.0</v>
      </c>
      <c r="N128" s="422">
        <v>14.83</v>
      </c>
      <c r="O128" s="422">
        <v>13.48</v>
      </c>
      <c r="P128" s="422">
        <v>17.26</v>
      </c>
      <c r="Q128" s="436" t="s">
        <v>2175</v>
      </c>
      <c r="R128" s="436" t="s">
        <v>2176</v>
      </c>
      <c r="S128" s="436" t="s">
        <v>2177</v>
      </c>
      <c r="T128" s="419" t="s">
        <v>162</v>
      </c>
      <c r="U128" s="419" t="s">
        <v>2178</v>
      </c>
      <c r="V128" s="440"/>
      <c r="W128" s="458">
        <v>7.5857757502918375</v>
      </c>
      <c r="X128" s="438"/>
      <c r="Y128" s="442">
        <f t="shared" si="30"/>
        <v>2.534286306</v>
      </c>
      <c r="Z128" s="442"/>
      <c r="AA128" s="443"/>
      <c r="AB128" s="443"/>
      <c r="AC128" s="436" t="str">
        <f>IF(ISNUMBER(VLOOKUP(B128,'New Masses'!A:C,3,FALSE)),VLOOKUP(B128,'New Masses'!A:C,3,FALSE),"")</f>
        <v/>
      </c>
      <c r="AD128" s="451"/>
      <c r="AE128" s="451">
        <f t="shared" si="33"/>
        <v>0.00000002041737945</v>
      </c>
      <c r="AF128" s="439">
        <v>-7.69</v>
      </c>
      <c r="AG128" s="438"/>
      <c r="AH128" s="459">
        <v>1.75</v>
      </c>
      <c r="AI128" s="436"/>
      <c r="AJ128" s="446" t="str">
        <f>IF(ISNUMBER(VLOOKUP(B128,'New Masses'!A:C,2, FALSE)),VLOOKUP(B128,'New Masses'!A:C,2, FALSE),"")</f>
        <v/>
      </c>
      <c r="AK128" s="436">
        <f t="shared" si="34"/>
        <v>0.2430380487</v>
      </c>
      <c r="AL128" s="437"/>
      <c r="AM128" s="437">
        <v>-0.46</v>
      </c>
      <c r="AN128" s="454" t="s">
        <v>2319</v>
      </c>
      <c r="AO128" s="437">
        <v>3.3</v>
      </c>
      <c r="AP128" s="438"/>
      <c r="AQ128" s="454">
        <v>2.52</v>
      </c>
      <c r="AR128" s="438"/>
      <c r="AS128" s="438"/>
      <c r="AT128" s="448"/>
      <c r="AU128" s="449"/>
      <c r="AV128" s="438"/>
      <c r="AW128" s="438"/>
      <c r="AX128" s="450"/>
    </row>
    <row r="129">
      <c r="A129" s="419" t="s">
        <v>778</v>
      </c>
      <c r="B129" s="419" t="s">
        <v>778</v>
      </c>
      <c r="C129" s="436"/>
      <c r="D129" s="436" t="s">
        <v>758</v>
      </c>
      <c r="E129" s="436"/>
      <c r="F129" s="436" t="s">
        <v>2320</v>
      </c>
      <c r="G129" s="437" t="s">
        <v>257</v>
      </c>
      <c r="H129" s="436" t="s">
        <v>759</v>
      </c>
      <c r="I129" s="456">
        <v>41609.0</v>
      </c>
      <c r="J129" s="436">
        <v>5623.41325</v>
      </c>
      <c r="K129" s="419">
        <v>650.0</v>
      </c>
      <c r="L129" s="436" t="s">
        <v>779</v>
      </c>
      <c r="M129" s="457">
        <v>1.0</v>
      </c>
      <c r="N129" s="422">
        <v>15.79</v>
      </c>
      <c r="O129" s="422">
        <v>14.0</v>
      </c>
      <c r="P129" s="422">
        <v>17.97</v>
      </c>
      <c r="Q129" s="436" t="s">
        <v>2175</v>
      </c>
      <c r="R129" s="436" t="s">
        <v>2176</v>
      </c>
      <c r="S129" s="436" t="s">
        <v>2177</v>
      </c>
      <c r="T129" s="419" t="s">
        <v>162</v>
      </c>
      <c r="U129" s="419" t="s">
        <v>2178</v>
      </c>
      <c r="V129" s="440"/>
      <c r="W129" s="458">
        <v>2.6302679918953817</v>
      </c>
      <c r="X129" s="438"/>
      <c r="Y129" s="442">
        <f t="shared" si="30"/>
        <v>1.713387827</v>
      </c>
      <c r="Z129" s="442"/>
      <c r="AA129" s="443"/>
      <c r="AB129" s="443"/>
      <c r="AC129" s="436" t="str">
        <f>IF(ISNUMBER(VLOOKUP(B129,'New Masses'!A:C,3,FALSE)),VLOOKUP(B129,'New Masses'!A:C,3,FALSE),"")</f>
        <v/>
      </c>
      <c r="AD129" s="451"/>
      <c r="AE129" s="451">
        <f t="shared" si="33"/>
        <v>0.00000001122018454</v>
      </c>
      <c r="AF129" s="439">
        <v>-7.95</v>
      </c>
      <c r="AG129" s="438"/>
      <c r="AH129" s="459">
        <v>1.36</v>
      </c>
      <c r="AI129" s="436"/>
      <c r="AJ129" s="446" t="str">
        <f>IF(ISNUMBER(VLOOKUP(B129,'New Masses'!A:C,2, FALSE)),VLOOKUP(B129,'New Masses'!A:C,2, FALSE),"")</f>
        <v/>
      </c>
      <c r="AK129" s="436">
        <f t="shared" si="34"/>
        <v>0.1335389084</v>
      </c>
      <c r="AL129" s="437"/>
      <c r="AM129" s="437">
        <v>-0.67</v>
      </c>
      <c r="AN129" s="454" t="s">
        <v>2321</v>
      </c>
      <c r="AO129" s="437">
        <v>4.3</v>
      </c>
      <c r="AP129" s="438"/>
      <c r="AQ129" s="454">
        <v>1.7</v>
      </c>
      <c r="AR129" s="438"/>
      <c r="AS129" s="438"/>
      <c r="AT129" s="448"/>
      <c r="AU129" s="452"/>
      <c r="AV129" s="438"/>
      <c r="AW129" s="438"/>
      <c r="AX129" s="450">
        <v>3827.01875239188</v>
      </c>
    </row>
    <row r="130">
      <c r="A130" s="419" t="s">
        <v>802</v>
      </c>
      <c r="B130" s="419" t="s">
        <v>802</v>
      </c>
      <c r="C130" s="436"/>
      <c r="D130" s="436" t="s">
        <v>758</v>
      </c>
      <c r="E130" s="436"/>
      <c r="F130" s="436" t="s">
        <v>2322</v>
      </c>
      <c r="G130" s="437" t="s">
        <v>257</v>
      </c>
      <c r="H130" s="436" t="s">
        <v>759</v>
      </c>
      <c r="I130" s="456">
        <v>41609.0</v>
      </c>
      <c r="J130" s="436">
        <f>10^3.87</f>
        <v>7413.102413</v>
      </c>
      <c r="K130" s="419">
        <v>800.0</v>
      </c>
      <c r="L130" s="436" t="s">
        <v>803</v>
      </c>
      <c r="M130" s="457">
        <v>1.5</v>
      </c>
      <c r="N130" s="422">
        <v>13.895</v>
      </c>
      <c r="O130" s="422">
        <v>12.901</v>
      </c>
      <c r="P130" s="422"/>
      <c r="Q130" s="436" t="s">
        <v>2175</v>
      </c>
      <c r="R130" s="436" t="s">
        <v>2176</v>
      </c>
      <c r="S130" s="436" t="s">
        <v>2177</v>
      </c>
      <c r="T130" s="419" t="s">
        <v>162</v>
      </c>
      <c r="U130" s="419" t="s">
        <v>2178</v>
      </c>
      <c r="V130" s="440"/>
      <c r="W130" s="458">
        <v>25.118864315095795</v>
      </c>
      <c r="X130" s="438"/>
      <c r="Y130" s="442">
        <f t="shared" si="30"/>
        <v>3.046882293</v>
      </c>
      <c r="Z130" s="442"/>
      <c r="AA130" s="443"/>
      <c r="AB130" s="443"/>
      <c r="AC130" s="436" t="str">
        <f>IF(ISNUMBER(VLOOKUP(B130,'New Masses'!A:C,3,FALSE)),VLOOKUP(B130,'New Masses'!A:C,3,FALSE),"")</f>
        <v/>
      </c>
      <c r="AD130" s="451"/>
      <c r="AE130" s="451">
        <f t="shared" si="33"/>
        <v>0.00000006309573445</v>
      </c>
      <c r="AF130" s="439">
        <v>-7.2</v>
      </c>
      <c r="AG130" s="438"/>
      <c r="AH130" s="459">
        <v>2.08</v>
      </c>
      <c r="AI130" s="436"/>
      <c r="AJ130" s="446" t="str">
        <f>IF(ISNUMBER(VLOOKUP(B130,'New Masses'!A:C,2, FALSE)),VLOOKUP(B130,'New Masses'!A:C,2, FALSE),"")</f>
        <v/>
      </c>
      <c r="AK130" s="436">
        <f t="shared" si="34"/>
        <v>0.318063335</v>
      </c>
      <c r="AL130" s="437"/>
      <c r="AM130" s="437">
        <v>-0.04</v>
      </c>
      <c r="AN130" s="454" t="s">
        <v>2323</v>
      </c>
      <c r="AO130" s="437">
        <v>2.7</v>
      </c>
      <c r="AP130" s="438"/>
      <c r="AQ130" s="454">
        <v>1.93</v>
      </c>
      <c r="AR130" s="454">
        <v>0.15</v>
      </c>
      <c r="AS130" s="438"/>
      <c r="AT130" s="448"/>
      <c r="AU130" s="449"/>
      <c r="AV130" s="438"/>
      <c r="AW130" s="438"/>
      <c r="AX130" s="450">
        <v>5263.15789473684</v>
      </c>
    </row>
    <row r="131">
      <c r="A131" s="419" t="s">
        <v>800</v>
      </c>
      <c r="B131" s="419" t="s">
        <v>800</v>
      </c>
      <c r="C131" s="419"/>
      <c r="D131" s="436" t="s">
        <v>758</v>
      </c>
      <c r="E131" s="436"/>
      <c r="F131" s="436" t="s">
        <v>2324</v>
      </c>
      <c r="G131" s="437" t="s">
        <v>257</v>
      </c>
      <c r="H131" s="436" t="s">
        <v>759</v>
      </c>
      <c r="I131" s="456">
        <v>41609.0</v>
      </c>
      <c r="J131" s="438">
        <f>10^3.85</f>
        <v>7079.457844</v>
      </c>
      <c r="K131" s="454">
        <v>800.0</v>
      </c>
      <c r="L131" s="419" t="s">
        <v>801</v>
      </c>
      <c r="M131" s="457">
        <v>1.5</v>
      </c>
      <c r="N131" s="422">
        <v>14.476</v>
      </c>
      <c r="O131" s="422">
        <v>13.671</v>
      </c>
      <c r="P131" s="422"/>
      <c r="Q131" s="436" t="s">
        <v>2175</v>
      </c>
      <c r="R131" s="436" t="s">
        <v>2176</v>
      </c>
      <c r="S131" s="436" t="s">
        <v>2177</v>
      </c>
      <c r="T131" s="419" t="s">
        <v>162</v>
      </c>
      <c r="U131" s="419" t="s">
        <v>2178</v>
      </c>
      <c r="V131" s="440"/>
      <c r="W131" s="458">
        <v>23.988329190194897</v>
      </c>
      <c r="X131" s="438"/>
      <c r="Y131" s="442">
        <f t="shared" si="30"/>
        <v>3.264793197</v>
      </c>
      <c r="Z131" s="442"/>
      <c r="AA131" s="443"/>
      <c r="AB131" s="443"/>
      <c r="AC131" s="436" t="str">
        <f>IF(ISNUMBER(VLOOKUP(B131,'New Masses'!A:C,3,FALSE)),VLOOKUP(B131,'New Masses'!A:C,3,FALSE),"")</f>
        <v/>
      </c>
      <c r="AD131" s="451"/>
      <c r="AE131" s="451">
        <f t="shared" si="33"/>
        <v>0.0000001621810097</v>
      </c>
      <c r="AF131" s="439">
        <v>-6.79</v>
      </c>
      <c r="AG131" s="438"/>
      <c r="AH131" s="459">
        <v>2.0</v>
      </c>
      <c r="AI131" s="436"/>
      <c r="AJ131" s="446" t="str">
        <f>IF(ISNUMBER(VLOOKUP(B131,'New Masses'!A:C,2, FALSE)),VLOOKUP(B131,'New Masses'!A:C,2, FALSE),"")</f>
        <v/>
      </c>
      <c r="AK131" s="436">
        <f t="shared" si="34"/>
        <v>0.3010299957</v>
      </c>
      <c r="AL131" s="437"/>
      <c r="AM131" s="437">
        <v>0.38</v>
      </c>
      <c r="AN131" s="479">
        <v>43865.0</v>
      </c>
      <c r="AO131" s="437">
        <v>3.0</v>
      </c>
      <c r="AP131" s="438"/>
      <c r="AQ131" s="454">
        <v>2.45</v>
      </c>
      <c r="AR131" s="454">
        <v>0.15</v>
      </c>
      <c r="AS131" s="438"/>
      <c r="AT131" s="448"/>
      <c r="AU131" s="452"/>
      <c r="AV131" s="438"/>
      <c r="AW131" s="438"/>
      <c r="AX131" s="450">
        <v>8333.33333333333</v>
      </c>
    </row>
    <row r="132">
      <c r="A132" s="419" t="s">
        <v>767</v>
      </c>
      <c r="B132" s="419" t="s">
        <v>767</v>
      </c>
      <c r="C132" s="436"/>
      <c r="D132" s="436" t="s">
        <v>758</v>
      </c>
      <c r="E132" s="436"/>
      <c r="F132" s="436" t="s">
        <v>2325</v>
      </c>
      <c r="G132" s="437" t="s">
        <v>169</v>
      </c>
      <c r="H132" s="436" t="s">
        <v>759</v>
      </c>
      <c r="I132" s="456">
        <v>41609.0</v>
      </c>
      <c r="J132" s="436">
        <v>4897.78819</v>
      </c>
      <c r="K132" s="419">
        <v>550.0</v>
      </c>
      <c r="L132" s="436" t="s">
        <v>768</v>
      </c>
      <c r="M132" s="457">
        <v>1.0</v>
      </c>
      <c r="N132" s="422">
        <v>16.27</v>
      </c>
      <c r="O132" s="422">
        <v>14.51</v>
      </c>
      <c r="P132" s="422">
        <v>20.24</v>
      </c>
      <c r="Q132" s="436" t="s">
        <v>2175</v>
      </c>
      <c r="R132" s="436" t="s">
        <v>2176</v>
      </c>
      <c r="S132" s="436" t="s">
        <v>2177</v>
      </c>
      <c r="T132" s="419" t="s">
        <v>162</v>
      </c>
      <c r="U132" s="419" t="s">
        <v>2178</v>
      </c>
      <c r="V132" s="440"/>
      <c r="W132" s="458">
        <v>1.9054607179632472</v>
      </c>
      <c r="X132" s="438"/>
      <c r="Y132" s="442">
        <f t="shared" si="30"/>
        <v>1.922452763</v>
      </c>
      <c r="Z132" s="442"/>
      <c r="AA132" s="443"/>
      <c r="AB132" s="443"/>
      <c r="AC132" s="436" t="str">
        <f>IF(ISNUMBER(VLOOKUP(B132,'New Masses'!A:C,3,FALSE)),VLOOKUP(B132,'New Masses'!A:C,3,FALSE),"")</f>
        <v/>
      </c>
      <c r="AD132" s="451"/>
      <c r="AE132" s="451">
        <f t="shared" si="33"/>
        <v>0.00000002454708916</v>
      </c>
      <c r="AF132" s="439">
        <v>-7.61</v>
      </c>
      <c r="AG132" s="454">
        <v>1100.0</v>
      </c>
      <c r="AH132" s="459">
        <v>1.05</v>
      </c>
      <c r="AI132" s="436"/>
      <c r="AJ132" s="446" t="str">
        <f>IF(ISNUMBER(VLOOKUP(B132,'New Masses'!A:C,2, FALSE)),VLOOKUP(B132,'New Masses'!A:C,2, FALSE),"")</f>
        <v/>
      </c>
      <c r="AK132" s="436">
        <f t="shared" si="34"/>
        <v>0.02118929907</v>
      </c>
      <c r="AL132" s="437"/>
      <c r="AM132" s="437">
        <v>-0.49</v>
      </c>
      <c r="AN132" s="454" t="s">
        <v>2326</v>
      </c>
      <c r="AO132" s="437">
        <v>1.5</v>
      </c>
      <c r="AP132" s="438"/>
      <c r="AQ132" s="454">
        <v>1.89</v>
      </c>
      <c r="AR132" s="438"/>
      <c r="AS132" s="438"/>
      <c r="AT132" s="448"/>
      <c r="AU132" s="449"/>
      <c r="AV132" s="438"/>
      <c r="AW132" s="438"/>
      <c r="AX132" s="450"/>
    </row>
    <row r="133">
      <c r="A133" s="419" t="s">
        <v>789</v>
      </c>
      <c r="B133" s="419" t="s">
        <v>789</v>
      </c>
      <c r="C133" s="436"/>
      <c r="D133" s="436" t="s">
        <v>758</v>
      </c>
      <c r="E133" s="436"/>
      <c r="F133" s="436" t="s">
        <v>2327</v>
      </c>
      <c r="G133" s="437" t="s">
        <v>257</v>
      </c>
      <c r="H133" s="436" t="s">
        <v>759</v>
      </c>
      <c r="I133" s="456">
        <v>41609.0</v>
      </c>
      <c r="J133" s="436">
        <v>8128.305162</v>
      </c>
      <c r="K133" s="419">
        <v>800.0</v>
      </c>
      <c r="L133" s="436" t="s">
        <v>790</v>
      </c>
      <c r="M133" s="457">
        <v>1.0</v>
      </c>
      <c r="N133" s="422">
        <v>14.624</v>
      </c>
      <c r="O133" s="422">
        <v>13.84</v>
      </c>
      <c r="P133" s="422">
        <v>16.56</v>
      </c>
      <c r="Q133" s="436" t="s">
        <v>2175</v>
      </c>
      <c r="R133" s="436" t="s">
        <v>2176</v>
      </c>
      <c r="S133" s="436" t="s">
        <v>2177</v>
      </c>
      <c r="T133" s="419" t="s">
        <v>162</v>
      </c>
      <c r="U133" s="419" t="s">
        <v>2178</v>
      </c>
      <c r="V133" s="440"/>
      <c r="W133" s="458">
        <v>33.884415613920254</v>
      </c>
      <c r="X133" s="438"/>
      <c r="Y133" s="442">
        <f t="shared" si="30"/>
        <v>2.943443317</v>
      </c>
      <c r="Z133" s="442"/>
      <c r="AA133" s="443"/>
      <c r="AB133" s="443"/>
      <c r="AC133" s="436" t="str">
        <f>IF(ISNUMBER(VLOOKUP(B133,'New Masses'!A:C,3,FALSE)),VLOOKUP(B133,'New Masses'!A:C,3,FALSE),"")</f>
        <v/>
      </c>
      <c r="AD133" s="451"/>
      <c r="AE133" s="451">
        <f t="shared" si="33"/>
        <v>0.0000001513561248</v>
      </c>
      <c r="AF133" s="439">
        <v>-6.82</v>
      </c>
      <c r="AG133" s="438"/>
      <c r="AH133" s="459">
        <v>1.75</v>
      </c>
      <c r="AI133" s="436"/>
      <c r="AJ133" s="446" t="str">
        <f>IF(ISNUMBER(VLOOKUP(B133,'New Masses'!A:C,2, FALSE)),VLOOKUP(B133,'New Masses'!A:C,2, FALSE),"")</f>
        <v/>
      </c>
      <c r="AK133" s="436">
        <f t="shared" si="34"/>
        <v>0.2430380487</v>
      </c>
      <c r="AL133" s="437"/>
      <c r="AM133" s="437">
        <v>0.48</v>
      </c>
      <c r="AN133" s="454" t="s">
        <v>2328</v>
      </c>
      <c r="AO133" s="437">
        <v>4.1</v>
      </c>
      <c r="AP133" s="438"/>
      <c r="AQ133" s="454">
        <v>2.45</v>
      </c>
      <c r="AR133" s="454">
        <v>0.15</v>
      </c>
      <c r="AS133" s="438"/>
      <c r="AT133" s="448"/>
      <c r="AU133" s="452"/>
      <c r="AV133" s="438"/>
      <c r="AW133" s="438"/>
      <c r="AX133" s="450">
        <v>8532.42320819112</v>
      </c>
    </row>
    <row r="134">
      <c r="A134" s="419" t="s">
        <v>777</v>
      </c>
      <c r="B134" s="419" t="s">
        <v>777</v>
      </c>
      <c r="C134" s="436"/>
      <c r="D134" s="436" t="s">
        <v>758</v>
      </c>
      <c r="E134" s="436"/>
      <c r="F134" s="436" t="s">
        <v>2329</v>
      </c>
      <c r="G134" s="437" t="s">
        <v>169</v>
      </c>
      <c r="H134" s="436" t="s">
        <v>759</v>
      </c>
      <c r="I134" s="456">
        <v>41609.0</v>
      </c>
      <c r="J134" s="436">
        <v>6918.30971</v>
      </c>
      <c r="K134" s="419">
        <v>800.0</v>
      </c>
      <c r="L134" s="436" t="s">
        <v>774</v>
      </c>
      <c r="M134" s="457">
        <v>1.0</v>
      </c>
      <c r="N134" s="422">
        <v>15.36</v>
      </c>
      <c r="O134" s="422">
        <v>13.77</v>
      </c>
      <c r="P134" s="422">
        <v>18.66</v>
      </c>
      <c r="Q134" s="436" t="s">
        <v>2175</v>
      </c>
      <c r="R134" s="436" t="s">
        <v>2176</v>
      </c>
      <c r="S134" s="436" t="s">
        <v>2177</v>
      </c>
      <c r="T134" s="419" t="s">
        <v>162</v>
      </c>
      <c r="U134" s="419" t="s">
        <v>2178</v>
      </c>
      <c r="V134" s="440"/>
      <c r="W134" s="458">
        <v>5.495408738576245</v>
      </c>
      <c r="X134" s="438"/>
      <c r="Y134" s="442">
        <f t="shared" si="30"/>
        <v>1.636272671</v>
      </c>
      <c r="Z134" s="442"/>
      <c r="AA134" s="443"/>
      <c r="AB134" s="443"/>
      <c r="AC134" s="436" t="str">
        <f>IF(ISNUMBER(VLOOKUP(B134,'New Masses'!A:C,3,FALSE)),VLOOKUP(B134,'New Masses'!A:C,3,FALSE),"")</f>
        <v/>
      </c>
      <c r="AD134" s="451"/>
      <c r="AE134" s="451">
        <f t="shared" si="33"/>
        <v>0.00000004365158322</v>
      </c>
      <c r="AF134" s="439">
        <v>-7.36</v>
      </c>
      <c r="AG134" s="438"/>
      <c r="AH134" s="459">
        <v>1.3</v>
      </c>
      <c r="AI134" s="436"/>
      <c r="AJ134" s="446" t="str">
        <f>IF(ISNUMBER(VLOOKUP(B134,'New Masses'!A:C,2, FALSE)),VLOOKUP(B134,'New Masses'!A:C,2, FALSE),"")</f>
        <v/>
      </c>
      <c r="AK134" s="436">
        <f t="shared" si="34"/>
        <v>0.1139433523</v>
      </c>
      <c r="AL134" s="437"/>
      <c r="AM134" s="437">
        <v>-0.07</v>
      </c>
      <c r="AN134" s="454" t="s">
        <v>2330</v>
      </c>
      <c r="AO134" s="437">
        <v>9.5</v>
      </c>
      <c r="AP134" s="438"/>
      <c r="AQ134" s="454">
        <v>3.14</v>
      </c>
      <c r="AR134" s="438"/>
      <c r="AS134" s="438"/>
      <c r="AT134" s="448"/>
      <c r="AU134" s="449"/>
      <c r="AV134" s="438"/>
      <c r="AW134" s="438"/>
      <c r="AX134" s="450"/>
    </row>
    <row r="135">
      <c r="A135" s="419" t="s">
        <v>804</v>
      </c>
      <c r="B135" s="419" t="s">
        <v>804</v>
      </c>
      <c r="C135" s="436"/>
      <c r="D135" s="436" t="s">
        <v>758</v>
      </c>
      <c r="E135" s="436"/>
      <c r="F135" s="436" t="s">
        <v>2331</v>
      </c>
      <c r="G135" s="437" t="s">
        <v>169</v>
      </c>
      <c r="H135" s="436" t="s">
        <v>759</v>
      </c>
      <c r="I135" s="456">
        <v>41609.0</v>
      </c>
      <c r="J135" s="436">
        <v>5888.43655</v>
      </c>
      <c r="K135" s="419">
        <v>700.0</v>
      </c>
      <c r="L135" s="436" t="s">
        <v>772</v>
      </c>
      <c r="M135" s="457">
        <v>1.0</v>
      </c>
      <c r="N135" s="422">
        <v>14.0</v>
      </c>
      <c r="O135" s="422">
        <v>12.62</v>
      </c>
      <c r="P135" s="422">
        <v>15.83</v>
      </c>
      <c r="Q135" s="436" t="s">
        <v>2175</v>
      </c>
      <c r="R135" s="436" t="s">
        <v>2176</v>
      </c>
      <c r="S135" s="436" t="s">
        <v>2177</v>
      </c>
      <c r="T135" s="419" t="s">
        <v>162</v>
      </c>
      <c r="U135" s="419" t="s">
        <v>2178</v>
      </c>
      <c r="V135" s="440"/>
      <c r="W135" s="458">
        <v>18.197008586099834</v>
      </c>
      <c r="X135" s="438"/>
      <c r="Y135" s="442">
        <f t="shared" si="30"/>
        <v>4.110131125</v>
      </c>
      <c r="Z135" s="442"/>
      <c r="AA135" s="443"/>
      <c r="AB135" s="443"/>
      <c r="AC135" s="436" t="str">
        <f>IF(ISNUMBER(VLOOKUP(B135,'New Masses'!A:C,3,FALSE)),VLOOKUP(B135,'New Masses'!A:C,3,FALSE),"")</f>
        <v/>
      </c>
      <c r="AD135" s="451"/>
      <c r="AE135" s="451">
        <f t="shared" si="33"/>
        <v>0.000000008511380382</v>
      </c>
      <c r="AF135" s="439">
        <v>-8.07</v>
      </c>
      <c r="AG135" s="438"/>
      <c r="AH135" s="459">
        <v>2.16</v>
      </c>
      <c r="AI135" s="436"/>
      <c r="AJ135" s="446" t="str">
        <f>IF(ISNUMBER(VLOOKUP(B135,'New Masses'!A:C,2, FALSE)),VLOOKUP(B135,'New Masses'!A:C,2, FALSE),"")</f>
        <v/>
      </c>
      <c r="AK135" s="436">
        <f t="shared" si="34"/>
        <v>0.3344537512</v>
      </c>
      <c r="AL135" s="437"/>
      <c r="AM135" s="437">
        <v>-0.92</v>
      </c>
      <c r="AN135" s="479">
        <v>43833.0</v>
      </c>
      <c r="AO135" s="437">
        <v>2.0</v>
      </c>
      <c r="AP135" s="438"/>
      <c r="AQ135" s="454">
        <v>2.06</v>
      </c>
      <c r="AR135" s="454">
        <v>0.15</v>
      </c>
      <c r="AS135" s="438"/>
      <c r="AT135" s="448"/>
      <c r="AU135" s="452"/>
      <c r="AV135" s="438"/>
      <c r="AW135" s="438"/>
      <c r="AX135" s="450">
        <v>17271.1571675302</v>
      </c>
    </row>
    <row r="136">
      <c r="A136" s="419" t="s">
        <v>805</v>
      </c>
      <c r="B136" s="419" t="s">
        <v>805</v>
      </c>
      <c r="C136" s="436"/>
      <c r="D136" s="436" t="s">
        <v>758</v>
      </c>
      <c r="E136" s="436"/>
      <c r="F136" s="436" t="s">
        <v>2332</v>
      </c>
      <c r="G136" s="437" t="s">
        <v>169</v>
      </c>
      <c r="H136" s="436" t="s">
        <v>759</v>
      </c>
      <c r="I136" s="456">
        <v>41609.0</v>
      </c>
      <c r="J136" s="436">
        <v>8128.305162</v>
      </c>
      <c r="K136" s="419">
        <v>950.0</v>
      </c>
      <c r="L136" s="436" t="s">
        <v>790</v>
      </c>
      <c r="M136" s="457">
        <v>1.0</v>
      </c>
      <c r="N136" s="422">
        <v>13.15</v>
      </c>
      <c r="O136" s="422">
        <v>12.535</v>
      </c>
      <c r="P136" s="422">
        <v>15.05</v>
      </c>
      <c r="Q136" s="436" t="s">
        <v>2175</v>
      </c>
      <c r="R136" s="436" t="s">
        <v>2176</v>
      </c>
      <c r="S136" s="436" t="s">
        <v>2177</v>
      </c>
      <c r="T136" s="419" t="s">
        <v>162</v>
      </c>
      <c r="U136" s="419" t="s">
        <v>2178</v>
      </c>
      <c r="V136" s="440"/>
      <c r="W136" s="458">
        <v>67.60829753919819</v>
      </c>
      <c r="X136" s="438"/>
      <c r="Y136" s="442">
        <f t="shared" si="30"/>
        <v>4.157724195</v>
      </c>
      <c r="Z136" s="442"/>
      <c r="AA136" s="443"/>
      <c r="AB136" s="443"/>
      <c r="AC136" s="436" t="str">
        <f>IF(ISNUMBER(VLOOKUP(B136,'New Masses'!A:C,3,FALSE)),VLOOKUP(B136,'New Masses'!A:C,3,FALSE),"")</f>
        <v/>
      </c>
      <c r="AD136" s="451"/>
      <c r="AE136" s="451">
        <f t="shared" si="33"/>
        <v>0.0000002187761624</v>
      </c>
      <c r="AF136" s="439">
        <v>-6.66</v>
      </c>
      <c r="AG136" s="438"/>
      <c r="AH136" s="459">
        <v>2.62</v>
      </c>
      <c r="AI136" s="436"/>
      <c r="AJ136" s="446" t="str">
        <f>IF(ISNUMBER(VLOOKUP(B136,'New Masses'!A:C,2, FALSE)),VLOOKUP(B136,'New Masses'!A:C,2, FALSE),"")</f>
        <v/>
      </c>
      <c r="AK136" s="436">
        <f t="shared" si="34"/>
        <v>0.4183012913</v>
      </c>
      <c r="AL136" s="437"/>
      <c r="AM136" s="437">
        <v>0.53</v>
      </c>
      <c r="AN136" s="454" t="s">
        <v>2326</v>
      </c>
      <c r="AO136" s="437">
        <v>1.5</v>
      </c>
      <c r="AP136" s="438"/>
      <c r="AQ136" s="454">
        <v>2.11</v>
      </c>
      <c r="AR136" s="438"/>
      <c r="AS136" s="438"/>
      <c r="AT136" s="448"/>
      <c r="AU136" s="449"/>
      <c r="AV136" s="438"/>
      <c r="AW136" s="438"/>
      <c r="AX136" s="450">
        <v>5540.16620498615</v>
      </c>
    </row>
    <row r="137">
      <c r="A137" s="419" t="s">
        <v>771</v>
      </c>
      <c r="B137" s="419" t="s">
        <v>771</v>
      </c>
      <c r="C137" s="436"/>
      <c r="D137" s="436" t="s">
        <v>758</v>
      </c>
      <c r="E137" s="436"/>
      <c r="F137" s="436" t="s">
        <v>2333</v>
      </c>
      <c r="G137" s="437" t="s">
        <v>169</v>
      </c>
      <c r="H137" s="436" t="s">
        <v>759</v>
      </c>
      <c r="I137" s="456">
        <v>41609.0</v>
      </c>
      <c r="J137" s="436">
        <v>5888.436554</v>
      </c>
      <c r="K137" s="419">
        <v>700.0</v>
      </c>
      <c r="L137" s="436" t="s">
        <v>772</v>
      </c>
      <c r="M137" s="457">
        <v>1.0</v>
      </c>
      <c r="N137" s="422">
        <v>16.343</v>
      </c>
      <c r="O137" s="422">
        <v>14.846</v>
      </c>
      <c r="P137" s="422">
        <v>19.21</v>
      </c>
      <c r="Q137" s="436" t="s">
        <v>2175</v>
      </c>
      <c r="R137" s="436" t="s">
        <v>2176</v>
      </c>
      <c r="S137" s="436" t="s">
        <v>2177</v>
      </c>
      <c r="T137" s="419" t="s">
        <v>162</v>
      </c>
      <c r="U137" s="419" t="s">
        <v>2178</v>
      </c>
      <c r="V137" s="440"/>
      <c r="W137" s="458">
        <v>1.9498445997580451</v>
      </c>
      <c r="X137" s="438"/>
      <c r="Y137" s="442">
        <f t="shared" si="30"/>
        <v>1.345413177</v>
      </c>
      <c r="Z137" s="442"/>
      <c r="AA137" s="443"/>
      <c r="AB137" s="443"/>
      <c r="AC137" s="436" t="str">
        <f>IF(ISNUMBER(VLOOKUP(B137,'New Masses'!A:C,3,FALSE)),VLOOKUP(B137,'New Masses'!A:C,3,FALSE),"")</f>
        <v/>
      </c>
      <c r="AD137" s="451"/>
      <c r="AE137" s="451">
        <f t="shared" si="33"/>
        <v>0.00000001995262315</v>
      </c>
      <c r="AF137" s="439">
        <v>-7.7</v>
      </c>
      <c r="AG137" s="438"/>
      <c r="AH137" s="459">
        <v>1.15</v>
      </c>
      <c r="AI137" s="436"/>
      <c r="AJ137" s="446" t="str">
        <f>IF(ISNUMBER(VLOOKUP(B137,'New Masses'!A:C,2, FALSE)),VLOOKUP(B137,'New Masses'!A:C,2, FALSE),"")</f>
        <v/>
      </c>
      <c r="AK137" s="436">
        <f t="shared" si="34"/>
        <v>0.06069784035</v>
      </c>
      <c r="AL137" s="437"/>
      <c r="AM137" s="437">
        <v>-0.38</v>
      </c>
      <c r="AN137" s="454" t="s">
        <v>2334</v>
      </c>
      <c r="AO137" s="437">
        <v>9.3</v>
      </c>
      <c r="AP137" s="438"/>
      <c r="AQ137" s="454">
        <v>2.64</v>
      </c>
      <c r="AR137" s="438"/>
      <c r="AS137" s="438"/>
      <c r="AT137" s="448"/>
      <c r="AU137" s="452"/>
      <c r="AV137" s="438"/>
      <c r="AW137" s="438"/>
      <c r="AX137" s="450"/>
    </row>
    <row r="138">
      <c r="A138" s="419" t="s">
        <v>773</v>
      </c>
      <c r="B138" s="419" t="s">
        <v>773</v>
      </c>
      <c r="C138" s="436"/>
      <c r="D138" s="436" t="s">
        <v>758</v>
      </c>
      <c r="E138" s="436"/>
      <c r="F138" s="436" t="s">
        <v>2335</v>
      </c>
      <c r="G138" s="437" t="s">
        <v>169</v>
      </c>
      <c r="H138" s="436" t="s">
        <v>759</v>
      </c>
      <c r="I138" s="456">
        <v>41609.0</v>
      </c>
      <c r="J138" s="436">
        <v>6918.30971</v>
      </c>
      <c r="K138" s="419">
        <v>800.0</v>
      </c>
      <c r="L138" s="436" t="s">
        <v>774</v>
      </c>
      <c r="M138" s="457">
        <v>1.0</v>
      </c>
      <c r="N138" s="422">
        <v>14.59</v>
      </c>
      <c r="O138" s="422"/>
      <c r="P138" s="422">
        <v>18.99</v>
      </c>
      <c r="Q138" s="436" t="s">
        <v>2175</v>
      </c>
      <c r="R138" s="436" t="s">
        <v>2176</v>
      </c>
      <c r="S138" s="436" t="s">
        <v>2177</v>
      </c>
      <c r="T138" s="419" t="s">
        <v>162</v>
      </c>
      <c r="U138" s="419" t="s">
        <v>2178</v>
      </c>
      <c r="V138" s="440"/>
      <c r="W138" s="458">
        <v>3.3884415613920256</v>
      </c>
      <c r="X138" s="438"/>
      <c r="Y138" s="442">
        <f t="shared" si="30"/>
        <v>1.284859609</v>
      </c>
      <c r="Z138" s="442"/>
      <c r="AA138" s="443"/>
      <c r="AB138" s="443"/>
      <c r="AC138" s="436" t="str">
        <f>IF(ISNUMBER(VLOOKUP(B138,'New Masses'!A:C,3,FALSE)),VLOOKUP(B138,'New Masses'!A:C,3,FALSE),"")</f>
        <v/>
      </c>
      <c r="AD138" s="451"/>
      <c r="AE138" s="451">
        <f t="shared" si="33"/>
        <v>0.000000003467368505</v>
      </c>
      <c r="AF138" s="439">
        <v>-8.46</v>
      </c>
      <c r="AG138" s="438"/>
      <c r="AH138" s="459">
        <v>1.23</v>
      </c>
      <c r="AI138" s="436"/>
      <c r="AJ138" s="446" t="str">
        <f>IF(ISNUMBER(VLOOKUP(B138,'New Masses'!A:C,2, FALSE)),VLOOKUP(B138,'New Masses'!A:C,2, FALSE),"")</f>
        <v/>
      </c>
      <c r="AK138" s="436">
        <f t="shared" si="34"/>
        <v>0.08990511144</v>
      </c>
      <c r="AL138" s="437"/>
      <c r="AM138" s="437">
        <v>-1.09</v>
      </c>
      <c r="AN138" s="454" t="s">
        <v>2336</v>
      </c>
      <c r="AO138" s="437">
        <v>14.8</v>
      </c>
      <c r="AP138" s="438"/>
      <c r="AQ138" s="454">
        <v>3.84</v>
      </c>
      <c r="AR138" s="438"/>
      <c r="AS138" s="438"/>
      <c r="AT138" s="448"/>
      <c r="AU138" s="449"/>
      <c r="AV138" s="438"/>
      <c r="AW138" s="438"/>
      <c r="AX138" s="450"/>
    </row>
    <row r="139">
      <c r="A139" s="419" t="s">
        <v>798</v>
      </c>
      <c r="B139" s="419" t="s">
        <v>798</v>
      </c>
      <c r="C139" s="436"/>
      <c r="D139" s="436" t="s">
        <v>758</v>
      </c>
      <c r="E139" s="436"/>
      <c r="F139" s="436" t="s">
        <v>2337</v>
      </c>
      <c r="G139" s="437" t="s">
        <v>169</v>
      </c>
      <c r="H139" s="436" t="s">
        <v>759</v>
      </c>
      <c r="I139" s="456">
        <v>41609.0</v>
      </c>
      <c r="J139" s="436">
        <v>9549.92586</v>
      </c>
      <c r="K139" s="419">
        <v>1100.0</v>
      </c>
      <c r="L139" s="436" t="s">
        <v>799</v>
      </c>
      <c r="M139" s="457">
        <v>1.0</v>
      </c>
      <c r="N139" s="422">
        <v>14.23</v>
      </c>
      <c r="O139" s="422">
        <v>12.99</v>
      </c>
      <c r="P139" s="422">
        <v>17.28</v>
      </c>
      <c r="Q139" s="436" t="s">
        <v>2175</v>
      </c>
      <c r="R139" s="436" t="s">
        <v>2176</v>
      </c>
      <c r="S139" s="436" t="s">
        <v>2177</v>
      </c>
      <c r="T139" s="419" t="s">
        <v>162</v>
      </c>
      <c r="U139" s="419" t="s">
        <v>2178</v>
      </c>
      <c r="V139" s="440"/>
      <c r="W139" s="458">
        <v>30.19951720402016</v>
      </c>
      <c r="X139" s="438"/>
      <c r="Y139" s="442">
        <f t="shared" si="30"/>
        <v>2.013055168</v>
      </c>
      <c r="Z139" s="442"/>
      <c r="AA139" s="443"/>
      <c r="AB139" s="443"/>
      <c r="AC139" s="436" t="str">
        <f>IF(ISNUMBER(VLOOKUP(B139,'New Masses'!A:C,3,FALSE)),VLOOKUP(B139,'New Masses'!A:C,3,FALSE),"")</f>
        <v/>
      </c>
      <c r="AD139" s="451"/>
      <c r="AE139" s="451">
        <f t="shared" si="33"/>
        <v>0.00000003548133892</v>
      </c>
      <c r="AF139" s="439">
        <v>-7.45</v>
      </c>
      <c r="AG139" s="438"/>
      <c r="AH139" s="459">
        <v>2.0</v>
      </c>
      <c r="AI139" s="436"/>
      <c r="AJ139" s="446" t="str">
        <f>IF(ISNUMBER(VLOOKUP(B139,'New Masses'!A:C,2, FALSE)),VLOOKUP(B139,'New Masses'!A:C,2, FALSE),"")</f>
        <v/>
      </c>
      <c r="AK139" s="436">
        <f t="shared" si="34"/>
        <v>0.3010299957</v>
      </c>
      <c r="AL139" s="437"/>
      <c r="AM139" s="437">
        <v>-0.07</v>
      </c>
      <c r="AN139" s="454" t="s">
        <v>2338</v>
      </c>
      <c r="AO139" s="437">
        <v>7.5</v>
      </c>
      <c r="AP139" s="438"/>
      <c r="AQ139" s="454">
        <v>3.82</v>
      </c>
      <c r="AR139" s="438"/>
      <c r="AS139" s="438"/>
      <c r="AT139" s="448"/>
      <c r="AU139" s="452"/>
      <c r="AV139" s="480"/>
      <c r="AW139" s="480"/>
      <c r="AX139" s="450">
        <v>3361.34453781512</v>
      </c>
    </row>
    <row r="140">
      <c r="A140" s="419" t="s">
        <v>780</v>
      </c>
      <c r="B140" s="419" t="s">
        <v>780</v>
      </c>
      <c r="C140" s="436"/>
      <c r="D140" s="436" t="s">
        <v>758</v>
      </c>
      <c r="E140" s="436"/>
      <c r="F140" s="436" t="s">
        <v>2339</v>
      </c>
      <c r="G140" s="437" t="s">
        <v>169</v>
      </c>
      <c r="H140" s="436" t="s">
        <v>759</v>
      </c>
      <c r="I140" s="456">
        <v>41609.0</v>
      </c>
      <c r="J140" s="436">
        <v>6760.82975</v>
      </c>
      <c r="K140" s="419">
        <v>800.0</v>
      </c>
      <c r="L140" s="436" t="s">
        <v>776</v>
      </c>
      <c r="M140" s="457">
        <v>1.0</v>
      </c>
      <c r="N140" s="422">
        <v>13.52</v>
      </c>
      <c r="O140" s="422">
        <v>10.599</v>
      </c>
      <c r="P140" s="422">
        <v>17.54</v>
      </c>
      <c r="Q140" s="436" t="s">
        <v>2175</v>
      </c>
      <c r="R140" s="436" t="s">
        <v>2176</v>
      </c>
      <c r="S140" s="436" t="s">
        <v>2177</v>
      </c>
      <c r="T140" s="419" t="s">
        <v>162</v>
      </c>
      <c r="U140" s="419" t="s">
        <v>2178</v>
      </c>
      <c r="V140" s="440"/>
      <c r="W140" s="458">
        <v>10.0</v>
      </c>
      <c r="X140" s="438"/>
      <c r="Y140" s="442">
        <f t="shared" si="30"/>
        <v>2.311296584</v>
      </c>
      <c r="Z140" s="442"/>
      <c r="AA140" s="443"/>
      <c r="AB140" s="443"/>
      <c r="AC140" s="436" t="str">
        <f>IF(ISNUMBER(VLOOKUP(B140,'New Masses'!A:C,3,FALSE)),VLOOKUP(B140,'New Masses'!A:C,3,FALSE),"")</f>
        <v/>
      </c>
      <c r="AD140" s="451"/>
      <c r="AE140" s="451">
        <f t="shared" si="33"/>
        <v>0.00000004677351413</v>
      </c>
      <c r="AF140" s="439">
        <v>-7.33</v>
      </c>
      <c r="AG140" s="438"/>
      <c r="AH140" s="459">
        <v>1.57</v>
      </c>
      <c r="AI140" s="436"/>
      <c r="AJ140" s="446" t="str">
        <f>IF(ISNUMBER(VLOOKUP(B140,'New Masses'!A:C,2, FALSE)),VLOOKUP(B140,'New Masses'!A:C,2, FALSE),"")</f>
        <v/>
      </c>
      <c r="AK140" s="436">
        <f t="shared" si="34"/>
        <v>0.1958996524</v>
      </c>
      <c r="AL140" s="437"/>
      <c r="AM140" s="437">
        <v>-0.11</v>
      </c>
      <c r="AN140" s="454" t="s">
        <v>2311</v>
      </c>
      <c r="AO140" s="437">
        <v>5.6</v>
      </c>
      <c r="AP140" s="438"/>
      <c r="AQ140" s="454">
        <v>2.69</v>
      </c>
      <c r="AR140" s="438"/>
      <c r="AS140" s="438"/>
      <c r="AT140" s="448"/>
      <c r="AU140" s="449"/>
      <c r="AV140" s="480"/>
      <c r="AW140" s="480"/>
      <c r="AX140" s="450">
        <v>1652.34633179114</v>
      </c>
    </row>
    <row r="141">
      <c r="A141" s="419" t="s">
        <v>769</v>
      </c>
      <c r="B141" s="419" t="s">
        <v>769</v>
      </c>
      <c r="C141" s="436"/>
      <c r="D141" s="436" t="s">
        <v>758</v>
      </c>
      <c r="E141" s="436"/>
      <c r="F141" s="436" t="s">
        <v>2340</v>
      </c>
      <c r="G141" s="437" t="s">
        <v>169</v>
      </c>
      <c r="H141" s="436" t="s">
        <v>759</v>
      </c>
      <c r="I141" s="456">
        <v>41609.0</v>
      </c>
      <c r="J141" s="436">
        <v>5623.413252</v>
      </c>
      <c r="K141" s="419">
        <v>650.0</v>
      </c>
      <c r="L141" s="436" t="s">
        <v>770</v>
      </c>
      <c r="M141" s="457">
        <v>1.0</v>
      </c>
      <c r="N141" s="422">
        <v>16.2</v>
      </c>
      <c r="O141" s="422">
        <v>15.24</v>
      </c>
      <c r="P141" s="422">
        <v>18.15</v>
      </c>
      <c r="Q141" s="436" t="s">
        <v>2175</v>
      </c>
      <c r="R141" s="436" t="s">
        <v>2176</v>
      </c>
      <c r="S141" s="436" t="s">
        <v>2177</v>
      </c>
      <c r="T141" s="419" t="s">
        <v>162</v>
      </c>
      <c r="U141" s="419" t="s">
        <v>2178</v>
      </c>
      <c r="V141" s="440"/>
      <c r="W141" s="458">
        <v>1.5488166189124812</v>
      </c>
      <c r="X141" s="438"/>
      <c r="Y141" s="442">
        <f t="shared" si="30"/>
        <v>1.314787834</v>
      </c>
      <c r="Z141" s="442"/>
      <c r="AA141" s="443"/>
      <c r="AB141" s="443"/>
      <c r="AC141" s="436" t="str">
        <f>IF(ISNUMBER(VLOOKUP(B141,'New Masses'!A:C,3,FALSE)),VLOOKUP(B141,'New Masses'!A:C,3,FALSE),"")</f>
        <v/>
      </c>
      <c r="AD141" s="451"/>
      <c r="AE141" s="451">
        <f t="shared" si="33"/>
        <v>0.000000002089296131</v>
      </c>
      <c r="AF141" s="439">
        <v>-8.68</v>
      </c>
      <c r="AG141" s="438"/>
      <c r="AH141" s="459">
        <v>1.12</v>
      </c>
      <c r="AI141" s="436"/>
      <c r="AJ141" s="446" t="str">
        <f>IF(ISNUMBER(VLOOKUP(B141,'New Masses'!A:C,2, FALSE)),VLOOKUP(B141,'New Masses'!A:C,2, FALSE),"")</f>
        <v/>
      </c>
      <c r="AK141" s="436">
        <f t="shared" si="34"/>
        <v>0.04921802267</v>
      </c>
      <c r="AL141" s="437"/>
      <c r="AM141" s="437">
        <v>-1.36</v>
      </c>
      <c r="AN141" s="454" t="s">
        <v>2341</v>
      </c>
      <c r="AO141" s="437">
        <v>8.5</v>
      </c>
      <c r="AP141" s="438"/>
      <c r="AQ141" s="454">
        <v>1.05</v>
      </c>
      <c r="AR141" s="438"/>
      <c r="AS141" s="438"/>
      <c r="AT141" s="448"/>
      <c r="AU141" s="452"/>
      <c r="AV141" s="438"/>
      <c r="AW141" s="438"/>
      <c r="AX141" s="450">
        <v>1478.85241052942</v>
      </c>
    </row>
    <row r="142">
      <c r="A142" s="419" t="s">
        <v>787</v>
      </c>
      <c r="B142" s="419" t="s">
        <v>787</v>
      </c>
      <c r="C142" s="436"/>
      <c r="D142" s="436" t="s">
        <v>758</v>
      </c>
      <c r="E142" s="436"/>
      <c r="F142" s="436" t="s">
        <v>2342</v>
      </c>
      <c r="G142" s="437" t="s">
        <v>169</v>
      </c>
      <c r="H142" s="436" t="s">
        <v>759</v>
      </c>
      <c r="I142" s="456">
        <v>41609.0</v>
      </c>
      <c r="J142" s="436">
        <v>5370.31796</v>
      </c>
      <c r="K142" s="419">
        <v>600.0</v>
      </c>
      <c r="L142" s="436" t="s">
        <v>788</v>
      </c>
      <c r="M142" s="457">
        <v>1.0</v>
      </c>
      <c r="N142" s="422">
        <v>16.17</v>
      </c>
      <c r="O142" s="422">
        <v>14.36</v>
      </c>
      <c r="P142" s="422">
        <v>18.97</v>
      </c>
      <c r="Q142" s="436" t="s">
        <v>2175</v>
      </c>
      <c r="R142" s="436" t="s">
        <v>2176</v>
      </c>
      <c r="S142" s="436" t="s">
        <v>2177</v>
      </c>
      <c r="T142" s="419" t="s">
        <v>162</v>
      </c>
      <c r="U142" s="419" t="s">
        <v>2178</v>
      </c>
      <c r="V142" s="440"/>
      <c r="W142" s="458">
        <v>5.623413251903491</v>
      </c>
      <c r="X142" s="438"/>
      <c r="Y142" s="442">
        <f t="shared" si="30"/>
        <v>2.746981138</v>
      </c>
      <c r="Z142" s="442"/>
      <c r="AA142" s="443"/>
      <c r="AB142" s="443"/>
      <c r="AC142" s="436" t="str">
        <f>IF(ISNUMBER(VLOOKUP(B142,'New Masses'!A:C,3,FALSE)),VLOOKUP(B142,'New Masses'!A:C,3,FALSE),"")</f>
        <v/>
      </c>
      <c r="AD142" s="451"/>
      <c r="AE142" s="451">
        <f t="shared" si="33"/>
        <v>0.00000004466835922</v>
      </c>
      <c r="AF142" s="439">
        <v>-7.35</v>
      </c>
      <c r="AG142" s="438"/>
      <c r="AH142" s="459">
        <v>1.66</v>
      </c>
      <c r="AI142" s="436"/>
      <c r="AJ142" s="446" t="str">
        <f>IF(ISNUMBER(VLOOKUP(B142,'New Masses'!A:C,2, FALSE)),VLOOKUP(B142,'New Masses'!A:C,2, FALSE),"")</f>
        <v/>
      </c>
      <c r="AK142" s="436">
        <f t="shared" si="34"/>
        <v>0.220108088</v>
      </c>
      <c r="AL142" s="437"/>
      <c r="AM142" s="437">
        <v>-0.18</v>
      </c>
      <c r="AN142" s="454" t="s">
        <v>2181</v>
      </c>
      <c r="AO142" s="437">
        <v>1.0</v>
      </c>
      <c r="AP142" s="438"/>
      <c r="AQ142" s="454">
        <v>2.33</v>
      </c>
      <c r="AR142" s="438"/>
      <c r="AS142" s="438"/>
      <c r="AT142" s="448"/>
      <c r="AU142" s="449"/>
      <c r="AV142" s="438"/>
      <c r="AW142" s="438"/>
      <c r="AX142" s="450">
        <v>326.274919246957</v>
      </c>
    </row>
    <row r="143">
      <c r="A143" s="419" t="s">
        <v>757</v>
      </c>
      <c r="B143" s="419" t="s">
        <v>757</v>
      </c>
      <c r="C143" s="436"/>
      <c r="D143" s="436" t="s">
        <v>758</v>
      </c>
      <c r="E143" s="436"/>
      <c r="F143" s="436" t="s">
        <v>2343</v>
      </c>
      <c r="G143" s="437" t="s">
        <v>169</v>
      </c>
      <c r="H143" s="436" t="s">
        <v>759</v>
      </c>
      <c r="I143" s="456">
        <v>41609.0</v>
      </c>
      <c r="J143" s="436">
        <v>4365.15832</v>
      </c>
      <c r="K143" s="419">
        <v>500.0</v>
      </c>
      <c r="L143" s="436" t="s">
        <v>761</v>
      </c>
      <c r="M143" s="457">
        <v>1.0</v>
      </c>
      <c r="N143" s="422">
        <v>16.75</v>
      </c>
      <c r="O143" s="422">
        <v>15.35</v>
      </c>
      <c r="P143" s="422">
        <v>20.22</v>
      </c>
      <c r="Q143" s="436" t="s">
        <v>2175</v>
      </c>
      <c r="R143" s="436" t="s">
        <v>2176</v>
      </c>
      <c r="S143" s="436" t="s">
        <v>2177</v>
      </c>
      <c r="T143" s="419" t="s">
        <v>162</v>
      </c>
      <c r="U143" s="419" t="s">
        <v>2178</v>
      </c>
      <c r="V143" s="440"/>
      <c r="W143" s="458">
        <v>1.1481536214968828</v>
      </c>
      <c r="X143" s="438"/>
      <c r="Y143" s="442">
        <f t="shared" si="30"/>
        <v>1.878692395</v>
      </c>
      <c r="Z143" s="442"/>
      <c r="AA143" s="443"/>
      <c r="AB143" s="443"/>
      <c r="AC143" s="436" t="str">
        <f>IF(ISNUMBER(VLOOKUP(B143,'New Masses'!A:C,3,FALSE)),VLOOKUP(B143,'New Masses'!A:C,3,FALSE),"")</f>
        <v/>
      </c>
      <c r="AD143" s="451"/>
      <c r="AE143" s="451">
        <f t="shared" si="33"/>
        <v>0.00000002187761624</v>
      </c>
      <c r="AF143" s="439">
        <v>-7.66</v>
      </c>
      <c r="AG143" s="438"/>
      <c r="AH143" s="459">
        <v>0.56</v>
      </c>
      <c r="AI143" s="436"/>
      <c r="AJ143" s="446" t="str">
        <f>IF(ISNUMBER(VLOOKUP(B143,'New Masses'!A:C,2, FALSE)),VLOOKUP(B143,'New Masses'!A:C,2, FALSE),"")</f>
        <v/>
      </c>
      <c r="AK143" s="436">
        <f t="shared" si="34"/>
        <v>-0.251811973</v>
      </c>
      <c r="AL143" s="437"/>
      <c r="AM143" s="437">
        <v>-0.8</v>
      </c>
      <c r="AN143" s="454" t="s">
        <v>2181</v>
      </c>
      <c r="AO143" s="437">
        <v>0.9</v>
      </c>
      <c r="AP143" s="438"/>
      <c r="AQ143" s="454">
        <v>2.77</v>
      </c>
      <c r="AR143" s="438"/>
      <c r="AS143" s="438"/>
      <c r="AT143" s="448"/>
      <c r="AU143" s="452"/>
      <c r="AV143" s="480"/>
      <c r="AW143" s="480"/>
      <c r="AX143" s="450">
        <v>3628.44702467343</v>
      </c>
    </row>
    <row r="144">
      <c r="A144" s="419" t="s">
        <v>692</v>
      </c>
      <c r="B144" s="419" t="s">
        <v>692</v>
      </c>
      <c r="C144" s="436"/>
      <c r="D144" s="436" t="s">
        <v>676</v>
      </c>
      <c r="E144" s="436"/>
      <c r="F144" s="436" t="s">
        <v>2344</v>
      </c>
      <c r="G144" s="436" t="s">
        <v>189</v>
      </c>
      <c r="H144" s="436" t="s">
        <v>598</v>
      </c>
      <c r="I144" s="467">
        <v>37985.0</v>
      </c>
      <c r="J144" s="436">
        <v>3014.0</v>
      </c>
      <c r="K144" s="436"/>
      <c r="L144" s="436" t="s">
        <v>674</v>
      </c>
      <c r="M144" s="439"/>
      <c r="N144" s="422">
        <v>12.542</v>
      </c>
      <c r="O144" s="422">
        <v>11.516</v>
      </c>
      <c r="P144" s="422"/>
      <c r="Q144" s="436" t="s">
        <v>2194</v>
      </c>
      <c r="R144" s="436" t="s">
        <v>2195</v>
      </c>
      <c r="S144" s="436" t="s">
        <v>2196</v>
      </c>
      <c r="T144" s="436" t="s">
        <v>596</v>
      </c>
      <c r="U144" s="436" t="s">
        <v>597</v>
      </c>
      <c r="V144" s="451"/>
      <c r="W144" s="468"/>
      <c r="X144" s="436"/>
      <c r="Y144" s="442" t="str">
        <f t="shared" si="30"/>
        <v/>
      </c>
      <c r="Z144" s="469"/>
      <c r="AA144" s="470">
        <v>0.64</v>
      </c>
      <c r="AB144" s="470"/>
      <c r="AC144" s="436" t="str">
        <f>IF(ISNUMBER(VLOOKUP(B144,'New Masses'!A:C,3,FALSE)),VLOOKUP(B144,'New Masses'!A:C,3,FALSE),"")</f>
        <v/>
      </c>
      <c r="AD144" s="440"/>
      <c r="AE144" s="440">
        <f t="shared" ref="AE144:AE146" si="35">10^AF144</f>
        <v>0</v>
      </c>
      <c r="AF144" s="439">
        <v>-10.8</v>
      </c>
      <c r="AG144" s="436"/>
      <c r="AH144" s="459">
        <v>0.1</v>
      </c>
      <c r="AI144" s="436"/>
      <c r="AJ144" s="446" t="str">
        <f>IF(ISNUMBER(VLOOKUP(B144,'New Masses'!A:C,2, FALSE)),VLOOKUP(B144,'New Masses'!A:C,2, FALSE),"")</f>
        <v/>
      </c>
      <c r="AK144" s="436"/>
      <c r="AL144" s="436"/>
      <c r="AM144" s="436"/>
      <c r="AN144" s="436"/>
      <c r="AO144" s="436">
        <v>2.0</v>
      </c>
      <c r="AP144" s="436"/>
      <c r="AQ144" s="436"/>
      <c r="AR144" s="438"/>
      <c r="AS144" s="438"/>
      <c r="AT144" s="448"/>
      <c r="AU144" s="449"/>
      <c r="AV144" s="480"/>
      <c r="AW144" s="480"/>
      <c r="AX144" s="450">
        <v>196.482955103644</v>
      </c>
    </row>
    <row r="145">
      <c r="A145" s="419" t="s">
        <v>695</v>
      </c>
      <c r="B145" s="419" t="s">
        <v>695</v>
      </c>
      <c r="C145" s="436"/>
      <c r="D145" s="436" t="s">
        <v>676</v>
      </c>
      <c r="E145" s="436"/>
      <c r="F145" s="436" t="s">
        <v>2345</v>
      </c>
      <c r="G145" s="436" t="s">
        <v>169</v>
      </c>
      <c r="H145" s="436" t="s">
        <v>598</v>
      </c>
      <c r="I145" s="467">
        <v>37985.0</v>
      </c>
      <c r="J145" s="436">
        <v>3091.0</v>
      </c>
      <c r="K145" s="436"/>
      <c r="L145" s="436" t="s">
        <v>283</v>
      </c>
      <c r="M145" s="439"/>
      <c r="N145" s="422">
        <v>13.405</v>
      </c>
      <c r="O145" s="422">
        <v>12.272</v>
      </c>
      <c r="P145" s="422"/>
      <c r="Q145" s="436" t="s">
        <v>2194</v>
      </c>
      <c r="R145" s="436" t="s">
        <v>2195</v>
      </c>
      <c r="S145" s="436" t="s">
        <v>2196</v>
      </c>
      <c r="T145" s="436" t="s">
        <v>596</v>
      </c>
      <c r="U145" s="436" t="s">
        <v>597</v>
      </c>
      <c r="V145" s="451"/>
      <c r="W145" s="468"/>
      <c r="X145" s="436"/>
      <c r="Y145" s="442" t="str">
        <f t="shared" si="30"/>
        <v/>
      </c>
      <c r="Z145" s="469"/>
      <c r="AA145" s="470">
        <v>0.47</v>
      </c>
      <c r="AB145" s="470"/>
      <c r="AC145" s="436" t="str">
        <f>IF(ISNUMBER(VLOOKUP(B145,'New Masses'!A:C,3,FALSE)),VLOOKUP(B145,'New Masses'!A:C,3,FALSE),"")</f>
        <v/>
      </c>
      <c r="AD145" s="440"/>
      <c r="AE145" s="440">
        <f t="shared" si="35"/>
        <v>0</v>
      </c>
      <c r="AF145" s="439">
        <v>-12.0</v>
      </c>
      <c r="AG145" s="436"/>
      <c r="AH145" s="459">
        <v>0.1</v>
      </c>
      <c r="AI145" s="436"/>
      <c r="AJ145" s="446" t="str">
        <f>IF(ISNUMBER(VLOOKUP(B145,'New Masses'!A:C,2, FALSE)),VLOOKUP(B145,'New Masses'!A:C,2, FALSE),"")</f>
        <v/>
      </c>
      <c r="AK145" s="436"/>
      <c r="AL145" s="436"/>
      <c r="AM145" s="436"/>
      <c r="AN145" s="436"/>
      <c r="AO145" s="436">
        <v>2.0</v>
      </c>
      <c r="AP145" s="436"/>
      <c r="AQ145" s="436"/>
      <c r="AR145" s="436"/>
      <c r="AS145" s="438"/>
      <c r="AT145" s="448"/>
      <c r="AU145" s="452" t="s">
        <v>137</v>
      </c>
      <c r="AV145" s="438" t="s">
        <v>629</v>
      </c>
      <c r="AW145" s="438"/>
      <c r="AX145" s="450">
        <v>186.570644974719</v>
      </c>
    </row>
    <row r="146">
      <c r="A146" s="436" t="s">
        <v>654</v>
      </c>
      <c r="B146" s="436" t="s">
        <v>654</v>
      </c>
      <c r="C146" s="438"/>
      <c r="D146" s="420" t="s">
        <v>268</v>
      </c>
      <c r="E146" s="420"/>
      <c r="F146" s="420" t="s">
        <v>2346</v>
      </c>
      <c r="G146" s="420" t="s">
        <v>159</v>
      </c>
      <c r="H146" s="420" t="s">
        <v>598</v>
      </c>
      <c r="I146" s="467">
        <v>37985.0</v>
      </c>
      <c r="J146" s="436">
        <v>2838.0</v>
      </c>
      <c r="K146" s="436"/>
      <c r="L146" s="420" t="s">
        <v>237</v>
      </c>
      <c r="M146" s="429"/>
      <c r="N146" s="422">
        <v>13.096</v>
      </c>
      <c r="O146" s="422">
        <v>11.632</v>
      </c>
      <c r="P146" s="422">
        <v>19.4</v>
      </c>
      <c r="Q146" s="420" t="s">
        <v>2194</v>
      </c>
      <c r="R146" s="420" t="s">
        <v>2195</v>
      </c>
      <c r="S146" s="420" t="s">
        <v>2196</v>
      </c>
      <c r="T146" s="420" t="s">
        <v>596</v>
      </c>
      <c r="U146" s="420" t="s">
        <v>597</v>
      </c>
      <c r="V146" s="440"/>
      <c r="W146" s="468"/>
      <c r="X146" s="436"/>
      <c r="Y146" s="442" t="str">
        <f t="shared" si="30"/>
        <v/>
      </c>
      <c r="Z146" s="469"/>
      <c r="AA146" s="470">
        <v>0.59</v>
      </c>
      <c r="AB146" s="470"/>
      <c r="AC146" s="469">
        <f>IF(ISNUMBER(VLOOKUP(B146,'New Masses'!A:C,3,FALSE)),VLOOKUP(B146,'New Masses'!A:C,3,FALSE),"")</f>
        <v>0.432801</v>
      </c>
      <c r="AD146" s="440"/>
      <c r="AE146" s="440">
        <f t="shared" si="35"/>
        <v>0</v>
      </c>
      <c r="AF146" s="439">
        <v>-12.0</v>
      </c>
      <c r="AG146" s="438"/>
      <c r="AH146" s="459">
        <v>0.05</v>
      </c>
      <c r="AI146" s="436"/>
      <c r="AJ146" s="446">
        <f>IF(ISNUMBER(VLOOKUP(B146,'New Masses'!A:C,2, FALSE)),VLOOKUP(B146,'New Masses'!A:C,2, FALSE),"")</f>
        <v>0.034934</v>
      </c>
      <c r="AK146" s="436"/>
      <c r="AL146" s="438"/>
      <c r="AM146" s="438"/>
      <c r="AN146" s="438"/>
      <c r="AO146" s="436">
        <v>2.0</v>
      </c>
      <c r="AP146" s="438"/>
      <c r="AQ146" s="436">
        <v>1.59</v>
      </c>
      <c r="AR146" s="420"/>
      <c r="AS146" s="420" t="s">
        <v>628</v>
      </c>
      <c r="AT146" s="448"/>
      <c r="AU146" s="449" t="s">
        <v>137</v>
      </c>
      <c r="AV146" s="420" t="s">
        <v>629</v>
      </c>
      <c r="AW146" s="438"/>
      <c r="AX146" s="450">
        <v>184.90782345001</v>
      </c>
    </row>
    <row r="147">
      <c r="A147" s="436" t="s">
        <v>1950</v>
      </c>
      <c r="B147" s="481" t="s">
        <v>1951</v>
      </c>
      <c r="C147" s="420"/>
      <c r="D147" s="420" t="s">
        <v>268</v>
      </c>
      <c r="E147" s="420"/>
      <c r="F147" s="420" t="s">
        <v>2347</v>
      </c>
      <c r="G147" s="420" t="s">
        <v>169</v>
      </c>
      <c r="H147" s="420" t="s">
        <v>598</v>
      </c>
      <c r="I147" s="467">
        <v>37985.0</v>
      </c>
      <c r="J147" s="436">
        <v>2710.0</v>
      </c>
      <c r="K147" s="436"/>
      <c r="L147" s="420" t="s">
        <v>318</v>
      </c>
      <c r="M147" s="429"/>
      <c r="N147" s="422">
        <v>14.631</v>
      </c>
      <c r="O147" s="422">
        <v>13.54</v>
      </c>
      <c r="P147" s="422"/>
      <c r="Q147" s="420" t="s">
        <v>2194</v>
      </c>
      <c r="R147" s="420" t="s">
        <v>2195</v>
      </c>
      <c r="S147" s="420" t="s">
        <v>2196</v>
      </c>
      <c r="T147" s="420" t="s">
        <v>596</v>
      </c>
      <c r="U147" s="420" t="s">
        <v>597</v>
      </c>
      <c r="V147" s="440"/>
      <c r="W147" s="468"/>
      <c r="X147" s="436"/>
      <c r="Y147" s="442" t="str">
        <f t="shared" si="30"/>
        <v/>
      </c>
      <c r="Z147" s="469"/>
      <c r="AA147" s="470">
        <v>0.3</v>
      </c>
      <c r="AB147" s="470"/>
      <c r="AC147" s="469">
        <f>IF(ISNUMBER(VLOOKUP(B147,'New Masses'!A:C,3,FALSE)),VLOOKUP(B147,'New Masses'!A:C,3,FALSE),"")</f>
        <v>0.350018</v>
      </c>
      <c r="AD147" s="440"/>
      <c r="AE147" s="440"/>
      <c r="AF147" s="453"/>
      <c r="AG147" s="438"/>
      <c r="AH147" s="459">
        <v>0.035</v>
      </c>
      <c r="AI147" s="436"/>
      <c r="AJ147" s="446">
        <f>IF(ISNUMBER(VLOOKUP(B147,'New Masses'!A:C,2, FALSE)),VLOOKUP(B147,'New Masses'!A:C,2, FALSE),"")</f>
        <v>0.025752</v>
      </c>
      <c r="AK147" s="436"/>
      <c r="AL147" s="438"/>
      <c r="AM147" s="438"/>
      <c r="AN147" s="438"/>
      <c r="AO147" s="436">
        <v>2.0</v>
      </c>
      <c r="AP147" s="438"/>
      <c r="AQ147" s="436">
        <v>0.0</v>
      </c>
      <c r="AR147" s="438"/>
      <c r="AS147" s="420" t="s">
        <v>628</v>
      </c>
      <c r="AT147" s="448"/>
      <c r="AU147" s="452" t="s">
        <v>137</v>
      </c>
      <c r="AV147" s="438"/>
      <c r="AW147" s="438"/>
      <c r="AX147" s="450">
        <v>173.130193905817</v>
      </c>
    </row>
    <row r="148">
      <c r="A148" s="419" t="s">
        <v>322</v>
      </c>
      <c r="B148" s="421" t="s">
        <v>323</v>
      </c>
      <c r="C148" s="420"/>
      <c r="D148" s="420" t="s">
        <v>224</v>
      </c>
      <c r="E148" s="420"/>
      <c r="F148" s="420" t="s">
        <v>2348</v>
      </c>
      <c r="G148" s="420" t="s">
        <v>169</v>
      </c>
      <c r="H148" s="420" t="s">
        <v>306</v>
      </c>
      <c r="I148" s="467">
        <v>39596.0</v>
      </c>
      <c r="J148" s="436">
        <v>2550.0</v>
      </c>
      <c r="K148" s="420"/>
      <c r="L148" s="420" t="s">
        <v>213</v>
      </c>
      <c r="M148" s="429"/>
      <c r="N148" s="422">
        <v>13.034</v>
      </c>
      <c r="O148" s="422">
        <v>11.887</v>
      </c>
      <c r="P148" s="422">
        <v>19.14</v>
      </c>
      <c r="Q148" s="420" t="s">
        <v>2239</v>
      </c>
      <c r="R148" s="420" t="s">
        <v>2240</v>
      </c>
      <c r="S148" s="420" t="s">
        <v>307</v>
      </c>
      <c r="T148" s="420" t="s">
        <v>293</v>
      </c>
      <c r="U148" s="420" t="s">
        <v>294</v>
      </c>
      <c r="V148" s="440"/>
      <c r="W148" s="468"/>
      <c r="X148" s="436"/>
      <c r="Y148" s="442" t="str">
        <f t="shared" si="30"/>
        <v/>
      </c>
      <c r="Z148" s="469"/>
      <c r="AA148" s="470">
        <v>0.23</v>
      </c>
      <c r="AB148" s="426"/>
      <c r="AC148" s="436" t="str">
        <f>IF(ISNUMBER(VLOOKUP(B148,'New Masses'!A:C,3,FALSE)),VLOOKUP(B148,'New Masses'!A:C,3,FALSE),"")</f>
        <v/>
      </c>
      <c r="AD148" s="451"/>
      <c r="AE148" s="451">
        <f>10^(AF148)</f>
        <v>0</v>
      </c>
      <c r="AF148" s="439">
        <v>-12.8</v>
      </c>
      <c r="AG148" s="438"/>
      <c r="AH148" s="459">
        <v>0.026</v>
      </c>
      <c r="AI148" s="420"/>
      <c r="AJ148" s="446" t="str">
        <f>IF(ISNUMBER(VLOOKUP(B148,'New Masses'!A:C,2, FALSE)),VLOOKUP(B148,'New Masses'!A:C,2, FALSE),"")</f>
        <v/>
      </c>
      <c r="AK148" s="420"/>
      <c r="AL148" s="420"/>
      <c r="AM148" s="436">
        <v>-6.3</v>
      </c>
      <c r="AN148" s="438"/>
      <c r="AO148" s="436">
        <v>8.0</v>
      </c>
      <c r="AP148" s="438"/>
      <c r="AQ148" s="436">
        <v>0.0</v>
      </c>
      <c r="AR148" s="438"/>
      <c r="AS148" s="420" t="s">
        <v>2349</v>
      </c>
      <c r="AT148" s="448"/>
      <c r="AU148" s="452"/>
      <c r="AV148" s="438"/>
      <c r="AW148" s="438"/>
      <c r="AX148" s="450">
        <v>60.0</v>
      </c>
    </row>
    <row r="149">
      <c r="A149" s="436" t="s">
        <v>665</v>
      </c>
      <c r="B149" s="436" t="s">
        <v>665</v>
      </c>
      <c r="C149" s="438"/>
      <c r="D149" s="420" t="s">
        <v>268</v>
      </c>
      <c r="E149" s="420"/>
      <c r="F149" s="420" t="s">
        <v>2350</v>
      </c>
      <c r="G149" s="420" t="s">
        <v>159</v>
      </c>
      <c r="H149" s="420" t="s">
        <v>598</v>
      </c>
      <c r="I149" s="467">
        <v>37985.0</v>
      </c>
      <c r="J149" s="436">
        <v>2990.0</v>
      </c>
      <c r="K149" s="436"/>
      <c r="L149" s="420" t="s">
        <v>353</v>
      </c>
      <c r="M149" s="429"/>
      <c r="N149" s="422">
        <v>13.846</v>
      </c>
      <c r="O149" s="422">
        <v>12.752</v>
      </c>
      <c r="P149" s="422"/>
      <c r="Q149" s="420" t="s">
        <v>2194</v>
      </c>
      <c r="R149" s="420" t="s">
        <v>2195</v>
      </c>
      <c r="S149" s="420" t="s">
        <v>2196</v>
      </c>
      <c r="T149" s="420" t="s">
        <v>596</v>
      </c>
      <c r="U149" s="420" t="s">
        <v>597</v>
      </c>
      <c r="V149" s="440"/>
      <c r="W149" s="468"/>
      <c r="X149" s="436"/>
      <c r="Y149" s="442" t="str">
        <f t="shared" si="30"/>
        <v/>
      </c>
      <c r="Z149" s="469"/>
      <c r="AA149" s="470">
        <v>0.43</v>
      </c>
      <c r="AB149" s="470"/>
      <c r="AC149" s="469">
        <f>IF(ISNUMBER(VLOOKUP(B149,'New Masses'!A:C,3,FALSE)),VLOOKUP(B149,'New Masses'!A:C,3,FALSE),"")</f>
        <v>0.637798</v>
      </c>
      <c r="AD149" s="440"/>
      <c r="AE149" s="440">
        <f t="shared" ref="AE149:AE154" si="36">10^AF149</f>
        <v>0</v>
      </c>
      <c r="AF149" s="439">
        <v>-12.0</v>
      </c>
      <c r="AG149" s="438"/>
      <c r="AH149" s="459">
        <v>0.07</v>
      </c>
      <c r="AI149" s="436"/>
      <c r="AJ149" s="446">
        <f>IF(ISNUMBER(VLOOKUP(B149,'New Masses'!A:C,2, FALSE)),VLOOKUP(B149,'New Masses'!A:C,2, FALSE),"")</f>
        <v>0.057198</v>
      </c>
      <c r="AK149" s="436"/>
      <c r="AL149" s="438"/>
      <c r="AM149" s="438"/>
      <c r="AN149" s="438"/>
      <c r="AO149" s="436">
        <v>2.0</v>
      </c>
      <c r="AP149" s="438"/>
      <c r="AQ149" s="436">
        <v>0.39</v>
      </c>
      <c r="AR149" s="420"/>
      <c r="AS149" s="420" t="s">
        <v>628</v>
      </c>
      <c r="AT149" s="448"/>
      <c r="AU149" s="452" t="s">
        <v>137</v>
      </c>
      <c r="AV149" s="420" t="s">
        <v>629</v>
      </c>
      <c r="AW149" s="438"/>
      <c r="AX149" s="450">
        <v>201.853010637653</v>
      </c>
    </row>
    <row r="150">
      <c r="A150" s="419" t="s">
        <v>697</v>
      </c>
      <c r="B150" s="419" t="s">
        <v>697</v>
      </c>
      <c r="C150" s="436"/>
      <c r="D150" s="436" t="s">
        <v>676</v>
      </c>
      <c r="E150" s="436"/>
      <c r="F150" s="436" t="s">
        <v>2351</v>
      </c>
      <c r="G150" s="436" t="s">
        <v>159</v>
      </c>
      <c r="H150" s="436" t="s">
        <v>598</v>
      </c>
      <c r="I150" s="467">
        <v>37985.0</v>
      </c>
      <c r="J150" s="436">
        <v>3024.0</v>
      </c>
      <c r="K150" s="436"/>
      <c r="L150" s="436" t="s">
        <v>270</v>
      </c>
      <c r="M150" s="439"/>
      <c r="N150" s="422">
        <v>13.453</v>
      </c>
      <c r="O150" s="422">
        <v>11.835</v>
      </c>
      <c r="P150" s="422">
        <v>19.55</v>
      </c>
      <c r="Q150" s="436" t="s">
        <v>2194</v>
      </c>
      <c r="R150" s="436" t="s">
        <v>2195</v>
      </c>
      <c r="S150" s="436" t="s">
        <v>2196</v>
      </c>
      <c r="T150" s="436" t="s">
        <v>596</v>
      </c>
      <c r="U150" s="436" t="s">
        <v>597</v>
      </c>
      <c r="V150" s="451"/>
      <c r="W150" s="468"/>
      <c r="X150" s="436"/>
      <c r="Y150" s="442" t="str">
        <f t="shared" si="30"/>
        <v/>
      </c>
      <c r="Z150" s="469"/>
      <c r="AA150" s="470">
        <v>0.75</v>
      </c>
      <c r="AB150" s="470"/>
      <c r="AC150" s="436" t="str">
        <f>IF(ISNUMBER(VLOOKUP(B150,'New Masses'!A:C,3,FALSE)),VLOOKUP(B150,'New Masses'!A:C,3,FALSE),"")</f>
        <v/>
      </c>
      <c r="AD150" s="440"/>
      <c r="AE150" s="440">
        <f t="shared" si="36"/>
        <v>0</v>
      </c>
      <c r="AF150" s="439">
        <v>-12.0</v>
      </c>
      <c r="AG150" s="436"/>
      <c r="AH150" s="459">
        <v>0.11</v>
      </c>
      <c r="AI150" s="436"/>
      <c r="AJ150" s="446" t="str">
        <f>IF(ISNUMBER(VLOOKUP(B150,'New Masses'!A:C,2, FALSE)),VLOOKUP(B150,'New Masses'!A:C,2, FALSE),"")</f>
        <v/>
      </c>
      <c r="AK150" s="436"/>
      <c r="AL150" s="436"/>
      <c r="AM150" s="436"/>
      <c r="AN150" s="436"/>
      <c r="AO150" s="436">
        <v>2.0</v>
      </c>
      <c r="AP150" s="436"/>
      <c r="AQ150" s="436"/>
      <c r="AR150" s="436"/>
      <c r="AS150" s="438"/>
      <c r="AT150" s="448"/>
      <c r="AU150" s="449" t="s">
        <v>137</v>
      </c>
      <c r="AV150" s="438" t="s">
        <v>629</v>
      </c>
      <c r="AW150" s="438"/>
      <c r="AX150" s="450">
        <v>193.307687846745</v>
      </c>
    </row>
    <row r="151">
      <c r="A151" s="419" t="s">
        <v>698</v>
      </c>
      <c r="B151" s="419" t="s">
        <v>698</v>
      </c>
      <c r="C151" s="436"/>
      <c r="D151" s="436" t="s">
        <v>676</v>
      </c>
      <c r="E151" s="436"/>
      <c r="F151" s="436" t="s">
        <v>2352</v>
      </c>
      <c r="G151" s="436" t="s">
        <v>159</v>
      </c>
      <c r="H151" s="436" t="s">
        <v>598</v>
      </c>
      <c r="I151" s="467">
        <v>37985.0</v>
      </c>
      <c r="J151" s="436">
        <v>3024.0</v>
      </c>
      <c r="K151" s="436"/>
      <c r="L151" s="436" t="s">
        <v>270</v>
      </c>
      <c r="M151" s="439"/>
      <c r="N151" s="422">
        <v>12.522</v>
      </c>
      <c r="O151" s="422">
        <v>11.167</v>
      </c>
      <c r="P151" s="422">
        <v>17.87</v>
      </c>
      <c r="Q151" s="436" t="s">
        <v>2194</v>
      </c>
      <c r="R151" s="436" t="s">
        <v>2195</v>
      </c>
      <c r="S151" s="436" t="s">
        <v>2196</v>
      </c>
      <c r="T151" s="436" t="s">
        <v>596</v>
      </c>
      <c r="U151" s="436" t="s">
        <v>597</v>
      </c>
      <c r="V151" s="451"/>
      <c r="W151" s="468"/>
      <c r="X151" s="436"/>
      <c r="Y151" s="442" t="str">
        <f t="shared" si="30"/>
        <v/>
      </c>
      <c r="Z151" s="469"/>
      <c r="AA151" s="470">
        <v>0.95</v>
      </c>
      <c r="AB151" s="470"/>
      <c r="AC151" s="436" t="str">
        <f>IF(ISNUMBER(VLOOKUP(B151,'New Masses'!A:C,3,FALSE)),VLOOKUP(B151,'New Masses'!A:C,3,FALSE),"")</f>
        <v/>
      </c>
      <c r="AD151" s="440"/>
      <c r="AE151" s="440">
        <f t="shared" si="36"/>
        <v>0</v>
      </c>
      <c r="AF151" s="439">
        <v>-12.0</v>
      </c>
      <c r="AG151" s="436"/>
      <c r="AH151" s="459">
        <v>0.12</v>
      </c>
      <c r="AI151" s="436"/>
      <c r="AJ151" s="446" t="str">
        <f>IF(ISNUMBER(VLOOKUP(B151,'New Masses'!A:C,2, FALSE)),VLOOKUP(B151,'New Masses'!A:C,2, FALSE),"")</f>
        <v/>
      </c>
      <c r="AK151" s="436"/>
      <c r="AL151" s="436"/>
      <c r="AM151" s="436"/>
      <c r="AN151" s="436"/>
      <c r="AO151" s="436">
        <v>2.0</v>
      </c>
      <c r="AP151" s="436"/>
      <c r="AQ151" s="436"/>
      <c r="AR151" s="436"/>
      <c r="AS151" s="438"/>
      <c r="AT151" s="448"/>
      <c r="AU151" s="452" t="s">
        <v>137</v>
      </c>
      <c r="AV151" s="438" t="s">
        <v>629</v>
      </c>
      <c r="AW151" s="438"/>
      <c r="AX151" s="450">
        <v>194.23132951345</v>
      </c>
    </row>
    <row r="152">
      <c r="A152" s="419" t="s">
        <v>675</v>
      </c>
      <c r="B152" s="419" t="s">
        <v>675</v>
      </c>
      <c r="C152" s="436"/>
      <c r="D152" s="436" t="s">
        <v>676</v>
      </c>
      <c r="E152" s="436"/>
      <c r="F152" s="436" t="s">
        <v>2353</v>
      </c>
      <c r="G152" s="436" t="s">
        <v>159</v>
      </c>
      <c r="H152" s="436" t="s">
        <v>598</v>
      </c>
      <c r="I152" s="467">
        <v>37985.0</v>
      </c>
      <c r="J152" s="436">
        <v>2990.0</v>
      </c>
      <c r="K152" s="436"/>
      <c r="L152" s="436" t="s">
        <v>353</v>
      </c>
      <c r="M152" s="439"/>
      <c r="N152" s="422">
        <v>12.945</v>
      </c>
      <c r="O152" s="422">
        <v>11.945</v>
      </c>
      <c r="P152" s="422">
        <v>18.21</v>
      </c>
      <c r="Q152" s="436" t="s">
        <v>2194</v>
      </c>
      <c r="R152" s="436" t="s">
        <v>2195</v>
      </c>
      <c r="S152" s="436" t="s">
        <v>2196</v>
      </c>
      <c r="T152" s="436" t="s">
        <v>596</v>
      </c>
      <c r="U152" s="436" t="s">
        <v>597</v>
      </c>
      <c r="V152" s="451"/>
      <c r="W152" s="468"/>
      <c r="X152" s="436"/>
      <c r="Y152" s="442" t="str">
        <f t="shared" si="30"/>
        <v/>
      </c>
      <c r="Z152" s="469"/>
      <c r="AA152" s="470">
        <v>0.58</v>
      </c>
      <c r="AB152" s="470"/>
      <c r="AC152" s="436" t="str">
        <f>IF(ISNUMBER(VLOOKUP(B152,'New Masses'!A:C,3,FALSE)),VLOOKUP(B152,'New Masses'!A:C,3,FALSE),"")</f>
        <v/>
      </c>
      <c r="AD152" s="440"/>
      <c r="AE152" s="440">
        <f t="shared" si="36"/>
        <v>0</v>
      </c>
      <c r="AF152" s="439">
        <v>-12.0</v>
      </c>
      <c r="AG152" s="436"/>
      <c r="AH152" s="459">
        <v>0.08</v>
      </c>
      <c r="AI152" s="436"/>
      <c r="AJ152" s="446" t="str">
        <f>IF(ISNUMBER(VLOOKUP(B152,'New Masses'!A:C,2, FALSE)),VLOOKUP(B152,'New Masses'!A:C,2, FALSE),"")</f>
        <v/>
      </c>
      <c r="AK152" s="436"/>
      <c r="AL152" s="436"/>
      <c r="AM152" s="436"/>
      <c r="AN152" s="436"/>
      <c r="AO152" s="436">
        <v>2.0</v>
      </c>
      <c r="AP152" s="436"/>
      <c r="AQ152" s="436"/>
      <c r="AR152" s="436"/>
      <c r="AS152" s="438"/>
      <c r="AT152" s="448"/>
      <c r="AU152" s="449" t="s">
        <v>137</v>
      </c>
      <c r="AV152" s="438" t="s">
        <v>629</v>
      </c>
      <c r="AW152" s="438"/>
      <c r="AX152" s="450">
        <v>193.285269729593</v>
      </c>
    </row>
    <row r="153">
      <c r="A153" s="419" t="s">
        <v>682</v>
      </c>
      <c r="B153" s="419" t="s">
        <v>2354</v>
      </c>
      <c r="C153" s="419"/>
      <c r="D153" s="436" t="s">
        <v>676</v>
      </c>
      <c r="E153" s="436"/>
      <c r="F153" s="436" t="s">
        <v>2355</v>
      </c>
      <c r="G153" s="436" t="s">
        <v>169</v>
      </c>
      <c r="H153" s="436" t="s">
        <v>598</v>
      </c>
      <c r="I153" s="467">
        <v>37985.0</v>
      </c>
      <c r="J153" s="436">
        <v>2962.0</v>
      </c>
      <c r="K153" s="436"/>
      <c r="L153" s="436" t="s">
        <v>642</v>
      </c>
      <c r="M153" s="439"/>
      <c r="N153" s="422">
        <v>13.532</v>
      </c>
      <c r="O153" s="422">
        <v>11.823</v>
      </c>
      <c r="P153" s="422"/>
      <c r="Q153" s="436" t="s">
        <v>2194</v>
      </c>
      <c r="R153" s="436" t="s">
        <v>2195</v>
      </c>
      <c r="S153" s="436" t="s">
        <v>2196</v>
      </c>
      <c r="T153" s="436" t="s">
        <v>596</v>
      </c>
      <c r="U153" s="436" t="s">
        <v>597</v>
      </c>
      <c r="V153" s="451"/>
      <c r="W153" s="468"/>
      <c r="X153" s="436"/>
      <c r="Y153" s="442" t="str">
        <f t="shared" si="30"/>
        <v/>
      </c>
      <c r="Z153" s="469"/>
      <c r="AA153" s="470">
        <v>0.64</v>
      </c>
      <c r="AB153" s="470"/>
      <c r="AC153" s="436" t="str">
        <f>IF(ISNUMBER(VLOOKUP(B153,'New Masses'!A:C,3,FALSE)),VLOOKUP(B153,'New Masses'!A:C,3,FALSE),"")</f>
        <v/>
      </c>
      <c r="AD153" s="440"/>
      <c r="AE153" s="440">
        <f t="shared" si="36"/>
        <v>0.0000000001</v>
      </c>
      <c r="AF153" s="439">
        <v>-10.0</v>
      </c>
      <c r="AG153" s="436"/>
      <c r="AH153" s="459">
        <v>0.08</v>
      </c>
      <c r="AI153" s="436"/>
      <c r="AJ153" s="446" t="str">
        <f>IF(ISNUMBER(VLOOKUP(B153,'New Masses'!A:C,2, FALSE)),VLOOKUP(B153,'New Masses'!A:C,2, FALSE),"")</f>
        <v/>
      </c>
      <c r="AK153" s="436"/>
      <c r="AL153" s="436"/>
      <c r="AM153" s="436"/>
      <c r="AN153" s="436"/>
      <c r="AO153" s="436">
        <v>2.0</v>
      </c>
      <c r="AP153" s="436"/>
      <c r="AQ153" s="436"/>
      <c r="AR153" s="436"/>
      <c r="AS153" s="438"/>
      <c r="AT153" s="448"/>
      <c r="AU153" s="452"/>
      <c r="AV153" s="438" t="s">
        <v>629</v>
      </c>
      <c r="AW153" s="438"/>
      <c r="AX153" s="450">
        <v>240.142164161183</v>
      </c>
    </row>
    <row r="154">
      <c r="A154" s="419" t="s">
        <v>685</v>
      </c>
      <c r="B154" s="419" t="s">
        <v>2356</v>
      </c>
      <c r="C154" s="419"/>
      <c r="D154" s="436" t="s">
        <v>676</v>
      </c>
      <c r="E154" s="436"/>
      <c r="F154" s="436" t="s">
        <v>2357</v>
      </c>
      <c r="G154" s="436" t="s">
        <v>169</v>
      </c>
      <c r="H154" s="436" t="s">
        <v>598</v>
      </c>
      <c r="I154" s="467">
        <v>37985.0</v>
      </c>
      <c r="J154" s="436">
        <v>2990.0</v>
      </c>
      <c r="K154" s="436"/>
      <c r="L154" s="436" t="s">
        <v>353</v>
      </c>
      <c r="M154" s="439"/>
      <c r="N154" s="422">
        <v>13.86</v>
      </c>
      <c r="O154" s="422">
        <v>12.266</v>
      </c>
      <c r="P154" s="422">
        <v>20.06</v>
      </c>
      <c r="Q154" s="436" t="s">
        <v>2194</v>
      </c>
      <c r="R154" s="436" t="s">
        <v>2195</v>
      </c>
      <c r="S154" s="436" t="s">
        <v>2196</v>
      </c>
      <c r="T154" s="436" t="s">
        <v>596</v>
      </c>
      <c r="U154" s="436" t="s">
        <v>597</v>
      </c>
      <c r="V154" s="451"/>
      <c r="W154" s="468"/>
      <c r="X154" s="436"/>
      <c r="Y154" s="442" t="str">
        <f t="shared" si="30"/>
        <v/>
      </c>
      <c r="Z154" s="469"/>
      <c r="AA154" s="470">
        <v>0.62</v>
      </c>
      <c r="AB154" s="470"/>
      <c r="AC154" s="436" t="str">
        <f>IF(ISNUMBER(VLOOKUP(B154,'New Masses'!A:C,3,FALSE)),VLOOKUP(B154,'New Masses'!A:C,3,FALSE),"")</f>
        <v/>
      </c>
      <c r="AD154" s="440"/>
      <c r="AE154" s="440">
        <f t="shared" si="36"/>
        <v>0.0000000001</v>
      </c>
      <c r="AF154" s="439">
        <v>-10.0</v>
      </c>
      <c r="AG154" s="436"/>
      <c r="AH154" s="459">
        <v>0.08</v>
      </c>
      <c r="AI154" s="436"/>
      <c r="AJ154" s="446" t="str">
        <f>IF(ISNUMBER(VLOOKUP(B154,'New Masses'!A:C,2, FALSE)),VLOOKUP(B154,'New Masses'!A:C,2, FALSE),"")</f>
        <v/>
      </c>
      <c r="AK154" s="436"/>
      <c r="AL154" s="436"/>
      <c r="AM154" s="436"/>
      <c r="AN154" s="436"/>
      <c r="AO154" s="436">
        <v>2.0</v>
      </c>
      <c r="AP154" s="436"/>
      <c r="AQ154" s="436"/>
      <c r="AR154" s="436"/>
      <c r="AS154" s="438"/>
      <c r="AT154" s="448"/>
      <c r="AU154" s="449"/>
      <c r="AV154" s="438" t="s">
        <v>629</v>
      </c>
      <c r="AW154" s="438"/>
      <c r="AX154" s="450">
        <v>204.22333864314</v>
      </c>
    </row>
    <row r="155">
      <c r="A155" s="419" t="s">
        <v>1952</v>
      </c>
      <c r="B155" s="436" t="s">
        <v>1953</v>
      </c>
      <c r="C155" s="436"/>
      <c r="D155" s="436" t="s">
        <v>676</v>
      </c>
      <c r="E155" s="436"/>
      <c r="F155" s="436" t="s">
        <v>2358</v>
      </c>
      <c r="G155" s="436" t="s">
        <v>189</v>
      </c>
      <c r="H155" s="436" t="s">
        <v>598</v>
      </c>
      <c r="I155" s="467">
        <v>37985.0</v>
      </c>
      <c r="J155" s="436">
        <v>3430.0</v>
      </c>
      <c r="K155" s="436"/>
      <c r="L155" s="436" t="s">
        <v>1285</v>
      </c>
      <c r="M155" s="439"/>
      <c r="N155" s="422">
        <v>10.203</v>
      </c>
      <c r="O155" s="422">
        <v>9.233</v>
      </c>
      <c r="P155" s="422">
        <v>13.98</v>
      </c>
      <c r="Q155" s="436" t="s">
        <v>2194</v>
      </c>
      <c r="R155" s="436" t="s">
        <v>2195</v>
      </c>
      <c r="S155" s="436" t="s">
        <v>2196</v>
      </c>
      <c r="T155" s="436" t="s">
        <v>596</v>
      </c>
      <c r="U155" s="436" t="s">
        <v>597</v>
      </c>
      <c r="V155" s="451"/>
      <c r="W155" s="468"/>
      <c r="X155" s="436"/>
      <c r="Y155" s="442" t="str">
        <f t="shared" si="30"/>
        <v/>
      </c>
      <c r="Z155" s="469"/>
      <c r="AA155" s="470">
        <v>1.7</v>
      </c>
      <c r="AB155" s="470"/>
      <c r="AC155" s="436" t="str">
        <f>IF(ISNUMBER(VLOOKUP(B155,'New Masses'!A:C,3,FALSE)),VLOOKUP(B155,'New Masses'!A:C,3,FALSE),"")</f>
        <v/>
      </c>
      <c r="AD155" s="440"/>
      <c r="AE155" s="440"/>
      <c r="AF155" s="439"/>
      <c r="AG155" s="436"/>
      <c r="AH155" s="459">
        <v>0.44</v>
      </c>
      <c r="AI155" s="436"/>
      <c r="AJ155" s="446" t="str">
        <f>IF(ISNUMBER(VLOOKUP(B155,'New Masses'!A:C,2, FALSE)),VLOOKUP(B155,'New Masses'!A:C,2, FALSE),"")</f>
        <v/>
      </c>
      <c r="AK155" s="436"/>
      <c r="AL155" s="436"/>
      <c r="AM155" s="436"/>
      <c r="AN155" s="436"/>
      <c r="AO155" s="436">
        <v>2.0</v>
      </c>
      <c r="AP155" s="436"/>
      <c r="AQ155" s="436"/>
      <c r="AR155" s="438"/>
      <c r="AS155" s="438"/>
      <c r="AT155" s="448"/>
      <c r="AU155" s="449" t="s">
        <v>137</v>
      </c>
      <c r="AV155" s="438"/>
      <c r="AW155" s="438"/>
      <c r="AX155" s="450"/>
    </row>
    <row r="156">
      <c r="A156" s="419" t="s">
        <v>681</v>
      </c>
      <c r="B156" s="419" t="s">
        <v>681</v>
      </c>
      <c r="C156" s="436"/>
      <c r="D156" s="436" t="s">
        <v>676</v>
      </c>
      <c r="E156" s="436"/>
      <c r="F156" s="436" t="s">
        <v>2359</v>
      </c>
      <c r="G156" s="436" t="s">
        <v>159</v>
      </c>
      <c r="H156" s="436" t="s">
        <v>598</v>
      </c>
      <c r="I156" s="467">
        <v>37985.0</v>
      </c>
      <c r="J156" s="436">
        <v>3024.0</v>
      </c>
      <c r="K156" s="436"/>
      <c r="L156" s="436" t="s">
        <v>270</v>
      </c>
      <c r="M156" s="439"/>
      <c r="N156" s="422">
        <v>13.51</v>
      </c>
      <c r="O156" s="422">
        <v>12.622</v>
      </c>
      <c r="P156" s="422"/>
      <c r="Q156" s="436" t="s">
        <v>2194</v>
      </c>
      <c r="R156" s="436" t="s">
        <v>2195</v>
      </c>
      <c r="S156" s="436" t="s">
        <v>2196</v>
      </c>
      <c r="T156" s="436" t="s">
        <v>596</v>
      </c>
      <c r="U156" s="436" t="s">
        <v>597</v>
      </c>
      <c r="V156" s="451"/>
      <c r="W156" s="468"/>
      <c r="X156" s="436"/>
      <c r="Y156" s="442" t="str">
        <f t="shared" si="30"/>
        <v/>
      </c>
      <c r="Z156" s="469"/>
      <c r="AA156" s="470">
        <v>0.42</v>
      </c>
      <c r="AB156" s="470"/>
      <c r="AC156" s="436" t="str">
        <f>IF(ISNUMBER(VLOOKUP(B156,'New Masses'!A:C,3,FALSE)),VLOOKUP(B156,'New Masses'!A:C,3,FALSE),"")</f>
        <v/>
      </c>
      <c r="AD156" s="440"/>
      <c r="AE156" s="440">
        <f>10^AF156</f>
        <v>0</v>
      </c>
      <c r="AF156" s="439">
        <v>-12.0</v>
      </c>
      <c r="AG156" s="436"/>
      <c r="AH156" s="459">
        <v>0.08</v>
      </c>
      <c r="AI156" s="436"/>
      <c r="AJ156" s="446" t="str">
        <f>IF(ISNUMBER(VLOOKUP(B156,'New Masses'!A:C,2, FALSE)),VLOOKUP(B156,'New Masses'!A:C,2, FALSE),"")</f>
        <v/>
      </c>
      <c r="AK156" s="436"/>
      <c r="AL156" s="436"/>
      <c r="AM156" s="436"/>
      <c r="AN156" s="436"/>
      <c r="AO156" s="436">
        <v>2.0</v>
      </c>
      <c r="AP156" s="436"/>
      <c r="AQ156" s="436"/>
      <c r="AR156" s="436"/>
      <c r="AS156" s="438"/>
      <c r="AT156" s="448"/>
      <c r="AU156" s="452" t="s">
        <v>137</v>
      </c>
      <c r="AV156" s="438" t="s">
        <v>629</v>
      </c>
      <c r="AW156" s="438"/>
      <c r="AX156" s="450">
        <v>160.348919248284</v>
      </c>
    </row>
    <row r="157">
      <c r="A157" s="419" t="s">
        <v>222</v>
      </c>
      <c r="B157" s="419" t="s">
        <v>222</v>
      </c>
      <c r="C157" s="421" t="s">
        <v>223</v>
      </c>
      <c r="D157" s="420" t="s">
        <v>199</v>
      </c>
      <c r="E157" s="420"/>
      <c r="F157" s="421" t="s">
        <v>2360</v>
      </c>
      <c r="G157" s="420"/>
      <c r="H157" s="420" t="s">
        <v>225</v>
      </c>
      <c r="I157" s="467">
        <v>39120.0</v>
      </c>
      <c r="J157" s="436">
        <v>2550.0</v>
      </c>
      <c r="K157" s="420"/>
      <c r="L157" s="420" t="s">
        <v>318</v>
      </c>
      <c r="M157" s="422">
        <v>0.5</v>
      </c>
      <c r="N157" s="422">
        <v>12.995</v>
      </c>
      <c r="O157" s="422">
        <v>11.945</v>
      </c>
      <c r="P157" s="422">
        <v>17.99</v>
      </c>
      <c r="Q157" s="420" t="s">
        <v>2239</v>
      </c>
      <c r="R157" s="420" t="s">
        <v>2240</v>
      </c>
      <c r="S157" s="420" t="s">
        <v>307</v>
      </c>
      <c r="T157" s="420" t="s">
        <v>293</v>
      </c>
      <c r="U157" s="420" t="s">
        <v>294</v>
      </c>
      <c r="V157" s="440"/>
      <c r="W157" s="468"/>
      <c r="X157" s="436"/>
      <c r="Y157" s="442" t="str">
        <f t="shared" si="30"/>
        <v/>
      </c>
      <c r="Z157" s="469"/>
      <c r="AA157" s="470">
        <v>0.24</v>
      </c>
      <c r="AB157" s="426"/>
      <c r="AC157" s="436" t="str">
        <f>IF(ISNUMBER(VLOOKUP(B157,'New Masses'!A:C,3,FALSE)),VLOOKUP(B157,'New Masses'!A:C,3,FALSE),"")</f>
        <v/>
      </c>
      <c r="AD157" s="451"/>
      <c r="AE157" s="451">
        <f>0.023*10^-10</f>
        <v>0</v>
      </c>
      <c r="AF157" s="439">
        <f t="shared" ref="AF157:AF158" si="37">log10(AE157)</f>
        <v>-11.63827216</v>
      </c>
      <c r="AG157" s="438"/>
      <c r="AH157" s="459">
        <v>0.024</v>
      </c>
      <c r="AI157" s="421">
        <v>0.01</v>
      </c>
      <c r="AJ157" s="446" t="str">
        <f>IF(ISNUMBER(VLOOKUP(B157,'New Masses'!A:C,2, FALSE)),VLOOKUP(B157,'New Masses'!A:C,2, FALSE),"")</f>
        <v/>
      </c>
      <c r="AK157" s="420"/>
      <c r="AL157" s="420"/>
      <c r="AM157" s="436">
        <f>log10(0.0000061)</f>
        <v>-5.214670165</v>
      </c>
      <c r="AN157" s="438"/>
      <c r="AO157" s="436">
        <v>10.0</v>
      </c>
      <c r="AP157" s="438"/>
      <c r="AQ157" s="437">
        <v>0.0</v>
      </c>
      <c r="AR157" s="438"/>
      <c r="AS157" s="438" t="s">
        <v>2349</v>
      </c>
      <c r="AT157" s="448"/>
      <c r="AU157" s="449"/>
      <c r="AV157" s="438"/>
      <c r="AW157" s="438"/>
      <c r="AX157" s="450">
        <v>64.0</v>
      </c>
    </row>
    <row r="158">
      <c r="A158" s="419" t="s">
        <v>222</v>
      </c>
      <c r="B158" s="419" t="s">
        <v>222</v>
      </c>
      <c r="C158" s="421" t="s">
        <v>223</v>
      </c>
      <c r="D158" s="420" t="s">
        <v>199</v>
      </c>
      <c r="E158" s="420"/>
      <c r="F158" s="421" t="s">
        <v>2360</v>
      </c>
      <c r="G158" s="420"/>
      <c r="H158" s="420" t="s">
        <v>225</v>
      </c>
      <c r="I158" s="467">
        <v>39044.0</v>
      </c>
      <c r="J158" s="436">
        <v>2550.0</v>
      </c>
      <c r="K158" s="420"/>
      <c r="L158" s="420" t="s">
        <v>318</v>
      </c>
      <c r="M158" s="422">
        <v>0.5</v>
      </c>
      <c r="N158" s="422">
        <v>12.995</v>
      </c>
      <c r="O158" s="422">
        <v>11.945</v>
      </c>
      <c r="P158" s="422">
        <v>17.99</v>
      </c>
      <c r="Q158" s="420" t="s">
        <v>2239</v>
      </c>
      <c r="R158" s="420" t="s">
        <v>2240</v>
      </c>
      <c r="S158" s="420" t="s">
        <v>307</v>
      </c>
      <c r="T158" s="420" t="s">
        <v>293</v>
      </c>
      <c r="U158" s="420" t="s">
        <v>294</v>
      </c>
      <c r="V158" s="440"/>
      <c r="W158" s="468"/>
      <c r="X158" s="436"/>
      <c r="Y158" s="442" t="str">
        <f t="shared" si="30"/>
        <v/>
      </c>
      <c r="Z158" s="469"/>
      <c r="AA158" s="470">
        <v>0.24</v>
      </c>
      <c r="AB158" s="426"/>
      <c r="AC158" s="436" t="str">
        <f>IF(ISNUMBER(VLOOKUP(B158,'New Masses'!A:C,3,FALSE)),VLOOKUP(B158,'New Masses'!A:C,3,FALSE),"")</f>
        <v/>
      </c>
      <c r="AD158" s="451"/>
      <c r="AE158" s="451">
        <v>1.7E-12</v>
      </c>
      <c r="AF158" s="439">
        <f t="shared" si="37"/>
        <v>-11.76955108</v>
      </c>
      <c r="AG158" s="438"/>
      <c r="AH158" s="459">
        <v>0.024</v>
      </c>
      <c r="AI158" s="421">
        <v>0.01</v>
      </c>
      <c r="AJ158" s="446" t="str">
        <f>IF(ISNUMBER(VLOOKUP(B158,'New Masses'!A:C,2, FALSE)),VLOOKUP(B158,'New Masses'!A:C,2, FALSE),"")</f>
        <v/>
      </c>
      <c r="AK158" s="420"/>
      <c r="AL158" s="420"/>
      <c r="AM158" s="436">
        <f>log10(0.0000044)</f>
        <v>-5.356547324</v>
      </c>
      <c r="AN158" s="438"/>
      <c r="AO158" s="436">
        <v>10.0</v>
      </c>
      <c r="AP158" s="438"/>
      <c r="AQ158" s="437">
        <v>0.0</v>
      </c>
      <c r="AR158" s="438"/>
      <c r="AS158" s="438" t="s">
        <v>2349</v>
      </c>
      <c r="AT158" s="448"/>
      <c r="AU158" s="452"/>
      <c r="AV158" s="438"/>
      <c r="AW158" s="438"/>
      <c r="AX158" s="450">
        <v>64.0</v>
      </c>
    </row>
    <row r="159">
      <c r="A159" s="419" t="s">
        <v>222</v>
      </c>
      <c r="B159" s="419" t="s">
        <v>222</v>
      </c>
      <c r="C159" s="421" t="s">
        <v>223</v>
      </c>
      <c r="D159" s="420" t="s">
        <v>224</v>
      </c>
      <c r="E159" s="420"/>
      <c r="F159" s="420" t="s">
        <v>2361</v>
      </c>
      <c r="G159" s="420" t="s">
        <v>169</v>
      </c>
      <c r="H159" s="420" t="s">
        <v>306</v>
      </c>
      <c r="I159" s="467">
        <v>39596.0</v>
      </c>
      <c r="J159" s="436">
        <v>2632.0</v>
      </c>
      <c r="K159" s="420"/>
      <c r="L159" s="420" t="s">
        <v>221</v>
      </c>
      <c r="M159" s="429"/>
      <c r="N159" s="422">
        <v>12.995</v>
      </c>
      <c r="O159" s="422">
        <v>11.945</v>
      </c>
      <c r="P159" s="422">
        <v>17.99</v>
      </c>
      <c r="Q159" s="420" t="s">
        <v>2239</v>
      </c>
      <c r="R159" s="420" t="s">
        <v>2240</v>
      </c>
      <c r="S159" s="420" t="s">
        <v>307</v>
      </c>
      <c r="T159" s="420" t="s">
        <v>293</v>
      </c>
      <c r="U159" s="420" t="s">
        <v>294</v>
      </c>
      <c r="V159" s="440"/>
      <c r="W159" s="468"/>
      <c r="X159" s="436"/>
      <c r="Y159" s="442" t="str">
        <f t="shared" si="30"/>
        <v/>
      </c>
      <c r="Z159" s="469"/>
      <c r="AA159" s="470">
        <v>0.21</v>
      </c>
      <c r="AB159" s="426"/>
      <c r="AC159" s="436" t="str">
        <f>IF(ISNUMBER(VLOOKUP(B159,'New Masses'!A:C,3,FALSE)),VLOOKUP(B159,'New Masses'!A:C,3,FALSE),"")</f>
        <v/>
      </c>
      <c r="AD159" s="451"/>
      <c r="AE159" s="451">
        <f>10^(AF159)</f>
        <v>0</v>
      </c>
      <c r="AF159" s="439">
        <v>-11.9</v>
      </c>
      <c r="AG159" s="438"/>
      <c r="AH159" s="459">
        <v>0.035</v>
      </c>
      <c r="AI159" s="420"/>
      <c r="AJ159" s="446" t="str">
        <f>IF(ISNUMBER(VLOOKUP(B159,'New Masses'!A:C,2, FALSE)),VLOOKUP(B159,'New Masses'!A:C,2, FALSE),"")</f>
        <v/>
      </c>
      <c r="AK159" s="420"/>
      <c r="AL159" s="420"/>
      <c r="AM159" s="436">
        <v>-5.3</v>
      </c>
      <c r="AN159" s="438"/>
      <c r="AO159" s="436">
        <v>8.0</v>
      </c>
      <c r="AP159" s="438"/>
      <c r="AQ159" s="436">
        <v>0.0</v>
      </c>
      <c r="AR159" s="438"/>
      <c r="AS159" s="420" t="s">
        <v>2241</v>
      </c>
      <c r="AT159" s="448"/>
      <c r="AU159" s="449"/>
      <c r="AV159" s="438"/>
      <c r="AW159" s="438"/>
      <c r="AX159" s="450">
        <v>64.0</v>
      </c>
    </row>
    <row r="160">
      <c r="A160" s="419" t="s">
        <v>222</v>
      </c>
      <c r="B160" s="421" t="s">
        <v>223</v>
      </c>
      <c r="C160" s="420"/>
      <c r="D160" s="420" t="s">
        <v>224</v>
      </c>
      <c r="E160" s="420"/>
      <c r="F160" s="420" t="s">
        <v>2361</v>
      </c>
      <c r="G160" s="420" t="s">
        <v>189</v>
      </c>
      <c r="H160" s="420" t="s">
        <v>201</v>
      </c>
      <c r="I160" s="420" t="s">
        <v>2207</v>
      </c>
      <c r="J160" s="436">
        <v>2700.0</v>
      </c>
      <c r="K160" s="438"/>
      <c r="L160" s="420" t="s">
        <v>227</v>
      </c>
      <c r="M160" s="429"/>
      <c r="N160" s="422">
        <v>12.995</v>
      </c>
      <c r="O160" s="422">
        <v>11.945</v>
      </c>
      <c r="P160" s="422">
        <v>17.99</v>
      </c>
      <c r="Q160" s="420" t="s">
        <v>2208</v>
      </c>
      <c r="R160" s="438" t="s">
        <v>2209</v>
      </c>
      <c r="S160" s="420" t="s">
        <v>2196</v>
      </c>
      <c r="T160" s="454" t="s">
        <v>162</v>
      </c>
      <c r="U160" s="420" t="s">
        <v>2210</v>
      </c>
      <c r="V160" s="438">
        <v>4.2</v>
      </c>
      <c r="W160" s="458"/>
      <c r="X160" s="438"/>
      <c r="Y160" s="442" t="str">
        <f t="shared" si="30"/>
        <v/>
      </c>
      <c r="Z160" s="442"/>
      <c r="AA160" s="443"/>
      <c r="AB160" s="443"/>
      <c r="AC160" s="469">
        <f>IF(ISNUMBER(VLOOKUP(B160,'New Masses'!A:C,3,FALSE)),VLOOKUP(B160,'New Masses'!A:C,3,FALSE),"")</f>
        <v>0.31275</v>
      </c>
      <c r="AD160" s="423"/>
      <c r="AE160" s="423">
        <f t="shared" ref="AE160:AE164" si="38">10^AF160</f>
        <v>0</v>
      </c>
      <c r="AF160" s="429">
        <v>-10.9</v>
      </c>
      <c r="AG160" s="438"/>
      <c r="AH160" s="459">
        <v>0.035</v>
      </c>
      <c r="AI160" s="438"/>
      <c r="AJ160" s="446">
        <f>IF(ISNUMBER(VLOOKUP(B160,'New Masses'!A:C,2, FALSE)),VLOOKUP(B160,'New Masses'!A:C,2, FALSE),"")</f>
        <v>0.027097</v>
      </c>
      <c r="AK160" s="438"/>
      <c r="AL160" s="438"/>
      <c r="AM160" s="438"/>
      <c r="AN160" s="438"/>
      <c r="AO160" s="436">
        <v>8.0</v>
      </c>
      <c r="AP160" s="438"/>
      <c r="AQ160" s="436">
        <v>0.0</v>
      </c>
      <c r="AR160" s="420"/>
      <c r="AS160" s="420" t="s">
        <v>2241</v>
      </c>
      <c r="AT160" s="448"/>
      <c r="AU160" s="449"/>
      <c r="AV160" s="436" t="s">
        <v>229</v>
      </c>
      <c r="AW160" s="420" t="s">
        <v>2362</v>
      </c>
      <c r="AX160" s="450">
        <v>64.0</v>
      </c>
    </row>
    <row r="161">
      <c r="A161" s="419" t="s">
        <v>222</v>
      </c>
      <c r="B161" s="421" t="s">
        <v>223</v>
      </c>
      <c r="C161" s="420"/>
      <c r="D161" s="420" t="s">
        <v>224</v>
      </c>
      <c r="E161" s="420"/>
      <c r="F161" s="420" t="s">
        <v>2361</v>
      </c>
      <c r="G161" s="420" t="s">
        <v>189</v>
      </c>
      <c r="H161" s="420" t="s">
        <v>201</v>
      </c>
      <c r="I161" s="420" t="s">
        <v>2207</v>
      </c>
      <c r="J161" s="436">
        <v>2700.0</v>
      </c>
      <c r="K161" s="438"/>
      <c r="L161" s="420" t="s">
        <v>227</v>
      </c>
      <c r="M161" s="429"/>
      <c r="N161" s="422">
        <v>12.995</v>
      </c>
      <c r="O161" s="422">
        <v>11.945</v>
      </c>
      <c r="P161" s="422">
        <v>17.99</v>
      </c>
      <c r="Q161" s="420" t="s">
        <v>2208</v>
      </c>
      <c r="R161" s="438" t="s">
        <v>2209</v>
      </c>
      <c r="S161" s="420" t="s">
        <v>2196</v>
      </c>
      <c r="T161" s="454" t="s">
        <v>162</v>
      </c>
      <c r="U161" s="420" t="s">
        <v>2210</v>
      </c>
      <c r="V161" s="438">
        <v>4.2</v>
      </c>
      <c r="W161" s="458"/>
      <c r="X161" s="438"/>
      <c r="Y161" s="442" t="str">
        <f t="shared" si="30"/>
        <v/>
      </c>
      <c r="Z161" s="442"/>
      <c r="AA161" s="443"/>
      <c r="AB161" s="443"/>
      <c r="AC161" s="469">
        <f>IF(ISNUMBER(VLOOKUP(B161,'New Masses'!A:C,3,FALSE)),VLOOKUP(B161,'New Masses'!A:C,3,FALSE),"")</f>
        <v>0.31275</v>
      </c>
      <c r="AD161" s="423"/>
      <c r="AE161" s="423">
        <f t="shared" si="38"/>
        <v>0</v>
      </c>
      <c r="AF161" s="453">
        <v>-11.1</v>
      </c>
      <c r="AG161" s="438"/>
      <c r="AH161" s="459">
        <v>0.035</v>
      </c>
      <c r="AI161" s="438"/>
      <c r="AJ161" s="446" t="str">
        <f>IF(ISNUMBER(VLOOKUP(A161,'New Masses'!A:C,2, FALSE)),VLOOKUP(A161,'New Masses'!A:C,2, FALSE),"")</f>
        <v/>
      </c>
      <c r="AK161" s="438"/>
      <c r="AL161" s="438"/>
      <c r="AM161" s="438"/>
      <c r="AN161" s="438"/>
      <c r="AO161" s="436">
        <v>8.0</v>
      </c>
      <c r="AP161" s="438"/>
      <c r="AQ161" s="436">
        <v>0.0</v>
      </c>
      <c r="AR161" s="420"/>
      <c r="AS161" s="420" t="s">
        <v>2241</v>
      </c>
      <c r="AT161" s="448"/>
      <c r="AU161" s="452"/>
      <c r="AV161" s="436" t="s">
        <v>228</v>
      </c>
      <c r="AW161" s="436" t="s">
        <v>2362</v>
      </c>
      <c r="AX161" s="450">
        <v>64.0</v>
      </c>
    </row>
    <row r="162">
      <c r="A162" s="435" t="s">
        <v>482</v>
      </c>
      <c r="B162" s="451" t="s">
        <v>483</v>
      </c>
      <c r="C162" s="423"/>
      <c r="D162" s="423" t="s">
        <v>314</v>
      </c>
      <c r="E162" s="423"/>
      <c r="F162" s="428" t="s">
        <v>2363</v>
      </c>
      <c r="G162" s="423" t="s">
        <v>169</v>
      </c>
      <c r="H162" s="423" t="s">
        <v>476</v>
      </c>
      <c r="I162" s="436">
        <v>2015.0</v>
      </c>
      <c r="J162" s="451">
        <v>2940.0</v>
      </c>
      <c r="K162" s="423"/>
      <c r="L162" s="423" t="s">
        <v>217</v>
      </c>
      <c r="M162" s="422">
        <v>0.5</v>
      </c>
      <c r="N162" s="422">
        <v>14.66</v>
      </c>
      <c r="O162" s="422">
        <v>13.56</v>
      </c>
      <c r="P162" s="422"/>
      <c r="Q162" s="423" t="s">
        <v>2189</v>
      </c>
      <c r="R162" s="423" t="s">
        <v>2190</v>
      </c>
      <c r="S162" s="423" t="s">
        <v>2191</v>
      </c>
      <c r="T162" s="428" t="s">
        <v>162</v>
      </c>
      <c r="U162" s="423" t="s">
        <v>2192</v>
      </c>
      <c r="V162" s="423"/>
      <c r="W162" s="468"/>
      <c r="X162" s="436"/>
      <c r="Y162" s="442" t="str">
        <f t="shared" si="30"/>
        <v/>
      </c>
      <c r="Z162" s="469"/>
      <c r="AA162" s="470">
        <v>0.4</v>
      </c>
      <c r="AB162" s="470">
        <v>0.09</v>
      </c>
      <c r="AC162" s="469">
        <f>IF(ISNUMBER(VLOOKUP(B162,'New Masses'!A:C,3,FALSE)),VLOOKUP(B162,'New Masses'!A:C,3,FALSE),"")</f>
        <v>0.524545</v>
      </c>
      <c r="AD162" s="451"/>
      <c r="AE162" s="451">
        <f t="shared" si="38"/>
        <v>0</v>
      </c>
      <c r="AF162" s="439">
        <v>-11.2</v>
      </c>
      <c r="AG162" s="440"/>
      <c r="AH162" s="459">
        <v>0.07</v>
      </c>
      <c r="AI162" s="451">
        <v>0.01</v>
      </c>
      <c r="AJ162" s="446">
        <f>IF(ISNUMBER(VLOOKUP(B162,'New Masses'!A:C,2, FALSE)),VLOOKUP(B162,'New Masses'!A:C,2, FALSE),"")</f>
        <v>0.045802</v>
      </c>
      <c r="AK162" s="451">
        <f t="shared" ref="AK162:AK164" si="39">LOG10(AH162)</f>
        <v>-1.15490196</v>
      </c>
      <c r="AL162" s="440"/>
      <c r="AM162" s="451">
        <v>-4.6</v>
      </c>
      <c r="AN162" s="466">
        <v>43900.0</v>
      </c>
      <c r="AO162" s="436">
        <v>3.0</v>
      </c>
      <c r="AP162" s="440"/>
      <c r="AQ162" s="451">
        <v>0.0</v>
      </c>
      <c r="AR162" s="440"/>
      <c r="AS162" s="420" t="s">
        <v>2364</v>
      </c>
      <c r="AT162" s="448"/>
      <c r="AU162" s="452"/>
      <c r="AV162" s="482" t="s">
        <v>2365</v>
      </c>
      <c r="AW162" s="440"/>
      <c r="AX162" s="450">
        <v>149.0</v>
      </c>
    </row>
    <row r="163">
      <c r="A163" s="435" t="s">
        <v>497</v>
      </c>
      <c r="B163" s="483" t="s">
        <v>498</v>
      </c>
      <c r="C163" s="451"/>
      <c r="D163" s="440" t="s">
        <v>314</v>
      </c>
      <c r="E163" s="440"/>
      <c r="F163" s="435" t="s">
        <v>2366</v>
      </c>
      <c r="G163" s="440" t="s">
        <v>169</v>
      </c>
      <c r="H163" s="440" t="s">
        <v>476</v>
      </c>
      <c r="I163" s="438"/>
      <c r="J163" s="460">
        <v>3125.0</v>
      </c>
      <c r="K163" s="460">
        <v>72.0</v>
      </c>
      <c r="L163" s="460" t="s">
        <v>371</v>
      </c>
      <c r="M163" s="461">
        <v>0.5</v>
      </c>
      <c r="N163" s="422">
        <v>12.98</v>
      </c>
      <c r="O163" s="422">
        <v>12.127</v>
      </c>
      <c r="P163" s="422">
        <v>17.29</v>
      </c>
      <c r="Q163" s="440" t="s">
        <v>2189</v>
      </c>
      <c r="R163" s="451" t="s">
        <v>2190</v>
      </c>
      <c r="S163" s="451" t="s">
        <v>2191</v>
      </c>
      <c r="T163" s="462" t="s">
        <v>162</v>
      </c>
      <c r="U163" s="451" t="s">
        <v>2192</v>
      </c>
      <c r="V163" s="440"/>
      <c r="W163" s="463"/>
      <c r="X163" s="437"/>
      <c r="Y163" s="442" t="str">
        <f t="shared" si="30"/>
        <v/>
      </c>
      <c r="Z163" s="464"/>
      <c r="AA163" s="465">
        <v>0.44</v>
      </c>
      <c r="AB163" s="465">
        <v>0.1</v>
      </c>
      <c r="AC163" s="436" t="str">
        <f>IF(ISNUMBER(VLOOKUP(B163,'New Masses'!A:C,3,FALSE)),VLOOKUP(B163,'New Masses'!A:C,3,FALSE),"")</f>
        <v/>
      </c>
      <c r="AD163" s="440"/>
      <c r="AE163" s="440">
        <f t="shared" si="38"/>
        <v>0</v>
      </c>
      <c r="AF163" s="444">
        <v>-10.9</v>
      </c>
      <c r="AG163" s="440"/>
      <c r="AH163" s="445">
        <v>0.12</v>
      </c>
      <c r="AI163" s="460">
        <v>0.03</v>
      </c>
      <c r="AJ163" s="446" t="str">
        <f>IF(ISNUMBER(VLOOKUP(B163,'New Masses'!A:C,2, FALSE)),VLOOKUP(B163,'New Masses'!A:C,2, FALSE),"")</f>
        <v/>
      </c>
      <c r="AK163" s="440">
        <f t="shared" si="39"/>
        <v>-0.920818754</v>
      </c>
      <c r="AL163" s="460"/>
      <c r="AM163" s="460">
        <v>-4.1</v>
      </c>
      <c r="AN163" s="466">
        <v>43900.0</v>
      </c>
      <c r="AO163" s="436">
        <v>3.0</v>
      </c>
      <c r="AP163" s="440"/>
      <c r="AQ163" s="440"/>
      <c r="AR163" s="440"/>
      <c r="AS163" s="440"/>
      <c r="AT163" s="448"/>
      <c r="AU163" s="449"/>
      <c r="AV163" s="440"/>
      <c r="AW163" s="440"/>
      <c r="AX163" s="450">
        <v>152.893509670514</v>
      </c>
    </row>
    <row r="164">
      <c r="A164" s="435" t="s">
        <v>503</v>
      </c>
      <c r="B164" s="435" t="s">
        <v>504</v>
      </c>
      <c r="C164" s="451"/>
      <c r="D164" s="440" t="s">
        <v>314</v>
      </c>
      <c r="E164" s="440"/>
      <c r="F164" s="451" t="s">
        <v>2367</v>
      </c>
      <c r="G164" s="440" t="s">
        <v>169</v>
      </c>
      <c r="H164" s="440" t="s">
        <v>476</v>
      </c>
      <c r="I164" s="436">
        <v>2015.0</v>
      </c>
      <c r="J164" s="460">
        <v>3060.0</v>
      </c>
      <c r="K164" s="460">
        <v>71.0</v>
      </c>
      <c r="L164" s="460" t="s">
        <v>264</v>
      </c>
      <c r="M164" s="461">
        <v>0.5</v>
      </c>
      <c r="N164" s="422">
        <v>12.194</v>
      </c>
      <c r="O164" s="422">
        <v>9.706</v>
      </c>
      <c r="P164" s="422">
        <v>18.73</v>
      </c>
      <c r="Q164" s="440" t="s">
        <v>2189</v>
      </c>
      <c r="R164" s="451" t="s">
        <v>2190</v>
      </c>
      <c r="S164" s="451" t="s">
        <v>2191</v>
      </c>
      <c r="T164" s="462" t="s">
        <v>162</v>
      </c>
      <c r="U164" s="451" t="s">
        <v>2192</v>
      </c>
      <c r="V164" s="440"/>
      <c r="W164" s="463"/>
      <c r="X164" s="437"/>
      <c r="Y164" s="442" t="str">
        <f t="shared" si="30"/>
        <v/>
      </c>
      <c r="Z164" s="464"/>
      <c r="AA164" s="465">
        <v>0.85</v>
      </c>
      <c r="AB164" s="465">
        <v>0.21</v>
      </c>
      <c r="AC164" s="436" t="str">
        <f>IF(ISNUMBER(VLOOKUP(B164,'New Masses'!A:C,3,FALSE)),VLOOKUP(B164,'New Masses'!A:C,3,FALSE),"")</f>
        <v/>
      </c>
      <c r="AD164" s="440"/>
      <c r="AE164" s="440">
        <f t="shared" si="38"/>
        <v>0.00000000389045145</v>
      </c>
      <c r="AF164" s="444">
        <v>-8.41</v>
      </c>
      <c r="AG164" s="440"/>
      <c r="AH164" s="445">
        <v>0.14</v>
      </c>
      <c r="AI164" s="460">
        <v>0.02</v>
      </c>
      <c r="AJ164" s="446" t="str">
        <f>IF(ISNUMBER(VLOOKUP(B164,'New Masses'!A:C,2, FALSE)),VLOOKUP(B164,'New Masses'!A:C,2, FALSE),"")</f>
        <v/>
      </c>
      <c r="AK164" s="440">
        <f t="shared" si="39"/>
        <v>-0.8538719643</v>
      </c>
      <c r="AL164" s="460"/>
      <c r="AM164" s="460">
        <v>-1.8</v>
      </c>
      <c r="AN164" s="466">
        <v>43900.0</v>
      </c>
      <c r="AO164" s="436">
        <v>3.0</v>
      </c>
      <c r="AP164" s="440"/>
      <c r="AQ164" s="440"/>
      <c r="AR164" s="440"/>
      <c r="AS164" s="440"/>
      <c r="AT164" s="448"/>
      <c r="AU164" s="452"/>
      <c r="AV164" s="440"/>
      <c r="AW164" s="440"/>
      <c r="AX164" s="450">
        <v>154.959478096477</v>
      </c>
    </row>
    <row r="165">
      <c r="A165" s="419" t="s">
        <v>343</v>
      </c>
      <c r="B165" s="436" t="s">
        <v>344</v>
      </c>
      <c r="C165" s="420"/>
      <c r="D165" s="420" t="s">
        <v>305</v>
      </c>
      <c r="E165" s="420"/>
      <c r="F165" s="420" t="s">
        <v>2368</v>
      </c>
      <c r="G165" s="420" t="s">
        <v>169</v>
      </c>
      <c r="H165" s="420" t="s">
        <v>306</v>
      </c>
      <c r="I165" s="467">
        <v>39596.0</v>
      </c>
      <c r="J165" s="436">
        <v>2880.0</v>
      </c>
      <c r="K165" s="420"/>
      <c r="L165" s="420" t="s">
        <v>345</v>
      </c>
      <c r="M165" s="429"/>
      <c r="N165" s="422">
        <v>14.395</v>
      </c>
      <c r="O165" s="422">
        <v>13.207</v>
      </c>
      <c r="P165" s="422"/>
      <c r="Q165" s="420" t="s">
        <v>2239</v>
      </c>
      <c r="R165" s="420" t="s">
        <v>2240</v>
      </c>
      <c r="S165" s="420" t="s">
        <v>307</v>
      </c>
      <c r="T165" s="420" t="s">
        <v>293</v>
      </c>
      <c r="U165" s="420" t="s">
        <v>294</v>
      </c>
      <c r="V165" s="440"/>
      <c r="W165" s="468"/>
      <c r="X165" s="436"/>
      <c r="Y165" s="442" t="str">
        <f t="shared" si="30"/>
        <v/>
      </c>
      <c r="Z165" s="469"/>
      <c r="AA165" s="470">
        <v>0.26</v>
      </c>
      <c r="AB165" s="426"/>
      <c r="AC165" s="469">
        <f>IF(ISNUMBER(VLOOKUP(B165,'New Masses'!A:C,3,FALSE)),VLOOKUP(B165,'New Masses'!A:C,3,FALSE),"")</f>
        <v>0.29591</v>
      </c>
      <c r="AD165" s="451"/>
      <c r="AE165" s="451">
        <f>10^(AF165)</f>
        <v>0</v>
      </c>
      <c r="AF165" s="439">
        <v>-11.4</v>
      </c>
      <c r="AG165" s="438"/>
      <c r="AH165" s="459">
        <v>0.06</v>
      </c>
      <c r="AI165" s="420"/>
      <c r="AJ165" s="446">
        <f>IF(ISNUMBER(VLOOKUP(B165,'New Masses'!A:C,2, FALSE)),VLOOKUP(B165,'New Masses'!A:C,2, FALSE),"")</f>
        <v>0.039758</v>
      </c>
      <c r="AK165" s="420"/>
      <c r="AL165" s="420"/>
      <c r="AM165" s="436">
        <v>-4.6</v>
      </c>
      <c r="AN165" s="438"/>
      <c r="AO165" s="436">
        <v>11.0</v>
      </c>
      <c r="AP165" s="438"/>
      <c r="AQ165" s="436">
        <v>0.0</v>
      </c>
      <c r="AR165" s="438"/>
      <c r="AS165" s="420" t="s">
        <v>2349</v>
      </c>
      <c r="AT165" s="448"/>
      <c r="AU165" s="449"/>
      <c r="AV165" s="438"/>
      <c r="AW165" s="438"/>
      <c r="AX165" s="450">
        <v>139.940385395821</v>
      </c>
    </row>
    <row r="166">
      <c r="A166" s="435" t="s">
        <v>572</v>
      </c>
      <c r="B166" s="484" t="s">
        <v>573</v>
      </c>
      <c r="C166" s="460"/>
      <c r="D166" s="440" t="s">
        <v>314</v>
      </c>
      <c r="E166" s="440"/>
      <c r="F166" s="451" t="s">
        <v>2369</v>
      </c>
      <c r="G166" s="440" t="s">
        <v>169</v>
      </c>
      <c r="H166" s="440" t="s">
        <v>476</v>
      </c>
      <c r="I166" s="436">
        <v>2010.0</v>
      </c>
      <c r="J166" s="460">
        <v>3850.0</v>
      </c>
      <c r="K166" s="460">
        <v>177.0</v>
      </c>
      <c r="L166" s="460" t="s">
        <v>427</v>
      </c>
      <c r="M166" s="461">
        <v>0.5</v>
      </c>
      <c r="N166" s="422">
        <v>9.728</v>
      </c>
      <c r="O166" s="422">
        <v>8.496</v>
      </c>
      <c r="P166" s="422"/>
      <c r="Q166" s="440" t="s">
        <v>2189</v>
      </c>
      <c r="R166" s="451" t="s">
        <v>2190</v>
      </c>
      <c r="S166" s="451" t="s">
        <v>2191</v>
      </c>
      <c r="T166" s="462" t="s">
        <v>162</v>
      </c>
      <c r="U166" s="451" t="s">
        <v>2192</v>
      </c>
      <c r="V166" s="440"/>
      <c r="W166" s="463"/>
      <c r="X166" s="437"/>
      <c r="Y166" s="442" t="str">
        <f t="shared" si="30"/>
        <v/>
      </c>
      <c r="Z166" s="464"/>
      <c r="AA166" s="465">
        <v>2.49</v>
      </c>
      <c r="AB166" s="465">
        <v>0.58</v>
      </c>
      <c r="AC166" s="436" t="str">
        <f>IF(ISNUMBER(VLOOKUP(B166,'New Masses'!A:C,3,FALSE)),VLOOKUP(B166,'New Masses'!A:C,3,FALSE),"")</f>
        <v/>
      </c>
      <c r="AD166" s="440"/>
      <c r="AE166" s="440">
        <f>10^AF166</f>
        <v>0.00000003630780548</v>
      </c>
      <c r="AF166" s="444">
        <v>-7.44</v>
      </c>
      <c r="AG166" s="440"/>
      <c r="AH166" s="445">
        <v>0.56</v>
      </c>
      <c r="AI166" s="460">
        <v>0.14</v>
      </c>
      <c r="AJ166" s="446" t="str">
        <f>IF(ISNUMBER(VLOOKUP(B166,'New Masses'!A:C,2, FALSE)),VLOOKUP(B166,'New Masses'!A:C,2, FALSE),"")</f>
        <v/>
      </c>
      <c r="AK166" s="440">
        <f>LOG10(AH166)</f>
        <v>-0.251811973</v>
      </c>
      <c r="AL166" s="460"/>
      <c r="AM166" s="460">
        <v>-0.7</v>
      </c>
      <c r="AN166" s="466">
        <v>43900.0</v>
      </c>
      <c r="AO166" s="436">
        <v>3.0</v>
      </c>
      <c r="AP166" s="440"/>
      <c r="AQ166" s="440"/>
      <c r="AR166" s="440"/>
      <c r="AS166" s="440"/>
      <c r="AT166" s="448"/>
      <c r="AU166" s="452"/>
      <c r="AV166" s="440"/>
      <c r="AW166" s="440"/>
      <c r="AX166" s="450">
        <v>157.696371406493</v>
      </c>
    </row>
    <row r="167">
      <c r="A167" s="419" t="s">
        <v>330</v>
      </c>
      <c r="B167" s="436" t="s">
        <v>331</v>
      </c>
      <c r="C167" s="420"/>
      <c r="D167" s="420" t="s">
        <v>305</v>
      </c>
      <c r="E167" s="420"/>
      <c r="F167" s="420" t="s">
        <v>2370</v>
      </c>
      <c r="G167" s="420" t="s">
        <v>169</v>
      </c>
      <c r="H167" s="420" t="s">
        <v>306</v>
      </c>
      <c r="I167" s="467">
        <v>39596.0</v>
      </c>
      <c r="J167" s="436">
        <v>2478.0</v>
      </c>
      <c r="K167" s="420"/>
      <c r="L167" s="420" t="s">
        <v>308</v>
      </c>
      <c r="M167" s="429"/>
      <c r="N167" s="422">
        <v>15.811</v>
      </c>
      <c r="O167" s="422">
        <v>14.55</v>
      </c>
      <c r="P167" s="422"/>
      <c r="Q167" s="420" t="s">
        <v>2239</v>
      </c>
      <c r="R167" s="420" t="s">
        <v>2240</v>
      </c>
      <c r="S167" s="420" t="s">
        <v>307</v>
      </c>
      <c r="T167" s="420" t="s">
        <v>293</v>
      </c>
      <c r="U167" s="420" t="s">
        <v>294</v>
      </c>
      <c r="V167" s="440"/>
      <c r="W167" s="468"/>
      <c r="X167" s="436"/>
      <c r="Y167" s="442" t="str">
        <f t="shared" si="30"/>
        <v/>
      </c>
      <c r="Z167" s="469"/>
      <c r="AA167" s="470">
        <v>0.17</v>
      </c>
      <c r="AB167" s="426"/>
      <c r="AC167" s="469">
        <f>IF(ISNUMBER(VLOOKUP(B167,'New Masses'!A:C,3,FALSE)),VLOOKUP(B167,'New Masses'!A:C,3,FALSE),"")</f>
        <v>0.26492</v>
      </c>
      <c r="AD167" s="451"/>
      <c r="AE167" s="451">
        <f t="shared" ref="AE167:AE168" si="40">10^(AF167)</f>
        <v>0</v>
      </c>
      <c r="AF167" s="439">
        <v>-12.3</v>
      </c>
      <c r="AG167" s="438"/>
      <c r="AH167" s="459">
        <v>0.033</v>
      </c>
      <c r="AI167" s="420"/>
      <c r="AJ167" s="446">
        <f>IF(ISNUMBER(VLOOKUP(B167,'New Masses'!A:C,2, FALSE)),VLOOKUP(B167,'New Masses'!A:C,2, FALSE),"")</f>
        <v>0.023689</v>
      </c>
      <c r="AK167" s="420"/>
      <c r="AL167" s="420"/>
      <c r="AM167" s="436">
        <v>-5.6</v>
      </c>
      <c r="AN167" s="438"/>
      <c r="AO167" s="436">
        <v>11.0</v>
      </c>
      <c r="AP167" s="438"/>
      <c r="AQ167" s="436">
        <v>0.0</v>
      </c>
      <c r="AR167" s="438"/>
      <c r="AS167" s="420" t="s">
        <v>2349</v>
      </c>
      <c r="AT167" s="448"/>
      <c r="AU167" s="449"/>
      <c r="AV167" s="438"/>
      <c r="AW167" s="438"/>
      <c r="AX167" s="450"/>
    </row>
    <row r="168">
      <c r="A168" s="419" t="s">
        <v>324</v>
      </c>
      <c r="B168" s="436" t="s">
        <v>2371</v>
      </c>
      <c r="C168" s="420"/>
      <c r="D168" s="420" t="s">
        <v>305</v>
      </c>
      <c r="E168" s="420"/>
      <c r="F168" s="420" t="s">
        <v>2372</v>
      </c>
      <c r="G168" s="420" t="s">
        <v>169</v>
      </c>
      <c r="H168" s="420" t="s">
        <v>306</v>
      </c>
      <c r="I168" s="467">
        <v>39596.0</v>
      </c>
      <c r="J168" s="436">
        <v>2550.0</v>
      </c>
      <c r="K168" s="420"/>
      <c r="L168" s="420" t="s">
        <v>213</v>
      </c>
      <c r="M168" s="429"/>
      <c r="N168" s="422">
        <v>15.292</v>
      </c>
      <c r="O168" s="422">
        <v>14.086</v>
      </c>
      <c r="P168" s="422"/>
      <c r="Q168" s="420" t="s">
        <v>2239</v>
      </c>
      <c r="R168" s="420" t="s">
        <v>2240</v>
      </c>
      <c r="S168" s="420" t="s">
        <v>307</v>
      </c>
      <c r="T168" s="420" t="s">
        <v>293</v>
      </c>
      <c r="U168" s="420" t="s">
        <v>294</v>
      </c>
      <c r="V168" s="440"/>
      <c r="W168" s="468"/>
      <c r="X168" s="436"/>
      <c r="Y168" s="442" t="str">
        <f t="shared" si="30"/>
        <v/>
      </c>
      <c r="Z168" s="469"/>
      <c r="AA168" s="470">
        <v>0.22</v>
      </c>
      <c r="AB168" s="426"/>
      <c r="AC168" s="469">
        <f>IF(ISNUMBER(VLOOKUP(B168,'New Masses'!A:C,3,FALSE)),VLOOKUP(B168,'New Masses'!A:C,3,FALSE),"")</f>
        <v>0.270086</v>
      </c>
      <c r="AD168" s="451"/>
      <c r="AE168" s="451">
        <f t="shared" si="40"/>
        <v>0</v>
      </c>
      <c r="AF168" s="439">
        <v>-11.3</v>
      </c>
      <c r="AG168" s="438"/>
      <c r="AH168" s="459">
        <v>0.027</v>
      </c>
      <c r="AI168" s="420"/>
      <c r="AJ168" s="446">
        <f>IF(ISNUMBER(VLOOKUP(B168,'New Masses'!A:C,2, FALSE)),VLOOKUP(B168,'New Masses'!A:C,2, FALSE),"")</f>
        <v>0.025279</v>
      </c>
      <c r="AK168" s="420"/>
      <c r="AL168" s="420"/>
      <c r="AM168" s="436">
        <v>-4.8</v>
      </c>
      <c r="AN168" s="438"/>
      <c r="AO168" s="436">
        <v>11.0</v>
      </c>
      <c r="AP168" s="438"/>
      <c r="AQ168" s="436">
        <v>0.3</v>
      </c>
      <c r="AR168" s="420"/>
      <c r="AS168" s="420" t="s">
        <v>2349</v>
      </c>
      <c r="AT168" s="448"/>
      <c r="AU168" s="452"/>
      <c r="AV168" s="438"/>
      <c r="AW168" s="438"/>
      <c r="AX168" s="450">
        <v>119.306115631487</v>
      </c>
    </row>
    <row r="169">
      <c r="A169" s="435" t="s">
        <v>495</v>
      </c>
      <c r="B169" s="451" t="s">
        <v>496</v>
      </c>
      <c r="C169" s="440"/>
      <c r="D169" s="440" t="s">
        <v>314</v>
      </c>
      <c r="E169" s="440"/>
      <c r="F169" s="451" t="s">
        <v>2373</v>
      </c>
      <c r="G169" s="440" t="s">
        <v>169</v>
      </c>
      <c r="H169" s="440" t="s">
        <v>476</v>
      </c>
      <c r="I169" s="438"/>
      <c r="J169" s="460">
        <v>3057.0</v>
      </c>
      <c r="K169" s="460">
        <v>70.0</v>
      </c>
      <c r="L169" s="460" t="s">
        <v>264</v>
      </c>
      <c r="M169" s="461">
        <v>0.5</v>
      </c>
      <c r="N169" s="422">
        <v>13.24</v>
      </c>
      <c r="O169" s="422">
        <v>12.13</v>
      </c>
      <c r="P169" s="422">
        <v>17.12</v>
      </c>
      <c r="Q169" s="440" t="s">
        <v>2189</v>
      </c>
      <c r="R169" s="451" t="s">
        <v>2190</v>
      </c>
      <c r="S169" s="451" t="s">
        <v>2191</v>
      </c>
      <c r="T169" s="462" t="s">
        <v>162</v>
      </c>
      <c r="U169" s="451" t="s">
        <v>2192</v>
      </c>
      <c r="V169" s="440"/>
      <c r="W169" s="463"/>
      <c r="X169" s="437"/>
      <c r="Y169" s="442" t="str">
        <f t="shared" si="30"/>
        <v/>
      </c>
      <c r="Z169" s="464"/>
      <c r="AA169" s="465">
        <v>0.52</v>
      </c>
      <c r="AB169" s="465">
        <v>0.12</v>
      </c>
      <c r="AC169" s="436" t="str">
        <f>IF(ISNUMBER(VLOOKUP(B169,'New Masses'!A:C,3,FALSE)),VLOOKUP(B169,'New Masses'!A:C,3,FALSE),"")</f>
        <v/>
      </c>
      <c r="AD169" s="440"/>
      <c r="AE169" s="440">
        <f t="shared" ref="AE169:AE175" si="41">10^AF169</f>
        <v>0</v>
      </c>
      <c r="AF169" s="444">
        <v>-10.2</v>
      </c>
      <c r="AG169" s="440"/>
      <c r="AH169" s="445">
        <v>0.11</v>
      </c>
      <c r="AI169" s="460">
        <v>0.02</v>
      </c>
      <c r="AJ169" s="446" t="str">
        <f>IF(ISNUMBER(VLOOKUP(B169,'New Masses'!A:C,2, FALSE)),VLOOKUP(B169,'New Masses'!A:C,2, FALSE),"")</f>
        <v/>
      </c>
      <c r="AK169" s="440">
        <f t="shared" ref="AK169:AK170" si="42">LOG10(AH169)</f>
        <v>-0.9586073148</v>
      </c>
      <c r="AL169" s="460"/>
      <c r="AM169" s="460">
        <v>-3.5</v>
      </c>
      <c r="AN169" s="466">
        <v>43900.0</v>
      </c>
      <c r="AO169" s="436">
        <v>3.0</v>
      </c>
      <c r="AP169" s="440"/>
      <c r="AQ169" s="440"/>
      <c r="AR169" s="440"/>
      <c r="AS169" s="440"/>
      <c r="AT169" s="448"/>
      <c r="AU169" s="449"/>
      <c r="AV169" s="440"/>
      <c r="AW169" s="440"/>
      <c r="AX169" s="450">
        <v>174.395284351511</v>
      </c>
    </row>
    <row r="170">
      <c r="A170" s="435" t="s">
        <v>494</v>
      </c>
      <c r="B170" s="435" t="s">
        <v>494</v>
      </c>
      <c r="C170" s="440"/>
      <c r="D170" s="440" t="s">
        <v>314</v>
      </c>
      <c r="E170" s="440"/>
      <c r="F170" s="451" t="s">
        <v>2374</v>
      </c>
      <c r="G170" s="440" t="s">
        <v>169</v>
      </c>
      <c r="H170" s="440" t="s">
        <v>476</v>
      </c>
      <c r="I170" s="436">
        <v>2015.0</v>
      </c>
      <c r="J170" s="460">
        <v>3060.0</v>
      </c>
      <c r="K170" s="460">
        <v>71.0</v>
      </c>
      <c r="L170" s="460" t="s">
        <v>264</v>
      </c>
      <c r="M170" s="461">
        <v>0.5</v>
      </c>
      <c r="N170" s="422">
        <v>15.21</v>
      </c>
      <c r="O170" s="422">
        <v>13.13</v>
      </c>
      <c r="P170" s="422">
        <v>18.93</v>
      </c>
      <c r="Q170" s="440" t="s">
        <v>2189</v>
      </c>
      <c r="R170" s="451" t="s">
        <v>2190</v>
      </c>
      <c r="S170" s="451" t="s">
        <v>2191</v>
      </c>
      <c r="T170" s="462" t="s">
        <v>162</v>
      </c>
      <c r="U170" s="451" t="s">
        <v>2192</v>
      </c>
      <c r="V170" s="440"/>
      <c r="W170" s="463"/>
      <c r="X170" s="437"/>
      <c r="Y170" s="442" t="str">
        <f t="shared" si="30"/>
        <v/>
      </c>
      <c r="Z170" s="464"/>
      <c r="AA170" s="465">
        <v>0.33</v>
      </c>
      <c r="AB170" s="465">
        <v>0.09</v>
      </c>
      <c r="AC170" s="436" t="str">
        <f>IF(ISNUMBER(VLOOKUP(B170,'New Masses'!A:C,3,FALSE)),VLOOKUP(B170,'New Masses'!A:C,3,FALSE),"")</f>
        <v/>
      </c>
      <c r="AD170" s="440"/>
      <c r="AE170" s="440">
        <f t="shared" si="41"/>
        <v>0</v>
      </c>
      <c r="AF170" s="444">
        <v>-10.3</v>
      </c>
      <c r="AG170" s="440"/>
      <c r="AH170" s="445">
        <v>0.1</v>
      </c>
      <c r="AI170" s="460">
        <v>0.02</v>
      </c>
      <c r="AJ170" s="446" t="str">
        <f>IF(ISNUMBER(VLOOKUP(B170,'New Masses'!A:C,2, FALSE)),VLOOKUP(B170,'New Masses'!A:C,2, FALSE),"")</f>
        <v/>
      </c>
      <c r="AK170" s="440">
        <f t="shared" si="42"/>
        <v>-1</v>
      </c>
      <c r="AL170" s="460"/>
      <c r="AM170" s="460">
        <v>-3.4</v>
      </c>
      <c r="AN170" s="466">
        <v>43900.0</v>
      </c>
      <c r="AO170" s="436">
        <v>3.0</v>
      </c>
      <c r="AP170" s="440"/>
      <c r="AQ170" s="440"/>
      <c r="AR170" s="440"/>
      <c r="AS170" s="440"/>
      <c r="AT170" s="448"/>
      <c r="AU170" s="452"/>
      <c r="AV170" s="440"/>
      <c r="AW170" s="440"/>
      <c r="AX170" s="450">
        <v>145.689768207578</v>
      </c>
    </row>
    <row r="171">
      <c r="A171" s="435" t="s">
        <v>613</v>
      </c>
      <c r="B171" s="485" t="s">
        <v>614</v>
      </c>
      <c r="C171" s="486"/>
      <c r="D171" s="486" t="s">
        <v>305</v>
      </c>
      <c r="E171" s="486"/>
      <c r="F171" s="477" t="s">
        <v>2375</v>
      </c>
      <c r="G171" s="486"/>
      <c r="H171" s="487" t="s">
        <v>609</v>
      </c>
      <c r="I171" s="488">
        <v>41810.0</v>
      </c>
      <c r="J171" s="489">
        <v>2474.0</v>
      </c>
      <c r="K171" s="490">
        <v>179.0</v>
      </c>
      <c r="L171" s="491"/>
      <c r="M171" s="486"/>
      <c r="N171" s="422">
        <v>15.482</v>
      </c>
      <c r="O171" s="422">
        <v>14.205</v>
      </c>
      <c r="P171" s="422"/>
      <c r="Q171" s="492" t="s">
        <v>2376</v>
      </c>
      <c r="R171" s="492" t="s">
        <v>2377</v>
      </c>
      <c r="S171" s="492" t="s">
        <v>2378</v>
      </c>
      <c r="T171" s="486" t="s">
        <v>2379</v>
      </c>
      <c r="U171" s="486" t="s">
        <v>2178</v>
      </c>
      <c r="V171" s="491"/>
      <c r="W171" s="493"/>
      <c r="X171" s="486"/>
      <c r="Y171" s="442"/>
      <c r="Z171" s="491"/>
      <c r="AA171" s="494">
        <v>0.26</v>
      </c>
      <c r="AB171" s="494">
        <v>0.041</v>
      </c>
      <c r="AC171" s="436" t="str">
        <f>IF(ISNUMBER(VLOOKUP(B171,'New Masses'!A:C,3,FALSE)),VLOOKUP(B171,'New Masses'!A:C,3,FALSE),"")</f>
        <v/>
      </c>
      <c r="AD171" s="495"/>
      <c r="AE171" s="496">
        <f t="shared" si="41"/>
        <v>0</v>
      </c>
      <c r="AF171" s="497">
        <v>-12.09</v>
      </c>
      <c r="AG171" s="491"/>
      <c r="AH171" s="498">
        <v>0.0229032</v>
      </c>
      <c r="AI171" s="499">
        <f>8/1048</f>
        <v>0.007633587786</v>
      </c>
      <c r="AJ171" s="446"/>
      <c r="AK171" s="491"/>
      <c r="AL171" s="500"/>
      <c r="AM171" s="436"/>
      <c r="AN171" s="438"/>
      <c r="AO171" s="501">
        <v>10.0</v>
      </c>
      <c r="AP171" s="491"/>
      <c r="AQ171" s="454">
        <v>0.13</v>
      </c>
      <c r="AR171" s="438"/>
      <c r="AS171" s="438"/>
      <c r="AT171" s="448"/>
      <c r="AU171" s="449"/>
      <c r="AV171" s="438"/>
      <c r="AW171" s="438"/>
      <c r="AX171" s="450"/>
    </row>
    <row r="172">
      <c r="A172" s="435" t="s">
        <v>480</v>
      </c>
      <c r="B172" s="451" t="s">
        <v>481</v>
      </c>
      <c r="C172" s="423"/>
      <c r="D172" s="423" t="s">
        <v>314</v>
      </c>
      <c r="E172" s="423"/>
      <c r="F172" s="428" t="s">
        <v>2380</v>
      </c>
      <c r="G172" s="423" t="s">
        <v>169</v>
      </c>
      <c r="H172" s="429" t="s">
        <v>476</v>
      </c>
      <c r="I172" s="438"/>
      <c r="J172" s="451">
        <v>2800.0</v>
      </c>
      <c r="K172" s="423"/>
      <c r="L172" s="423" t="s">
        <v>232</v>
      </c>
      <c r="M172" s="422">
        <v>0.5</v>
      </c>
      <c r="N172" s="422">
        <v>15.174</v>
      </c>
      <c r="O172" s="422">
        <v>13.83</v>
      </c>
      <c r="P172" s="422">
        <v>20.7</v>
      </c>
      <c r="Q172" s="423" t="s">
        <v>2189</v>
      </c>
      <c r="R172" s="423" t="s">
        <v>2190</v>
      </c>
      <c r="S172" s="423" t="s">
        <v>2191</v>
      </c>
      <c r="T172" s="428" t="s">
        <v>162</v>
      </c>
      <c r="U172" s="423" t="s">
        <v>2192</v>
      </c>
      <c r="V172" s="423"/>
      <c r="W172" s="468"/>
      <c r="X172" s="436"/>
      <c r="Y172" s="442" t="str">
        <f t="shared" ref="Y172:Y189" si="43">IF((W172/((J172/5780)^4))^0.5&gt;0,(W172/((J172/5780)^4))^0.5,"")</f>
        <v/>
      </c>
      <c r="Z172" s="469"/>
      <c r="AA172" s="470">
        <v>0.22</v>
      </c>
      <c r="AB172" s="470">
        <v>0.05</v>
      </c>
      <c r="AC172" s="469">
        <f>IF(ISNUMBER(VLOOKUP(B172,'New Masses'!A:C,3,FALSE)),VLOOKUP(B172,'New Masses'!A:C,3,FALSE),"")</f>
        <v>0.39352</v>
      </c>
      <c r="AD172" s="451"/>
      <c r="AE172" s="451">
        <f t="shared" si="41"/>
        <v>0</v>
      </c>
      <c r="AF172" s="439">
        <v>-11.6</v>
      </c>
      <c r="AG172" s="440"/>
      <c r="AH172" s="459">
        <v>0.05</v>
      </c>
      <c r="AI172" s="451">
        <v>0.01</v>
      </c>
      <c r="AJ172" s="446">
        <f>IF(ISNUMBER(VLOOKUP(B172,'New Masses'!A:C,2, FALSE)),VLOOKUP(B172,'New Masses'!A:C,2, FALSE),"")</f>
        <v>0.031801</v>
      </c>
      <c r="AK172" s="451">
        <f t="shared" ref="AK172:AK180" si="44">LOG10(AH172)</f>
        <v>-1.301029996</v>
      </c>
      <c r="AL172" s="440"/>
      <c r="AM172" s="451">
        <v>-4.8</v>
      </c>
      <c r="AN172" s="466">
        <v>43900.0</v>
      </c>
      <c r="AO172" s="436">
        <v>3.0</v>
      </c>
      <c r="AP172" s="440"/>
      <c r="AQ172" s="451">
        <v>0.0</v>
      </c>
      <c r="AR172" s="440"/>
      <c r="AS172" s="420" t="s">
        <v>2364</v>
      </c>
      <c r="AT172" s="448"/>
      <c r="AU172" s="449"/>
      <c r="AV172" s="502" t="s">
        <v>2365</v>
      </c>
      <c r="AW172" s="440"/>
      <c r="AX172" s="450">
        <v>187.0</v>
      </c>
    </row>
    <row r="173">
      <c r="A173" s="435" t="s">
        <v>551</v>
      </c>
      <c r="B173" s="435" t="s">
        <v>551</v>
      </c>
      <c r="C173" s="440"/>
      <c r="D173" s="440" t="s">
        <v>314</v>
      </c>
      <c r="E173" s="440"/>
      <c r="F173" s="451" t="s">
        <v>2381</v>
      </c>
      <c r="G173" s="440" t="s">
        <v>169</v>
      </c>
      <c r="H173" s="440" t="s">
        <v>476</v>
      </c>
      <c r="I173" s="436">
        <v>2015.0</v>
      </c>
      <c r="J173" s="460">
        <v>3415.0</v>
      </c>
      <c r="K173" s="460">
        <v>79.0</v>
      </c>
      <c r="L173" s="460" t="s">
        <v>430</v>
      </c>
      <c r="M173" s="461">
        <v>0.5</v>
      </c>
      <c r="N173" s="422">
        <v>11.325</v>
      </c>
      <c r="O173" s="422">
        <v>9.8</v>
      </c>
      <c r="P173" s="422">
        <v>15.35</v>
      </c>
      <c r="Q173" s="440" t="s">
        <v>2189</v>
      </c>
      <c r="R173" s="451" t="s">
        <v>2190</v>
      </c>
      <c r="S173" s="451" t="s">
        <v>2191</v>
      </c>
      <c r="T173" s="462" t="s">
        <v>162</v>
      </c>
      <c r="U173" s="451" t="s">
        <v>2192</v>
      </c>
      <c r="V173" s="440"/>
      <c r="W173" s="463"/>
      <c r="X173" s="437"/>
      <c r="Y173" s="442" t="str">
        <f t="shared" si="43"/>
        <v/>
      </c>
      <c r="Z173" s="464"/>
      <c r="AA173" s="465">
        <v>1.57</v>
      </c>
      <c r="AB173" s="465">
        <v>0.38</v>
      </c>
      <c r="AC173" s="436" t="str">
        <f>IF(ISNUMBER(VLOOKUP(B173,'New Masses'!A:C,3,FALSE)),VLOOKUP(B173,'New Masses'!A:C,3,FALSE),"")</f>
        <v/>
      </c>
      <c r="AD173" s="440"/>
      <c r="AE173" s="440">
        <f t="shared" si="41"/>
        <v>0.0000000001584893192</v>
      </c>
      <c r="AF173" s="444">
        <v>-9.8</v>
      </c>
      <c r="AG173" s="440"/>
      <c r="AH173" s="445">
        <v>0.32</v>
      </c>
      <c r="AI173" s="460">
        <v>0.04</v>
      </c>
      <c r="AJ173" s="446" t="str">
        <f>IF(ISNUMBER(VLOOKUP(B173,'New Masses'!A:C,2, FALSE)),VLOOKUP(B173,'New Masses'!A:C,2, FALSE),"")</f>
        <v/>
      </c>
      <c r="AK173" s="440">
        <f t="shared" si="44"/>
        <v>-0.4948500217</v>
      </c>
      <c r="AL173" s="460"/>
      <c r="AM173" s="460">
        <v>-3.1</v>
      </c>
      <c r="AN173" s="466">
        <v>43900.0</v>
      </c>
      <c r="AO173" s="436">
        <v>3.0</v>
      </c>
      <c r="AP173" s="440"/>
      <c r="AQ173" s="440"/>
      <c r="AR173" s="440"/>
      <c r="AS173" s="440"/>
      <c r="AT173" s="448"/>
      <c r="AU173" s="449"/>
      <c r="AV173" s="440"/>
      <c r="AW173" s="440"/>
      <c r="AX173" s="450">
        <v>167.706446635808</v>
      </c>
    </row>
    <row r="174">
      <c r="A174" s="435" t="s">
        <v>493</v>
      </c>
      <c r="B174" s="435" t="s">
        <v>493</v>
      </c>
      <c r="C174" s="440"/>
      <c r="D174" s="440" t="s">
        <v>314</v>
      </c>
      <c r="E174" s="440"/>
      <c r="F174" s="451" t="s">
        <v>2382</v>
      </c>
      <c r="G174" s="440" t="s">
        <v>169</v>
      </c>
      <c r="H174" s="440" t="s">
        <v>476</v>
      </c>
      <c r="I174" s="436">
        <v>2015.0</v>
      </c>
      <c r="J174" s="460">
        <v>3060.0</v>
      </c>
      <c r="K174" s="460">
        <v>71.0</v>
      </c>
      <c r="L174" s="460" t="s">
        <v>264</v>
      </c>
      <c r="M174" s="461">
        <v>0.5</v>
      </c>
      <c r="N174" s="422">
        <v>14.97</v>
      </c>
      <c r="O174" s="422">
        <v>12.518</v>
      </c>
      <c r="P174" s="422">
        <v>21.73</v>
      </c>
      <c r="Q174" s="440" t="s">
        <v>2189</v>
      </c>
      <c r="R174" s="451" t="s">
        <v>2190</v>
      </c>
      <c r="S174" s="451" t="s">
        <v>2191</v>
      </c>
      <c r="T174" s="462" t="s">
        <v>162</v>
      </c>
      <c r="U174" s="451" t="s">
        <v>2192</v>
      </c>
      <c r="V174" s="440"/>
      <c r="W174" s="463"/>
      <c r="X174" s="437"/>
      <c r="Y174" s="442" t="str">
        <f t="shared" si="43"/>
        <v/>
      </c>
      <c r="Z174" s="464"/>
      <c r="AA174" s="465">
        <v>0.29</v>
      </c>
      <c r="AB174" s="465">
        <v>0.06</v>
      </c>
      <c r="AC174" s="436" t="str">
        <f>IF(ISNUMBER(VLOOKUP(B174,'New Masses'!A:C,3,FALSE)),VLOOKUP(B174,'New Masses'!A:C,3,FALSE),"")</f>
        <v/>
      </c>
      <c r="AD174" s="440"/>
      <c r="AE174" s="440">
        <f t="shared" si="41"/>
        <v>0</v>
      </c>
      <c r="AF174" s="439">
        <v>-10.6</v>
      </c>
      <c r="AG174" s="440"/>
      <c r="AH174" s="445">
        <v>0.1</v>
      </c>
      <c r="AI174" s="460">
        <v>0.02</v>
      </c>
      <c r="AJ174" s="446" t="str">
        <f>IF(ISNUMBER(VLOOKUP(B174,'New Masses'!A:C,2, FALSE)),VLOOKUP(B174,'New Masses'!A:C,2, FALSE),"")</f>
        <v/>
      </c>
      <c r="AK174" s="440">
        <f t="shared" si="44"/>
        <v>-1</v>
      </c>
      <c r="AL174" s="460"/>
      <c r="AM174" s="460">
        <v>-3.7</v>
      </c>
      <c r="AN174" s="466">
        <v>43900.0</v>
      </c>
      <c r="AO174" s="436">
        <v>3.0</v>
      </c>
      <c r="AP174" s="440"/>
      <c r="AQ174" s="440"/>
      <c r="AR174" s="440"/>
      <c r="AS174" s="440"/>
      <c r="AT174" s="448"/>
      <c r="AU174" s="452"/>
      <c r="AV174" s="440"/>
      <c r="AW174" s="440"/>
      <c r="AX174" s="450">
        <v>133.691626893407</v>
      </c>
    </row>
    <row r="175">
      <c r="A175" s="435" t="s">
        <v>488</v>
      </c>
      <c r="B175" s="435" t="s">
        <v>488</v>
      </c>
      <c r="C175" s="440"/>
      <c r="D175" s="440" t="s">
        <v>314</v>
      </c>
      <c r="E175" s="440"/>
      <c r="F175" s="451" t="s">
        <v>2383</v>
      </c>
      <c r="G175" s="440" t="s">
        <v>169</v>
      </c>
      <c r="H175" s="440" t="s">
        <v>476</v>
      </c>
      <c r="I175" s="436">
        <v>2015.0</v>
      </c>
      <c r="J175" s="460">
        <v>2935.0</v>
      </c>
      <c r="K175" s="460">
        <v>68.0</v>
      </c>
      <c r="L175" s="460" t="s">
        <v>217</v>
      </c>
      <c r="M175" s="461">
        <v>0.5</v>
      </c>
      <c r="N175" s="422">
        <v>12.99</v>
      </c>
      <c r="O175" s="422">
        <v>12.017</v>
      </c>
      <c r="P175" s="422">
        <v>17.24</v>
      </c>
      <c r="Q175" s="440" t="s">
        <v>2189</v>
      </c>
      <c r="R175" s="451" t="s">
        <v>2190</v>
      </c>
      <c r="S175" s="451" t="s">
        <v>2191</v>
      </c>
      <c r="T175" s="462" t="s">
        <v>162</v>
      </c>
      <c r="U175" s="451" t="s">
        <v>2192</v>
      </c>
      <c r="V175" s="440"/>
      <c r="W175" s="463"/>
      <c r="X175" s="437"/>
      <c r="Y175" s="442" t="str">
        <f t="shared" si="43"/>
        <v/>
      </c>
      <c r="Z175" s="464"/>
      <c r="AA175" s="465">
        <v>1.07</v>
      </c>
      <c r="AB175" s="465">
        <v>0.29</v>
      </c>
      <c r="AC175" s="436" t="str">
        <f>IF(ISNUMBER(VLOOKUP(B175,'New Masses'!A:C,3,FALSE)),VLOOKUP(B175,'New Masses'!A:C,3,FALSE),"")</f>
        <v/>
      </c>
      <c r="AD175" s="440"/>
      <c r="AE175" s="440">
        <f t="shared" si="41"/>
        <v>0</v>
      </c>
      <c r="AF175" s="444">
        <v>-10.5</v>
      </c>
      <c r="AG175" s="440"/>
      <c r="AH175" s="445">
        <v>0.1</v>
      </c>
      <c r="AI175" s="460">
        <v>0.02</v>
      </c>
      <c r="AJ175" s="446" t="str">
        <f>IF(ISNUMBER(VLOOKUP(B175,'New Masses'!A:C,2, FALSE)),VLOOKUP(B175,'New Masses'!A:C,2, FALSE),"")</f>
        <v/>
      </c>
      <c r="AK175" s="440">
        <f t="shared" si="44"/>
        <v>-1</v>
      </c>
      <c r="AL175" s="460"/>
      <c r="AM175" s="460">
        <v>-4.1</v>
      </c>
      <c r="AN175" s="466">
        <v>43900.0</v>
      </c>
      <c r="AO175" s="436">
        <v>3.0</v>
      </c>
      <c r="AP175" s="440"/>
      <c r="AQ175" s="440"/>
      <c r="AR175" s="440"/>
      <c r="AS175" s="440"/>
      <c r="AT175" s="448"/>
      <c r="AU175" s="449"/>
      <c r="AV175" s="440"/>
      <c r="AW175" s="440"/>
      <c r="AX175" s="450">
        <v>157.515042686576</v>
      </c>
    </row>
    <row r="176">
      <c r="A176" s="435" t="s">
        <v>475</v>
      </c>
      <c r="B176" s="435" t="s">
        <v>475</v>
      </c>
      <c r="C176" s="440"/>
      <c r="D176" s="423" t="s">
        <v>314</v>
      </c>
      <c r="E176" s="423"/>
      <c r="F176" s="423" t="s">
        <v>2384</v>
      </c>
      <c r="G176" s="423" t="s">
        <v>169</v>
      </c>
      <c r="H176" s="423" t="s">
        <v>476</v>
      </c>
      <c r="I176" s="438"/>
      <c r="J176" s="451">
        <v>2600.0</v>
      </c>
      <c r="K176" s="423"/>
      <c r="L176" s="423" t="s">
        <v>213</v>
      </c>
      <c r="M176" s="422">
        <v>0.5</v>
      </c>
      <c r="N176" s="422">
        <v>13.902</v>
      </c>
      <c r="O176" s="422">
        <v>12.84</v>
      </c>
      <c r="P176" s="422">
        <v>19.25</v>
      </c>
      <c r="Q176" s="423" t="s">
        <v>2189</v>
      </c>
      <c r="R176" s="423" t="s">
        <v>2190</v>
      </c>
      <c r="S176" s="423" t="s">
        <v>2191</v>
      </c>
      <c r="T176" s="428" t="s">
        <v>162</v>
      </c>
      <c r="U176" s="423" t="s">
        <v>2192</v>
      </c>
      <c r="V176" s="423"/>
      <c r="W176" s="468"/>
      <c r="X176" s="436"/>
      <c r="Y176" s="442" t="str">
        <f t="shared" si="43"/>
        <v/>
      </c>
      <c r="Z176" s="469"/>
      <c r="AA176" s="470">
        <v>0.47</v>
      </c>
      <c r="AB176" s="470">
        <v>0.11</v>
      </c>
      <c r="AC176" s="436" t="str">
        <f>IF(ISNUMBER(VLOOKUP(B176,'New Masses'!A:C,3,FALSE)),VLOOKUP(B176,'New Masses'!A:C,3,FALSE),"")</f>
        <v/>
      </c>
      <c r="AD176" s="436"/>
      <c r="AE176" s="451" t="str">
        <f>IF(ISNUMBER(VLOOKUP(C176,'New Masses'!B:D,3,FALSE)),VLOOKUP(C176,'New Masses'!B:D,3,FALSE),"")</f>
        <v/>
      </c>
      <c r="AF176" s="439">
        <v>-10.6</v>
      </c>
      <c r="AG176" s="440"/>
      <c r="AH176" s="459">
        <v>0.02</v>
      </c>
      <c r="AI176" s="451">
        <v>0.01</v>
      </c>
      <c r="AJ176" s="446" t="str">
        <f>IF(ISNUMBER(VLOOKUP(B176,'New Masses'!A:C,2, FALSE)),VLOOKUP(B176,'New Masses'!A:C,2, FALSE),"")</f>
        <v/>
      </c>
      <c r="AK176" s="451">
        <f t="shared" si="44"/>
        <v>-1.698970004</v>
      </c>
      <c r="AL176" s="462"/>
      <c r="AM176" s="451">
        <v>-4.6</v>
      </c>
      <c r="AN176" s="466">
        <v>43900.0</v>
      </c>
      <c r="AO176" s="436">
        <v>3.0</v>
      </c>
      <c r="AP176" s="440"/>
      <c r="AQ176" s="451">
        <v>0.0</v>
      </c>
      <c r="AR176" s="440"/>
      <c r="AS176" s="420" t="s">
        <v>2364</v>
      </c>
      <c r="AT176" s="448"/>
      <c r="AU176" s="449"/>
      <c r="AV176" s="502" t="s">
        <v>2365</v>
      </c>
      <c r="AW176" s="440"/>
      <c r="AX176" s="450">
        <v>150.0</v>
      </c>
    </row>
    <row r="177">
      <c r="A177" s="435" t="s">
        <v>538</v>
      </c>
      <c r="B177" s="435" t="s">
        <v>539</v>
      </c>
      <c r="C177" s="451"/>
      <c r="D177" s="440" t="s">
        <v>314</v>
      </c>
      <c r="E177" s="440"/>
      <c r="F177" s="451" t="s">
        <v>2385</v>
      </c>
      <c r="G177" s="440" t="s">
        <v>169</v>
      </c>
      <c r="H177" s="440" t="s">
        <v>476</v>
      </c>
      <c r="I177" s="438"/>
      <c r="J177" s="460">
        <v>3270.0</v>
      </c>
      <c r="K177" s="460">
        <v>75.0</v>
      </c>
      <c r="L177" s="460" t="s">
        <v>395</v>
      </c>
      <c r="M177" s="461">
        <v>0.5</v>
      </c>
      <c r="N177" s="422">
        <v>11.61</v>
      </c>
      <c r="O177" s="422">
        <v>10.292</v>
      </c>
      <c r="P177" s="422">
        <v>15.04</v>
      </c>
      <c r="Q177" s="440" t="s">
        <v>2189</v>
      </c>
      <c r="R177" s="451" t="s">
        <v>2190</v>
      </c>
      <c r="S177" s="451" t="s">
        <v>2191</v>
      </c>
      <c r="T177" s="462" t="s">
        <v>162</v>
      </c>
      <c r="U177" s="451" t="s">
        <v>2192</v>
      </c>
      <c r="V177" s="440"/>
      <c r="W177" s="463"/>
      <c r="X177" s="437"/>
      <c r="Y177" s="442" t="str">
        <f t="shared" si="43"/>
        <v/>
      </c>
      <c r="Z177" s="464"/>
      <c r="AA177" s="465">
        <v>1.25</v>
      </c>
      <c r="AB177" s="465">
        <v>0.29</v>
      </c>
      <c r="AC177" s="436" t="str">
        <f>IF(ISNUMBER(VLOOKUP(B177,'New Masses'!A:C,3,FALSE)),VLOOKUP(B177,'New Masses'!A:C,3,FALSE),"")</f>
        <v/>
      </c>
      <c r="AD177" s="440"/>
      <c r="AE177" s="440">
        <f t="shared" ref="AE177:AE189" si="45">10^AF177</f>
        <v>0.0000000002089296131</v>
      </c>
      <c r="AF177" s="444">
        <v>-9.68</v>
      </c>
      <c r="AG177" s="440"/>
      <c r="AH177" s="445">
        <v>0.24</v>
      </c>
      <c r="AI177" s="460">
        <v>0.04</v>
      </c>
      <c r="AJ177" s="446" t="str">
        <f>IF(ISNUMBER(VLOOKUP(B177,'New Masses'!A:C,2, FALSE)),VLOOKUP(B177,'New Masses'!A:C,2, FALSE),"")</f>
        <v/>
      </c>
      <c r="AK177" s="440">
        <f t="shared" si="44"/>
        <v>-0.6197887583</v>
      </c>
      <c r="AL177" s="460"/>
      <c r="AM177" s="460">
        <v>-3.0</v>
      </c>
      <c r="AN177" s="466">
        <v>43900.0</v>
      </c>
      <c r="AO177" s="436">
        <v>3.0</v>
      </c>
      <c r="AP177" s="440"/>
      <c r="AQ177" s="440"/>
      <c r="AR177" s="440"/>
      <c r="AS177" s="440"/>
      <c r="AT177" s="448"/>
      <c r="AU177" s="449"/>
      <c r="AV177" s="440"/>
      <c r="AW177" s="440"/>
      <c r="AX177" s="450">
        <v>164.308834886051</v>
      </c>
    </row>
    <row r="178">
      <c r="A178" s="435" t="s">
        <v>484</v>
      </c>
      <c r="B178" s="451" t="s">
        <v>485</v>
      </c>
      <c r="C178" s="440"/>
      <c r="D178" s="440" t="s">
        <v>314</v>
      </c>
      <c r="E178" s="440"/>
      <c r="F178" s="451" t="s">
        <v>2386</v>
      </c>
      <c r="G178" s="440" t="s">
        <v>169</v>
      </c>
      <c r="H178" s="440" t="s">
        <v>476</v>
      </c>
      <c r="I178" s="438"/>
      <c r="J178" s="460">
        <v>2990.0</v>
      </c>
      <c r="K178" s="460">
        <v>67.0</v>
      </c>
      <c r="L178" s="460" t="s">
        <v>353</v>
      </c>
      <c r="M178" s="461">
        <v>0.5</v>
      </c>
      <c r="N178" s="422">
        <v>13.01</v>
      </c>
      <c r="O178" s="422">
        <v>11.99</v>
      </c>
      <c r="P178" s="422">
        <v>16.49</v>
      </c>
      <c r="Q178" s="440" t="s">
        <v>2189</v>
      </c>
      <c r="R178" s="451" t="s">
        <v>2190</v>
      </c>
      <c r="S178" s="451" t="s">
        <v>2191</v>
      </c>
      <c r="T178" s="462" t="s">
        <v>162</v>
      </c>
      <c r="U178" s="451" t="s">
        <v>2192</v>
      </c>
      <c r="V178" s="440"/>
      <c r="W178" s="463"/>
      <c r="X178" s="437"/>
      <c r="Y178" s="442" t="str">
        <f t="shared" si="43"/>
        <v/>
      </c>
      <c r="Z178" s="464"/>
      <c r="AA178" s="465">
        <v>0.58</v>
      </c>
      <c r="AB178" s="465">
        <v>0.13</v>
      </c>
      <c r="AC178" s="436" t="str">
        <f>IF(ISNUMBER(VLOOKUP(B178,'New Masses'!A:C,3,FALSE)),VLOOKUP(B178,'New Masses'!A:C,3,FALSE),"")</f>
        <v/>
      </c>
      <c r="AD178" s="440"/>
      <c r="AE178" s="440">
        <f t="shared" si="45"/>
        <v>0</v>
      </c>
      <c r="AF178" s="444">
        <v>-10.7</v>
      </c>
      <c r="AG178" s="440"/>
      <c r="AH178" s="445">
        <v>0.1</v>
      </c>
      <c r="AI178" s="460">
        <v>0.01</v>
      </c>
      <c r="AJ178" s="446" t="str">
        <f>IF(ISNUMBER(VLOOKUP(B178,'New Masses'!A:C,2, FALSE)),VLOOKUP(B178,'New Masses'!A:C,2, FALSE),"")</f>
        <v/>
      </c>
      <c r="AK178" s="440">
        <f t="shared" si="44"/>
        <v>-1</v>
      </c>
      <c r="AL178" s="460"/>
      <c r="AM178" s="460">
        <v>-4.1</v>
      </c>
      <c r="AN178" s="466">
        <v>43900.0</v>
      </c>
      <c r="AO178" s="436">
        <v>3.0</v>
      </c>
      <c r="AP178" s="440"/>
      <c r="AQ178" s="440"/>
      <c r="AR178" s="440"/>
      <c r="AS178" s="440"/>
      <c r="AT178" s="448"/>
      <c r="AU178" s="452"/>
      <c r="AV178" s="440"/>
      <c r="AW178" s="440"/>
      <c r="AX178" s="450">
        <v>2201.1886418666</v>
      </c>
    </row>
    <row r="179">
      <c r="A179" s="435" t="s">
        <v>505</v>
      </c>
      <c r="B179" s="435" t="s">
        <v>505</v>
      </c>
      <c r="C179" s="440"/>
      <c r="D179" s="440" t="s">
        <v>314</v>
      </c>
      <c r="E179" s="440"/>
      <c r="F179" s="451" t="s">
        <v>2387</v>
      </c>
      <c r="G179" s="440" t="s">
        <v>169</v>
      </c>
      <c r="H179" s="440" t="s">
        <v>476</v>
      </c>
      <c r="I179" s="436">
        <v>2015.0</v>
      </c>
      <c r="J179" s="460">
        <v>2935.0</v>
      </c>
      <c r="K179" s="460">
        <v>68.0</v>
      </c>
      <c r="L179" s="460" t="s">
        <v>217</v>
      </c>
      <c r="M179" s="461">
        <v>0.5</v>
      </c>
      <c r="N179" s="422">
        <v>12.202</v>
      </c>
      <c r="O179" s="422">
        <v>10.523</v>
      </c>
      <c r="P179" s="422">
        <v>17.9</v>
      </c>
      <c r="Q179" s="440" t="s">
        <v>2189</v>
      </c>
      <c r="R179" s="451" t="s">
        <v>2190</v>
      </c>
      <c r="S179" s="451" t="s">
        <v>2191</v>
      </c>
      <c r="T179" s="462" t="s">
        <v>162</v>
      </c>
      <c r="U179" s="451" t="s">
        <v>2192</v>
      </c>
      <c r="V179" s="440"/>
      <c r="W179" s="463"/>
      <c r="X179" s="437"/>
      <c r="Y179" s="442" t="str">
        <f t="shared" si="43"/>
        <v/>
      </c>
      <c r="Z179" s="464"/>
      <c r="AA179" s="465">
        <v>1.77</v>
      </c>
      <c r="AB179" s="465">
        <v>0.55</v>
      </c>
      <c r="AC179" s="436" t="str">
        <f>IF(ISNUMBER(VLOOKUP(B179,'New Masses'!A:C,3,FALSE)),VLOOKUP(B179,'New Masses'!A:C,3,FALSE),"")</f>
        <v/>
      </c>
      <c r="AD179" s="440"/>
      <c r="AE179" s="440">
        <f t="shared" si="45"/>
        <v>0.0000000002041737945</v>
      </c>
      <c r="AF179" s="444">
        <v>-9.69</v>
      </c>
      <c r="AG179" s="440"/>
      <c r="AH179" s="445">
        <v>0.14</v>
      </c>
      <c r="AI179" s="460">
        <v>0.03</v>
      </c>
      <c r="AJ179" s="446" t="str">
        <f>IF(ISNUMBER(VLOOKUP(B179,'New Masses'!A:C,2, FALSE)),VLOOKUP(B179,'New Masses'!A:C,2, FALSE),"")</f>
        <v/>
      </c>
      <c r="AK179" s="440">
        <f t="shared" si="44"/>
        <v>-0.8538719643</v>
      </c>
      <c r="AL179" s="460"/>
      <c r="AM179" s="460">
        <v>-3.4</v>
      </c>
      <c r="AN179" s="466">
        <v>43900.0</v>
      </c>
      <c r="AO179" s="436">
        <v>3.0</v>
      </c>
      <c r="AP179" s="440"/>
      <c r="AQ179" s="440"/>
      <c r="AR179" s="440"/>
      <c r="AS179" s="440"/>
      <c r="AT179" s="448"/>
      <c r="AU179" s="452"/>
      <c r="AV179" s="503"/>
      <c r="AW179" s="503"/>
      <c r="AX179" s="450">
        <v>192.559500885773</v>
      </c>
    </row>
    <row r="180">
      <c r="A180" s="435" t="s">
        <v>506</v>
      </c>
      <c r="B180" s="451" t="s">
        <v>507</v>
      </c>
      <c r="C180" s="451"/>
      <c r="D180" s="440" t="s">
        <v>314</v>
      </c>
      <c r="E180" s="440"/>
      <c r="F180" s="451" t="s">
        <v>2388</v>
      </c>
      <c r="G180" s="440" t="s">
        <v>169</v>
      </c>
      <c r="H180" s="440" t="s">
        <v>476</v>
      </c>
      <c r="I180" s="438"/>
      <c r="J180" s="460">
        <v>3125.0</v>
      </c>
      <c r="K180" s="460">
        <v>72.0</v>
      </c>
      <c r="L180" s="460" t="s">
        <v>371</v>
      </c>
      <c r="M180" s="461">
        <v>0.5</v>
      </c>
      <c r="N180" s="422">
        <v>12.197</v>
      </c>
      <c r="O180" s="422">
        <v>11.204</v>
      </c>
      <c r="P180" s="422">
        <v>16.24</v>
      </c>
      <c r="Q180" s="440" t="s">
        <v>2189</v>
      </c>
      <c r="R180" s="451" t="s">
        <v>2190</v>
      </c>
      <c r="S180" s="451" t="s">
        <v>2191</v>
      </c>
      <c r="T180" s="462" t="s">
        <v>162</v>
      </c>
      <c r="U180" s="451" t="s">
        <v>2192</v>
      </c>
      <c r="V180" s="440"/>
      <c r="W180" s="463"/>
      <c r="X180" s="437"/>
      <c r="Y180" s="442" t="str">
        <f t="shared" si="43"/>
        <v/>
      </c>
      <c r="Z180" s="464"/>
      <c r="AA180" s="465">
        <v>0.85</v>
      </c>
      <c r="AB180" s="465">
        <v>0.19</v>
      </c>
      <c r="AC180" s="436" t="str">
        <f>IF(ISNUMBER(VLOOKUP(B180,'New Masses'!A:C,3,FALSE)),VLOOKUP(B180,'New Masses'!A:C,3,FALSE),"")</f>
        <v/>
      </c>
      <c r="AD180" s="440"/>
      <c r="AE180" s="440">
        <f t="shared" si="45"/>
        <v>0</v>
      </c>
      <c r="AF180" s="444">
        <v>-10.2</v>
      </c>
      <c r="AG180" s="440"/>
      <c r="AH180" s="445">
        <v>0.15</v>
      </c>
      <c r="AI180" s="460">
        <v>0.03</v>
      </c>
      <c r="AJ180" s="446" t="str">
        <f>IF(ISNUMBER(VLOOKUP(B180,'New Masses'!A:C,2, FALSE)),VLOOKUP(B180,'New Masses'!A:C,2, FALSE),"")</f>
        <v/>
      </c>
      <c r="AK180" s="440">
        <f t="shared" si="44"/>
        <v>-0.8239087409</v>
      </c>
      <c r="AL180" s="460"/>
      <c r="AM180" s="460">
        <v>-3.6</v>
      </c>
      <c r="AN180" s="466">
        <v>43900.0</v>
      </c>
      <c r="AO180" s="436">
        <v>3.0</v>
      </c>
      <c r="AP180" s="440"/>
      <c r="AQ180" s="440"/>
      <c r="AR180" s="440"/>
      <c r="AS180" s="440"/>
      <c r="AT180" s="448"/>
      <c r="AU180" s="452"/>
      <c r="AV180" s="503"/>
      <c r="AW180" s="503"/>
      <c r="AX180" s="450">
        <v>164.535926419533</v>
      </c>
    </row>
    <row r="181">
      <c r="A181" s="419" t="s">
        <v>1435</v>
      </c>
      <c r="B181" s="436" t="s">
        <v>1436</v>
      </c>
      <c r="C181" s="436"/>
      <c r="D181" s="436" t="s">
        <v>158</v>
      </c>
      <c r="E181" s="436"/>
      <c r="F181" s="436" t="s">
        <v>2389</v>
      </c>
      <c r="G181" s="436" t="s">
        <v>169</v>
      </c>
      <c r="H181" s="436" t="s">
        <v>160</v>
      </c>
      <c r="I181" s="436" t="s">
        <v>1963</v>
      </c>
      <c r="J181" s="436">
        <f>10^3.59</f>
        <v>3890.45145</v>
      </c>
      <c r="K181" s="436"/>
      <c r="L181" s="438"/>
      <c r="M181" s="453"/>
      <c r="N181" s="422">
        <v>10.419</v>
      </c>
      <c r="O181" s="422">
        <v>8.38</v>
      </c>
      <c r="P181" s="422">
        <v>14.94</v>
      </c>
      <c r="Q181" s="436" t="s">
        <v>2183</v>
      </c>
      <c r="R181" s="436" t="s">
        <v>2184</v>
      </c>
      <c r="S181" s="436" t="s">
        <v>1964</v>
      </c>
      <c r="T181" s="419" t="s">
        <v>162</v>
      </c>
      <c r="U181" s="436" t="s">
        <v>2185</v>
      </c>
      <c r="V181" s="451"/>
      <c r="W181" s="458">
        <v>1.62181009735893</v>
      </c>
      <c r="X181" s="438"/>
      <c r="Y181" s="442">
        <f t="shared" si="43"/>
        <v>2.810966545</v>
      </c>
      <c r="Z181" s="442"/>
      <c r="AA181" s="443"/>
      <c r="AB181" s="443"/>
      <c r="AC181" s="436" t="str">
        <f>IF(ISNUMBER(VLOOKUP(B181,'New Masses'!A:C,3,FALSE)),VLOOKUP(B181,'New Masses'!A:C,3,FALSE),"")</f>
        <v/>
      </c>
      <c r="AD181" s="440"/>
      <c r="AE181" s="440">
        <f t="shared" si="45"/>
        <v>0.000000002187761624</v>
      </c>
      <c r="AF181" s="439">
        <v>-8.66</v>
      </c>
      <c r="AG181" s="438"/>
      <c r="AH181" s="459">
        <f t="shared" ref="AH181:AH197" si="46">10^AK181</f>
        <v>0.5495408739</v>
      </c>
      <c r="AI181" s="436"/>
      <c r="AJ181" s="446" t="str">
        <f>IF(ISNUMBER(VLOOKUP(B181,'New Masses'!A:C,2, FALSE)),VLOOKUP(B181,'New Masses'!A:C,2, FALSE),"")</f>
        <v/>
      </c>
      <c r="AK181" s="436">
        <v>-0.26</v>
      </c>
      <c r="AL181" s="436"/>
      <c r="AM181" s="436">
        <v>-1.81</v>
      </c>
      <c r="AN181" s="438"/>
      <c r="AO181" s="436">
        <v>1.0</v>
      </c>
      <c r="AP181" s="438"/>
      <c r="AQ181" s="436"/>
      <c r="AR181" s="438"/>
      <c r="AS181" s="438"/>
      <c r="AT181" s="455">
        <v>1.8</v>
      </c>
      <c r="AU181" s="449" t="s">
        <v>137</v>
      </c>
      <c r="AV181" s="438"/>
      <c r="AW181" s="438"/>
      <c r="AX181" s="450">
        <v>142.869388804754</v>
      </c>
    </row>
    <row r="182">
      <c r="A182" s="419" t="s">
        <v>1403</v>
      </c>
      <c r="B182" s="436" t="s">
        <v>1404</v>
      </c>
      <c r="C182" s="436"/>
      <c r="D182" s="436" t="s">
        <v>158</v>
      </c>
      <c r="E182" s="436"/>
      <c r="F182" s="436" t="s">
        <v>2390</v>
      </c>
      <c r="G182" s="436" t="s">
        <v>169</v>
      </c>
      <c r="H182" s="436" t="s">
        <v>160</v>
      </c>
      <c r="I182" s="436" t="s">
        <v>1963</v>
      </c>
      <c r="J182" s="436">
        <v>3548.13389</v>
      </c>
      <c r="K182" s="436"/>
      <c r="L182" s="438"/>
      <c r="M182" s="453"/>
      <c r="N182" s="422">
        <v>11.893</v>
      </c>
      <c r="O182" s="422">
        <v>8.954</v>
      </c>
      <c r="P182" s="422">
        <v>16.78</v>
      </c>
      <c r="Q182" s="436" t="s">
        <v>2183</v>
      </c>
      <c r="R182" s="436" t="s">
        <v>2184</v>
      </c>
      <c r="S182" s="436" t="s">
        <v>1964</v>
      </c>
      <c r="T182" s="419" t="s">
        <v>162</v>
      </c>
      <c r="U182" s="436" t="s">
        <v>2185</v>
      </c>
      <c r="V182" s="451"/>
      <c r="W182" s="458">
        <v>0.7943282347242815</v>
      </c>
      <c r="X182" s="438"/>
      <c r="Y182" s="442">
        <f t="shared" si="43"/>
        <v>2.365133597</v>
      </c>
      <c r="Z182" s="442"/>
      <c r="AA182" s="443"/>
      <c r="AB182" s="443"/>
      <c r="AC182" s="436" t="str">
        <f>IF(ISNUMBER(VLOOKUP(B182,'New Masses'!A:C,3,FALSE)),VLOOKUP(B182,'New Masses'!A:C,3,FALSE),"")</f>
        <v/>
      </c>
      <c r="AD182" s="440"/>
      <c r="AE182" s="440">
        <f t="shared" si="45"/>
        <v>0.00000001202264435</v>
      </c>
      <c r="AF182" s="439">
        <v>-7.92</v>
      </c>
      <c r="AG182" s="438"/>
      <c r="AH182" s="459">
        <f t="shared" si="46"/>
        <v>0.3630780548</v>
      </c>
      <c r="AI182" s="436"/>
      <c r="AJ182" s="446" t="str">
        <f>IF(ISNUMBER(VLOOKUP(B182,'New Masses'!A:C,2, FALSE)),VLOOKUP(B182,'New Masses'!A:C,2, FALSE),"")</f>
        <v/>
      </c>
      <c r="AK182" s="436">
        <v>-0.44</v>
      </c>
      <c r="AL182" s="436"/>
      <c r="AM182" s="436">
        <v>-1.18</v>
      </c>
      <c r="AN182" s="438"/>
      <c r="AO182" s="436">
        <v>1.0</v>
      </c>
      <c r="AP182" s="438"/>
      <c r="AQ182" s="438"/>
      <c r="AR182" s="438"/>
      <c r="AS182" s="438"/>
      <c r="AT182" s="455">
        <v>2.5</v>
      </c>
      <c r="AU182" s="452"/>
      <c r="AV182" s="438"/>
      <c r="AW182" s="438"/>
      <c r="AX182" s="450"/>
    </row>
    <row r="183">
      <c r="A183" s="419" t="s">
        <v>1432</v>
      </c>
      <c r="B183" s="436" t="s">
        <v>1433</v>
      </c>
      <c r="C183" s="436"/>
      <c r="D183" s="436" t="s">
        <v>158</v>
      </c>
      <c r="E183" s="436"/>
      <c r="F183" s="436" t="s">
        <v>2391</v>
      </c>
      <c r="G183" s="436" t="s">
        <v>159</v>
      </c>
      <c r="H183" s="436" t="s">
        <v>160</v>
      </c>
      <c r="I183" s="436" t="s">
        <v>1963</v>
      </c>
      <c r="J183" s="436">
        <v>3890.45145</v>
      </c>
      <c r="K183" s="436"/>
      <c r="L183" s="438"/>
      <c r="M183" s="453"/>
      <c r="N183" s="422">
        <v>9.984</v>
      </c>
      <c r="O183" s="422">
        <v>8.331</v>
      </c>
      <c r="P183" s="422">
        <v>13.83</v>
      </c>
      <c r="Q183" s="436" t="s">
        <v>2183</v>
      </c>
      <c r="R183" s="436" t="s">
        <v>2184</v>
      </c>
      <c r="S183" s="436" t="s">
        <v>1964</v>
      </c>
      <c r="T183" s="419" t="s">
        <v>162</v>
      </c>
      <c r="U183" s="436" t="s">
        <v>2185</v>
      </c>
      <c r="V183" s="451"/>
      <c r="W183" s="458"/>
      <c r="X183" s="438"/>
      <c r="Y183" s="442" t="str">
        <f t="shared" si="43"/>
        <v/>
      </c>
      <c r="Z183" s="442"/>
      <c r="AA183" s="443"/>
      <c r="AB183" s="443"/>
      <c r="AC183" s="436" t="str">
        <f>IF(ISNUMBER(VLOOKUP(B183,'New Masses'!A:C,3,FALSE)),VLOOKUP(B183,'New Masses'!A:C,3,FALSE),"")</f>
        <v/>
      </c>
      <c r="AD183" s="440"/>
      <c r="AE183" s="440">
        <f t="shared" si="45"/>
        <v>0.000000001380384265</v>
      </c>
      <c r="AF183" s="439">
        <v>-8.86</v>
      </c>
      <c r="AG183" s="438"/>
      <c r="AH183" s="459">
        <f t="shared" si="46"/>
        <v>0.5495408739</v>
      </c>
      <c r="AI183" s="436"/>
      <c r="AJ183" s="446" t="str">
        <f>IF(ISNUMBER(VLOOKUP(B183,'New Masses'!A:C,2, FALSE)),VLOOKUP(B183,'New Masses'!A:C,2, FALSE),"")</f>
        <v/>
      </c>
      <c r="AK183" s="436">
        <v>-0.26</v>
      </c>
      <c r="AL183" s="436"/>
      <c r="AM183" s="436">
        <v>-2.01</v>
      </c>
      <c r="AN183" s="438"/>
      <c r="AO183" s="436">
        <v>1.0</v>
      </c>
      <c r="AP183" s="438"/>
      <c r="AQ183" s="436"/>
      <c r="AR183" s="438"/>
      <c r="AS183" s="438"/>
      <c r="AT183" s="455">
        <v>1.4</v>
      </c>
      <c r="AU183" s="449" t="s">
        <v>137</v>
      </c>
      <c r="AV183" s="438"/>
      <c r="AW183" s="438"/>
      <c r="AX183" s="450">
        <v>142.116108860939</v>
      </c>
    </row>
    <row r="184">
      <c r="A184" s="419" t="s">
        <v>1428</v>
      </c>
      <c r="B184" s="436" t="s">
        <v>1429</v>
      </c>
      <c r="C184" s="436"/>
      <c r="D184" s="436" t="s">
        <v>158</v>
      </c>
      <c r="E184" s="436"/>
      <c r="F184" s="436" t="s">
        <v>2392</v>
      </c>
      <c r="G184" s="436" t="s">
        <v>169</v>
      </c>
      <c r="H184" s="436" t="s">
        <v>160</v>
      </c>
      <c r="I184" s="436" t="s">
        <v>1963</v>
      </c>
      <c r="J184" s="436">
        <v>3890.45145</v>
      </c>
      <c r="K184" s="436"/>
      <c r="L184" s="438"/>
      <c r="M184" s="453"/>
      <c r="N184" s="422">
        <v>9.154</v>
      </c>
      <c r="O184" s="422">
        <v>7.518</v>
      </c>
      <c r="P184" s="422">
        <v>11.7</v>
      </c>
      <c r="Q184" s="436" t="s">
        <v>2183</v>
      </c>
      <c r="R184" s="436" t="s">
        <v>2184</v>
      </c>
      <c r="S184" s="436" t="s">
        <v>1964</v>
      </c>
      <c r="T184" s="419" t="s">
        <v>162</v>
      </c>
      <c r="U184" s="436" t="s">
        <v>2185</v>
      </c>
      <c r="V184" s="451"/>
      <c r="W184" s="458">
        <v>0.660693448007596</v>
      </c>
      <c r="X184" s="438"/>
      <c r="Y184" s="442">
        <f t="shared" si="43"/>
        <v>1.794137307</v>
      </c>
      <c r="Z184" s="442"/>
      <c r="AA184" s="443"/>
      <c r="AB184" s="443"/>
      <c r="AC184" s="436" t="str">
        <f>IF(ISNUMBER(VLOOKUP(B184,'New Masses'!A:C,3,FALSE)),VLOOKUP(B184,'New Masses'!A:C,3,FALSE),"")</f>
        <v/>
      </c>
      <c r="AD184" s="440"/>
      <c r="AE184" s="440">
        <f t="shared" si="45"/>
        <v>0.0000001819700859</v>
      </c>
      <c r="AF184" s="439">
        <v>-6.74</v>
      </c>
      <c r="AG184" s="438"/>
      <c r="AH184" s="459">
        <f t="shared" si="46"/>
        <v>0.5248074602</v>
      </c>
      <c r="AI184" s="436"/>
      <c r="AJ184" s="446" t="str">
        <f>IF(ISNUMBER(VLOOKUP(B184,'New Masses'!A:C,2, FALSE)),VLOOKUP(B184,'New Masses'!A:C,2, FALSE),"")</f>
        <v/>
      </c>
      <c r="AK184" s="436">
        <v>-0.28</v>
      </c>
      <c r="AL184" s="436"/>
      <c r="AM184" s="436">
        <v>0.1</v>
      </c>
      <c r="AN184" s="438"/>
      <c r="AO184" s="436">
        <v>1.0</v>
      </c>
      <c r="AP184" s="438"/>
      <c r="AQ184" s="438"/>
      <c r="AR184" s="438"/>
      <c r="AS184" s="438"/>
      <c r="AT184" s="455">
        <v>0.5</v>
      </c>
      <c r="AU184" s="452"/>
      <c r="AV184" s="438"/>
      <c r="AW184" s="438"/>
      <c r="AX184" s="450">
        <v>134.596748142564</v>
      </c>
    </row>
    <row r="185">
      <c r="A185" s="419" t="s">
        <v>1336</v>
      </c>
      <c r="B185" s="436" t="s">
        <v>1337</v>
      </c>
      <c r="C185" s="436"/>
      <c r="D185" s="436" t="s">
        <v>158</v>
      </c>
      <c r="E185" s="436"/>
      <c r="F185" s="436" t="s">
        <v>2393</v>
      </c>
      <c r="G185" s="436" t="s">
        <v>169</v>
      </c>
      <c r="H185" s="436" t="s">
        <v>160</v>
      </c>
      <c r="I185" s="436" t="s">
        <v>1963</v>
      </c>
      <c r="J185" s="436">
        <v>2818.38293</v>
      </c>
      <c r="K185" s="436"/>
      <c r="L185" s="438"/>
      <c r="M185" s="453"/>
      <c r="N185" s="422">
        <v>14.425</v>
      </c>
      <c r="O185" s="422">
        <v>11.245</v>
      </c>
      <c r="P185" s="422"/>
      <c r="Q185" s="436" t="s">
        <v>2183</v>
      </c>
      <c r="R185" s="436" t="s">
        <v>2184</v>
      </c>
      <c r="S185" s="436" t="s">
        <v>1964</v>
      </c>
      <c r="T185" s="419" t="s">
        <v>162</v>
      </c>
      <c r="U185" s="436" t="s">
        <v>2185</v>
      </c>
      <c r="V185" s="451"/>
      <c r="W185" s="458">
        <v>0.08511380382023763</v>
      </c>
      <c r="X185" s="438"/>
      <c r="Y185" s="442">
        <f t="shared" si="43"/>
        <v>1.227031402</v>
      </c>
      <c r="Z185" s="442"/>
      <c r="AA185" s="443"/>
      <c r="AB185" s="443"/>
      <c r="AC185" s="436" t="str">
        <f>IF(ISNUMBER(VLOOKUP(B185,'New Masses'!A:C,3,FALSE)),VLOOKUP(B185,'New Masses'!A:C,3,FALSE),"")</f>
        <v/>
      </c>
      <c r="AD185" s="440"/>
      <c r="AE185" s="440">
        <f t="shared" si="45"/>
        <v>0</v>
      </c>
      <c r="AF185" s="439">
        <v>-10.24</v>
      </c>
      <c r="AG185" s="438"/>
      <c r="AH185" s="459">
        <f t="shared" si="46"/>
        <v>0.09332543008</v>
      </c>
      <c r="AI185" s="436"/>
      <c r="AJ185" s="446" t="str">
        <f>IF(ISNUMBER(VLOOKUP(B185,'New Masses'!A:C,2, FALSE)),VLOOKUP(B185,'New Masses'!A:C,2, FALSE),"")</f>
        <v/>
      </c>
      <c r="AK185" s="436">
        <v>-1.03</v>
      </c>
      <c r="AL185" s="436"/>
      <c r="AM185" s="436">
        <v>-3.8</v>
      </c>
      <c r="AN185" s="438"/>
      <c r="AO185" s="436">
        <v>1.0</v>
      </c>
      <c r="AP185" s="438"/>
      <c r="AQ185" s="436"/>
      <c r="AR185" s="438"/>
      <c r="AS185" s="438"/>
      <c r="AT185" s="455">
        <v>2.8</v>
      </c>
      <c r="AU185" s="449" t="s">
        <v>137</v>
      </c>
      <c r="AV185" s="438"/>
      <c r="AW185" s="438"/>
      <c r="AX185" s="450"/>
    </row>
    <row r="186">
      <c r="A186" s="419" t="s">
        <v>1396</v>
      </c>
      <c r="B186" s="436" t="s">
        <v>1397</v>
      </c>
      <c r="C186" s="436"/>
      <c r="D186" s="436" t="s">
        <v>158</v>
      </c>
      <c r="E186" s="436"/>
      <c r="F186" s="436" t="s">
        <v>2394</v>
      </c>
      <c r="G186" s="436" t="s">
        <v>159</v>
      </c>
      <c r="H186" s="436" t="s">
        <v>160</v>
      </c>
      <c r="I186" s="436" t="s">
        <v>1963</v>
      </c>
      <c r="J186" s="436">
        <v>3467.3685</v>
      </c>
      <c r="K186" s="436"/>
      <c r="L186" s="438"/>
      <c r="M186" s="453"/>
      <c r="N186" s="422">
        <v>10.673</v>
      </c>
      <c r="O186" s="422">
        <v>9.115</v>
      </c>
      <c r="P186" s="422">
        <v>14.86</v>
      </c>
      <c r="Q186" s="436" t="s">
        <v>2183</v>
      </c>
      <c r="R186" s="436" t="s">
        <v>2184</v>
      </c>
      <c r="S186" s="436" t="s">
        <v>1964</v>
      </c>
      <c r="T186" s="419" t="s">
        <v>162</v>
      </c>
      <c r="U186" s="436" t="s">
        <v>2185</v>
      </c>
      <c r="V186" s="451"/>
      <c r="W186" s="458"/>
      <c r="X186" s="438"/>
      <c r="Y186" s="442" t="str">
        <f t="shared" si="43"/>
        <v/>
      </c>
      <c r="Z186" s="442"/>
      <c r="AA186" s="443"/>
      <c r="AB186" s="443"/>
      <c r="AC186" s="436" t="str">
        <f>IF(ISNUMBER(VLOOKUP(B186,'New Masses'!A:C,3,FALSE)),VLOOKUP(B186,'New Masses'!A:C,3,FALSE),"")</f>
        <v/>
      </c>
      <c r="AD186" s="440"/>
      <c r="AE186" s="440">
        <f t="shared" si="45"/>
        <v>0.000000001202264435</v>
      </c>
      <c r="AF186" s="439">
        <v>-8.92</v>
      </c>
      <c r="AG186" s="438"/>
      <c r="AH186" s="459">
        <f t="shared" si="46"/>
        <v>0.3235936569</v>
      </c>
      <c r="AI186" s="436"/>
      <c r="AJ186" s="446" t="str">
        <f>IF(ISNUMBER(VLOOKUP(B186,'New Masses'!A:C,2, FALSE)),VLOOKUP(B186,'New Masses'!A:C,2, FALSE),"")</f>
        <v/>
      </c>
      <c r="AK186" s="436">
        <v>-0.49</v>
      </c>
      <c r="AL186" s="436"/>
      <c r="AM186" s="436">
        <v>-2.22</v>
      </c>
      <c r="AN186" s="438"/>
      <c r="AO186" s="436">
        <v>1.0</v>
      </c>
      <c r="AP186" s="438"/>
      <c r="AQ186" s="436"/>
      <c r="AR186" s="438"/>
      <c r="AS186" s="438"/>
      <c r="AT186" s="455">
        <v>1.2</v>
      </c>
      <c r="AU186" s="452" t="s">
        <v>137</v>
      </c>
      <c r="AV186" s="438"/>
      <c r="AW186" s="438"/>
      <c r="AX186" s="450"/>
    </row>
    <row r="187">
      <c r="A187" s="419" t="s">
        <v>1339</v>
      </c>
      <c r="B187" s="436" t="s">
        <v>1340</v>
      </c>
      <c r="C187" s="436"/>
      <c r="D187" s="436" t="s">
        <v>158</v>
      </c>
      <c r="E187" s="436"/>
      <c r="F187" s="436" t="s">
        <v>2395</v>
      </c>
      <c r="G187" s="436" t="s">
        <v>169</v>
      </c>
      <c r="H187" s="436" t="s">
        <v>160</v>
      </c>
      <c r="I187" s="436" t="s">
        <v>1963</v>
      </c>
      <c r="J187" s="436">
        <v>2818.38293</v>
      </c>
      <c r="K187" s="436"/>
      <c r="L187" s="438"/>
      <c r="M187" s="453"/>
      <c r="N187" s="422">
        <v>15.792</v>
      </c>
      <c r="O187" s="422">
        <v>12.186</v>
      </c>
      <c r="P187" s="422"/>
      <c r="Q187" s="436" t="s">
        <v>2183</v>
      </c>
      <c r="R187" s="436" t="s">
        <v>2184</v>
      </c>
      <c r="S187" s="436" t="s">
        <v>1964</v>
      </c>
      <c r="T187" s="419" t="s">
        <v>162</v>
      </c>
      <c r="U187" s="436" t="s">
        <v>2185</v>
      </c>
      <c r="V187" s="451"/>
      <c r="W187" s="458">
        <v>0.08912509381337455</v>
      </c>
      <c r="X187" s="438"/>
      <c r="Y187" s="442">
        <f t="shared" si="43"/>
        <v>1.255612635</v>
      </c>
      <c r="Z187" s="442"/>
      <c r="AA187" s="443"/>
      <c r="AB187" s="443"/>
      <c r="AC187" s="436" t="str">
        <f>IF(ISNUMBER(VLOOKUP(B187,'New Masses'!A:C,3,FALSE)),VLOOKUP(B187,'New Masses'!A:C,3,FALSE),"")</f>
        <v/>
      </c>
      <c r="AD187" s="440"/>
      <c r="AE187" s="440">
        <f t="shared" si="45"/>
        <v>0</v>
      </c>
      <c r="AF187" s="439">
        <v>-10.55</v>
      </c>
      <c r="AG187" s="438"/>
      <c r="AH187" s="459">
        <f t="shared" si="46"/>
        <v>0.0954992586</v>
      </c>
      <c r="AI187" s="436"/>
      <c r="AJ187" s="446" t="str">
        <f>IF(ISNUMBER(VLOOKUP(B187,'New Masses'!A:C,2, FALSE)),VLOOKUP(B187,'New Masses'!A:C,2, FALSE),"")</f>
        <v/>
      </c>
      <c r="AK187" s="436">
        <v>-1.02</v>
      </c>
      <c r="AL187" s="436"/>
      <c r="AM187" s="436">
        <v>-4.11</v>
      </c>
      <c r="AN187" s="438"/>
      <c r="AO187" s="436">
        <v>1.0</v>
      </c>
      <c r="AP187" s="438"/>
      <c r="AQ187" s="436"/>
      <c r="AR187" s="438"/>
      <c r="AS187" s="438"/>
      <c r="AT187" s="455">
        <v>4.2</v>
      </c>
      <c r="AU187" s="449" t="s">
        <v>137</v>
      </c>
      <c r="AV187" s="438"/>
      <c r="AW187" s="438"/>
      <c r="AX187" s="450"/>
    </row>
    <row r="188">
      <c r="A188" s="419" t="s">
        <v>1380</v>
      </c>
      <c r="B188" s="436" t="s">
        <v>1381</v>
      </c>
      <c r="C188" s="436"/>
      <c r="D188" s="436" t="s">
        <v>158</v>
      </c>
      <c r="E188" s="436"/>
      <c r="F188" s="436" t="s">
        <v>2396</v>
      </c>
      <c r="G188" s="436" t="s">
        <v>169</v>
      </c>
      <c r="H188" s="436" t="s">
        <v>160</v>
      </c>
      <c r="I188" s="436" t="s">
        <v>1963</v>
      </c>
      <c r="J188" s="436">
        <v>3235.93657</v>
      </c>
      <c r="K188" s="436"/>
      <c r="L188" s="438"/>
      <c r="M188" s="453"/>
      <c r="N188" s="422">
        <v>15.345</v>
      </c>
      <c r="O188" s="422">
        <v>10.644</v>
      </c>
      <c r="P188" s="422"/>
      <c r="Q188" s="436" t="s">
        <v>2183</v>
      </c>
      <c r="R188" s="436" t="s">
        <v>2184</v>
      </c>
      <c r="S188" s="436" t="s">
        <v>1964</v>
      </c>
      <c r="T188" s="419" t="s">
        <v>162</v>
      </c>
      <c r="U188" s="436" t="s">
        <v>2185</v>
      </c>
      <c r="V188" s="451"/>
      <c r="W188" s="458">
        <v>0.4168693834703354</v>
      </c>
      <c r="X188" s="438"/>
      <c r="Y188" s="442">
        <f t="shared" si="43"/>
        <v>2.059945245</v>
      </c>
      <c r="Z188" s="442"/>
      <c r="AA188" s="443"/>
      <c r="AB188" s="443"/>
      <c r="AC188" s="436" t="str">
        <f>IF(ISNUMBER(VLOOKUP(B188,'New Masses'!A:C,3,FALSE)),VLOOKUP(B188,'New Masses'!A:C,3,FALSE),"")</f>
        <v/>
      </c>
      <c r="AD188" s="440"/>
      <c r="AE188" s="440">
        <f t="shared" si="45"/>
        <v>0.000000002951209227</v>
      </c>
      <c r="AF188" s="439">
        <v>-8.53</v>
      </c>
      <c r="AG188" s="438"/>
      <c r="AH188" s="459">
        <f t="shared" si="46"/>
        <v>0.2398832919</v>
      </c>
      <c r="AI188" s="436"/>
      <c r="AJ188" s="446" t="str">
        <f>IF(ISNUMBER(VLOOKUP(B188,'New Masses'!A:C,2, FALSE)),VLOOKUP(B188,'New Masses'!A:C,2, FALSE),"")</f>
        <v/>
      </c>
      <c r="AK188" s="436">
        <v>-0.62</v>
      </c>
      <c r="AL188" s="436"/>
      <c r="AM188" s="436">
        <v>-1.9</v>
      </c>
      <c r="AN188" s="438"/>
      <c r="AO188" s="436">
        <v>1.0</v>
      </c>
      <c r="AP188" s="438"/>
      <c r="AQ188" s="438"/>
      <c r="AR188" s="438"/>
      <c r="AS188" s="438"/>
      <c r="AT188" s="455">
        <v>5.2</v>
      </c>
      <c r="AU188" s="452"/>
      <c r="AV188" s="438"/>
      <c r="AW188" s="438"/>
      <c r="AX188" s="450"/>
    </row>
    <row r="189">
      <c r="A189" s="419" t="s">
        <v>1413</v>
      </c>
      <c r="B189" s="436" t="s">
        <v>1414</v>
      </c>
      <c r="C189" s="436"/>
      <c r="D189" s="436" t="s">
        <v>158</v>
      </c>
      <c r="E189" s="436"/>
      <c r="F189" s="436" t="s">
        <v>2397</v>
      </c>
      <c r="G189" s="436" t="s">
        <v>159</v>
      </c>
      <c r="H189" s="436" t="s">
        <v>160</v>
      </c>
      <c r="I189" s="436" t="s">
        <v>1963</v>
      </c>
      <c r="J189" s="436">
        <v>3630.78055</v>
      </c>
      <c r="K189" s="436"/>
      <c r="L189" s="438"/>
      <c r="M189" s="453"/>
      <c r="N189" s="422">
        <v>14.68</v>
      </c>
      <c r="O189" s="422">
        <v>10.406</v>
      </c>
      <c r="P189" s="422"/>
      <c r="Q189" s="436" t="s">
        <v>2183</v>
      </c>
      <c r="R189" s="436" t="s">
        <v>2184</v>
      </c>
      <c r="S189" s="436" t="s">
        <v>1964</v>
      </c>
      <c r="T189" s="419" t="s">
        <v>162</v>
      </c>
      <c r="U189" s="436" t="s">
        <v>2185</v>
      </c>
      <c r="V189" s="451"/>
      <c r="W189" s="458"/>
      <c r="X189" s="438"/>
      <c r="Y189" s="442" t="str">
        <f t="shared" si="43"/>
        <v/>
      </c>
      <c r="Z189" s="442"/>
      <c r="AA189" s="443"/>
      <c r="AB189" s="443"/>
      <c r="AC189" s="436" t="str">
        <f>IF(ISNUMBER(VLOOKUP(B189,'New Masses'!A:C,3,FALSE)),VLOOKUP(B189,'New Masses'!A:C,3,FALSE),"")</f>
        <v/>
      </c>
      <c r="AD189" s="440"/>
      <c r="AE189" s="440">
        <f t="shared" si="45"/>
        <v>0.0000000008511380382</v>
      </c>
      <c r="AF189" s="439">
        <v>-9.07</v>
      </c>
      <c r="AG189" s="438"/>
      <c r="AH189" s="459">
        <f t="shared" si="46"/>
        <v>0.3981071706</v>
      </c>
      <c r="AI189" s="436"/>
      <c r="AJ189" s="446" t="str">
        <f>IF(ISNUMBER(VLOOKUP(B189,'New Masses'!A:C,2, FALSE)),VLOOKUP(B189,'New Masses'!A:C,2, FALSE),"")</f>
        <v/>
      </c>
      <c r="AK189" s="436">
        <v>-0.4</v>
      </c>
      <c r="AL189" s="436"/>
      <c r="AM189" s="436">
        <v>-2.31</v>
      </c>
      <c r="AN189" s="438"/>
      <c r="AO189" s="436">
        <v>1.0</v>
      </c>
      <c r="AP189" s="438"/>
      <c r="AQ189" s="436"/>
      <c r="AR189" s="438"/>
      <c r="AS189" s="438"/>
      <c r="AT189" s="455">
        <v>5.4</v>
      </c>
      <c r="AU189" s="449" t="s">
        <v>137</v>
      </c>
      <c r="AV189" s="438"/>
      <c r="AW189" s="438"/>
      <c r="AX189" s="450"/>
    </row>
    <row r="190">
      <c r="A190" s="419" t="s">
        <v>1960</v>
      </c>
      <c r="B190" s="436" t="s">
        <v>1961</v>
      </c>
      <c r="C190" s="436"/>
      <c r="D190" s="436" t="s">
        <v>158</v>
      </c>
      <c r="E190" s="436"/>
      <c r="F190" s="436" t="s">
        <v>2398</v>
      </c>
      <c r="G190" s="436" t="s">
        <v>159</v>
      </c>
      <c r="H190" s="436" t="s">
        <v>160</v>
      </c>
      <c r="I190" s="436" t="s">
        <v>1963</v>
      </c>
      <c r="J190" s="436"/>
      <c r="K190" s="436"/>
      <c r="L190" s="438"/>
      <c r="M190" s="453"/>
      <c r="N190" s="422">
        <v>7.741</v>
      </c>
      <c r="O190" s="422">
        <v>6.504</v>
      </c>
      <c r="P190" s="422"/>
      <c r="Q190" s="436" t="s">
        <v>2183</v>
      </c>
      <c r="R190" s="436" t="s">
        <v>2184</v>
      </c>
      <c r="S190" s="436" t="s">
        <v>1964</v>
      </c>
      <c r="T190" s="419" t="s">
        <v>162</v>
      </c>
      <c r="U190" s="436" t="s">
        <v>2185</v>
      </c>
      <c r="V190" s="451"/>
      <c r="W190" s="458"/>
      <c r="X190" s="438"/>
      <c r="Y190" s="442"/>
      <c r="Z190" s="442"/>
      <c r="AA190" s="443"/>
      <c r="AB190" s="443"/>
      <c r="AC190" s="436" t="str">
        <f>IF(ISNUMBER(VLOOKUP(B190,'New Masses'!A:C,3,FALSE)),VLOOKUP(B190,'New Masses'!A:C,3,FALSE),"")</f>
        <v/>
      </c>
      <c r="AD190" s="440"/>
      <c r="AE190" s="440"/>
      <c r="AF190" s="439"/>
      <c r="AG190" s="438"/>
      <c r="AH190" s="459">
        <f t="shared" si="46"/>
        <v>1</v>
      </c>
      <c r="AI190" s="436"/>
      <c r="AJ190" s="446" t="str">
        <f>IF(ISNUMBER(VLOOKUP(B190,'New Masses'!A:C,2, FALSE)),VLOOKUP(B190,'New Masses'!A:C,2, FALSE),"")</f>
        <v/>
      </c>
      <c r="AK190" s="436"/>
      <c r="AL190" s="436"/>
      <c r="AM190" s="436"/>
      <c r="AN190" s="438"/>
      <c r="AO190" s="436">
        <v>1.0</v>
      </c>
      <c r="AP190" s="438"/>
      <c r="AQ190" s="436"/>
      <c r="AR190" s="438"/>
      <c r="AS190" s="438"/>
      <c r="AT190" s="448"/>
      <c r="AU190" s="452" t="s">
        <v>137</v>
      </c>
      <c r="AV190" s="438"/>
      <c r="AW190" s="438"/>
      <c r="AX190" s="450">
        <v>141.681188988538</v>
      </c>
    </row>
    <row r="191">
      <c r="A191" s="419" t="s">
        <v>1448</v>
      </c>
      <c r="B191" s="436" t="s">
        <v>1449</v>
      </c>
      <c r="C191" s="436"/>
      <c r="D191" s="436" t="s">
        <v>158</v>
      </c>
      <c r="E191" s="436"/>
      <c r="F191" s="436" t="s">
        <v>2399</v>
      </c>
      <c r="G191" s="436" t="s">
        <v>169</v>
      </c>
      <c r="H191" s="436" t="s">
        <v>160</v>
      </c>
      <c r="I191" s="436" t="s">
        <v>1963</v>
      </c>
      <c r="J191" s="436">
        <v>4073.80278</v>
      </c>
      <c r="K191" s="436"/>
      <c r="L191" s="438"/>
      <c r="M191" s="453"/>
      <c r="N191" s="422">
        <v>14.37</v>
      </c>
      <c r="O191" s="422">
        <v>8.475</v>
      </c>
      <c r="P191" s="422"/>
      <c r="Q191" s="436" t="s">
        <v>2183</v>
      </c>
      <c r="R191" s="436" t="s">
        <v>2184</v>
      </c>
      <c r="S191" s="436" t="s">
        <v>1964</v>
      </c>
      <c r="T191" s="419" t="s">
        <v>162</v>
      </c>
      <c r="U191" s="436" t="s">
        <v>2185</v>
      </c>
      <c r="V191" s="451"/>
      <c r="W191" s="458">
        <v>2.137962089502232</v>
      </c>
      <c r="X191" s="438"/>
      <c r="Y191" s="442">
        <f t="shared" ref="Y191:Y216" si="47">IF((W191/((J191/5780)^4))^0.5&gt;0,(W191/((J191/5780)^4))^0.5,"")</f>
        <v>2.943443314</v>
      </c>
      <c r="Z191" s="442"/>
      <c r="AA191" s="443"/>
      <c r="AB191" s="443"/>
      <c r="AC191" s="436" t="str">
        <f>IF(ISNUMBER(VLOOKUP(B191,'New Masses'!A:C,3,FALSE)),VLOOKUP(B191,'New Masses'!A:C,3,FALSE),"")</f>
        <v/>
      </c>
      <c r="AD191" s="440"/>
      <c r="AE191" s="440">
        <f t="shared" ref="AE191:AE197" si="48">10^AF191</f>
        <v>0.000000003311311215</v>
      </c>
      <c r="AF191" s="439">
        <v>-8.48</v>
      </c>
      <c r="AG191" s="438"/>
      <c r="AH191" s="459">
        <f t="shared" si="46"/>
        <v>0.645654229</v>
      </c>
      <c r="AI191" s="436"/>
      <c r="AJ191" s="446" t="str">
        <f>IF(ISNUMBER(VLOOKUP(B191,'New Masses'!A:C,2, FALSE)),VLOOKUP(B191,'New Masses'!A:C,2, FALSE),"")</f>
        <v/>
      </c>
      <c r="AK191" s="436">
        <v>-0.19</v>
      </c>
      <c r="AL191" s="436"/>
      <c r="AM191" s="436">
        <v>-1.58</v>
      </c>
      <c r="AN191" s="438"/>
      <c r="AO191" s="436">
        <v>1.0</v>
      </c>
      <c r="AP191" s="438"/>
      <c r="AQ191" s="436"/>
      <c r="AR191" s="438"/>
      <c r="AS191" s="438"/>
      <c r="AT191" s="455">
        <v>5.8</v>
      </c>
      <c r="AU191" s="449" t="s">
        <v>137</v>
      </c>
      <c r="AV191" s="438"/>
      <c r="AW191" s="438"/>
      <c r="AX191" s="450"/>
    </row>
    <row r="192">
      <c r="A192" s="419" t="s">
        <v>1411</v>
      </c>
      <c r="B192" s="436" t="s">
        <v>1412</v>
      </c>
      <c r="C192" s="436"/>
      <c r="D192" s="436" t="s">
        <v>158</v>
      </c>
      <c r="E192" s="436"/>
      <c r="F192" s="436" t="s">
        <v>2400</v>
      </c>
      <c r="G192" s="436" t="s">
        <v>159</v>
      </c>
      <c r="H192" s="436" t="s">
        <v>160</v>
      </c>
      <c r="I192" s="436" t="s">
        <v>1963</v>
      </c>
      <c r="J192" s="436">
        <v>3630.78055</v>
      </c>
      <c r="K192" s="436"/>
      <c r="L192" s="438"/>
      <c r="M192" s="453"/>
      <c r="N192" s="422">
        <v>14.029</v>
      </c>
      <c r="O192" s="422">
        <v>10.031</v>
      </c>
      <c r="P192" s="422"/>
      <c r="Q192" s="436" t="s">
        <v>2183</v>
      </c>
      <c r="R192" s="436" t="s">
        <v>2184</v>
      </c>
      <c r="S192" s="436" t="s">
        <v>1964</v>
      </c>
      <c r="T192" s="419" t="s">
        <v>162</v>
      </c>
      <c r="U192" s="436" t="s">
        <v>2185</v>
      </c>
      <c r="V192" s="451"/>
      <c r="W192" s="458"/>
      <c r="X192" s="438"/>
      <c r="Y192" s="442" t="str">
        <f t="shared" si="47"/>
        <v/>
      </c>
      <c r="Z192" s="442"/>
      <c r="AA192" s="443"/>
      <c r="AB192" s="443"/>
      <c r="AC192" s="436" t="str">
        <f>IF(ISNUMBER(VLOOKUP(B192,'New Masses'!A:C,3,FALSE)),VLOOKUP(B192,'New Masses'!A:C,3,FALSE),"")</f>
        <v/>
      </c>
      <c r="AD192" s="440"/>
      <c r="AE192" s="440">
        <f t="shared" si="48"/>
        <v>0.00000000087096359</v>
      </c>
      <c r="AF192" s="439">
        <v>-9.06</v>
      </c>
      <c r="AG192" s="438"/>
      <c r="AH192" s="459">
        <f t="shared" si="46"/>
        <v>0.3981071706</v>
      </c>
      <c r="AI192" s="436"/>
      <c r="AJ192" s="446" t="str">
        <f>IF(ISNUMBER(VLOOKUP(B192,'New Masses'!A:C,2, FALSE)),VLOOKUP(B192,'New Masses'!A:C,2, FALSE),"")</f>
        <v/>
      </c>
      <c r="AK192" s="436">
        <v>-0.4</v>
      </c>
      <c r="AL192" s="436"/>
      <c r="AM192" s="436">
        <v>-2.29</v>
      </c>
      <c r="AN192" s="438"/>
      <c r="AO192" s="436">
        <v>1.0</v>
      </c>
      <c r="AP192" s="438"/>
      <c r="AQ192" s="436"/>
      <c r="AR192" s="438"/>
      <c r="AS192" s="438"/>
      <c r="AT192" s="455">
        <v>4.8</v>
      </c>
      <c r="AU192" s="452" t="s">
        <v>137</v>
      </c>
      <c r="AV192" s="438"/>
      <c r="AW192" s="438"/>
      <c r="AX192" s="450"/>
    </row>
    <row r="193">
      <c r="A193" s="419" t="s">
        <v>1466</v>
      </c>
      <c r="B193" s="436" t="s">
        <v>1467</v>
      </c>
      <c r="C193" s="436"/>
      <c r="D193" s="436" t="s">
        <v>158</v>
      </c>
      <c r="E193" s="436"/>
      <c r="F193" s="436" t="s">
        <v>2401</v>
      </c>
      <c r="G193" s="436" t="s">
        <v>169</v>
      </c>
      <c r="H193" s="436" t="s">
        <v>160</v>
      </c>
      <c r="I193" s="436" t="s">
        <v>1963</v>
      </c>
      <c r="J193" s="436">
        <v>4365.15832</v>
      </c>
      <c r="K193" s="436"/>
      <c r="L193" s="438"/>
      <c r="M193" s="453"/>
      <c r="N193" s="422">
        <v>11.025</v>
      </c>
      <c r="O193" s="422">
        <v>8.201</v>
      </c>
      <c r="P193" s="422">
        <v>17.4</v>
      </c>
      <c r="Q193" s="436" t="s">
        <v>2183</v>
      </c>
      <c r="R193" s="436" t="s">
        <v>2184</v>
      </c>
      <c r="S193" s="436" t="s">
        <v>1964</v>
      </c>
      <c r="T193" s="419" t="s">
        <v>162</v>
      </c>
      <c r="U193" s="436" t="s">
        <v>2185</v>
      </c>
      <c r="V193" s="451"/>
      <c r="W193" s="458">
        <v>3.4673685045253166</v>
      </c>
      <c r="X193" s="438"/>
      <c r="Y193" s="442">
        <f t="shared" si="47"/>
        <v>3.264793201</v>
      </c>
      <c r="Z193" s="442"/>
      <c r="AA193" s="443"/>
      <c r="AB193" s="443"/>
      <c r="AC193" s="436" t="str">
        <f>IF(ISNUMBER(VLOOKUP(B193,'New Masses'!A:C,3,FALSE)),VLOOKUP(B193,'New Masses'!A:C,3,FALSE),"")</f>
        <v/>
      </c>
      <c r="AD193" s="440"/>
      <c r="AE193" s="440">
        <f t="shared" si="48"/>
        <v>0.000000005888436554</v>
      </c>
      <c r="AF193" s="439">
        <v>-8.23</v>
      </c>
      <c r="AG193" s="438"/>
      <c r="AH193" s="459">
        <f t="shared" si="46"/>
        <v>0.87096359</v>
      </c>
      <c r="AI193" s="436"/>
      <c r="AJ193" s="446" t="str">
        <f>IF(ISNUMBER(VLOOKUP(B193,'New Masses'!A:C,2, FALSE)),VLOOKUP(B193,'New Masses'!A:C,2, FALSE),"")</f>
        <v/>
      </c>
      <c r="AK193" s="436">
        <v>-0.06</v>
      </c>
      <c r="AL193" s="436"/>
      <c r="AM193" s="436">
        <v>-1.26</v>
      </c>
      <c r="AN193" s="438"/>
      <c r="AO193" s="436">
        <v>1.0</v>
      </c>
      <c r="AP193" s="438"/>
      <c r="AQ193" s="436"/>
      <c r="AR193" s="438"/>
      <c r="AS193" s="438"/>
      <c r="AT193" s="455">
        <v>3.1</v>
      </c>
      <c r="AU193" s="449" t="s">
        <v>137</v>
      </c>
      <c r="AV193" s="438"/>
      <c r="AW193" s="438"/>
      <c r="AX193" s="450">
        <v>138.178803371562</v>
      </c>
    </row>
    <row r="194">
      <c r="A194" s="419" t="s">
        <v>1421</v>
      </c>
      <c r="B194" s="436" t="s">
        <v>1422</v>
      </c>
      <c r="C194" s="436"/>
      <c r="D194" s="436" t="s">
        <v>158</v>
      </c>
      <c r="E194" s="436"/>
      <c r="F194" s="436" t="s">
        <v>2402</v>
      </c>
      <c r="G194" s="436" t="s">
        <v>169</v>
      </c>
      <c r="H194" s="436" t="s">
        <v>160</v>
      </c>
      <c r="I194" s="436" t="s">
        <v>1963</v>
      </c>
      <c r="J194" s="436">
        <v>3801.89396</v>
      </c>
      <c r="K194" s="436"/>
      <c r="L194" s="438"/>
      <c r="M194" s="453"/>
      <c r="N194" s="422">
        <v>9.65</v>
      </c>
      <c r="O194" s="422">
        <v>8.063</v>
      </c>
      <c r="P194" s="422">
        <v>14.02</v>
      </c>
      <c r="Q194" s="436" t="s">
        <v>2183</v>
      </c>
      <c r="R194" s="436" t="s">
        <v>2184</v>
      </c>
      <c r="S194" s="436" t="s">
        <v>1964</v>
      </c>
      <c r="T194" s="419" t="s">
        <v>162</v>
      </c>
      <c r="U194" s="436" t="s">
        <v>2185</v>
      </c>
      <c r="V194" s="451"/>
      <c r="W194" s="458">
        <v>1.2589254117941673</v>
      </c>
      <c r="X194" s="438"/>
      <c r="Y194" s="442">
        <f t="shared" si="47"/>
        <v>2.593317421</v>
      </c>
      <c r="Z194" s="442"/>
      <c r="AA194" s="443"/>
      <c r="AB194" s="443"/>
      <c r="AC194" s="436" t="str">
        <f>IF(ISNUMBER(VLOOKUP(B194,'New Masses'!A:C,3,FALSE)),VLOOKUP(B194,'New Masses'!A:C,3,FALSE),"")</f>
        <v/>
      </c>
      <c r="AD194" s="440"/>
      <c r="AE194" s="440">
        <f t="shared" si="48"/>
        <v>0.000000003467368505</v>
      </c>
      <c r="AF194" s="439">
        <v>-8.46</v>
      </c>
      <c r="AG194" s="438"/>
      <c r="AH194" s="459">
        <f t="shared" si="46"/>
        <v>0.4677351413</v>
      </c>
      <c r="AI194" s="436"/>
      <c r="AJ194" s="446" t="str">
        <f>IF(ISNUMBER(VLOOKUP(B194,'New Masses'!A:C,2, FALSE)),VLOOKUP(B194,'New Masses'!A:C,2, FALSE),"")</f>
        <v/>
      </c>
      <c r="AK194" s="436">
        <v>-0.33</v>
      </c>
      <c r="AL194" s="436"/>
      <c r="AM194" s="436">
        <v>-1.65</v>
      </c>
      <c r="AN194" s="438"/>
      <c r="AO194" s="436">
        <v>1.0</v>
      </c>
      <c r="AP194" s="438"/>
      <c r="AQ194" s="438"/>
      <c r="AR194" s="438"/>
      <c r="AS194" s="438"/>
      <c r="AT194" s="455">
        <v>0.8</v>
      </c>
      <c r="AU194" s="452"/>
      <c r="AV194" s="438"/>
      <c r="AW194" s="438"/>
      <c r="AX194" s="450">
        <v>134.273246055723</v>
      </c>
    </row>
    <row r="195">
      <c r="A195" s="419" t="s">
        <v>1430</v>
      </c>
      <c r="B195" s="436" t="s">
        <v>1431</v>
      </c>
      <c r="C195" s="436"/>
      <c r="D195" s="436" t="s">
        <v>158</v>
      </c>
      <c r="E195" s="436"/>
      <c r="F195" s="436" t="s">
        <v>2403</v>
      </c>
      <c r="G195" s="436" t="s">
        <v>169</v>
      </c>
      <c r="H195" s="436" t="s">
        <v>160</v>
      </c>
      <c r="I195" s="436" t="s">
        <v>1963</v>
      </c>
      <c r="J195" s="436">
        <v>3890.45145</v>
      </c>
      <c r="K195" s="436"/>
      <c r="L195" s="438"/>
      <c r="M195" s="453"/>
      <c r="N195" s="422">
        <v>12.579</v>
      </c>
      <c r="O195" s="422">
        <v>8.072</v>
      </c>
      <c r="P195" s="422"/>
      <c r="Q195" s="436" t="s">
        <v>2183</v>
      </c>
      <c r="R195" s="436" t="s">
        <v>2184</v>
      </c>
      <c r="S195" s="436" t="s">
        <v>1964</v>
      </c>
      <c r="T195" s="419" t="s">
        <v>162</v>
      </c>
      <c r="U195" s="436" t="s">
        <v>2185</v>
      </c>
      <c r="V195" s="451"/>
      <c r="W195" s="458">
        <v>1.5135612484362082</v>
      </c>
      <c r="X195" s="438"/>
      <c r="Y195" s="442">
        <f t="shared" si="47"/>
        <v>2.715536702</v>
      </c>
      <c r="Z195" s="442"/>
      <c r="AA195" s="443"/>
      <c r="AB195" s="443"/>
      <c r="AC195" s="436" t="str">
        <f>IF(ISNUMBER(VLOOKUP(B195,'New Masses'!A:C,3,FALSE)),VLOOKUP(B195,'New Masses'!A:C,3,FALSE),"")</f>
        <v/>
      </c>
      <c r="AD195" s="440"/>
      <c r="AE195" s="440">
        <f t="shared" si="48"/>
        <v>0.0000000645654229</v>
      </c>
      <c r="AF195" s="439">
        <v>-7.19</v>
      </c>
      <c r="AG195" s="438"/>
      <c r="AH195" s="459">
        <f t="shared" si="46"/>
        <v>0.5248074602</v>
      </c>
      <c r="AI195" s="436"/>
      <c r="AJ195" s="446" t="str">
        <f>IF(ISNUMBER(VLOOKUP(B195,'New Masses'!A:C,2, FALSE)),VLOOKUP(B195,'New Masses'!A:C,2, FALSE),"")</f>
        <v/>
      </c>
      <c r="AK195" s="436">
        <v>-0.28</v>
      </c>
      <c r="AL195" s="436"/>
      <c r="AM195" s="436">
        <v>-0.35</v>
      </c>
      <c r="AN195" s="438"/>
      <c r="AO195" s="436">
        <v>1.0</v>
      </c>
      <c r="AP195" s="438"/>
      <c r="AQ195" s="438"/>
      <c r="AR195" s="438"/>
      <c r="AS195" s="438"/>
      <c r="AT195" s="455">
        <v>3.7</v>
      </c>
      <c r="AU195" s="449"/>
      <c r="AV195" s="438"/>
      <c r="AW195" s="438"/>
      <c r="AX195" s="450">
        <v>138.421715598743</v>
      </c>
    </row>
    <row r="196">
      <c r="A196" s="419" t="s">
        <v>1382</v>
      </c>
      <c r="B196" s="436" t="s">
        <v>1383</v>
      </c>
      <c r="C196" s="436"/>
      <c r="D196" s="436" t="s">
        <v>158</v>
      </c>
      <c r="E196" s="436"/>
      <c r="F196" s="436" t="s">
        <v>2404</v>
      </c>
      <c r="G196" s="436" t="s">
        <v>169</v>
      </c>
      <c r="H196" s="436" t="s">
        <v>160</v>
      </c>
      <c r="I196" s="436" t="s">
        <v>1963</v>
      </c>
      <c r="J196" s="436">
        <v>3311.31121</v>
      </c>
      <c r="K196" s="436"/>
      <c r="L196" s="438"/>
      <c r="M196" s="453"/>
      <c r="N196" s="422">
        <v>16.139</v>
      </c>
      <c r="O196" s="422">
        <v>11.937</v>
      </c>
      <c r="P196" s="422"/>
      <c r="Q196" s="436" t="s">
        <v>2183</v>
      </c>
      <c r="R196" s="436" t="s">
        <v>2184</v>
      </c>
      <c r="S196" s="436" t="s">
        <v>1964</v>
      </c>
      <c r="T196" s="419" t="s">
        <v>162</v>
      </c>
      <c r="U196" s="436" t="s">
        <v>2185</v>
      </c>
      <c r="V196" s="451"/>
      <c r="W196" s="458">
        <v>0.4677351412871982</v>
      </c>
      <c r="X196" s="438"/>
      <c r="Y196" s="442">
        <f t="shared" si="47"/>
        <v>2.083798294</v>
      </c>
      <c r="Z196" s="442"/>
      <c r="AA196" s="443"/>
      <c r="AB196" s="443"/>
      <c r="AC196" s="436" t="str">
        <f>IF(ISNUMBER(VLOOKUP(B196,'New Masses'!A:C,3,FALSE)),VLOOKUP(B196,'New Masses'!A:C,3,FALSE),"")</f>
        <v/>
      </c>
      <c r="AD196" s="440"/>
      <c r="AE196" s="440">
        <f t="shared" si="48"/>
        <v>0.00000000389045145</v>
      </c>
      <c r="AF196" s="439">
        <v>-8.41</v>
      </c>
      <c r="AG196" s="438"/>
      <c r="AH196" s="459">
        <f t="shared" si="46"/>
        <v>0.2570395783</v>
      </c>
      <c r="AI196" s="436"/>
      <c r="AJ196" s="446" t="str">
        <f>IF(ISNUMBER(VLOOKUP(B196,'New Masses'!A:C,2, FALSE)),VLOOKUP(B196,'New Masses'!A:C,2, FALSE),"")</f>
        <v/>
      </c>
      <c r="AK196" s="436">
        <v>-0.59</v>
      </c>
      <c r="AL196" s="436"/>
      <c r="AM196" s="436">
        <v>-1.76</v>
      </c>
      <c r="AN196" s="438"/>
      <c r="AO196" s="436">
        <v>1.0</v>
      </c>
      <c r="AP196" s="438"/>
      <c r="AQ196" s="438"/>
      <c r="AR196" s="438"/>
      <c r="AS196" s="438"/>
      <c r="AT196" s="455">
        <v>1.0</v>
      </c>
      <c r="AU196" s="452"/>
      <c r="AV196" s="438"/>
      <c r="AW196" s="438"/>
      <c r="AX196" s="450"/>
    </row>
    <row r="197">
      <c r="A197" s="419" t="s">
        <v>1460</v>
      </c>
      <c r="B197" s="436" t="s">
        <v>1461</v>
      </c>
      <c r="C197" s="436"/>
      <c r="D197" s="436" t="s">
        <v>158</v>
      </c>
      <c r="E197" s="436"/>
      <c r="F197" s="436" t="s">
        <v>2405</v>
      </c>
      <c r="G197" s="436" t="s">
        <v>159</v>
      </c>
      <c r="H197" s="436" t="s">
        <v>160</v>
      </c>
      <c r="I197" s="436" t="s">
        <v>1963</v>
      </c>
      <c r="J197" s="436">
        <v>4168.69383</v>
      </c>
      <c r="K197" s="436"/>
      <c r="L197" s="438"/>
      <c r="M197" s="453"/>
      <c r="N197" s="422">
        <v>12.783</v>
      </c>
      <c r="O197" s="422">
        <v>9.273</v>
      </c>
      <c r="P197" s="422"/>
      <c r="Q197" s="436" t="s">
        <v>2183</v>
      </c>
      <c r="R197" s="436" t="s">
        <v>2184</v>
      </c>
      <c r="S197" s="436" t="s">
        <v>1964</v>
      </c>
      <c r="T197" s="419" t="s">
        <v>162</v>
      </c>
      <c r="U197" s="436" t="s">
        <v>2185</v>
      </c>
      <c r="V197" s="451"/>
      <c r="W197" s="458"/>
      <c r="X197" s="438"/>
      <c r="Y197" s="442" t="str">
        <f t="shared" si="47"/>
        <v/>
      </c>
      <c r="Z197" s="442"/>
      <c r="AA197" s="443"/>
      <c r="AB197" s="443"/>
      <c r="AC197" s="436" t="str">
        <f>IF(ISNUMBER(VLOOKUP(B197,'New Masses'!A:C,3,FALSE)),VLOOKUP(B197,'New Masses'!A:C,3,FALSE),"")</f>
        <v/>
      </c>
      <c r="AD197" s="440"/>
      <c r="AE197" s="440">
        <f t="shared" si="48"/>
        <v>0.000000002630267992</v>
      </c>
      <c r="AF197" s="439">
        <v>-8.58</v>
      </c>
      <c r="AG197" s="438"/>
      <c r="AH197" s="459">
        <f t="shared" si="46"/>
        <v>0.7244359601</v>
      </c>
      <c r="AI197" s="436"/>
      <c r="AJ197" s="446" t="str">
        <f>IF(ISNUMBER(VLOOKUP(B197,'New Masses'!A:C,2, FALSE)),VLOOKUP(B197,'New Masses'!A:C,2, FALSE),"")</f>
        <v/>
      </c>
      <c r="AK197" s="436">
        <v>-0.14</v>
      </c>
      <c r="AL197" s="436"/>
      <c r="AM197" s="436">
        <v>-1.66</v>
      </c>
      <c r="AN197" s="438"/>
      <c r="AO197" s="436">
        <v>1.0</v>
      </c>
      <c r="AP197" s="438"/>
      <c r="AQ197" s="436"/>
      <c r="AR197" s="438"/>
      <c r="AS197" s="438"/>
      <c r="AT197" s="455">
        <v>4.5</v>
      </c>
      <c r="AU197" s="449" t="s">
        <v>137</v>
      </c>
      <c r="AV197" s="438"/>
      <c r="AW197" s="438"/>
      <c r="AX197" s="450">
        <v>1357.40464232387</v>
      </c>
    </row>
    <row r="198">
      <c r="A198" s="419" t="s">
        <v>273</v>
      </c>
      <c r="B198" s="504" t="s">
        <v>661</v>
      </c>
      <c r="C198" s="421" t="s">
        <v>274</v>
      </c>
      <c r="D198" s="420" t="s">
        <v>158</v>
      </c>
      <c r="E198" s="420"/>
      <c r="F198" s="420" t="s">
        <v>2406</v>
      </c>
      <c r="G198" s="420" t="s">
        <v>169</v>
      </c>
      <c r="H198" s="420" t="s">
        <v>269</v>
      </c>
      <c r="I198" s="420" t="s">
        <v>2199</v>
      </c>
      <c r="J198" s="436">
        <v>2600.0</v>
      </c>
      <c r="K198" s="421">
        <v>100.0</v>
      </c>
      <c r="L198" s="420" t="s">
        <v>232</v>
      </c>
      <c r="M198" s="429"/>
      <c r="N198" s="422">
        <v>12.57</v>
      </c>
      <c r="O198" s="422">
        <v>10.918</v>
      </c>
      <c r="P198" s="422">
        <v>18.3</v>
      </c>
      <c r="Q198" s="420" t="s">
        <v>2200</v>
      </c>
      <c r="R198" s="420" t="s">
        <v>2176</v>
      </c>
      <c r="S198" s="420" t="s">
        <v>2201</v>
      </c>
      <c r="T198" s="421" t="s">
        <v>162</v>
      </c>
      <c r="U198" s="420" t="s">
        <v>1965</v>
      </c>
      <c r="V198" s="440"/>
      <c r="W198" s="458">
        <v>0.0707945784384138</v>
      </c>
      <c r="X198" s="438"/>
      <c r="Y198" s="442">
        <f t="shared" si="47"/>
        <v>1.314949217</v>
      </c>
      <c r="Z198" s="442"/>
      <c r="AA198" s="443"/>
      <c r="AB198" s="443"/>
      <c r="AC198" s="469">
        <f>IF(ISNUMBER(VLOOKUP(B198,'New Masses'!A:C,3,FALSE)),VLOOKUP(B198,'New Masses'!A:C,3,FALSE),"")</f>
        <v>0.690178</v>
      </c>
      <c r="AD198" s="451"/>
      <c r="AE198" s="451">
        <f>(10^-9.8)</f>
        <v>0.0000000001584893192</v>
      </c>
      <c r="AF198" s="439">
        <f t="shared" ref="AF198:AF199" si="49">LOG10(AE198)</f>
        <v>-9.8</v>
      </c>
      <c r="AG198" s="438"/>
      <c r="AH198" s="459">
        <f>0.0009543*40</f>
        <v>0.038172</v>
      </c>
      <c r="AI198" s="420"/>
      <c r="AJ198" s="446">
        <f>IF(ISNUMBER(VLOOKUP(B198,'New Masses'!A:C,2, FALSE)),VLOOKUP(B198,'New Masses'!A:C,2, FALSE),"")</f>
        <v>0.058417</v>
      </c>
      <c r="AK198" s="420"/>
      <c r="AL198" s="438"/>
      <c r="AM198" s="438"/>
      <c r="AN198" s="420" t="s">
        <v>2407</v>
      </c>
      <c r="AO198" s="505">
        <v>1.0</v>
      </c>
      <c r="AP198" s="506"/>
      <c r="AQ198" s="505">
        <v>3.19</v>
      </c>
      <c r="AR198" s="506"/>
      <c r="AS198" s="507" t="s">
        <v>2408</v>
      </c>
      <c r="AT198" s="448"/>
      <c r="AU198" s="452"/>
      <c r="AV198" s="506"/>
      <c r="AW198" s="506"/>
      <c r="AX198" s="450">
        <v>137.0</v>
      </c>
    </row>
    <row r="199">
      <c r="A199" s="419" t="s">
        <v>273</v>
      </c>
      <c r="B199" s="504" t="s">
        <v>661</v>
      </c>
      <c r="C199" s="421" t="s">
        <v>274</v>
      </c>
      <c r="D199" s="420" t="s">
        <v>158</v>
      </c>
      <c r="E199" s="420"/>
      <c r="F199" s="420" t="s">
        <v>2406</v>
      </c>
      <c r="G199" s="420" t="s">
        <v>169</v>
      </c>
      <c r="H199" s="420" t="s">
        <v>269</v>
      </c>
      <c r="I199" s="420" t="s">
        <v>2199</v>
      </c>
      <c r="J199" s="436">
        <v>2700.0</v>
      </c>
      <c r="K199" s="421">
        <v>100.0</v>
      </c>
      <c r="L199" s="420" t="s">
        <v>353</v>
      </c>
      <c r="M199" s="429"/>
      <c r="N199" s="422">
        <v>12.57</v>
      </c>
      <c r="O199" s="422">
        <v>10.918</v>
      </c>
      <c r="P199" s="422">
        <v>18.3</v>
      </c>
      <c r="Q199" s="420" t="s">
        <v>2200</v>
      </c>
      <c r="R199" s="420" t="s">
        <v>2176</v>
      </c>
      <c r="S199" s="420" t="s">
        <v>2201</v>
      </c>
      <c r="T199" s="420" t="s">
        <v>596</v>
      </c>
      <c r="U199" s="420" t="s">
        <v>597</v>
      </c>
      <c r="V199" s="440"/>
      <c r="W199" s="458">
        <v>0.0707945784384138</v>
      </c>
      <c r="X199" s="438"/>
      <c r="Y199" s="442">
        <f t="shared" si="47"/>
        <v>1.219349343</v>
      </c>
      <c r="Z199" s="442"/>
      <c r="AA199" s="443"/>
      <c r="AB199" s="443"/>
      <c r="AC199" s="469">
        <f>IF(ISNUMBER(VLOOKUP(B199,'New Masses'!A:C,3,FALSE)),VLOOKUP(B199,'New Masses'!A:C,3,FALSE),"")</f>
        <v>0.690178</v>
      </c>
      <c r="AD199" s="451"/>
      <c r="AE199" s="451">
        <f>(10^-10.8)</f>
        <v>0</v>
      </c>
      <c r="AF199" s="439">
        <f t="shared" si="49"/>
        <v>-10.8</v>
      </c>
      <c r="AG199" s="438"/>
      <c r="AH199" s="459">
        <f>0.0009543*60</f>
        <v>0.057258</v>
      </c>
      <c r="AI199" s="420"/>
      <c r="AJ199" s="446">
        <f>IF(ISNUMBER(VLOOKUP(B199,'New Masses'!A:C,2, FALSE)),VLOOKUP(B199,'New Masses'!A:C,2, FALSE),"")</f>
        <v>0.058417</v>
      </c>
      <c r="AK199" s="420"/>
      <c r="AL199" s="438"/>
      <c r="AM199" s="438"/>
      <c r="AN199" s="420" t="s">
        <v>2407</v>
      </c>
      <c r="AO199" s="505">
        <v>1.0</v>
      </c>
      <c r="AP199" s="506"/>
      <c r="AQ199" s="505">
        <v>3.19</v>
      </c>
      <c r="AR199" s="506"/>
      <c r="AS199" s="507" t="s">
        <v>2408</v>
      </c>
      <c r="AT199" s="448"/>
      <c r="AU199" s="449"/>
      <c r="AV199" s="506"/>
      <c r="AW199" s="506"/>
      <c r="AX199" s="450">
        <v>137.0</v>
      </c>
    </row>
    <row r="200">
      <c r="A200" s="419" t="s">
        <v>273</v>
      </c>
      <c r="B200" s="508" t="s">
        <v>661</v>
      </c>
      <c r="C200" s="421" t="s">
        <v>274</v>
      </c>
      <c r="D200" s="420" t="s">
        <v>158</v>
      </c>
      <c r="E200" s="420"/>
      <c r="F200" s="420" t="s">
        <v>2406</v>
      </c>
      <c r="G200" s="420" t="s">
        <v>169</v>
      </c>
      <c r="H200" s="420" t="s">
        <v>1309</v>
      </c>
      <c r="I200" s="420" t="s">
        <v>2409</v>
      </c>
      <c r="J200" s="436">
        <v>2700.0</v>
      </c>
      <c r="K200" s="419">
        <v>150.0</v>
      </c>
      <c r="L200" s="420" t="s">
        <v>353</v>
      </c>
      <c r="M200" s="422">
        <v>2.0</v>
      </c>
      <c r="N200" s="422">
        <v>12.57</v>
      </c>
      <c r="O200" s="422">
        <v>10.918</v>
      </c>
      <c r="P200" s="422">
        <v>18.3</v>
      </c>
      <c r="Q200" s="420" t="s">
        <v>2410</v>
      </c>
      <c r="R200" s="420" t="s">
        <v>2411</v>
      </c>
      <c r="S200" s="420" t="s">
        <v>2412</v>
      </c>
      <c r="T200" s="420" t="s">
        <v>596</v>
      </c>
      <c r="U200" s="420" t="s">
        <v>2413</v>
      </c>
      <c r="V200" s="440"/>
      <c r="W200" s="441">
        <v>0.07</v>
      </c>
      <c r="X200" s="454"/>
      <c r="Y200" s="442">
        <f t="shared" si="47"/>
        <v>1.212487217</v>
      </c>
      <c r="Z200" s="442"/>
      <c r="AA200" s="443"/>
      <c r="AB200" s="443"/>
      <c r="AC200" s="469">
        <f>IF(ISNUMBER(VLOOKUP(B200,'New Masses'!A:C,3,FALSE)),VLOOKUP(B200,'New Masses'!A:C,3,FALSE),"")</f>
        <v>0.690178</v>
      </c>
      <c r="AD200" s="451"/>
      <c r="AE200" s="451">
        <f t="shared" ref="AE200:AE204" si="50">10^AF200</f>
        <v>0.0000000002884031503</v>
      </c>
      <c r="AF200" s="439">
        <v>-9.54</v>
      </c>
      <c r="AG200" s="438"/>
      <c r="AH200" s="459">
        <v>0.06</v>
      </c>
      <c r="AI200" s="436"/>
      <c r="AJ200" s="446">
        <f>IF(ISNUMBER(VLOOKUP(B200,'New Masses'!A:C,2, FALSE)),VLOOKUP(B200,'New Masses'!A:C,2, FALSE),"")</f>
        <v>0.058417</v>
      </c>
      <c r="AK200" s="436"/>
      <c r="AL200" s="438"/>
      <c r="AM200" s="438"/>
      <c r="AN200" s="420" t="s">
        <v>2407</v>
      </c>
      <c r="AO200" s="505">
        <v>1.0</v>
      </c>
      <c r="AP200" s="506"/>
      <c r="AQ200" s="505">
        <v>3.19</v>
      </c>
      <c r="AR200" s="507"/>
      <c r="AS200" s="507" t="s">
        <v>2408</v>
      </c>
      <c r="AT200" s="448"/>
      <c r="AU200" s="452" t="s">
        <v>137</v>
      </c>
      <c r="AV200" s="506"/>
      <c r="AW200" s="506"/>
      <c r="AX200" s="450">
        <v>137.0</v>
      </c>
    </row>
    <row r="201">
      <c r="A201" s="419" t="s">
        <v>273</v>
      </c>
      <c r="B201" s="504" t="s">
        <v>661</v>
      </c>
      <c r="C201" s="421" t="s">
        <v>274</v>
      </c>
      <c r="D201" s="436" t="s">
        <v>158</v>
      </c>
      <c r="E201" s="436"/>
      <c r="F201" s="436" t="s">
        <v>2406</v>
      </c>
      <c r="G201" s="436" t="s">
        <v>169</v>
      </c>
      <c r="H201" s="436" t="s">
        <v>160</v>
      </c>
      <c r="I201" s="436" t="s">
        <v>1963</v>
      </c>
      <c r="J201" s="436">
        <v>2754.2287</v>
      </c>
      <c r="K201" s="436"/>
      <c r="L201" s="438"/>
      <c r="M201" s="453"/>
      <c r="N201" s="422">
        <v>12.57</v>
      </c>
      <c r="O201" s="422">
        <v>10.918</v>
      </c>
      <c r="P201" s="422">
        <v>18.3</v>
      </c>
      <c r="Q201" s="436" t="s">
        <v>2183</v>
      </c>
      <c r="R201" s="436" t="s">
        <v>2184</v>
      </c>
      <c r="S201" s="436" t="s">
        <v>1964</v>
      </c>
      <c r="T201" s="419" t="s">
        <v>162</v>
      </c>
      <c r="U201" s="436" t="s">
        <v>2185</v>
      </c>
      <c r="V201" s="451"/>
      <c r="W201" s="458">
        <v>0.06025595860743578</v>
      </c>
      <c r="X201" s="438"/>
      <c r="Y201" s="442">
        <f t="shared" si="47"/>
        <v>1.081074635</v>
      </c>
      <c r="Z201" s="442"/>
      <c r="AA201" s="443"/>
      <c r="AB201" s="443"/>
      <c r="AC201" s="469">
        <f>IF(ISNUMBER(VLOOKUP(B201,'New Masses'!A:C,3,FALSE)),VLOOKUP(B201,'New Masses'!A:C,3,FALSE),"")</f>
        <v>0.690178</v>
      </c>
      <c r="AD201" s="440"/>
      <c r="AE201" s="440">
        <f t="shared" si="50"/>
        <v>0</v>
      </c>
      <c r="AF201" s="439">
        <v>-10.5</v>
      </c>
      <c r="AG201" s="438"/>
      <c r="AH201" s="459">
        <f>10^AK201</f>
        <v>0.0758577575</v>
      </c>
      <c r="AI201" s="436"/>
      <c r="AJ201" s="446">
        <f>IF(ISNUMBER(VLOOKUP(B201,'New Masses'!A:C,2, FALSE)),VLOOKUP(B201,'New Masses'!A:C,2, FALSE),"")</f>
        <v>0.058417</v>
      </c>
      <c r="AK201" s="436">
        <v>-1.12</v>
      </c>
      <c r="AL201" s="436"/>
      <c r="AM201" s="436">
        <v>-4.09</v>
      </c>
      <c r="AN201" s="438"/>
      <c r="AO201" s="436">
        <v>1.0</v>
      </c>
      <c r="AP201" s="438"/>
      <c r="AQ201" s="438"/>
      <c r="AR201" s="438"/>
      <c r="AS201" s="438"/>
      <c r="AT201" s="455">
        <v>0.7</v>
      </c>
      <c r="AU201" s="452"/>
      <c r="AV201" s="438"/>
      <c r="AW201" s="438"/>
      <c r="AX201" s="450">
        <v>137.0</v>
      </c>
    </row>
    <row r="202">
      <c r="A202" s="419" t="s">
        <v>273</v>
      </c>
      <c r="B202" s="509" t="s">
        <v>274</v>
      </c>
      <c r="C202" s="421" t="s">
        <v>661</v>
      </c>
      <c r="D202" s="420" t="s">
        <v>158</v>
      </c>
      <c r="E202" s="420"/>
      <c r="F202" s="419" t="s">
        <v>2406</v>
      </c>
      <c r="G202" s="436" t="s">
        <v>159</v>
      </c>
      <c r="H202" s="420" t="s">
        <v>201</v>
      </c>
      <c r="I202" s="438" t="s">
        <v>2207</v>
      </c>
      <c r="J202" s="436">
        <v>3050.0</v>
      </c>
      <c r="K202" s="438"/>
      <c r="L202" s="420" t="s">
        <v>264</v>
      </c>
      <c r="M202" s="429"/>
      <c r="N202" s="422">
        <v>12.57</v>
      </c>
      <c r="O202" s="422">
        <v>10.918</v>
      </c>
      <c r="P202" s="422">
        <v>18.3</v>
      </c>
      <c r="Q202" s="438" t="s">
        <v>2208</v>
      </c>
      <c r="R202" s="438" t="s">
        <v>2209</v>
      </c>
      <c r="S202" s="438" t="s">
        <v>2229</v>
      </c>
      <c r="T202" s="454" t="s">
        <v>162</v>
      </c>
      <c r="U202" s="438" t="s">
        <v>2210</v>
      </c>
      <c r="V202" s="423">
        <v>4.52</v>
      </c>
      <c r="W202" s="458"/>
      <c r="X202" s="438"/>
      <c r="Y202" s="442" t="str">
        <f t="shared" si="47"/>
        <v/>
      </c>
      <c r="Z202" s="442"/>
      <c r="AA202" s="443"/>
      <c r="AB202" s="443"/>
      <c r="AC202" s="436" t="str">
        <f>IF(ISNUMBER(VLOOKUP(B202,'New Masses'!A:C,3,FALSE)),VLOOKUP(B202,'New Masses'!A:C,3,FALSE),"")</f>
        <v/>
      </c>
      <c r="AD202" s="423"/>
      <c r="AE202" s="423">
        <f t="shared" si="50"/>
        <v>0</v>
      </c>
      <c r="AF202" s="429">
        <v>-10.6</v>
      </c>
      <c r="AG202" s="438"/>
      <c r="AH202" s="459">
        <v>0.12</v>
      </c>
      <c r="AI202" s="438"/>
      <c r="AJ202" s="446" t="str">
        <f>IF(ISNUMBER(VLOOKUP(B202,'New Masses'!A:C,2, FALSE)),VLOOKUP(B202,'New Masses'!A:C,2, FALSE),"")</f>
        <v/>
      </c>
      <c r="AK202" s="438"/>
      <c r="AL202" s="438"/>
      <c r="AM202" s="438"/>
      <c r="AN202" s="438"/>
      <c r="AO202" s="436">
        <v>1.0</v>
      </c>
      <c r="AP202" s="438"/>
      <c r="AQ202" s="438"/>
      <c r="AR202" s="436"/>
      <c r="AS202" s="438"/>
      <c r="AT202" s="448"/>
      <c r="AU202" s="449"/>
      <c r="AV202" s="438" t="s">
        <v>276</v>
      </c>
      <c r="AW202" s="438"/>
      <c r="AX202" s="450">
        <v>137.0</v>
      </c>
    </row>
    <row r="203">
      <c r="A203" s="419" t="s">
        <v>273</v>
      </c>
      <c r="B203" s="510" t="s">
        <v>274</v>
      </c>
      <c r="C203" s="421" t="s">
        <v>661</v>
      </c>
      <c r="D203" s="420" t="s">
        <v>158</v>
      </c>
      <c r="E203" s="420"/>
      <c r="F203" s="419" t="s">
        <v>2406</v>
      </c>
      <c r="G203" s="436" t="s">
        <v>159</v>
      </c>
      <c r="H203" s="420" t="s">
        <v>201</v>
      </c>
      <c r="I203" s="438" t="s">
        <v>2207</v>
      </c>
      <c r="J203" s="436">
        <v>3050.0</v>
      </c>
      <c r="K203" s="438"/>
      <c r="L203" s="420" t="s">
        <v>264</v>
      </c>
      <c r="M203" s="429"/>
      <c r="N203" s="422">
        <v>12.57</v>
      </c>
      <c r="O203" s="422">
        <v>10.918</v>
      </c>
      <c r="P203" s="422">
        <v>18.3</v>
      </c>
      <c r="Q203" s="438" t="s">
        <v>2208</v>
      </c>
      <c r="R203" s="438" t="s">
        <v>2209</v>
      </c>
      <c r="S203" s="438" t="s">
        <v>2229</v>
      </c>
      <c r="T203" s="454" t="s">
        <v>162</v>
      </c>
      <c r="U203" s="438" t="s">
        <v>2210</v>
      </c>
      <c r="V203" s="423">
        <v>4.52</v>
      </c>
      <c r="W203" s="458"/>
      <c r="X203" s="438"/>
      <c r="Y203" s="442" t="str">
        <f t="shared" si="47"/>
        <v/>
      </c>
      <c r="Z203" s="442"/>
      <c r="AA203" s="443"/>
      <c r="AB203" s="443"/>
      <c r="AC203" s="436" t="str">
        <f>IF(ISNUMBER(VLOOKUP(B203,'New Masses'!A:C,3,FALSE)),VLOOKUP(B203,'New Masses'!A:C,3,FALSE),"")</f>
        <v/>
      </c>
      <c r="AD203" s="423"/>
      <c r="AE203" s="423">
        <f t="shared" si="50"/>
        <v>0</v>
      </c>
      <c r="AF203" s="453">
        <v>-10.8</v>
      </c>
      <c r="AG203" s="438"/>
      <c r="AH203" s="459">
        <v>0.12</v>
      </c>
      <c r="AI203" s="438"/>
      <c r="AJ203" s="446" t="str">
        <f>IF(ISNUMBER(VLOOKUP(B203,'New Masses'!A:C,2, FALSE)),VLOOKUP(B203,'New Masses'!A:C,2, FALSE),"")</f>
        <v/>
      </c>
      <c r="AK203" s="438"/>
      <c r="AL203" s="438"/>
      <c r="AM203" s="438"/>
      <c r="AN203" s="438"/>
      <c r="AO203" s="436">
        <v>1.0</v>
      </c>
      <c r="AP203" s="438"/>
      <c r="AQ203" s="438"/>
      <c r="AR203" s="436"/>
      <c r="AS203" s="438"/>
      <c r="AT203" s="448"/>
      <c r="AU203" s="452"/>
      <c r="AV203" s="438" t="s">
        <v>275</v>
      </c>
      <c r="AW203" s="438"/>
      <c r="AX203" s="450">
        <v>137.0</v>
      </c>
    </row>
    <row r="204">
      <c r="A204" s="419" t="s">
        <v>154</v>
      </c>
      <c r="B204" s="419" t="s">
        <v>155</v>
      </c>
      <c r="C204" s="420"/>
      <c r="D204" s="420" t="s">
        <v>158</v>
      </c>
      <c r="E204" s="420"/>
      <c r="F204" s="420" t="s">
        <v>2414</v>
      </c>
      <c r="G204" s="420" t="s">
        <v>159</v>
      </c>
      <c r="H204" s="420" t="s">
        <v>160</v>
      </c>
      <c r="I204" s="420" t="s">
        <v>1963</v>
      </c>
      <c r="J204" s="436">
        <v>2290.86765</v>
      </c>
      <c r="K204" s="436"/>
      <c r="L204" s="420"/>
      <c r="M204" s="429"/>
      <c r="N204" s="422">
        <v>18.47</v>
      </c>
      <c r="O204" s="422">
        <v>11.216</v>
      </c>
      <c r="P204" s="422"/>
      <c r="Q204" s="420" t="s">
        <v>2183</v>
      </c>
      <c r="R204" s="438"/>
      <c r="S204" s="438" t="s">
        <v>1964</v>
      </c>
      <c r="T204" s="421" t="s">
        <v>162</v>
      </c>
      <c r="U204" s="420" t="s">
        <v>2185</v>
      </c>
      <c r="V204" s="451"/>
      <c r="W204" s="458"/>
      <c r="X204" s="438"/>
      <c r="Y204" s="442" t="str">
        <f t="shared" si="47"/>
        <v/>
      </c>
      <c r="Z204" s="442"/>
      <c r="AA204" s="443"/>
      <c r="AB204" s="443"/>
      <c r="AC204" s="436" t="str">
        <f>IF(ISNUMBER(VLOOKUP(B204,'New Masses'!A:C,3,FALSE)),VLOOKUP(B204,'New Masses'!A:C,3,FALSE),"")</f>
        <v/>
      </c>
      <c r="AD204" s="440"/>
      <c r="AE204" s="440">
        <f t="shared" si="50"/>
        <v>0.000000000758577575</v>
      </c>
      <c r="AF204" s="439">
        <v>-9.12</v>
      </c>
      <c r="AG204" s="438"/>
      <c r="AH204" s="459">
        <f t="shared" ref="AH204:AH205" si="51">10^AK204</f>
        <v>0.005888436554</v>
      </c>
      <c r="AI204" s="438"/>
      <c r="AJ204" s="446" t="str">
        <f>IF(ISNUMBER(VLOOKUP(B204,'New Masses'!A:C,2, FALSE)),VLOOKUP(B204,'New Masses'!A:C,2, FALSE),"")</f>
        <v/>
      </c>
      <c r="AK204" s="436">
        <v>-2.23</v>
      </c>
      <c r="AL204" s="436"/>
      <c r="AM204" s="511">
        <v>-3.06</v>
      </c>
      <c r="AN204" s="436"/>
      <c r="AO204" s="436">
        <v>1.0</v>
      </c>
      <c r="AP204" s="421" t="s">
        <v>156</v>
      </c>
      <c r="AQ204" s="436">
        <v>3.5</v>
      </c>
      <c r="AR204" s="438"/>
      <c r="AS204" s="420" t="s">
        <v>664</v>
      </c>
      <c r="AT204" s="455">
        <v>1.0</v>
      </c>
      <c r="AU204" s="452" t="s">
        <v>137</v>
      </c>
      <c r="AV204" s="438"/>
      <c r="AW204" s="438"/>
      <c r="AX204" s="450"/>
    </row>
    <row r="205">
      <c r="A205" s="419" t="s">
        <v>1969</v>
      </c>
      <c r="B205" s="436" t="s">
        <v>1970</v>
      </c>
      <c r="C205" s="420"/>
      <c r="D205" s="420" t="s">
        <v>158</v>
      </c>
      <c r="E205" s="420"/>
      <c r="F205" s="420" t="s">
        <v>2415</v>
      </c>
      <c r="G205" s="420" t="s">
        <v>169</v>
      </c>
      <c r="H205" s="420" t="s">
        <v>160</v>
      </c>
      <c r="I205" s="420" t="s">
        <v>1963</v>
      </c>
      <c r="J205" s="436">
        <v>2754.2287</v>
      </c>
      <c r="K205" s="436"/>
      <c r="L205" s="420"/>
      <c r="M205" s="429"/>
      <c r="N205" s="422">
        <v>17.92</v>
      </c>
      <c r="O205" s="422">
        <v>12.869</v>
      </c>
      <c r="P205" s="422"/>
      <c r="Q205" s="420" t="s">
        <v>2183</v>
      </c>
      <c r="R205" s="438"/>
      <c r="S205" s="438" t="s">
        <v>1964</v>
      </c>
      <c r="T205" s="421" t="s">
        <v>162</v>
      </c>
      <c r="U205" s="420" t="s">
        <v>2185</v>
      </c>
      <c r="V205" s="423"/>
      <c r="W205" s="458">
        <v>0.057543993733715694</v>
      </c>
      <c r="X205" s="438"/>
      <c r="Y205" s="442">
        <f t="shared" si="47"/>
        <v>1.056466372</v>
      </c>
      <c r="Z205" s="442"/>
      <c r="AA205" s="443"/>
      <c r="AB205" s="443"/>
      <c r="AC205" s="436" t="str">
        <f>IF(ISNUMBER(VLOOKUP(B205,'New Masses'!A:C,3,FALSE)),VLOOKUP(B205,'New Masses'!A:C,3,FALSE),"")</f>
        <v/>
      </c>
      <c r="AD205" s="440"/>
      <c r="AE205" s="440"/>
      <c r="AF205" s="453"/>
      <c r="AG205" s="438"/>
      <c r="AH205" s="459">
        <f t="shared" si="51"/>
        <v>0.07413102413</v>
      </c>
      <c r="AI205" s="438"/>
      <c r="AJ205" s="446" t="str">
        <f>IF(ISNUMBER(VLOOKUP(B205,'New Masses'!A:C,2, FALSE)),VLOOKUP(B205,'New Masses'!A:C,2, FALSE),"")</f>
        <v/>
      </c>
      <c r="AK205" s="436">
        <v>-1.13</v>
      </c>
      <c r="AL205" s="436"/>
      <c r="AM205" s="512"/>
      <c r="AN205" s="438"/>
      <c r="AO205" s="436">
        <v>1.0</v>
      </c>
      <c r="AP205" s="438"/>
      <c r="AQ205" s="436">
        <v>21.0</v>
      </c>
      <c r="AR205" s="438"/>
      <c r="AS205" s="420" t="s">
        <v>664</v>
      </c>
      <c r="AT205" s="455">
        <v>6.0</v>
      </c>
      <c r="AU205" s="449" t="s">
        <v>137</v>
      </c>
      <c r="AV205" s="438"/>
      <c r="AW205" s="438"/>
      <c r="AX205" s="450"/>
    </row>
    <row r="206">
      <c r="A206" s="419" t="s">
        <v>241</v>
      </c>
      <c r="B206" s="513" t="s">
        <v>1323</v>
      </c>
      <c r="C206" s="421" t="s">
        <v>242</v>
      </c>
      <c r="D206" s="420" t="s">
        <v>158</v>
      </c>
      <c r="E206" s="420"/>
      <c r="F206" s="420" t="s">
        <v>2416</v>
      </c>
      <c r="G206" s="420" t="s">
        <v>169</v>
      </c>
      <c r="H206" s="420" t="s">
        <v>754</v>
      </c>
      <c r="I206" s="436">
        <v>2010.0</v>
      </c>
      <c r="J206" s="436">
        <v>2700.0</v>
      </c>
      <c r="K206" s="419">
        <v>50.0</v>
      </c>
      <c r="L206" s="420" t="s">
        <v>318</v>
      </c>
      <c r="M206" s="429"/>
      <c r="N206" s="422">
        <v>13.271</v>
      </c>
      <c r="O206" s="422">
        <v>11.076</v>
      </c>
      <c r="P206" s="422"/>
      <c r="Q206" s="420" t="s">
        <v>2417</v>
      </c>
      <c r="R206" s="420" t="s">
        <v>2418</v>
      </c>
      <c r="S206" s="420" t="s">
        <v>2419</v>
      </c>
      <c r="T206" s="421" t="s">
        <v>162</v>
      </c>
      <c r="U206" s="420" t="s">
        <v>1754</v>
      </c>
      <c r="V206" s="440"/>
      <c r="W206" s="474">
        <v>0.052</v>
      </c>
      <c r="X206" s="436"/>
      <c r="Y206" s="442">
        <f t="shared" si="47"/>
        <v>1.045032556</v>
      </c>
      <c r="Z206" s="469"/>
      <c r="AA206" s="470">
        <v>1.05</v>
      </c>
      <c r="AB206" s="470">
        <v>0.05</v>
      </c>
      <c r="AC206" s="469">
        <f>IF(ISNUMBER(VLOOKUP(B206,'New Masses'!A:C,3,FALSE)),VLOOKUP(B206,'New Masses'!A:C,3,FALSE),"")</f>
        <v>0.690178</v>
      </c>
      <c r="AD206" s="451"/>
      <c r="AE206" s="451">
        <f t="shared" ref="AE206:AE213" si="52">10^AF206</f>
        <v>0.000000001258925412</v>
      </c>
      <c r="AF206" s="439">
        <v>-8.9</v>
      </c>
      <c r="AG206" s="438"/>
      <c r="AH206" s="459">
        <v>0.05</v>
      </c>
      <c r="AI206" s="436"/>
      <c r="AJ206" s="446">
        <f>IF(ISNUMBER(VLOOKUP(B206,'New Masses'!A:C,2, FALSE)),VLOOKUP(B206,'New Masses'!A:C,2, FALSE),"")</f>
        <v>0.058417</v>
      </c>
      <c r="AK206" s="436"/>
      <c r="AL206" s="436"/>
      <c r="AM206" s="436">
        <v>-2.82</v>
      </c>
      <c r="AN206" s="438"/>
      <c r="AO206" s="436">
        <v>1.0</v>
      </c>
      <c r="AP206" s="438"/>
      <c r="AQ206" s="436">
        <v>6.73</v>
      </c>
      <c r="AR206" s="438"/>
      <c r="AS206" s="420" t="s">
        <v>2408</v>
      </c>
      <c r="AT206" s="448"/>
      <c r="AU206" s="452"/>
      <c r="AV206" s="438"/>
      <c r="AW206" s="438"/>
      <c r="AX206" s="450">
        <v>143.0</v>
      </c>
    </row>
    <row r="207">
      <c r="A207" s="419" t="s">
        <v>241</v>
      </c>
      <c r="B207" s="478" t="s">
        <v>1323</v>
      </c>
      <c r="C207" s="421" t="s">
        <v>242</v>
      </c>
      <c r="D207" s="420" t="s">
        <v>158</v>
      </c>
      <c r="E207" s="420"/>
      <c r="F207" s="420" t="s">
        <v>2416</v>
      </c>
      <c r="G207" s="420" t="s">
        <v>169</v>
      </c>
      <c r="H207" s="420" t="s">
        <v>1309</v>
      </c>
      <c r="I207" s="420" t="s">
        <v>2409</v>
      </c>
      <c r="J207" s="436">
        <v>2700.0</v>
      </c>
      <c r="K207" s="419">
        <v>150.0</v>
      </c>
      <c r="L207" s="420" t="s">
        <v>353</v>
      </c>
      <c r="M207" s="422"/>
      <c r="N207" s="422">
        <v>13.271</v>
      </c>
      <c r="O207" s="422">
        <v>11.076</v>
      </c>
      <c r="P207" s="422"/>
      <c r="Q207" s="420" t="s">
        <v>2410</v>
      </c>
      <c r="R207" s="420" t="s">
        <v>2420</v>
      </c>
      <c r="S207" s="420" t="s">
        <v>2412</v>
      </c>
      <c r="T207" s="420" t="s">
        <v>596</v>
      </c>
      <c r="U207" s="420" t="s">
        <v>2413</v>
      </c>
      <c r="V207" s="440"/>
      <c r="W207" s="441">
        <v>0.09</v>
      </c>
      <c r="X207" s="454"/>
      <c r="Y207" s="442">
        <f t="shared" si="47"/>
        <v>1.374831276</v>
      </c>
      <c r="Z207" s="442"/>
      <c r="AA207" s="443"/>
      <c r="AB207" s="443"/>
      <c r="AC207" s="469">
        <f>IF(ISNUMBER(VLOOKUP(B207,'New Masses'!A:C,3,FALSE)),VLOOKUP(B207,'New Masses'!A:C,3,FALSE),"")</f>
        <v>0.690178</v>
      </c>
      <c r="AD207" s="451"/>
      <c r="AE207" s="451">
        <f t="shared" si="52"/>
        <v>0.0000000004073802778</v>
      </c>
      <c r="AF207" s="439">
        <v>-9.39</v>
      </c>
      <c r="AG207" s="438"/>
      <c r="AH207" s="459">
        <v>0.06</v>
      </c>
      <c r="AI207" s="436"/>
      <c r="AJ207" s="446">
        <f>IF(ISNUMBER(VLOOKUP(B207,'New Masses'!A:C,2, FALSE)),VLOOKUP(B207,'New Masses'!A:C,2, FALSE),"")</f>
        <v>0.058417</v>
      </c>
      <c r="AK207" s="436"/>
      <c r="AL207" s="438"/>
      <c r="AM207" s="438"/>
      <c r="AN207" s="420" t="s">
        <v>2407</v>
      </c>
      <c r="AO207" s="505">
        <v>1.0</v>
      </c>
      <c r="AP207" s="506"/>
      <c r="AQ207" s="505">
        <v>6.73</v>
      </c>
      <c r="AR207" s="507"/>
      <c r="AS207" s="507" t="s">
        <v>2408</v>
      </c>
      <c r="AT207" s="448"/>
      <c r="AU207" s="452" t="s">
        <v>137</v>
      </c>
      <c r="AV207" s="506"/>
      <c r="AW207" s="506"/>
      <c r="AX207" s="450">
        <v>143.0</v>
      </c>
    </row>
    <row r="208">
      <c r="A208" s="419" t="s">
        <v>241</v>
      </c>
      <c r="B208" s="421" t="s">
        <v>242</v>
      </c>
      <c r="C208" s="421" t="s">
        <v>1323</v>
      </c>
      <c r="D208" s="420" t="s">
        <v>158</v>
      </c>
      <c r="E208" s="420"/>
      <c r="F208" s="420" t="s">
        <v>2421</v>
      </c>
      <c r="G208" s="420" t="s">
        <v>159</v>
      </c>
      <c r="H208" s="420" t="s">
        <v>201</v>
      </c>
      <c r="I208" s="420" t="s">
        <v>2207</v>
      </c>
      <c r="J208" s="436">
        <v>2900.0</v>
      </c>
      <c r="K208" s="438"/>
      <c r="L208" s="420" t="s">
        <v>240</v>
      </c>
      <c r="M208" s="429"/>
      <c r="N208" s="422">
        <v>13.271</v>
      </c>
      <c r="O208" s="422">
        <v>11.076</v>
      </c>
      <c r="P208" s="422"/>
      <c r="Q208" s="420" t="s">
        <v>2208</v>
      </c>
      <c r="R208" s="438" t="s">
        <v>2209</v>
      </c>
      <c r="S208" s="420" t="s">
        <v>2229</v>
      </c>
      <c r="T208" s="454" t="s">
        <v>162</v>
      </c>
      <c r="U208" s="420" t="s">
        <v>2210</v>
      </c>
      <c r="V208" s="436">
        <v>4.7</v>
      </c>
      <c r="W208" s="458"/>
      <c r="X208" s="438"/>
      <c r="Y208" s="442" t="str">
        <f t="shared" si="47"/>
        <v/>
      </c>
      <c r="Z208" s="442"/>
      <c r="AA208" s="443"/>
      <c r="AB208" s="443"/>
      <c r="AC208" s="469">
        <f>IF(ISNUMBER(VLOOKUP(B208,'New Masses'!A:C,3,FALSE)),VLOOKUP(B208,'New Masses'!A:C,3,FALSE),"")</f>
        <v>0.53496</v>
      </c>
      <c r="AD208" s="423"/>
      <c r="AE208" s="423">
        <f t="shared" si="52"/>
        <v>0</v>
      </c>
      <c r="AF208" s="429">
        <v>-10.4</v>
      </c>
      <c r="AG208" s="438"/>
      <c r="AH208" s="459">
        <v>0.06</v>
      </c>
      <c r="AI208" s="438"/>
      <c r="AJ208" s="446">
        <f>IF(ISNUMBER(VLOOKUP(C208,'New Masses'!A:C,2, FALSE)),VLOOKUP(C208,'New Masses'!A:C,2, FALSE),"")</f>
        <v>0.058417</v>
      </c>
      <c r="AK208" s="438"/>
      <c r="AL208" s="438"/>
      <c r="AM208" s="438"/>
      <c r="AN208" s="438"/>
      <c r="AO208" s="436">
        <v>1.0</v>
      </c>
      <c r="AP208" s="438"/>
      <c r="AQ208" s="436">
        <v>6.0</v>
      </c>
      <c r="AR208" s="438"/>
      <c r="AS208" s="420" t="s">
        <v>2422</v>
      </c>
      <c r="AT208" s="448"/>
      <c r="AU208" s="452"/>
      <c r="AV208" s="420" t="s">
        <v>245</v>
      </c>
      <c r="AW208" s="438"/>
      <c r="AX208" s="450">
        <v>143.0</v>
      </c>
    </row>
    <row r="209">
      <c r="A209" s="419" t="s">
        <v>241</v>
      </c>
      <c r="B209" s="421" t="s">
        <v>242</v>
      </c>
      <c r="C209" s="421" t="s">
        <v>1323</v>
      </c>
      <c r="D209" s="420" t="s">
        <v>158</v>
      </c>
      <c r="E209" s="420"/>
      <c r="F209" s="420" t="s">
        <v>2421</v>
      </c>
      <c r="G209" s="420" t="s">
        <v>159</v>
      </c>
      <c r="H209" s="420" t="s">
        <v>201</v>
      </c>
      <c r="I209" s="420" t="s">
        <v>2207</v>
      </c>
      <c r="J209" s="436">
        <v>2900.0</v>
      </c>
      <c r="K209" s="438"/>
      <c r="L209" s="420" t="s">
        <v>240</v>
      </c>
      <c r="M209" s="429"/>
      <c r="N209" s="422">
        <v>13.271</v>
      </c>
      <c r="O209" s="422">
        <v>11.076</v>
      </c>
      <c r="P209" s="422"/>
      <c r="Q209" s="420" t="s">
        <v>2208</v>
      </c>
      <c r="R209" s="438" t="s">
        <v>2209</v>
      </c>
      <c r="S209" s="420" t="s">
        <v>2229</v>
      </c>
      <c r="T209" s="454" t="s">
        <v>162</v>
      </c>
      <c r="U209" s="420" t="s">
        <v>2210</v>
      </c>
      <c r="V209" s="436">
        <v>4.7</v>
      </c>
      <c r="W209" s="458"/>
      <c r="X209" s="438"/>
      <c r="Y209" s="442" t="str">
        <f t="shared" si="47"/>
        <v/>
      </c>
      <c r="Z209" s="442"/>
      <c r="AA209" s="443"/>
      <c r="AB209" s="443"/>
      <c r="AC209" s="469">
        <f>IF(ISNUMBER(VLOOKUP(B209,'New Masses'!A:C,3,FALSE)),VLOOKUP(B209,'New Masses'!A:C,3,FALSE),"")</f>
        <v>0.53496</v>
      </c>
      <c r="AD209" s="423"/>
      <c r="AE209" s="423">
        <f t="shared" si="52"/>
        <v>0</v>
      </c>
      <c r="AF209" s="453">
        <v>-10.6</v>
      </c>
      <c r="AG209" s="438"/>
      <c r="AH209" s="459">
        <v>0.06</v>
      </c>
      <c r="AI209" s="438"/>
      <c r="AJ209" s="446">
        <f>IF(ISNUMBER(VLOOKUP(C209,'New Masses'!A:C,2, FALSE)),VLOOKUP(C209,'New Masses'!A:C,2, FALSE),"")</f>
        <v>0.058417</v>
      </c>
      <c r="AK209" s="438"/>
      <c r="AL209" s="438"/>
      <c r="AM209" s="438"/>
      <c r="AN209" s="438"/>
      <c r="AO209" s="436">
        <v>1.0</v>
      </c>
      <c r="AP209" s="438"/>
      <c r="AQ209" s="436">
        <v>6.0</v>
      </c>
      <c r="AR209" s="438"/>
      <c r="AS209" s="420" t="s">
        <v>2422</v>
      </c>
      <c r="AT209" s="448"/>
      <c r="AU209" s="449"/>
      <c r="AV209" s="420" t="s">
        <v>244</v>
      </c>
      <c r="AW209" s="438"/>
      <c r="AX209" s="450">
        <v>143.0</v>
      </c>
    </row>
    <row r="210">
      <c r="A210" s="419" t="s">
        <v>241</v>
      </c>
      <c r="B210" s="478" t="s">
        <v>1323</v>
      </c>
      <c r="C210" s="421" t="s">
        <v>242</v>
      </c>
      <c r="D210" s="436" t="s">
        <v>158</v>
      </c>
      <c r="E210" s="436"/>
      <c r="F210" s="436" t="s">
        <v>2416</v>
      </c>
      <c r="G210" s="436" t="s">
        <v>169</v>
      </c>
      <c r="H210" s="436" t="s">
        <v>160</v>
      </c>
      <c r="I210" s="436" t="s">
        <v>1963</v>
      </c>
      <c r="J210" s="436">
        <v>2754.2287</v>
      </c>
      <c r="K210" s="436"/>
      <c r="L210" s="436" t="s">
        <v>318</v>
      </c>
      <c r="M210" s="439"/>
      <c r="N210" s="422">
        <v>13.271</v>
      </c>
      <c r="O210" s="422">
        <v>11.076</v>
      </c>
      <c r="P210" s="422"/>
      <c r="Q210" s="436" t="s">
        <v>2183</v>
      </c>
      <c r="R210" s="436" t="s">
        <v>2184</v>
      </c>
      <c r="S210" s="436" t="s">
        <v>1964</v>
      </c>
      <c r="T210" s="419" t="s">
        <v>162</v>
      </c>
      <c r="U210" s="436" t="s">
        <v>2185</v>
      </c>
      <c r="V210" s="451">
        <v>9.64313E27</v>
      </c>
      <c r="W210" s="458">
        <v>0.04897788193684462</v>
      </c>
      <c r="X210" s="438"/>
      <c r="Y210" s="442">
        <f t="shared" si="47"/>
        <v>0.9746656889</v>
      </c>
      <c r="Z210" s="442"/>
      <c r="AA210" s="443"/>
      <c r="AB210" s="443"/>
      <c r="AC210" s="469">
        <f>IF(ISNUMBER(VLOOKUP(B210,'New Masses'!A:C,3,FALSE)),VLOOKUP(B210,'New Masses'!A:C,3,FALSE),"")</f>
        <v>0.690178</v>
      </c>
      <c r="AD210" s="440"/>
      <c r="AE210" s="440">
        <f t="shared" si="52"/>
        <v>0</v>
      </c>
      <c r="AF210" s="439">
        <v>-10.01</v>
      </c>
      <c r="AG210" s="438"/>
      <c r="AH210" s="459">
        <f>10^AK210</f>
        <v>0.06760829754</v>
      </c>
      <c r="AI210" s="436"/>
      <c r="AJ210" s="446">
        <f>IF(ISNUMBER(VLOOKUP(B210,'New Masses'!A:C,2, FALSE)),VLOOKUP(B210,'New Masses'!A:C,2, FALSE),"")</f>
        <v>0.058417</v>
      </c>
      <c r="AK210" s="436">
        <v>-1.17</v>
      </c>
      <c r="AL210" s="436"/>
      <c r="AM210" s="436">
        <v>-3.61</v>
      </c>
      <c r="AN210" s="438"/>
      <c r="AO210" s="436">
        <v>1.0</v>
      </c>
      <c r="AP210" s="438"/>
      <c r="AQ210" s="438"/>
      <c r="AR210" s="436"/>
      <c r="AS210" s="438"/>
      <c r="AT210" s="455">
        <v>1.2</v>
      </c>
      <c r="AU210" s="449"/>
      <c r="AV210" s="438" t="s">
        <v>1304</v>
      </c>
      <c r="AW210" s="438"/>
      <c r="AX210" s="450">
        <v>143.0</v>
      </c>
    </row>
    <row r="211">
      <c r="A211" s="419" t="s">
        <v>2423</v>
      </c>
      <c r="B211" s="475" t="s">
        <v>2424</v>
      </c>
      <c r="C211" s="436"/>
      <c r="D211" s="436" t="s">
        <v>2425</v>
      </c>
      <c r="E211" s="436"/>
      <c r="F211" s="436" t="s">
        <v>2426</v>
      </c>
      <c r="G211" s="436" t="s">
        <v>169</v>
      </c>
      <c r="H211" s="436" t="s">
        <v>1479</v>
      </c>
      <c r="I211" s="436" t="s">
        <v>2427</v>
      </c>
      <c r="J211" s="436">
        <v>4395.0</v>
      </c>
      <c r="K211" s="436"/>
      <c r="L211" s="436" t="s">
        <v>459</v>
      </c>
      <c r="M211" s="439"/>
      <c r="N211" s="422">
        <v>8.302</v>
      </c>
      <c r="O211" s="422">
        <v>6.961</v>
      </c>
      <c r="P211" s="422"/>
      <c r="Q211" s="436" t="s">
        <v>2428</v>
      </c>
      <c r="R211" s="436" t="s">
        <v>2429</v>
      </c>
      <c r="S211" s="436" t="s">
        <v>2430</v>
      </c>
      <c r="T211" s="419" t="s">
        <v>162</v>
      </c>
      <c r="U211" s="436" t="s">
        <v>2431</v>
      </c>
      <c r="V211" s="451">
        <v>3.2365E29</v>
      </c>
      <c r="W211" s="474">
        <v>2.5</v>
      </c>
      <c r="X211" s="436"/>
      <c r="Y211" s="442">
        <f t="shared" si="47"/>
        <v>2.734688865</v>
      </c>
      <c r="Z211" s="469"/>
      <c r="AA211" s="470">
        <v>2.4</v>
      </c>
      <c r="AB211" s="470"/>
      <c r="AC211" s="436" t="str">
        <f>IF(ISNUMBER(VLOOKUP(B211,'New Masses'!A:C,3,FALSE)),VLOOKUP(B211,'New Masses'!A:C,3,FALSE),"")</f>
        <v/>
      </c>
      <c r="AD211" s="440"/>
      <c r="AE211" s="440">
        <f t="shared" si="52"/>
        <v>0.0000000301995172</v>
      </c>
      <c r="AF211" s="439">
        <v>-7.52</v>
      </c>
      <c r="AG211" s="438"/>
      <c r="AH211" s="459">
        <v>1.4</v>
      </c>
      <c r="AI211" s="436"/>
      <c r="AJ211" s="446" t="str">
        <f>IF(ISNUMBER(VLOOKUP(B211,'New Masses'!A:C,2, FALSE)),VLOOKUP(B211,'New Masses'!A:C,2, FALSE),"")</f>
        <v/>
      </c>
      <c r="AK211" s="438"/>
      <c r="AL211" s="436"/>
      <c r="AM211" s="436">
        <v>-0.35</v>
      </c>
      <c r="AN211" s="438"/>
      <c r="AO211" s="436">
        <v>1.0</v>
      </c>
      <c r="AP211" s="438"/>
      <c r="AQ211" s="438"/>
      <c r="AR211" s="438"/>
      <c r="AS211" s="438"/>
      <c r="AT211" s="448"/>
      <c r="AU211" s="449"/>
      <c r="AV211" s="438"/>
      <c r="AW211" s="438"/>
      <c r="AX211" s="450">
        <v>120.984816405541</v>
      </c>
    </row>
    <row r="212">
      <c r="A212" s="419" t="s">
        <v>254</v>
      </c>
      <c r="B212" s="420" t="s">
        <v>255</v>
      </c>
      <c r="C212" s="420"/>
      <c r="D212" s="436" t="s">
        <v>256</v>
      </c>
      <c r="E212" s="436"/>
      <c r="F212" s="436" t="s">
        <v>2432</v>
      </c>
      <c r="G212" s="436" t="s">
        <v>257</v>
      </c>
      <c r="H212" s="420" t="s">
        <v>201</v>
      </c>
      <c r="I212" s="438" t="s">
        <v>2207</v>
      </c>
      <c r="J212" s="436">
        <v>2950.0</v>
      </c>
      <c r="K212" s="438"/>
      <c r="L212" s="420" t="s">
        <v>217</v>
      </c>
      <c r="M212" s="429"/>
      <c r="N212" s="422">
        <v>15.178</v>
      </c>
      <c r="O212" s="422">
        <v>13.972</v>
      </c>
      <c r="P212" s="422"/>
      <c r="Q212" s="438" t="s">
        <v>2208</v>
      </c>
      <c r="R212" s="438" t="s">
        <v>2209</v>
      </c>
      <c r="S212" s="438" t="s">
        <v>2196</v>
      </c>
      <c r="T212" s="454" t="s">
        <v>162</v>
      </c>
      <c r="U212" s="438" t="s">
        <v>2210</v>
      </c>
      <c r="V212" s="451">
        <v>6.5</v>
      </c>
      <c r="W212" s="458"/>
      <c r="X212" s="438"/>
      <c r="Y212" s="442" t="str">
        <f t="shared" si="47"/>
        <v/>
      </c>
      <c r="Z212" s="442"/>
      <c r="AA212" s="443"/>
      <c r="AB212" s="443"/>
      <c r="AC212" s="436" t="str">
        <f>IF(ISNUMBER(VLOOKUP(B212,'New Masses'!A:C,3,FALSE)),VLOOKUP(B212,'New Masses'!A:C,3,FALSE),"")</f>
        <v/>
      </c>
      <c r="AD212" s="423"/>
      <c r="AE212" s="423">
        <f t="shared" si="52"/>
        <v>0.00000000316227766</v>
      </c>
      <c r="AF212" s="439">
        <v>-8.5</v>
      </c>
      <c r="AG212" s="438"/>
      <c r="AH212" s="459">
        <v>0.08</v>
      </c>
      <c r="AI212" s="438"/>
      <c r="AJ212" s="446" t="str">
        <f>IF(ISNUMBER(VLOOKUP(B212,'New Masses'!A:C,2, FALSE)),VLOOKUP(B212,'New Masses'!A:C,2, FALSE),"")</f>
        <v/>
      </c>
      <c r="AK212" s="438"/>
      <c r="AL212" s="438"/>
      <c r="AM212" s="438"/>
      <c r="AN212" s="438"/>
      <c r="AO212" s="436">
        <v>10.0</v>
      </c>
      <c r="AP212" s="438"/>
      <c r="AQ212" s="438"/>
      <c r="AR212" s="436"/>
      <c r="AS212" s="438"/>
      <c r="AT212" s="448"/>
      <c r="AU212" s="449"/>
      <c r="AV212" s="438" t="s">
        <v>259</v>
      </c>
      <c r="AW212" s="438"/>
      <c r="AX212" s="450">
        <v>147.544853635505</v>
      </c>
    </row>
    <row r="213">
      <c r="A213" s="419" t="s">
        <v>254</v>
      </c>
      <c r="B213" s="420" t="s">
        <v>255</v>
      </c>
      <c r="C213" s="420"/>
      <c r="D213" s="436" t="s">
        <v>256</v>
      </c>
      <c r="E213" s="436"/>
      <c r="F213" s="436" t="s">
        <v>2432</v>
      </c>
      <c r="G213" s="436" t="s">
        <v>257</v>
      </c>
      <c r="H213" s="420" t="s">
        <v>201</v>
      </c>
      <c r="I213" s="438" t="s">
        <v>2207</v>
      </c>
      <c r="J213" s="436">
        <v>2950.0</v>
      </c>
      <c r="K213" s="438"/>
      <c r="L213" s="420" t="s">
        <v>217</v>
      </c>
      <c r="M213" s="429"/>
      <c r="N213" s="422">
        <v>15.178</v>
      </c>
      <c r="O213" s="422">
        <v>13.972</v>
      </c>
      <c r="P213" s="422"/>
      <c r="Q213" s="438" t="s">
        <v>2208</v>
      </c>
      <c r="R213" s="438" t="s">
        <v>2209</v>
      </c>
      <c r="S213" s="438" t="s">
        <v>2196</v>
      </c>
      <c r="T213" s="454" t="s">
        <v>162</v>
      </c>
      <c r="U213" s="438" t="s">
        <v>2210</v>
      </c>
      <c r="V213" s="451">
        <v>6.5</v>
      </c>
      <c r="W213" s="458"/>
      <c r="X213" s="438"/>
      <c r="Y213" s="442" t="str">
        <f t="shared" si="47"/>
        <v/>
      </c>
      <c r="Z213" s="442"/>
      <c r="AA213" s="443"/>
      <c r="AB213" s="443"/>
      <c r="AC213" s="436" t="str">
        <f>IF(ISNUMBER(VLOOKUP(B213,'New Masses'!A:C,3,FALSE)),VLOOKUP(B213,'New Masses'!A:C,3,FALSE),"")</f>
        <v/>
      </c>
      <c r="AD213" s="423"/>
      <c r="AE213" s="423">
        <f t="shared" si="52"/>
        <v>0.000000001</v>
      </c>
      <c r="AF213" s="444">
        <v>-9.0</v>
      </c>
      <c r="AG213" s="438"/>
      <c r="AH213" s="459">
        <v>0.08</v>
      </c>
      <c r="AI213" s="438"/>
      <c r="AJ213" s="446" t="str">
        <f>IF(ISNUMBER(VLOOKUP(B213,'New Masses'!A:C,2, FALSE)),VLOOKUP(B213,'New Masses'!A:C,2, FALSE),"")</f>
        <v/>
      </c>
      <c r="AK213" s="438"/>
      <c r="AL213" s="438"/>
      <c r="AM213" s="438"/>
      <c r="AN213" s="438"/>
      <c r="AO213" s="436">
        <v>10.0</v>
      </c>
      <c r="AP213" s="438"/>
      <c r="AQ213" s="438"/>
      <c r="AR213" s="436"/>
      <c r="AS213" s="438"/>
      <c r="AT213" s="448"/>
      <c r="AU213" s="452"/>
      <c r="AV213" s="438" t="s">
        <v>258</v>
      </c>
      <c r="AW213" s="438"/>
      <c r="AX213" s="450">
        <v>147.544853635505</v>
      </c>
    </row>
    <row r="214">
      <c r="A214" s="419" t="s">
        <v>2433</v>
      </c>
      <c r="B214" s="436" t="s">
        <v>2434</v>
      </c>
      <c r="C214" s="436"/>
      <c r="D214" s="436" t="s">
        <v>2425</v>
      </c>
      <c r="E214" s="436"/>
      <c r="F214" s="436" t="s">
        <v>2435</v>
      </c>
      <c r="G214" s="436" t="s">
        <v>169</v>
      </c>
      <c r="H214" s="436" t="s">
        <v>1479</v>
      </c>
      <c r="I214" s="436" t="s">
        <v>2427</v>
      </c>
      <c r="J214" s="436">
        <v>4900.0</v>
      </c>
      <c r="K214" s="436"/>
      <c r="L214" s="436" t="s">
        <v>589</v>
      </c>
      <c r="M214" s="439"/>
      <c r="N214" s="422">
        <v>13.747</v>
      </c>
      <c r="O214" s="422">
        <v>7.066</v>
      </c>
      <c r="P214" s="422"/>
      <c r="Q214" s="436" t="s">
        <v>2428</v>
      </c>
      <c r="R214" s="436" t="s">
        <v>2429</v>
      </c>
      <c r="S214" s="436" t="s">
        <v>2430</v>
      </c>
      <c r="T214" s="419" t="s">
        <v>162</v>
      </c>
      <c r="U214" s="436" t="s">
        <v>2431</v>
      </c>
      <c r="V214" s="451">
        <v>1.5852E30</v>
      </c>
      <c r="W214" s="468"/>
      <c r="X214" s="436"/>
      <c r="Y214" s="442" t="str">
        <f t="shared" si="47"/>
        <v/>
      </c>
      <c r="Z214" s="469"/>
      <c r="AA214" s="470"/>
      <c r="AB214" s="470"/>
      <c r="AC214" s="436" t="str">
        <f>IF(ISNUMBER(VLOOKUP(B214,'New Masses'!A:C,3,FALSE)),VLOOKUP(B214,'New Masses'!A:C,3,FALSE),"")</f>
        <v/>
      </c>
      <c r="AD214" s="440"/>
      <c r="AE214" s="440"/>
      <c r="AF214" s="439"/>
      <c r="AG214" s="438"/>
      <c r="AH214" s="459"/>
      <c r="AI214" s="436"/>
      <c r="AJ214" s="446" t="str">
        <f>IF(ISNUMBER(VLOOKUP(B214,'New Masses'!A:C,2, FALSE)),VLOOKUP(B214,'New Masses'!A:C,2, FALSE),"")</f>
        <v/>
      </c>
      <c r="AK214" s="438"/>
      <c r="AL214" s="436"/>
      <c r="AM214" s="436">
        <v>0.28</v>
      </c>
      <c r="AN214" s="438"/>
      <c r="AO214" s="436">
        <v>1.0</v>
      </c>
      <c r="AP214" s="438"/>
      <c r="AQ214" s="438"/>
      <c r="AR214" s="438"/>
      <c r="AS214" s="438"/>
      <c r="AT214" s="448"/>
      <c r="AU214" s="449" t="s">
        <v>137</v>
      </c>
      <c r="AV214" s="438"/>
      <c r="AW214" s="438"/>
      <c r="AX214" s="450"/>
    </row>
    <row r="215">
      <c r="A215" s="435" t="s">
        <v>567</v>
      </c>
      <c r="B215" s="435" t="s">
        <v>568</v>
      </c>
      <c r="C215" s="440"/>
      <c r="D215" s="440" t="s">
        <v>314</v>
      </c>
      <c r="E215" s="440"/>
      <c r="F215" s="451" t="s">
        <v>2436</v>
      </c>
      <c r="G215" s="440" t="s">
        <v>169</v>
      </c>
      <c r="H215" s="440" t="s">
        <v>476</v>
      </c>
      <c r="I215" s="436">
        <v>2010.0</v>
      </c>
      <c r="J215" s="460">
        <v>4205.0</v>
      </c>
      <c r="K215" s="460">
        <v>193.0</v>
      </c>
      <c r="L215" s="460" t="s">
        <v>453</v>
      </c>
      <c r="M215" s="461">
        <v>1.0</v>
      </c>
      <c r="N215" s="422"/>
      <c r="O215" s="422"/>
      <c r="P215" s="422"/>
      <c r="Q215" s="440" t="s">
        <v>2189</v>
      </c>
      <c r="R215" s="451" t="s">
        <v>2190</v>
      </c>
      <c r="S215" s="451" t="s">
        <v>2191</v>
      </c>
      <c r="T215" s="462" t="s">
        <v>162</v>
      </c>
      <c r="U215" s="451" t="s">
        <v>2192</v>
      </c>
      <c r="V215" s="440"/>
      <c r="W215" s="514">
        <v>1.4454</v>
      </c>
      <c r="X215" s="447">
        <v>0.626</v>
      </c>
      <c r="Y215" s="442">
        <f t="shared" si="47"/>
        <v>2.271525946</v>
      </c>
      <c r="Z215" s="464">
        <f>0.5*((X211/W211)^2 + 16*(K211/J211)^2)^0.5</f>
        <v>0</v>
      </c>
      <c r="AA215" s="465">
        <v>2.26</v>
      </c>
      <c r="AB215" s="465">
        <v>0.53</v>
      </c>
      <c r="AC215" s="436" t="str">
        <f>IF(ISNUMBER(VLOOKUP(B215,'New Masses'!A:C,3,FALSE)),VLOOKUP(B215,'New Masses'!A:C,3,FALSE),"")</f>
        <v/>
      </c>
      <c r="AD215" s="440"/>
      <c r="AE215" s="440">
        <f>10^AF215</f>
        <v>0.00000001905460718</v>
      </c>
      <c r="AF215" s="444">
        <v>-7.72</v>
      </c>
      <c r="AG215" s="440"/>
      <c r="AH215" s="445">
        <v>0.51</v>
      </c>
      <c r="AI215" s="460">
        <v>0.14</v>
      </c>
      <c r="AJ215" s="446" t="str">
        <f>IF(ISNUMBER(VLOOKUP(B215,'New Masses'!A:C,2, FALSE)),VLOOKUP(B215,'New Masses'!A:C,2, FALSE),"")</f>
        <v/>
      </c>
      <c r="AK215" s="440">
        <f>LOG10(AH215)</f>
        <v>-0.2924298239</v>
      </c>
      <c r="AL215" s="460"/>
      <c r="AM215" s="460">
        <v>-0.7</v>
      </c>
      <c r="AN215" s="466">
        <v>43900.0</v>
      </c>
      <c r="AO215" s="436">
        <v>3.0</v>
      </c>
      <c r="AP215" s="440"/>
      <c r="AQ215" s="440"/>
      <c r="AR215" s="440"/>
      <c r="AS215" s="440"/>
      <c r="AT215" s="448"/>
      <c r="AU215" s="449"/>
      <c r="AV215" s="440"/>
      <c r="AW215" s="440"/>
      <c r="AX215" s="515">
        <v>151.8187891</v>
      </c>
    </row>
    <row r="216">
      <c r="A216" s="419" t="s">
        <v>2437</v>
      </c>
      <c r="B216" s="419" t="s">
        <v>313</v>
      </c>
      <c r="C216" s="438"/>
      <c r="D216" s="420" t="s">
        <v>314</v>
      </c>
      <c r="E216" s="420"/>
      <c r="F216" s="420" t="s">
        <v>2438</v>
      </c>
      <c r="G216" s="420" t="s">
        <v>189</v>
      </c>
      <c r="H216" s="420" t="s">
        <v>291</v>
      </c>
      <c r="I216" s="516">
        <v>40951.0</v>
      </c>
      <c r="J216" s="419">
        <v>2050.0</v>
      </c>
      <c r="K216" s="436">
        <v>350.0</v>
      </c>
      <c r="L216" s="420" t="s">
        <v>621</v>
      </c>
      <c r="M216" s="429"/>
      <c r="N216" s="422"/>
      <c r="O216" s="422"/>
      <c r="P216" s="422"/>
      <c r="Q216" s="420" t="s">
        <v>2439</v>
      </c>
      <c r="R216" s="420" t="s">
        <v>2176</v>
      </c>
      <c r="S216" s="420" t="s">
        <v>292</v>
      </c>
      <c r="T216" s="420" t="s">
        <v>293</v>
      </c>
      <c r="U216" s="420" t="s">
        <v>294</v>
      </c>
      <c r="V216" s="440">
        <v>1.3E-16</v>
      </c>
      <c r="W216" s="468"/>
      <c r="X216" s="436"/>
      <c r="Y216" s="442" t="str">
        <f t="shared" si="47"/>
        <v/>
      </c>
      <c r="Z216" s="469"/>
      <c r="AA216" s="470">
        <f>0.10049*4.6</f>
        <v>0.462254</v>
      </c>
      <c r="AB216" s="470">
        <f>1.4*0.10049</f>
        <v>0.140686</v>
      </c>
      <c r="AC216" s="436" t="str">
        <f>IF(ISNUMBER(VLOOKUP(B216,'New Masses'!A:C,3,FALSE)),VLOOKUP(B216,'New Masses'!A:C,3,FALSE),"")</f>
        <v/>
      </c>
      <c r="AD216" s="451"/>
      <c r="AE216" s="451">
        <f>10^(AF216)</f>
        <v>0.0000000005011872336</v>
      </c>
      <c r="AF216" s="439">
        <v>-9.3</v>
      </c>
      <c r="AG216" s="438"/>
      <c r="AH216" s="459">
        <f>0.0009543*24</f>
        <v>0.0229032</v>
      </c>
      <c r="AI216" s="420">
        <f>12/1048</f>
        <v>0.01145038168</v>
      </c>
      <c r="AJ216" s="446" t="str">
        <f>IF(ISNUMBER(VLOOKUP(B216,'New Masses'!A:C,2, FALSE)),VLOOKUP(B216,'New Masses'!A:C,2, FALSE),"")</f>
        <v/>
      </c>
      <c r="AK216" s="420"/>
      <c r="AL216" s="420"/>
      <c r="AM216" s="436">
        <v>-2.9</v>
      </c>
      <c r="AN216" s="466">
        <v>43900.0</v>
      </c>
      <c r="AO216" s="419">
        <v>3.0</v>
      </c>
      <c r="AP216" s="421" t="s">
        <v>156</v>
      </c>
      <c r="AQ216" s="517">
        <v>1.6</v>
      </c>
      <c r="AR216" s="518"/>
      <c r="AS216" s="519" t="s">
        <v>2440</v>
      </c>
      <c r="AT216" s="448"/>
      <c r="AU216" s="449"/>
      <c r="AV216" s="420" t="s">
        <v>2441</v>
      </c>
      <c r="AW216" s="520" t="s">
        <v>2442</v>
      </c>
      <c r="AX216" s="515">
        <v>155.0</v>
      </c>
    </row>
    <row r="217">
      <c r="A217" s="521" t="s">
        <v>2437</v>
      </c>
      <c r="B217" s="485" t="s">
        <v>313</v>
      </c>
      <c r="C217" s="486"/>
      <c r="D217" s="492" t="s">
        <v>314</v>
      </c>
      <c r="E217" s="492"/>
      <c r="F217" s="522" t="s">
        <v>2438</v>
      </c>
      <c r="G217" s="522" t="s">
        <v>189</v>
      </c>
      <c r="H217" s="523" t="s">
        <v>1626</v>
      </c>
      <c r="I217" s="491"/>
      <c r="J217" s="477">
        <v>2400.0</v>
      </c>
      <c r="K217" s="486">
        <v>100.0</v>
      </c>
      <c r="L217" s="486"/>
      <c r="M217" s="486"/>
      <c r="N217" s="422"/>
      <c r="O217" s="422"/>
      <c r="P217" s="422"/>
      <c r="Q217" s="486"/>
      <c r="R217" s="486" t="s">
        <v>2443</v>
      </c>
      <c r="S217" s="486" t="s">
        <v>2444</v>
      </c>
      <c r="T217" s="486" t="s">
        <v>2379</v>
      </c>
      <c r="U217" s="486" t="s">
        <v>2178</v>
      </c>
      <c r="V217" s="491"/>
      <c r="W217" s="493"/>
      <c r="X217" s="486"/>
      <c r="Y217" s="442"/>
      <c r="Z217" s="491"/>
      <c r="AA217" s="524">
        <f>3.4*0.10049</f>
        <v>0.341666</v>
      </c>
      <c r="AB217" s="494">
        <f>1.1*0.10049</f>
        <v>0.110539</v>
      </c>
      <c r="AC217" s="436" t="str">
        <f>IF(ISNUMBER(VLOOKUP(B217,'New Masses'!A:C,3,FALSE)),VLOOKUP(B217,'New Masses'!A:C,3,FALSE),"")</f>
        <v/>
      </c>
      <c r="AD217" s="495"/>
      <c r="AE217" s="496">
        <f>5E-12</f>
        <v>0</v>
      </c>
      <c r="AF217" s="439">
        <f>log(AE217,10)</f>
        <v>-11.30103</v>
      </c>
      <c r="AG217" s="491"/>
      <c r="AH217" s="525">
        <f>25/1048</f>
        <v>0.02385496183</v>
      </c>
      <c r="AI217" s="491">
        <f>15/1048</f>
        <v>0.0143129771</v>
      </c>
      <c r="AJ217" s="446"/>
      <c r="AK217" s="491"/>
      <c r="AL217" s="500"/>
      <c r="AM217" s="436"/>
      <c r="AN217" s="438"/>
      <c r="AO217" s="497">
        <v>3.0</v>
      </c>
      <c r="AP217" s="486" t="s">
        <v>156</v>
      </c>
      <c r="AQ217" s="454">
        <v>1.6</v>
      </c>
      <c r="AR217" s="438"/>
      <c r="AS217" s="419" t="s">
        <v>2440</v>
      </c>
      <c r="AT217" s="448"/>
      <c r="AU217" s="452"/>
      <c r="AV217" s="438"/>
      <c r="AW217" s="438"/>
      <c r="AX217" s="450"/>
    </row>
    <row r="218">
      <c r="A218" s="419" t="s">
        <v>2437</v>
      </c>
      <c r="B218" s="419" t="s">
        <v>313</v>
      </c>
      <c r="C218" s="438"/>
      <c r="D218" s="420" t="s">
        <v>314</v>
      </c>
      <c r="E218" s="420"/>
      <c r="F218" s="420" t="s">
        <v>2438</v>
      </c>
      <c r="G218" s="420" t="s">
        <v>189</v>
      </c>
      <c r="H218" s="420" t="s">
        <v>291</v>
      </c>
      <c r="I218" s="516">
        <v>40951.0</v>
      </c>
      <c r="J218" s="436">
        <v>2400.0</v>
      </c>
      <c r="K218" s="436"/>
      <c r="L218" s="420" t="s">
        <v>621</v>
      </c>
      <c r="M218" s="429"/>
      <c r="N218" s="422"/>
      <c r="O218" s="422"/>
      <c r="P218" s="422"/>
      <c r="Q218" s="420" t="s">
        <v>2439</v>
      </c>
      <c r="R218" s="420" t="s">
        <v>2176</v>
      </c>
      <c r="S218" s="420" t="s">
        <v>292</v>
      </c>
      <c r="T218" s="420" t="s">
        <v>293</v>
      </c>
      <c r="U218" s="420" t="s">
        <v>294</v>
      </c>
      <c r="V218" s="440">
        <v>1.3E-16</v>
      </c>
      <c r="W218" s="468"/>
      <c r="X218" s="436"/>
      <c r="Y218" s="442" t="str">
        <f t="shared" ref="Y218:Y222" si="53">IF((W218/((J218/5780)^4))^0.5&gt;0,(W218/((J218/5780)^4))^0.5,"")</f>
        <v/>
      </c>
      <c r="Z218" s="469"/>
      <c r="AA218" s="470">
        <f>0.10049*4.6</f>
        <v>0.462254</v>
      </c>
      <c r="AB218" s="470">
        <f>1.4*0.10049</f>
        <v>0.140686</v>
      </c>
      <c r="AC218" s="436" t="str">
        <f>IF(ISNUMBER(VLOOKUP(B218,'New Masses'!A:C,3,FALSE)),VLOOKUP(B218,'New Masses'!A:C,3,FALSE),"")</f>
        <v/>
      </c>
      <c r="AD218" s="451"/>
      <c r="AE218" s="451">
        <f>10^(AF218)</f>
        <v>0.0000000005011872336</v>
      </c>
      <c r="AF218" s="439">
        <v>-9.3</v>
      </c>
      <c r="AG218" s="438"/>
      <c r="AH218" s="459">
        <f>0.0009543*31</f>
        <v>0.0295833</v>
      </c>
      <c r="AI218" s="436">
        <f>10/1048</f>
        <v>0.009541984733</v>
      </c>
      <c r="AJ218" s="446" t="str">
        <f>IF(ISNUMBER(VLOOKUP(B218,'New Masses'!A:C,2, FALSE)),VLOOKUP(B218,'New Masses'!A:C,2, FALSE),"")</f>
        <v/>
      </c>
      <c r="AK218" s="438"/>
      <c r="AL218" s="438"/>
      <c r="AM218" s="436">
        <v>-2.9</v>
      </c>
      <c r="AN218" s="466">
        <v>43900.0</v>
      </c>
      <c r="AO218" s="419">
        <v>3.0</v>
      </c>
      <c r="AP218" s="421" t="s">
        <v>156</v>
      </c>
      <c r="AQ218" s="517">
        <v>1.6</v>
      </c>
      <c r="AR218" s="518"/>
      <c r="AS218" s="519" t="s">
        <v>2440</v>
      </c>
      <c r="AT218" s="448"/>
      <c r="AU218" s="452"/>
      <c r="AV218" s="420" t="s">
        <v>2441</v>
      </c>
      <c r="AW218" s="526" t="s">
        <v>2445</v>
      </c>
      <c r="AX218" s="515">
        <v>155.0</v>
      </c>
    </row>
    <row r="219">
      <c r="A219" s="436" t="s">
        <v>627</v>
      </c>
      <c r="B219" s="436" t="s">
        <v>627</v>
      </c>
      <c r="C219" s="438"/>
      <c r="D219" s="420" t="s">
        <v>268</v>
      </c>
      <c r="E219" s="420"/>
      <c r="F219" s="420" t="s">
        <v>2446</v>
      </c>
      <c r="G219" s="420" t="s">
        <v>159</v>
      </c>
      <c r="H219" s="420" t="s">
        <v>598</v>
      </c>
      <c r="I219" s="467">
        <v>37985.0</v>
      </c>
      <c r="J219" s="436">
        <v>2710.0</v>
      </c>
      <c r="K219" s="436"/>
      <c r="L219" s="420" t="s">
        <v>318</v>
      </c>
      <c r="M219" s="429"/>
      <c r="N219" s="422">
        <v>13.53</v>
      </c>
      <c r="O219" s="422">
        <v>12.446</v>
      </c>
      <c r="P219" s="422"/>
      <c r="Q219" s="420" t="s">
        <v>2194</v>
      </c>
      <c r="R219" s="420" t="s">
        <v>2195</v>
      </c>
      <c r="S219" s="420" t="s">
        <v>2196</v>
      </c>
      <c r="T219" s="420" t="s">
        <v>596</v>
      </c>
      <c r="U219" s="420" t="s">
        <v>597</v>
      </c>
      <c r="V219" s="440"/>
      <c r="W219" s="468"/>
      <c r="X219" s="436"/>
      <c r="Y219" s="442" t="str">
        <f t="shared" si="53"/>
        <v/>
      </c>
      <c r="Z219" s="469"/>
      <c r="AA219" s="470">
        <v>0.48</v>
      </c>
      <c r="AB219" s="470"/>
      <c r="AC219" s="469">
        <f>IF(ISNUMBER(VLOOKUP(B219,'New Masses'!A:C,3,FALSE)),VLOOKUP(B219,'New Masses'!A:C,3,FALSE),"")</f>
        <v>0.350018</v>
      </c>
      <c r="AD219" s="440"/>
      <c r="AE219" s="440">
        <f t="shared" ref="AE219:AE221" si="54">10^AF219</f>
        <v>0</v>
      </c>
      <c r="AF219" s="439">
        <v>-12.0</v>
      </c>
      <c r="AG219" s="438"/>
      <c r="AH219" s="459">
        <v>0.03</v>
      </c>
      <c r="AI219" s="436"/>
      <c r="AJ219" s="446">
        <f>IF(ISNUMBER(VLOOKUP(B219,'New Masses'!A:C,2, FALSE)),VLOOKUP(B219,'New Masses'!A:C,2, FALSE),"")</f>
        <v>0.025752</v>
      </c>
      <c r="AK219" s="436"/>
      <c r="AL219" s="438"/>
      <c r="AM219" s="438"/>
      <c r="AN219" s="438"/>
      <c r="AO219" s="436">
        <v>2.0</v>
      </c>
      <c r="AP219" s="438"/>
      <c r="AQ219" s="436">
        <v>0.0</v>
      </c>
      <c r="AR219" s="420"/>
      <c r="AS219" s="420" t="s">
        <v>628</v>
      </c>
      <c r="AT219" s="448"/>
      <c r="AU219" s="452" t="s">
        <v>137</v>
      </c>
      <c r="AV219" s="420" t="s">
        <v>629</v>
      </c>
      <c r="AW219" s="438"/>
      <c r="AX219" s="450">
        <v>190.16106642326</v>
      </c>
    </row>
    <row r="220">
      <c r="A220" s="436" t="s">
        <v>666</v>
      </c>
      <c r="B220" s="436" t="s">
        <v>666</v>
      </c>
      <c r="C220" s="438"/>
      <c r="D220" s="420" t="s">
        <v>268</v>
      </c>
      <c r="E220" s="420"/>
      <c r="F220" s="420" t="s">
        <v>2447</v>
      </c>
      <c r="G220" s="420" t="s">
        <v>169</v>
      </c>
      <c r="H220" s="420" t="s">
        <v>598</v>
      </c>
      <c r="I220" s="467">
        <v>37985.0</v>
      </c>
      <c r="J220" s="436">
        <v>2990.0</v>
      </c>
      <c r="K220" s="436"/>
      <c r="L220" s="420" t="s">
        <v>353</v>
      </c>
      <c r="M220" s="429"/>
      <c r="N220" s="422">
        <v>14.22</v>
      </c>
      <c r="O220" s="422">
        <v>13.067</v>
      </c>
      <c r="P220" s="422"/>
      <c r="Q220" s="420" t="s">
        <v>2194</v>
      </c>
      <c r="R220" s="420" t="s">
        <v>2195</v>
      </c>
      <c r="S220" s="420" t="s">
        <v>2196</v>
      </c>
      <c r="T220" s="420" t="s">
        <v>596</v>
      </c>
      <c r="U220" s="420" t="s">
        <v>597</v>
      </c>
      <c r="V220" s="440"/>
      <c r="W220" s="468"/>
      <c r="X220" s="436"/>
      <c r="Y220" s="442" t="str">
        <f t="shared" si="53"/>
        <v/>
      </c>
      <c r="Z220" s="469"/>
      <c r="AA220" s="470">
        <v>0.39</v>
      </c>
      <c r="AB220" s="470"/>
      <c r="AC220" s="469">
        <f>IF(ISNUMBER(VLOOKUP(B220,'New Masses'!A:C,3,FALSE)),VLOOKUP(B220,'New Masses'!A:C,3,FALSE),"")</f>
        <v>0.637798</v>
      </c>
      <c r="AD220" s="440"/>
      <c r="AE220" s="440">
        <f t="shared" si="54"/>
        <v>0.0000000001</v>
      </c>
      <c r="AF220" s="439">
        <v>-10.0</v>
      </c>
      <c r="AG220" s="438"/>
      <c r="AH220" s="459">
        <v>0.07</v>
      </c>
      <c r="AI220" s="436"/>
      <c r="AJ220" s="446">
        <f>IF(ISNUMBER(VLOOKUP(B220,'New Masses'!A:C,2, FALSE)),VLOOKUP(B220,'New Masses'!A:C,2, FALSE),"")</f>
        <v>0.057198</v>
      </c>
      <c r="AK220" s="436"/>
      <c r="AL220" s="438"/>
      <c r="AM220" s="438"/>
      <c r="AN220" s="438"/>
      <c r="AO220" s="436">
        <v>2.0</v>
      </c>
      <c r="AP220" s="438"/>
      <c r="AQ220" s="436">
        <v>1.6</v>
      </c>
      <c r="AR220" s="438"/>
      <c r="AS220" s="420" t="s">
        <v>628</v>
      </c>
      <c r="AT220" s="448"/>
      <c r="AU220" s="449"/>
      <c r="AV220" s="420" t="s">
        <v>629</v>
      </c>
      <c r="AW220" s="438"/>
      <c r="AX220" s="450">
        <v>187.136253906469</v>
      </c>
    </row>
    <row r="221">
      <c r="A221" s="419" t="s">
        <v>1520</v>
      </c>
      <c r="B221" s="419" t="s">
        <v>1520</v>
      </c>
      <c r="C221" s="436"/>
      <c r="D221" s="436" t="s">
        <v>199</v>
      </c>
      <c r="E221" s="436"/>
      <c r="F221" s="436" t="s">
        <v>2448</v>
      </c>
      <c r="G221" s="436" t="s">
        <v>169</v>
      </c>
      <c r="H221" s="436" t="s">
        <v>1479</v>
      </c>
      <c r="I221" s="436" t="s">
        <v>2427</v>
      </c>
      <c r="J221" s="436">
        <v>4060.0</v>
      </c>
      <c r="K221" s="436"/>
      <c r="L221" s="436" t="s">
        <v>434</v>
      </c>
      <c r="M221" s="439"/>
      <c r="N221" s="422">
        <v>9.48</v>
      </c>
      <c r="O221" s="422">
        <v>7.793</v>
      </c>
      <c r="P221" s="422"/>
      <c r="Q221" s="436" t="s">
        <v>2428</v>
      </c>
      <c r="R221" s="436" t="s">
        <v>2429</v>
      </c>
      <c r="S221" s="436" t="s">
        <v>2430</v>
      </c>
      <c r="T221" s="419" t="s">
        <v>162</v>
      </c>
      <c r="U221" s="436" t="s">
        <v>2431</v>
      </c>
      <c r="V221" s="451">
        <v>1.4457E29</v>
      </c>
      <c r="W221" s="474">
        <v>0.84</v>
      </c>
      <c r="X221" s="436"/>
      <c r="Y221" s="442">
        <f t="shared" si="53"/>
        <v>1.85756172</v>
      </c>
      <c r="Z221" s="469"/>
      <c r="AA221" s="470"/>
      <c r="AB221" s="470"/>
      <c r="AC221" s="436" t="str">
        <f>IF(ISNUMBER(VLOOKUP(B221,'New Masses'!A:C,3,FALSE)),VLOOKUP(B221,'New Masses'!A:C,3,FALSE),"")</f>
        <v/>
      </c>
      <c r="AD221" s="440"/>
      <c r="AE221" s="440">
        <f t="shared" si="54"/>
        <v>0.00000002089296131</v>
      </c>
      <c r="AF221" s="439">
        <v>-7.68</v>
      </c>
      <c r="AG221" s="438"/>
      <c r="AH221" s="459">
        <v>0.77</v>
      </c>
      <c r="AI221" s="436"/>
      <c r="AJ221" s="446" t="str">
        <f>IF(ISNUMBER(VLOOKUP(B221,'New Masses'!A:C,2, FALSE)),VLOOKUP(B221,'New Masses'!A:C,2, FALSE),"")</f>
        <v/>
      </c>
      <c r="AK221" s="438"/>
      <c r="AL221" s="436"/>
      <c r="AM221" s="436">
        <v>-0.66</v>
      </c>
      <c r="AN221" s="438"/>
      <c r="AO221" s="436">
        <v>1.0</v>
      </c>
      <c r="AP221" s="438"/>
      <c r="AQ221" s="438"/>
      <c r="AR221" s="438"/>
      <c r="AS221" s="438"/>
      <c r="AT221" s="448"/>
      <c r="AU221" s="452"/>
      <c r="AV221" s="438"/>
      <c r="AW221" s="438"/>
      <c r="AX221" s="450">
        <v>158.71000507872</v>
      </c>
    </row>
    <row r="222">
      <c r="A222" s="436" t="s">
        <v>2449</v>
      </c>
      <c r="B222" s="436" t="s">
        <v>2449</v>
      </c>
      <c r="C222" s="436"/>
      <c r="D222" s="436" t="s">
        <v>2425</v>
      </c>
      <c r="E222" s="436"/>
      <c r="F222" s="436" t="s">
        <v>2450</v>
      </c>
      <c r="G222" s="436" t="s">
        <v>169</v>
      </c>
      <c r="H222" s="436" t="s">
        <v>1479</v>
      </c>
      <c r="I222" s="436" t="s">
        <v>2427</v>
      </c>
      <c r="J222" s="436">
        <v>4730.0</v>
      </c>
      <c r="K222" s="436"/>
      <c r="L222" s="436" t="s">
        <v>1471</v>
      </c>
      <c r="M222" s="439"/>
      <c r="N222" s="422">
        <v>13.072</v>
      </c>
      <c r="O222" s="422">
        <v>9.859</v>
      </c>
      <c r="P222" s="422"/>
      <c r="Q222" s="436" t="s">
        <v>2428</v>
      </c>
      <c r="R222" s="436" t="s">
        <v>2429</v>
      </c>
      <c r="S222" s="436" t="s">
        <v>2430</v>
      </c>
      <c r="T222" s="419" t="s">
        <v>162</v>
      </c>
      <c r="U222" s="436" t="s">
        <v>2431</v>
      </c>
      <c r="V222" s="451">
        <v>3.0908E29</v>
      </c>
      <c r="W222" s="468"/>
      <c r="X222" s="436"/>
      <c r="Y222" s="442" t="str">
        <f t="shared" si="53"/>
        <v/>
      </c>
      <c r="Z222" s="469"/>
      <c r="AA222" s="470"/>
      <c r="AB222" s="470"/>
      <c r="AC222" s="436" t="str">
        <f>IF(ISNUMBER(VLOOKUP(B222,'New Masses'!A:C,3,FALSE)),VLOOKUP(B222,'New Masses'!A:C,3,FALSE),"")</f>
        <v/>
      </c>
      <c r="AD222" s="440"/>
      <c r="AE222" s="440"/>
      <c r="AF222" s="439"/>
      <c r="AG222" s="438"/>
      <c r="AH222" s="459"/>
      <c r="AI222" s="436"/>
      <c r="AJ222" s="446" t="str">
        <f>IF(ISNUMBER(VLOOKUP(B222,'New Masses'!A:C,2, FALSE)),VLOOKUP(B222,'New Masses'!A:C,2, FALSE),"")</f>
        <v/>
      </c>
      <c r="AK222" s="438"/>
      <c r="AL222" s="436"/>
      <c r="AM222" s="436">
        <v>0.37</v>
      </c>
      <c r="AN222" s="438"/>
      <c r="AO222" s="436">
        <v>1.0</v>
      </c>
      <c r="AP222" s="438"/>
      <c r="AQ222" s="438"/>
      <c r="AR222" s="438"/>
      <c r="AS222" s="438"/>
      <c r="AT222" s="448"/>
      <c r="AU222" s="452" t="s">
        <v>137</v>
      </c>
      <c r="AV222" s="438"/>
      <c r="AW222" s="438"/>
      <c r="AX222" s="450">
        <v>413.018338014207</v>
      </c>
    </row>
    <row r="223">
      <c r="A223" s="419" t="s">
        <v>285</v>
      </c>
      <c r="B223" s="419" t="s">
        <v>285</v>
      </c>
      <c r="C223" s="436"/>
      <c r="D223" s="436" t="s">
        <v>2227</v>
      </c>
      <c r="E223" s="436"/>
      <c r="F223" s="436" t="s">
        <v>2451</v>
      </c>
      <c r="G223" s="436" t="s">
        <v>169</v>
      </c>
      <c r="H223" s="436" t="s">
        <v>248</v>
      </c>
      <c r="I223" s="436" t="s">
        <v>2231</v>
      </c>
      <c r="J223" s="436"/>
      <c r="K223" s="436"/>
      <c r="L223" s="436" t="s">
        <v>283</v>
      </c>
      <c r="M223" s="439"/>
      <c r="N223" s="422">
        <v>13.25</v>
      </c>
      <c r="O223" s="422">
        <v>11.826</v>
      </c>
      <c r="P223" s="422">
        <v>17.71</v>
      </c>
      <c r="Q223" s="436" t="s">
        <v>2232</v>
      </c>
      <c r="R223" s="436" t="s">
        <v>2452</v>
      </c>
      <c r="S223" s="436" t="s">
        <v>2234</v>
      </c>
      <c r="T223" s="436" t="s">
        <v>596</v>
      </c>
      <c r="U223" s="436" t="s">
        <v>597</v>
      </c>
      <c r="V223" s="451"/>
      <c r="W223" s="468">
        <v>0.10471285480508996</v>
      </c>
      <c r="X223" s="436"/>
      <c r="Y223" s="442"/>
      <c r="Z223" s="469"/>
      <c r="AA223" s="470">
        <v>1.0</v>
      </c>
      <c r="AB223" s="470"/>
      <c r="AC223" s="436" t="str">
        <f>IF(ISNUMBER(VLOOKUP(B223,'New Masses'!A:C,3,FALSE)),VLOOKUP(B223,'New Masses'!A:C,3,FALSE),"")</f>
        <v/>
      </c>
      <c r="AD223" s="451"/>
      <c r="AE223" s="451">
        <f>10^(AF223)</f>
        <v>0.0000000001</v>
      </c>
      <c r="AF223" s="439">
        <v>-10.0</v>
      </c>
      <c r="AG223" s="436">
        <v>0.12</v>
      </c>
      <c r="AH223" s="459">
        <v>0.12</v>
      </c>
      <c r="AI223" s="436"/>
      <c r="AJ223" s="446" t="str">
        <f>IF(ISNUMBER(VLOOKUP(B223,'New Masses'!A:C,2, FALSE)),VLOOKUP(B223,'New Masses'!A:C,2, FALSE),"")</f>
        <v/>
      </c>
      <c r="AK223" s="436">
        <f>LOG10(AH223)</f>
        <v>-0.920818754</v>
      </c>
      <c r="AL223" s="460">
        <f>(6.67*10^(-11))*((2*10^(33))^2)*AE223*AH223/(3*10^7*AA223*7*10^10)</f>
        <v>1.52457E+27</v>
      </c>
      <c r="AM223" s="451">
        <f>LOG10(AL223/(4*10^33))</f>
        <v>-6.418912215</v>
      </c>
      <c r="AN223" s="438"/>
      <c r="AO223" s="436">
        <v>0.44</v>
      </c>
      <c r="AP223" s="438"/>
      <c r="AQ223" s="454">
        <v>2.41</v>
      </c>
      <c r="AR223" s="436"/>
      <c r="AS223" s="421" t="s">
        <v>2453</v>
      </c>
      <c r="AT223" s="448"/>
      <c r="AU223" s="449"/>
      <c r="AV223" s="438" t="s">
        <v>644</v>
      </c>
      <c r="AW223" s="438"/>
      <c r="AX223" s="450">
        <v>321.32643552585</v>
      </c>
    </row>
    <row r="224">
      <c r="A224" s="419" t="s">
        <v>285</v>
      </c>
      <c r="B224" s="419" t="s">
        <v>285</v>
      </c>
      <c r="C224" s="419"/>
      <c r="D224" s="436" t="s">
        <v>2227</v>
      </c>
      <c r="E224" s="436"/>
      <c r="F224" s="436" t="s">
        <v>2451</v>
      </c>
      <c r="G224" s="436" t="s">
        <v>169</v>
      </c>
      <c r="H224" s="420" t="s">
        <v>201</v>
      </c>
      <c r="I224" s="438" t="s">
        <v>2207</v>
      </c>
      <c r="J224" s="436">
        <v>3100.0</v>
      </c>
      <c r="K224" s="438"/>
      <c r="L224" s="420" t="s">
        <v>283</v>
      </c>
      <c r="M224" s="429"/>
      <c r="N224" s="422">
        <v>13.25</v>
      </c>
      <c r="O224" s="422">
        <v>11.826</v>
      </c>
      <c r="P224" s="422">
        <v>17.71</v>
      </c>
      <c r="Q224" s="438" t="s">
        <v>2208</v>
      </c>
      <c r="R224" s="438" t="s">
        <v>2209</v>
      </c>
      <c r="S224" s="438" t="s">
        <v>2229</v>
      </c>
      <c r="T224" s="454" t="s">
        <v>162</v>
      </c>
      <c r="U224" s="438" t="s">
        <v>2210</v>
      </c>
      <c r="V224" s="451">
        <v>5.6</v>
      </c>
      <c r="W224" s="458"/>
      <c r="X224" s="438"/>
      <c r="Y224" s="442" t="str">
        <f t="shared" ref="Y224:Y227" si="55">IF((W224/((J224/5780)^4))^0.5&gt;0,(W224/((J224/5780)^4))^0.5,"")</f>
        <v/>
      </c>
      <c r="Z224" s="442"/>
      <c r="AA224" s="443"/>
      <c r="AB224" s="443"/>
      <c r="AC224" s="436" t="str">
        <f>IF(ISNUMBER(VLOOKUP(B224,'New Masses'!A:C,3,FALSE)),VLOOKUP(B224,'New Masses'!A:C,3,FALSE),"")</f>
        <v/>
      </c>
      <c r="AD224" s="423"/>
      <c r="AE224" s="423">
        <f t="shared" ref="AE224:AE227" si="56">10^AF224</f>
        <v>0.000000000316227766</v>
      </c>
      <c r="AF224" s="439">
        <v>-9.5</v>
      </c>
      <c r="AG224" s="438"/>
      <c r="AH224" s="459">
        <v>0.14</v>
      </c>
      <c r="AI224" s="438"/>
      <c r="AJ224" s="446" t="str">
        <f>IF(ISNUMBER(VLOOKUP(B224,'New Masses'!A:C,2, FALSE)),VLOOKUP(B224,'New Masses'!A:C,2, FALSE),"")</f>
        <v/>
      </c>
      <c r="AK224" s="438"/>
      <c r="AL224" s="438"/>
      <c r="AM224" s="451"/>
      <c r="AN224" s="438"/>
      <c r="AO224" s="436">
        <v>1.0</v>
      </c>
      <c r="AP224" s="438"/>
      <c r="AQ224" s="438"/>
      <c r="AR224" s="436"/>
      <c r="AS224" s="438"/>
      <c r="AT224" s="448"/>
      <c r="AU224" s="449"/>
      <c r="AV224" s="438" t="s">
        <v>250</v>
      </c>
      <c r="AW224" s="438"/>
      <c r="AX224" s="450">
        <v>321.32643552585</v>
      </c>
    </row>
    <row r="225">
      <c r="A225" s="419" t="s">
        <v>285</v>
      </c>
      <c r="B225" s="419" t="s">
        <v>285</v>
      </c>
      <c r="C225" s="419"/>
      <c r="D225" s="436" t="s">
        <v>2227</v>
      </c>
      <c r="E225" s="436"/>
      <c r="F225" s="436" t="s">
        <v>2451</v>
      </c>
      <c r="G225" s="436" t="s">
        <v>169</v>
      </c>
      <c r="H225" s="420" t="s">
        <v>201</v>
      </c>
      <c r="I225" s="438" t="s">
        <v>2207</v>
      </c>
      <c r="J225" s="436">
        <v>3100.0</v>
      </c>
      <c r="K225" s="438"/>
      <c r="L225" s="420" t="s">
        <v>283</v>
      </c>
      <c r="M225" s="429"/>
      <c r="N225" s="422">
        <v>13.25</v>
      </c>
      <c r="O225" s="422">
        <v>11.826</v>
      </c>
      <c r="P225" s="422">
        <v>17.71</v>
      </c>
      <c r="Q225" s="438" t="s">
        <v>2208</v>
      </c>
      <c r="R225" s="438" t="s">
        <v>2209</v>
      </c>
      <c r="S225" s="438" t="s">
        <v>2229</v>
      </c>
      <c r="T225" s="454" t="s">
        <v>162</v>
      </c>
      <c r="U225" s="438" t="s">
        <v>2210</v>
      </c>
      <c r="V225" s="451">
        <v>5.6</v>
      </c>
      <c r="W225" s="458"/>
      <c r="X225" s="438"/>
      <c r="Y225" s="442" t="str">
        <f t="shared" si="55"/>
        <v/>
      </c>
      <c r="Z225" s="442"/>
      <c r="AA225" s="443"/>
      <c r="AB225" s="443"/>
      <c r="AC225" s="436" t="str">
        <f>IF(ISNUMBER(VLOOKUP(B225,'New Masses'!A:C,3,FALSE)),VLOOKUP(B225,'New Masses'!A:C,3,FALSE),"")</f>
        <v/>
      </c>
      <c r="AD225" s="423"/>
      <c r="AE225" s="423">
        <f t="shared" si="56"/>
        <v>0.0000000001258925412</v>
      </c>
      <c r="AF225" s="444">
        <v>-9.9</v>
      </c>
      <c r="AG225" s="438"/>
      <c r="AH225" s="459">
        <v>0.14</v>
      </c>
      <c r="AI225" s="438"/>
      <c r="AJ225" s="446" t="str">
        <f>IF(ISNUMBER(VLOOKUP(B225,'New Masses'!A:C,2, FALSE)),VLOOKUP(B225,'New Masses'!A:C,2, FALSE),"")</f>
        <v/>
      </c>
      <c r="AK225" s="438"/>
      <c r="AL225" s="438"/>
      <c r="AM225" s="451"/>
      <c r="AN225" s="438"/>
      <c r="AO225" s="436">
        <v>1.0</v>
      </c>
      <c r="AP225" s="438"/>
      <c r="AQ225" s="438"/>
      <c r="AR225" s="436"/>
      <c r="AS225" s="438"/>
      <c r="AT225" s="448"/>
      <c r="AU225" s="452"/>
      <c r="AV225" s="438" t="s">
        <v>249</v>
      </c>
      <c r="AW225" s="438"/>
      <c r="AX225" s="450">
        <v>321.32643552585</v>
      </c>
    </row>
    <row r="226">
      <c r="A226" s="419" t="s">
        <v>233</v>
      </c>
      <c r="B226" s="436" t="s">
        <v>234</v>
      </c>
      <c r="C226" s="420"/>
      <c r="D226" s="420" t="s">
        <v>2227</v>
      </c>
      <c r="E226" s="420"/>
      <c r="F226" s="420" t="s">
        <v>2454</v>
      </c>
      <c r="G226" s="420" t="s">
        <v>189</v>
      </c>
      <c r="H226" s="420" t="s">
        <v>201</v>
      </c>
      <c r="I226" s="420" t="s">
        <v>2207</v>
      </c>
      <c r="J226" s="436">
        <v>2850.0</v>
      </c>
      <c r="K226" s="438"/>
      <c r="L226" s="420" t="s">
        <v>237</v>
      </c>
      <c r="M226" s="429"/>
      <c r="N226" s="422">
        <v>14.02</v>
      </c>
      <c r="O226" s="422"/>
      <c r="P226" s="422">
        <v>19.47</v>
      </c>
      <c r="Q226" s="420" t="s">
        <v>2208</v>
      </c>
      <c r="R226" s="438" t="s">
        <v>2209</v>
      </c>
      <c r="S226" s="420" t="s">
        <v>2229</v>
      </c>
      <c r="T226" s="454" t="s">
        <v>162</v>
      </c>
      <c r="U226" s="420" t="s">
        <v>2210</v>
      </c>
      <c r="V226" s="438">
        <v>4.36</v>
      </c>
      <c r="W226" s="458"/>
      <c r="X226" s="438"/>
      <c r="Y226" s="442" t="str">
        <f t="shared" si="55"/>
        <v/>
      </c>
      <c r="Z226" s="442"/>
      <c r="AA226" s="443"/>
      <c r="AB226" s="443"/>
      <c r="AC226" s="469">
        <f>IF(ISNUMBER(VLOOKUP(B226,'New Masses'!A:C,3,FALSE)),VLOOKUP(B226,'New Masses'!A:C,3,FALSE),"")</f>
        <v>0.502954</v>
      </c>
      <c r="AD226" s="423"/>
      <c r="AE226" s="423">
        <f t="shared" si="56"/>
        <v>0</v>
      </c>
      <c r="AF226" s="429">
        <v>-10.8</v>
      </c>
      <c r="AG226" s="438"/>
      <c r="AH226" s="459">
        <v>0.05</v>
      </c>
      <c r="AI226" s="438"/>
      <c r="AJ226" s="446" t="str">
        <f>IF(ISNUMBER(VLOOKUP(A226,'New Masses'!A:C,2, FALSE)),VLOOKUP(A226,'New Masses'!A:C,2, FALSE),"")</f>
        <v/>
      </c>
      <c r="AK226" s="438"/>
      <c r="AL226" s="438"/>
      <c r="AM226" s="438"/>
      <c r="AN226" s="438"/>
      <c r="AO226" s="436">
        <v>1.0</v>
      </c>
      <c r="AP226" s="438"/>
      <c r="AQ226" s="436">
        <v>1.06</v>
      </c>
      <c r="AR226" s="420"/>
      <c r="AS226" s="420" t="s">
        <v>2455</v>
      </c>
      <c r="AT226" s="448"/>
      <c r="AU226" s="449"/>
      <c r="AV226" s="420" t="s">
        <v>229</v>
      </c>
      <c r="AW226" s="438"/>
      <c r="AX226" s="450">
        <v>234.94032515741</v>
      </c>
    </row>
    <row r="227">
      <c r="A227" s="419" t="s">
        <v>233</v>
      </c>
      <c r="B227" s="436" t="s">
        <v>234</v>
      </c>
      <c r="C227" s="420"/>
      <c r="D227" s="420" t="s">
        <v>2227</v>
      </c>
      <c r="E227" s="420"/>
      <c r="F227" s="420" t="s">
        <v>2454</v>
      </c>
      <c r="G227" s="420" t="s">
        <v>189</v>
      </c>
      <c r="H227" s="420" t="s">
        <v>201</v>
      </c>
      <c r="I227" s="420" t="s">
        <v>2207</v>
      </c>
      <c r="J227" s="436">
        <v>2850.0</v>
      </c>
      <c r="K227" s="438"/>
      <c r="L227" s="420" t="s">
        <v>237</v>
      </c>
      <c r="M227" s="429"/>
      <c r="N227" s="422">
        <v>14.02</v>
      </c>
      <c r="O227" s="422"/>
      <c r="P227" s="422">
        <v>19.47</v>
      </c>
      <c r="Q227" s="420" t="s">
        <v>2208</v>
      </c>
      <c r="R227" s="438" t="s">
        <v>2209</v>
      </c>
      <c r="S227" s="420" t="s">
        <v>2229</v>
      </c>
      <c r="T227" s="454" t="s">
        <v>162</v>
      </c>
      <c r="U227" s="420" t="s">
        <v>2210</v>
      </c>
      <c r="V227" s="438">
        <v>4.36</v>
      </c>
      <c r="W227" s="458"/>
      <c r="X227" s="438"/>
      <c r="Y227" s="442" t="str">
        <f t="shared" si="55"/>
        <v/>
      </c>
      <c r="Z227" s="442"/>
      <c r="AA227" s="443"/>
      <c r="AB227" s="443"/>
      <c r="AC227" s="469">
        <f>IF(ISNUMBER(VLOOKUP(B227,'New Masses'!A:C,3,FALSE)),VLOOKUP(B227,'New Masses'!A:C,3,FALSE),"")</f>
        <v>0.502954</v>
      </c>
      <c r="AD227" s="423"/>
      <c r="AE227" s="423">
        <f t="shared" si="56"/>
        <v>0</v>
      </c>
      <c r="AF227" s="453">
        <v>-11.0</v>
      </c>
      <c r="AG227" s="438"/>
      <c r="AH227" s="459">
        <v>0.05</v>
      </c>
      <c r="AI227" s="438"/>
      <c r="AJ227" s="446" t="str">
        <f>IF(ISNUMBER(VLOOKUP(A227,'New Masses'!A:C,2, FALSE)),VLOOKUP(A227,'New Masses'!A:C,2, FALSE),"")</f>
        <v/>
      </c>
      <c r="AK227" s="438"/>
      <c r="AL227" s="438"/>
      <c r="AM227" s="438"/>
      <c r="AN227" s="438"/>
      <c r="AO227" s="436">
        <v>1.0</v>
      </c>
      <c r="AP227" s="438"/>
      <c r="AQ227" s="436">
        <v>1.06</v>
      </c>
      <c r="AR227" s="420"/>
      <c r="AS227" s="420" t="s">
        <v>2455</v>
      </c>
      <c r="AT227" s="448"/>
      <c r="AU227" s="452"/>
      <c r="AV227" s="420" t="s">
        <v>228</v>
      </c>
      <c r="AW227" s="438"/>
      <c r="AX227" s="450">
        <v>234.94032515741</v>
      </c>
    </row>
    <row r="228">
      <c r="A228" s="419" t="s">
        <v>696</v>
      </c>
      <c r="B228" s="419" t="s">
        <v>696</v>
      </c>
      <c r="C228" s="436"/>
      <c r="D228" s="436" t="s">
        <v>2227</v>
      </c>
      <c r="E228" s="436"/>
      <c r="F228" s="436" t="s">
        <v>2456</v>
      </c>
      <c r="G228" s="436" t="s">
        <v>169</v>
      </c>
      <c r="H228" s="436" t="s">
        <v>248</v>
      </c>
      <c r="I228" s="436" t="s">
        <v>2231</v>
      </c>
      <c r="J228" s="436"/>
      <c r="K228" s="436"/>
      <c r="L228" s="436" t="s">
        <v>264</v>
      </c>
      <c r="M228" s="439"/>
      <c r="N228" s="422">
        <v>14.884</v>
      </c>
      <c r="O228" s="422">
        <v>13.48</v>
      </c>
      <c r="P228" s="422">
        <v>20.68</v>
      </c>
      <c r="Q228" s="436" t="s">
        <v>2232</v>
      </c>
      <c r="R228" s="436" t="s">
        <v>2457</v>
      </c>
      <c r="S228" s="436" t="s">
        <v>2234</v>
      </c>
      <c r="T228" s="436" t="s">
        <v>596</v>
      </c>
      <c r="U228" s="436" t="s">
        <v>597</v>
      </c>
      <c r="V228" s="451"/>
      <c r="W228" s="468">
        <v>0.039810717055349734</v>
      </c>
      <c r="X228" s="436"/>
      <c r="Y228" s="442"/>
      <c r="Z228" s="469"/>
      <c r="AA228" s="470">
        <v>1.0</v>
      </c>
      <c r="AB228" s="470"/>
      <c r="AC228" s="436" t="str">
        <f>IF(ISNUMBER(VLOOKUP(B228,'New Masses'!A:C,3,FALSE)),VLOOKUP(B228,'New Masses'!A:C,3,FALSE),"")</f>
        <v/>
      </c>
      <c r="AD228" s="451"/>
      <c r="AE228" s="451">
        <f t="shared" ref="AE228:AE229" si="57">10^(AF228)</f>
        <v>0.0000000001</v>
      </c>
      <c r="AF228" s="439">
        <v>-10.0</v>
      </c>
      <c r="AG228" s="436">
        <v>0.1</v>
      </c>
      <c r="AH228" s="459">
        <v>0.1</v>
      </c>
      <c r="AI228" s="436"/>
      <c r="AJ228" s="446" t="str">
        <f>IF(ISNUMBER(VLOOKUP(B228,'New Masses'!A:C,2, FALSE)),VLOOKUP(B228,'New Masses'!A:C,2, FALSE),"")</f>
        <v/>
      </c>
      <c r="AK228" s="436">
        <f>LOG10(AH228)</f>
        <v>-1</v>
      </c>
      <c r="AL228" s="460">
        <f t="shared" ref="AL228:AL229" si="58">(6.67*10^(-11))*((2*10^(33))^2)*AE228*AH228/(3*10^7*AA228*7*10^10)</f>
        <v>1.27048E+27</v>
      </c>
      <c r="AM228" s="451">
        <f t="shared" ref="AM228:AM229" si="59">LOG10(AL228/(4*10^33))</f>
        <v>-6.498093461</v>
      </c>
      <c r="AN228" s="436"/>
      <c r="AO228" s="436">
        <v>2.6</v>
      </c>
      <c r="AP228" s="436"/>
      <c r="AQ228" s="419">
        <v>3.12</v>
      </c>
      <c r="AR228" s="436"/>
      <c r="AS228" s="438"/>
      <c r="AT228" s="448"/>
      <c r="AU228" s="452"/>
      <c r="AV228" s="438" t="s">
        <v>644</v>
      </c>
      <c r="AW228" s="438"/>
      <c r="AX228" s="450">
        <v>248.651067956336</v>
      </c>
    </row>
    <row r="229">
      <c r="A229" s="419" t="s">
        <v>263</v>
      </c>
      <c r="B229" s="419" t="s">
        <v>645</v>
      </c>
      <c r="C229" s="421"/>
      <c r="D229" s="420" t="s">
        <v>2227</v>
      </c>
      <c r="E229" s="420"/>
      <c r="F229" s="420" t="s">
        <v>2458</v>
      </c>
      <c r="G229" s="420" t="s">
        <v>169</v>
      </c>
      <c r="H229" s="420" t="s">
        <v>248</v>
      </c>
      <c r="I229" s="420" t="s">
        <v>2231</v>
      </c>
      <c r="J229" s="420"/>
      <c r="K229" s="420"/>
      <c r="L229" s="420" t="s">
        <v>217</v>
      </c>
      <c r="M229" s="429"/>
      <c r="N229" s="422">
        <v>15.53</v>
      </c>
      <c r="O229" s="422">
        <v>13.72</v>
      </c>
      <c r="P229" s="422"/>
      <c r="Q229" s="420" t="s">
        <v>2232</v>
      </c>
      <c r="R229" s="420" t="s">
        <v>2459</v>
      </c>
      <c r="S229" s="420" t="s">
        <v>2234</v>
      </c>
      <c r="T229" s="420" t="s">
        <v>596</v>
      </c>
      <c r="U229" s="420" t="s">
        <v>597</v>
      </c>
      <c r="V229" s="440"/>
      <c r="W229" s="468">
        <v>0.012302687708123818</v>
      </c>
      <c r="X229" s="436"/>
      <c r="Y229" s="442"/>
      <c r="Z229" s="469"/>
      <c r="AA229" s="470">
        <v>0.5</v>
      </c>
      <c r="AB229" s="426"/>
      <c r="AC229" s="436" t="str">
        <f>IF(ISNUMBER(VLOOKUP(B229,'New Masses'!A:C,3,FALSE)),VLOOKUP(B229,'New Masses'!A:C,3,FALSE),"")</f>
        <v/>
      </c>
      <c r="AD229" s="451"/>
      <c r="AE229" s="451">
        <f t="shared" si="57"/>
        <v>0</v>
      </c>
      <c r="AF229" s="439">
        <v>-10.3</v>
      </c>
      <c r="AG229" s="436">
        <v>0.04</v>
      </c>
      <c r="AH229" s="459">
        <v>0.04</v>
      </c>
      <c r="AI229" s="420"/>
      <c r="AJ229" s="446" t="str">
        <f>IF(ISNUMBER(VLOOKUP(A229,'New Masses'!A:C,2, FALSE)),VLOOKUP(A229,'New Masses'!A:C,2, FALSE),"")</f>
        <v/>
      </c>
      <c r="AK229" s="420"/>
      <c r="AL229" s="460">
        <f t="shared" si="58"/>
        <v>5.09397E+26</v>
      </c>
      <c r="AM229" s="451">
        <f t="shared" si="59"/>
        <v>-6.895003474</v>
      </c>
      <c r="AN229" s="438"/>
      <c r="AO229" s="436">
        <v>2.0</v>
      </c>
      <c r="AP229" s="438"/>
      <c r="AQ229" s="436">
        <v>5.1</v>
      </c>
      <c r="AR229" s="438"/>
      <c r="AS229" s="420" t="s">
        <v>2455</v>
      </c>
      <c r="AT229" s="448"/>
      <c r="AU229" s="449"/>
      <c r="AV229" s="420" t="s">
        <v>644</v>
      </c>
      <c r="AW229" s="454">
        <v>2.77</v>
      </c>
      <c r="AX229" s="450"/>
    </row>
    <row r="230">
      <c r="A230" s="419" t="s">
        <v>263</v>
      </c>
      <c r="B230" s="419" t="s">
        <v>263</v>
      </c>
      <c r="C230" s="420"/>
      <c r="D230" s="420" t="s">
        <v>2227</v>
      </c>
      <c r="E230" s="420"/>
      <c r="F230" s="420" t="s">
        <v>2458</v>
      </c>
      <c r="G230" s="420" t="s">
        <v>169</v>
      </c>
      <c r="H230" s="420" t="s">
        <v>201</v>
      </c>
      <c r="I230" s="438" t="s">
        <v>2207</v>
      </c>
      <c r="J230" s="436">
        <v>3050.0</v>
      </c>
      <c r="K230" s="438"/>
      <c r="L230" s="420" t="s">
        <v>264</v>
      </c>
      <c r="M230" s="429"/>
      <c r="N230" s="422">
        <v>15.53</v>
      </c>
      <c r="O230" s="422">
        <v>13.72</v>
      </c>
      <c r="P230" s="422"/>
      <c r="Q230" s="438" t="s">
        <v>2208</v>
      </c>
      <c r="R230" s="438" t="s">
        <v>2209</v>
      </c>
      <c r="S230" s="438" t="s">
        <v>2229</v>
      </c>
      <c r="T230" s="454" t="s">
        <v>162</v>
      </c>
      <c r="U230" s="438" t="s">
        <v>2210</v>
      </c>
      <c r="V230" s="451">
        <v>4.82</v>
      </c>
      <c r="W230" s="458"/>
      <c r="X230" s="438"/>
      <c r="Y230" s="442" t="str">
        <f t="shared" ref="Y230:Y231" si="60">IF((W230/((J230/5780)^4))^0.5&gt;0,(W230/((J230/5780)^4))^0.5,"")</f>
        <v/>
      </c>
      <c r="Z230" s="442"/>
      <c r="AA230" s="443"/>
      <c r="AB230" s="443"/>
      <c r="AC230" s="436" t="str">
        <f>IF(ISNUMBER(VLOOKUP(B230,'New Masses'!A:C,3,FALSE)),VLOOKUP(B230,'New Masses'!A:C,3,FALSE),"")</f>
        <v/>
      </c>
      <c r="AD230" s="423"/>
      <c r="AE230" s="423">
        <f t="shared" ref="AE230:AE231" si="61">10^AF230</f>
        <v>0</v>
      </c>
      <c r="AF230" s="439">
        <v>-10.3</v>
      </c>
      <c r="AG230" s="438"/>
      <c r="AH230" s="459">
        <v>0.11</v>
      </c>
      <c r="AI230" s="438"/>
      <c r="AJ230" s="446" t="str">
        <f>IF(ISNUMBER(VLOOKUP(B230,'New Masses'!A:C,2, FALSE)),VLOOKUP(B230,'New Masses'!A:C,2, FALSE),"")</f>
        <v/>
      </c>
      <c r="AK230" s="438"/>
      <c r="AL230" s="438"/>
      <c r="AM230" s="451"/>
      <c r="AN230" s="438"/>
      <c r="AO230" s="436">
        <v>1.0</v>
      </c>
      <c r="AP230" s="438"/>
      <c r="AQ230" s="454">
        <v>5.1</v>
      </c>
      <c r="AR230" s="438"/>
      <c r="AS230" s="454" t="s">
        <v>2460</v>
      </c>
      <c r="AT230" s="448"/>
      <c r="AU230" s="449"/>
      <c r="AV230" s="473" t="s">
        <v>250</v>
      </c>
      <c r="AW230" s="438"/>
      <c r="AX230" s="450"/>
    </row>
    <row r="231">
      <c r="A231" s="419" t="s">
        <v>263</v>
      </c>
      <c r="B231" s="419" t="s">
        <v>263</v>
      </c>
      <c r="C231" s="420"/>
      <c r="D231" s="420" t="s">
        <v>2227</v>
      </c>
      <c r="E231" s="420"/>
      <c r="F231" s="420" t="s">
        <v>2458</v>
      </c>
      <c r="G231" s="420" t="s">
        <v>169</v>
      </c>
      <c r="H231" s="420" t="s">
        <v>201</v>
      </c>
      <c r="I231" s="438" t="s">
        <v>2207</v>
      </c>
      <c r="J231" s="436">
        <v>3050.0</v>
      </c>
      <c r="K231" s="438"/>
      <c r="L231" s="420" t="s">
        <v>264</v>
      </c>
      <c r="M231" s="429"/>
      <c r="N231" s="422">
        <v>15.53</v>
      </c>
      <c r="O231" s="422">
        <v>13.72</v>
      </c>
      <c r="P231" s="422"/>
      <c r="Q231" s="438" t="s">
        <v>2208</v>
      </c>
      <c r="R231" s="438" t="s">
        <v>2209</v>
      </c>
      <c r="S231" s="438" t="s">
        <v>2229</v>
      </c>
      <c r="T231" s="454" t="s">
        <v>162</v>
      </c>
      <c r="U231" s="438" t="s">
        <v>2210</v>
      </c>
      <c r="V231" s="451">
        <v>4.82</v>
      </c>
      <c r="W231" s="458"/>
      <c r="X231" s="438"/>
      <c r="Y231" s="442" t="str">
        <f t="shared" si="60"/>
        <v/>
      </c>
      <c r="Z231" s="442"/>
      <c r="AA231" s="443"/>
      <c r="AB231" s="443"/>
      <c r="AC231" s="436" t="str">
        <f>IF(ISNUMBER(VLOOKUP(B231,'New Masses'!A:C,3,FALSE)),VLOOKUP(B231,'New Masses'!A:C,3,FALSE),"")</f>
        <v/>
      </c>
      <c r="AD231" s="423"/>
      <c r="AE231" s="423">
        <f t="shared" si="61"/>
        <v>0</v>
      </c>
      <c r="AF231" s="444">
        <v>-10.6</v>
      </c>
      <c r="AG231" s="438"/>
      <c r="AH231" s="459">
        <v>0.11</v>
      </c>
      <c r="AI231" s="438"/>
      <c r="AJ231" s="446" t="str">
        <f>IF(ISNUMBER(VLOOKUP(B231,'New Masses'!A:C,2, FALSE)),VLOOKUP(B231,'New Masses'!A:C,2, FALSE),"")</f>
        <v/>
      </c>
      <c r="AK231" s="438"/>
      <c r="AL231" s="438"/>
      <c r="AM231" s="438"/>
      <c r="AN231" s="438"/>
      <c r="AO231" s="436">
        <v>1.0</v>
      </c>
      <c r="AP231" s="438"/>
      <c r="AQ231" s="454">
        <v>5.1</v>
      </c>
      <c r="AR231" s="438"/>
      <c r="AS231" s="454" t="s">
        <v>2460</v>
      </c>
      <c r="AT231" s="448"/>
      <c r="AU231" s="452"/>
      <c r="AV231" s="473" t="s">
        <v>249</v>
      </c>
      <c r="AW231" s="438"/>
      <c r="AX231" s="450"/>
    </row>
    <row r="232">
      <c r="A232" s="419" t="s">
        <v>246</v>
      </c>
      <c r="B232" s="436" t="s">
        <v>247</v>
      </c>
      <c r="C232" s="420"/>
      <c r="D232" s="420" t="s">
        <v>2227</v>
      </c>
      <c r="E232" s="420"/>
      <c r="F232" s="420" t="s">
        <v>2461</v>
      </c>
      <c r="G232" s="420" t="s">
        <v>169</v>
      </c>
      <c r="H232" s="420" t="s">
        <v>248</v>
      </c>
      <c r="I232" s="420" t="s">
        <v>2231</v>
      </c>
      <c r="J232" s="420"/>
      <c r="K232" s="420"/>
      <c r="L232" s="420" t="s">
        <v>642</v>
      </c>
      <c r="M232" s="429"/>
      <c r="N232" s="422">
        <v>15.218</v>
      </c>
      <c r="O232" s="422">
        <v>13.748</v>
      </c>
      <c r="P232" s="422"/>
      <c r="Q232" s="420" t="s">
        <v>2232</v>
      </c>
      <c r="R232" s="420" t="s">
        <v>2462</v>
      </c>
      <c r="S232" s="420" t="s">
        <v>2234</v>
      </c>
      <c r="T232" s="420" t="s">
        <v>596</v>
      </c>
      <c r="U232" s="420" t="s">
        <v>597</v>
      </c>
      <c r="V232" s="440"/>
      <c r="W232" s="468">
        <v>0.01</v>
      </c>
      <c r="X232" s="436"/>
      <c r="Y232" s="442"/>
      <c r="Z232" s="469"/>
      <c r="AA232" s="470">
        <v>0.5</v>
      </c>
      <c r="AB232" s="426"/>
      <c r="AC232" s="469">
        <f>IF(ISNUMBER(VLOOKUP(B232,'New Masses'!A:C,3,FALSE)),VLOOKUP(B232,'New Masses'!A:C,3,FALSE),"")</f>
        <v>0.604621</v>
      </c>
      <c r="AD232" s="451"/>
      <c r="AE232" s="451">
        <f>10^(AF232)</f>
        <v>0.0000000005011872336</v>
      </c>
      <c r="AF232" s="439">
        <v>-9.3</v>
      </c>
      <c r="AG232" s="436">
        <v>0.04</v>
      </c>
      <c r="AH232" s="459">
        <v>0.04</v>
      </c>
      <c r="AI232" s="420"/>
      <c r="AJ232" s="446" t="str">
        <f>IF(ISNUMBER(VLOOKUP(A232,'New Masses'!A:C,2, FALSE)),VLOOKUP(A232,'New Masses'!A:C,2, FALSE),"")</f>
        <v/>
      </c>
      <c r="AK232" s="420"/>
      <c r="AL232" s="460">
        <f>(6.67*10^(-11))*((2*10^(33))^2)*AE232*AH232/(3*10^7*AA232*7*10^10)</f>
        <v>5.09397E+27</v>
      </c>
      <c r="AM232" s="451">
        <f>LOG10(AL232/(4*10^33))</f>
        <v>-5.895003474</v>
      </c>
      <c r="AN232" s="438"/>
      <c r="AO232" s="436">
        <v>2.0</v>
      </c>
      <c r="AP232" s="438"/>
      <c r="AQ232" s="436">
        <v>2.9</v>
      </c>
      <c r="AR232" s="438"/>
      <c r="AS232" s="420" t="s">
        <v>2455</v>
      </c>
      <c r="AT232" s="448"/>
      <c r="AU232" s="452"/>
      <c r="AV232" s="420" t="s">
        <v>644</v>
      </c>
      <c r="AW232" s="454">
        <v>1.35</v>
      </c>
      <c r="AX232" s="450">
        <v>417.955362367299</v>
      </c>
    </row>
    <row r="233">
      <c r="A233" s="419" t="s">
        <v>246</v>
      </c>
      <c r="B233" s="436" t="s">
        <v>247</v>
      </c>
      <c r="C233" s="420"/>
      <c r="D233" s="420" t="s">
        <v>2227</v>
      </c>
      <c r="E233" s="420"/>
      <c r="F233" s="420" t="s">
        <v>2461</v>
      </c>
      <c r="G233" s="420" t="s">
        <v>169</v>
      </c>
      <c r="H233" s="420" t="s">
        <v>201</v>
      </c>
      <c r="I233" s="420" t="s">
        <v>2207</v>
      </c>
      <c r="J233" s="436">
        <v>2950.0</v>
      </c>
      <c r="K233" s="438"/>
      <c r="L233" s="420" t="s">
        <v>217</v>
      </c>
      <c r="M233" s="429"/>
      <c r="N233" s="422">
        <v>15.218</v>
      </c>
      <c r="O233" s="422">
        <v>13.748</v>
      </c>
      <c r="P233" s="422"/>
      <c r="Q233" s="420" t="s">
        <v>2208</v>
      </c>
      <c r="R233" s="438" t="s">
        <v>2209</v>
      </c>
      <c r="S233" s="420" t="s">
        <v>2229</v>
      </c>
      <c r="T233" s="454" t="s">
        <v>162</v>
      </c>
      <c r="U233" s="420" t="s">
        <v>2210</v>
      </c>
      <c r="V233" s="436">
        <v>5.68</v>
      </c>
      <c r="W233" s="458"/>
      <c r="X233" s="438"/>
      <c r="Y233" s="442" t="str">
        <f t="shared" ref="Y233:Y235" si="62">IF((W233/((J233/5780)^4))^0.5&gt;0,(W233/((J233/5780)^4))^0.5,"")</f>
        <v/>
      </c>
      <c r="Z233" s="442"/>
      <c r="AA233" s="443"/>
      <c r="AB233" s="443"/>
      <c r="AC233" s="469">
        <f>IF(ISNUMBER(VLOOKUP(B233,'New Masses'!A:C,3,FALSE)),VLOOKUP(B233,'New Masses'!A:C,3,FALSE),"")</f>
        <v>0.604621</v>
      </c>
      <c r="AD233" s="423"/>
      <c r="AE233" s="423">
        <f t="shared" ref="AE233:AE235" si="63">10^AF233</f>
        <v>0.0000000003981071706</v>
      </c>
      <c r="AF233" s="439">
        <v>-9.4</v>
      </c>
      <c r="AG233" s="438"/>
      <c r="AH233" s="459">
        <v>0.07</v>
      </c>
      <c r="AI233" s="438"/>
      <c r="AJ233" s="446" t="str">
        <f>IF(ISNUMBER(VLOOKUP(A233,'New Masses'!A:C,2, FALSE)),VLOOKUP(A233,'New Masses'!A:C,2, FALSE),"")</f>
        <v/>
      </c>
      <c r="AK233" s="438"/>
      <c r="AL233" s="438"/>
      <c r="AM233" s="438"/>
      <c r="AN233" s="438"/>
      <c r="AO233" s="436">
        <v>1.0</v>
      </c>
      <c r="AP233" s="438"/>
      <c r="AQ233" s="436">
        <v>2.9</v>
      </c>
      <c r="AR233" s="438"/>
      <c r="AS233" s="420" t="s">
        <v>2455</v>
      </c>
      <c r="AT233" s="448"/>
      <c r="AU233" s="449"/>
      <c r="AV233" s="420" t="s">
        <v>250</v>
      </c>
      <c r="AW233" s="438"/>
      <c r="AX233" s="450">
        <v>417.955362367299</v>
      </c>
    </row>
    <row r="234">
      <c r="A234" s="419" t="s">
        <v>246</v>
      </c>
      <c r="B234" s="436" t="s">
        <v>247</v>
      </c>
      <c r="C234" s="420"/>
      <c r="D234" s="420" t="s">
        <v>2227</v>
      </c>
      <c r="E234" s="420"/>
      <c r="F234" s="420" t="s">
        <v>2461</v>
      </c>
      <c r="G234" s="420" t="s">
        <v>169</v>
      </c>
      <c r="H234" s="420" t="s">
        <v>201</v>
      </c>
      <c r="I234" s="420" t="s">
        <v>2207</v>
      </c>
      <c r="J234" s="436">
        <v>2950.0</v>
      </c>
      <c r="K234" s="438"/>
      <c r="L234" s="420" t="s">
        <v>217</v>
      </c>
      <c r="M234" s="429"/>
      <c r="N234" s="422">
        <v>15.218</v>
      </c>
      <c r="O234" s="422">
        <v>13.748</v>
      </c>
      <c r="P234" s="422"/>
      <c r="Q234" s="420" t="s">
        <v>2208</v>
      </c>
      <c r="R234" s="438" t="s">
        <v>2209</v>
      </c>
      <c r="S234" s="420" t="s">
        <v>2229</v>
      </c>
      <c r="T234" s="454" t="s">
        <v>162</v>
      </c>
      <c r="U234" s="420" t="s">
        <v>2210</v>
      </c>
      <c r="V234" s="436">
        <v>5.68</v>
      </c>
      <c r="W234" s="458"/>
      <c r="X234" s="438"/>
      <c r="Y234" s="442" t="str">
        <f t="shared" si="62"/>
        <v/>
      </c>
      <c r="Z234" s="442"/>
      <c r="AA234" s="443"/>
      <c r="AB234" s="443"/>
      <c r="AC234" s="469">
        <f>IF(ISNUMBER(VLOOKUP(B234,'New Masses'!A:C,3,FALSE)),VLOOKUP(B234,'New Masses'!A:C,3,FALSE),"")</f>
        <v>0.604621</v>
      </c>
      <c r="AD234" s="423"/>
      <c r="AE234" s="423">
        <f t="shared" si="63"/>
        <v>0.0000000001584893192</v>
      </c>
      <c r="AF234" s="444">
        <v>-9.8</v>
      </c>
      <c r="AG234" s="438"/>
      <c r="AH234" s="459">
        <v>0.07</v>
      </c>
      <c r="AI234" s="438"/>
      <c r="AJ234" s="446" t="str">
        <f>IF(ISNUMBER(VLOOKUP(A234,'New Masses'!A:C,2, FALSE)),VLOOKUP(A234,'New Masses'!A:C,2, FALSE),"")</f>
        <v/>
      </c>
      <c r="AK234" s="438"/>
      <c r="AL234" s="438"/>
      <c r="AM234" s="438"/>
      <c r="AN234" s="438"/>
      <c r="AO234" s="436">
        <v>1.0</v>
      </c>
      <c r="AP234" s="438"/>
      <c r="AQ234" s="436">
        <v>2.9</v>
      </c>
      <c r="AR234" s="438"/>
      <c r="AS234" s="420" t="s">
        <v>2455</v>
      </c>
      <c r="AT234" s="448"/>
      <c r="AU234" s="452"/>
      <c r="AV234" s="420" t="s">
        <v>249</v>
      </c>
      <c r="AW234" s="438"/>
      <c r="AX234" s="450">
        <v>417.955362367299</v>
      </c>
    </row>
    <row r="235">
      <c r="A235" s="419" t="s">
        <v>1566</v>
      </c>
      <c r="B235" s="419" t="s">
        <v>1566</v>
      </c>
      <c r="C235" s="436"/>
      <c r="D235" s="436" t="s">
        <v>268</v>
      </c>
      <c r="E235" s="436"/>
      <c r="F235" s="436" t="s">
        <v>2463</v>
      </c>
      <c r="G235" s="436" t="s">
        <v>169</v>
      </c>
      <c r="H235" s="436" t="s">
        <v>1479</v>
      </c>
      <c r="I235" s="436" t="s">
        <v>2427</v>
      </c>
      <c r="J235" s="436">
        <v>5451.0</v>
      </c>
      <c r="K235" s="436"/>
      <c r="L235" s="436" t="s">
        <v>1567</v>
      </c>
      <c r="M235" s="439"/>
      <c r="N235" s="422">
        <v>8.285</v>
      </c>
      <c r="O235" s="422">
        <v>6.845</v>
      </c>
      <c r="P235" s="422">
        <v>10.51</v>
      </c>
      <c r="Q235" s="436" t="s">
        <v>2428</v>
      </c>
      <c r="R235" s="436" t="s">
        <v>2429</v>
      </c>
      <c r="S235" s="436" t="s">
        <v>2430</v>
      </c>
      <c r="T235" s="419" t="s">
        <v>162</v>
      </c>
      <c r="U235" s="436" t="s">
        <v>2431</v>
      </c>
      <c r="V235" s="451">
        <v>2.2391E30</v>
      </c>
      <c r="W235" s="474">
        <v>8.0</v>
      </c>
      <c r="X235" s="436"/>
      <c r="Y235" s="442">
        <f t="shared" si="62"/>
        <v>3.180155135</v>
      </c>
      <c r="Z235" s="469"/>
      <c r="AA235" s="470">
        <v>3.2</v>
      </c>
      <c r="AB235" s="470"/>
      <c r="AC235" s="436" t="str">
        <f>IF(ISNUMBER(VLOOKUP(B235,'New Masses'!A:C,3,FALSE)),VLOOKUP(B235,'New Masses'!A:C,3,FALSE),"")</f>
        <v/>
      </c>
      <c r="AD235" s="440"/>
      <c r="AE235" s="440">
        <f t="shared" si="63"/>
        <v>0.0000001548816619</v>
      </c>
      <c r="AF235" s="439">
        <v>-6.81</v>
      </c>
      <c r="AG235" s="438"/>
      <c r="AH235" s="459">
        <v>2.1</v>
      </c>
      <c r="AI235" s="436"/>
      <c r="AJ235" s="446" t="str">
        <f>IF(ISNUMBER(VLOOKUP(B235,'New Masses'!A:C,2, FALSE)),VLOOKUP(B235,'New Masses'!A:C,2, FALSE),"")</f>
        <v/>
      </c>
      <c r="AK235" s="438"/>
      <c r="AL235" s="436"/>
      <c r="AM235" s="436">
        <v>0.41</v>
      </c>
      <c r="AN235" s="438"/>
      <c r="AO235" s="436">
        <v>2.0</v>
      </c>
      <c r="AP235" s="438"/>
      <c r="AQ235" s="438"/>
      <c r="AR235" s="438"/>
      <c r="AS235" s="438"/>
      <c r="AT235" s="448"/>
      <c r="AU235" s="452"/>
      <c r="AV235" s="438"/>
      <c r="AW235" s="438"/>
      <c r="AX235" s="450">
        <v>193.240449090803</v>
      </c>
    </row>
    <row r="236">
      <c r="A236" s="419" t="s">
        <v>435</v>
      </c>
      <c r="B236" s="419" t="s">
        <v>435</v>
      </c>
      <c r="C236" s="436"/>
      <c r="D236" s="436" t="s">
        <v>199</v>
      </c>
      <c r="E236" s="436"/>
      <c r="F236" s="436" t="s">
        <v>2464</v>
      </c>
      <c r="G236" s="436" t="s">
        <v>169</v>
      </c>
      <c r="H236" s="436" t="s">
        <v>413</v>
      </c>
      <c r="I236" s="456">
        <v>35400.0</v>
      </c>
      <c r="J236" s="438"/>
      <c r="K236" s="438"/>
      <c r="L236" s="436" t="s">
        <v>419</v>
      </c>
      <c r="M236" s="439"/>
      <c r="N236" s="422">
        <v>9.828</v>
      </c>
      <c r="O236" s="422">
        <v>8.597</v>
      </c>
      <c r="P236" s="422">
        <v>12.59</v>
      </c>
      <c r="Q236" s="436" t="s">
        <v>2189</v>
      </c>
      <c r="R236" s="436" t="s">
        <v>2257</v>
      </c>
      <c r="S236" s="436" t="s">
        <v>414</v>
      </c>
      <c r="T236" s="436" t="s">
        <v>293</v>
      </c>
      <c r="U236" s="436" t="s">
        <v>294</v>
      </c>
      <c r="V236" s="440"/>
      <c r="W236" s="474">
        <v>0.46</v>
      </c>
      <c r="X236" s="436"/>
      <c r="Y236" s="442"/>
      <c r="Z236" s="469"/>
      <c r="AA236" s="470">
        <v>1.63</v>
      </c>
      <c r="AB236" s="470"/>
      <c r="AC236" s="436" t="str">
        <f>IF(ISNUMBER(VLOOKUP(B236,'New Masses'!A:C,3,FALSE)),VLOOKUP(B236,'New Masses'!A:C,3,FALSE),"")</f>
        <v/>
      </c>
      <c r="AD236" s="451"/>
      <c r="AE236" s="451">
        <v>7.5E-9</v>
      </c>
      <c r="AF236" s="453">
        <f t="shared" ref="AF236:AF237" si="64">LOG10(AE236)</f>
        <v>-8.124938737</v>
      </c>
      <c r="AG236" s="438"/>
      <c r="AH236" s="459">
        <v>0.424</v>
      </c>
      <c r="AI236" s="436"/>
      <c r="AJ236" s="446" t="str">
        <f>IF(ISNUMBER(VLOOKUP(B236,'New Masses'!A:C,2, FALSE)),VLOOKUP(B236,'New Masses'!A:C,2, FALSE),"")</f>
        <v/>
      </c>
      <c r="AK236" s="436"/>
      <c r="AL236" s="436"/>
      <c r="AM236" s="436">
        <v>0.041</v>
      </c>
      <c r="AN236" s="438"/>
      <c r="AO236" s="436">
        <v>1.0</v>
      </c>
      <c r="AP236" s="527"/>
      <c r="AQ236" s="527"/>
      <c r="AR236" s="438"/>
      <c r="AS236" s="438"/>
      <c r="AT236" s="448"/>
      <c r="AU236" s="449"/>
      <c r="AV236" s="480"/>
      <c r="AW236" s="480"/>
      <c r="AX236" s="450">
        <v>128.880926911626</v>
      </c>
    </row>
    <row r="237">
      <c r="A237" s="419" t="s">
        <v>412</v>
      </c>
      <c r="B237" s="419" t="s">
        <v>412</v>
      </c>
      <c r="C237" s="436"/>
      <c r="D237" s="436" t="s">
        <v>199</v>
      </c>
      <c r="E237" s="436"/>
      <c r="F237" s="436" t="s">
        <v>2465</v>
      </c>
      <c r="G237" s="436" t="s">
        <v>169</v>
      </c>
      <c r="H237" s="436" t="s">
        <v>413</v>
      </c>
      <c r="I237" s="456">
        <v>35400.0</v>
      </c>
      <c r="J237" s="438"/>
      <c r="K237" s="438"/>
      <c r="L237" s="436" t="s">
        <v>415</v>
      </c>
      <c r="M237" s="439"/>
      <c r="N237" s="422">
        <v>9.18</v>
      </c>
      <c r="O237" s="422">
        <v>7.799</v>
      </c>
      <c r="P237" s="422"/>
      <c r="Q237" s="436" t="s">
        <v>2189</v>
      </c>
      <c r="R237" s="436" t="s">
        <v>2257</v>
      </c>
      <c r="S237" s="436" t="s">
        <v>414</v>
      </c>
      <c r="T237" s="436" t="s">
        <v>293</v>
      </c>
      <c r="U237" s="436" t="s">
        <v>294</v>
      </c>
      <c r="V237" s="440"/>
      <c r="W237" s="474">
        <v>0.87</v>
      </c>
      <c r="X237" s="436"/>
      <c r="Y237" s="442"/>
      <c r="Z237" s="469"/>
      <c r="AA237" s="470">
        <v>2.45</v>
      </c>
      <c r="AB237" s="470"/>
      <c r="AC237" s="436" t="str">
        <f>IF(ISNUMBER(VLOOKUP(B237,'New Masses'!A:C,3,FALSE)),VLOOKUP(B237,'New Masses'!A:C,3,FALSE),"")</f>
        <v/>
      </c>
      <c r="AD237" s="451"/>
      <c r="AE237" s="451">
        <v>2.64E-8</v>
      </c>
      <c r="AF237" s="453">
        <f t="shared" si="64"/>
        <v>-7.578396073</v>
      </c>
      <c r="AG237" s="438"/>
      <c r="AH237" s="459">
        <v>0.259</v>
      </c>
      <c r="AI237" s="436"/>
      <c r="AJ237" s="446" t="str">
        <f>IF(ISNUMBER(VLOOKUP(B237,'New Masses'!A:C,2, FALSE)),VLOOKUP(B237,'New Masses'!A:C,2, FALSE),"")</f>
        <v/>
      </c>
      <c r="AK237" s="436"/>
      <c r="AL237" s="436"/>
      <c r="AM237" s="436">
        <v>0.071</v>
      </c>
      <c r="AN237" s="438"/>
      <c r="AO237" s="436">
        <v>1.0</v>
      </c>
      <c r="AP237" s="438"/>
      <c r="AQ237" s="438"/>
      <c r="AR237" s="438"/>
      <c r="AS237" s="438"/>
      <c r="AT237" s="448"/>
      <c r="AU237" s="452"/>
      <c r="AV237" s="438"/>
      <c r="AW237" s="438"/>
      <c r="AX237" s="450">
        <v>127.369064601589</v>
      </c>
    </row>
    <row r="238">
      <c r="A238" s="436" t="s">
        <v>230</v>
      </c>
      <c r="B238" s="478" t="s">
        <v>231</v>
      </c>
      <c r="C238" s="421" t="s">
        <v>2466</v>
      </c>
      <c r="D238" s="420" t="s">
        <v>224</v>
      </c>
      <c r="E238" s="420"/>
      <c r="F238" s="420" t="s">
        <v>2467</v>
      </c>
      <c r="G238" s="420" t="s">
        <v>189</v>
      </c>
      <c r="H238" s="420" t="s">
        <v>201</v>
      </c>
      <c r="I238" s="420" t="s">
        <v>2207</v>
      </c>
      <c r="J238" s="436">
        <v>2800.0</v>
      </c>
      <c r="K238" s="438"/>
      <c r="L238" s="420" t="s">
        <v>232</v>
      </c>
      <c r="M238" s="429"/>
      <c r="N238" s="422">
        <v>13.528</v>
      </c>
      <c r="O238" s="422">
        <v>12.475</v>
      </c>
      <c r="P238" s="422"/>
      <c r="Q238" s="420" t="s">
        <v>2208</v>
      </c>
      <c r="R238" s="438" t="s">
        <v>2209</v>
      </c>
      <c r="S238" s="420" t="s">
        <v>2196</v>
      </c>
      <c r="T238" s="454" t="s">
        <v>162</v>
      </c>
      <c r="U238" s="420" t="s">
        <v>2210</v>
      </c>
      <c r="V238" s="438">
        <v>4.32</v>
      </c>
      <c r="W238" s="458"/>
      <c r="X238" s="438"/>
      <c r="Y238" s="442" t="str">
        <f t="shared" ref="Y238:Y240" si="65">IF((W238/((J238/5780)^4))^0.5&gt;0,(W238/((J238/5780)^4))^0.5,"")</f>
        <v/>
      </c>
      <c r="Z238" s="442"/>
      <c r="AA238" s="443"/>
      <c r="AB238" s="443"/>
      <c r="AC238" s="469">
        <f>IF(ISNUMBER(VLOOKUP(B238,'New Masses'!A:C,3,FALSE)),VLOOKUP(B238,'New Masses'!A:C,3,FALSE),"")</f>
        <v>0.287334</v>
      </c>
      <c r="AD238" s="423"/>
      <c r="AE238" s="423">
        <f t="shared" ref="AE238:AE239" si="66">10^AF238</f>
        <v>0</v>
      </c>
      <c r="AF238" s="429">
        <v>-10.8</v>
      </c>
      <c r="AG238" s="438"/>
      <c r="AH238" s="459">
        <v>0.04</v>
      </c>
      <c r="AI238" s="438"/>
      <c r="AJ238" s="446">
        <f>IF(ISNUMBER(VLOOKUP(B238,'New Masses'!A:C,2, FALSE)),VLOOKUP(B238,'New Masses'!A:C,2, FALSE),"")</f>
        <v>0.034142</v>
      </c>
      <c r="AK238" s="438"/>
      <c r="AL238" s="438"/>
      <c r="AM238" s="438"/>
      <c r="AN238" s="438"/>
      <c r="AO238" s="436">
        <v>11.0</v>
      </c>
      <c r="AP238" s="438"/>
      <c r="AQ238" s="436">
        <v>0.0</v>
      </c>
      <c r="AR238" s="420"/>
      <c r="AS238" s="420" t="s">
        <v>2349</v>
      </c>
      <c r="AT238" s="448"/>
      <c r="AU238" s="449"/>
      <c r="AV238" s="436" t="s">
        <v>229</v>
      </c>
      <c r="AW238" s="438"/>
      <c r="AX238" s="450">
        <v>137.0</v>
      </c>
    </row>
    <row r="239">
      <c r="A239" s="436" t="s">
        <v>230</v>
      </c>
      <c r="B239" s="478" t="s">
        <v>231</v>
      </c>
      <c r="C239" s="421" t="s">
        <v>2466</v>
      </c>
      <c r="D239" s="420" t="s">
        <v>224</v>
      </c>
      <c r="E239" s="420"/>
      <c r="F239" s="420" t="s">
        <v>2467</v>
      </c>
      <c r="G239" s="420" t="s">
        <v>189</v>
      </c>
      <c r="H239" s="420" t="s">
        <v>201</v>
      </c>
      <c r="I239" s="420" t="s">
        <v>2207</v>
      </c>
      <c r="J239" s="436">
        <v>2800.0</v>
      </c>
      <c r="K239" s="438"/>
      <c r="L239" s="420" t="s">
        <v>232</v>
      </c>
      <c r="M239" s="429"/>
      <c r="N239" s="422">
        <v>13.528</v>
      </c>
      <c r="O239" s="422">
        <v>12.475</v>
      </c>
      <c r="P239" s="422"/>
      <c r="Q239" s="420" t="s">
        <v>2208</v>
      </c>
      <c r="R239" s="438" t="s">
        <v>2209</v>
      </c>
      <c r="S239" s="420" t="s">
        <v>2196</v>
      </c>
      <c r="T239" s="454" t="s">
        <v>162</v>
      </c>
      <c r="U239" s="420" t="s">
        <v>2210</v>
      </c>
      <c r="V239" s="438">
        <v>4.32</v>
      </c>
      <c r="W239" s="458"/>
      <c r="X239" s="438"/>
      <c r="Y239" s="442" t="str">
        <f t="shared" si="65"/>
        <v/>
      </c>
      <c r="Z239" s="442"/>
      <c r="AA239" s="443"/>
      <c r="AB239" s="443"/>
      <c r="AC239" s="469">
        <f>IF(ISNUMBER(VLOOKUP(B239,'New Masses'!A:C,3,FALSE)),VLOOKUP(B239,'New Masses'!A:C,3,FALSE),"")</f>
        <v>0.287334</v>
      </c>
      <c r="AD239" s="423"/>
      <c r="AE239" s="423">
        <f t="shared" si="66"/>
        <v>0</v>
      </c>
      <c r="AF239" s="453">
        <v>-11.0</v>
      </c>
      <c r="AG239" s="438"/>
      <c r="AH239" s="459">
        <v>0.04</v>
      </c>
      <c r="AI239" s="438"/>
      <c r="AJ239" s="446">
        <f>IF(ISNUMBER(VLOOKUP(B239,'New Masses'!A:C,2, FALSE)),VLOOKUP(B239,'New Masses'!A:C,2, FALSE),"")</f>
        <v>0.034142</v>
      </c>
      <c r="AK239" s="438"/>
      <c r="AL239" s="438"/>
      <c r="AM239" s="438"/>
      <c r="AN239" s="438"/>
      <c r="AO239" s="436">
        <v>11.0</v>
      </c>
      <c r="AP239" s="438"/>
      <c r="AQ239" s="436">
        <v>0.0</v>
      </c>
      <c r="AR239" s="420"/>
      <c r="AS239" s="420" t="s">
        <v>2349</v>
      </c>
      <c r="AT239" s="448"/>
      <c r="AU239" s="452"/>
      <c r="AV239" s="436" t="s">
        <v>228</v>
      </c>
      <c r="AW239" s="438"/>
      <c r="AX239" s="450">
        <v>137.0</v>
      </c>
    </row>
    <row r="240">
      <c r="A240" s="436" t="s">
        <v>230</v>
      </c>
      <c r="B240" s="419" t="s">
        <v>337</v>
      </c>
      <c r="C240" s="438"/>
      <c r="D240" s="420" t="s">
        <v>305</v>
      </c>
      <c r="E240" s="420"/>
      <c r="F240" s="420" t="s">
        <v>2468</v>
      </c>
      <c r="G240" s="420" t="s">
        <v>169</v>
      </c>
      <c r="H240" s="420" t="s">
        <v>306</v>
      </c>
      <c r="I240" s="467">
        <v>39596.0</v>
      </c>
      <c r="J240" s="436">
        <v>2838.0</v>
      </c>
      <c r="K240" s="420"/>
      <c r="L240" s="420" t="s">
        <v>237</v>
      </c>
      <c r="M240" s="429"/>
      <c r="N240" s="422">
        <v>13.528</v>
      </c>
      <c r="O240" s="422">
        <v>12.475</v>
      </c>
      <c r="P240" s="422"/>
      <c r="Q240" s="420" t="s">
        <v>2239</v>
      </c>
      <c r="R240" s="420" t="s">
        <v>2240</v>
      </c>
      <c r="S240" s="420" t="s">
        <v>307</v>
      </c>
      <c r="T240" s="420" t="s">
        <v>293</v>
      </c>
      <c r="U240" s="420" t="s">
        <v>294</v>
      </c>
      <c r="V240" s="440"/>
      <c r="W240" s="468"/>
      <c r="X240" s="436"/>
      <c r="Y240" s="442" t="str">
        <f t="shared" si="65"/>
        <v/>
      </c>
      <c r="Z240" s="469"/>
      <c r="AA240" s="470">
        <v>0.41</v>
      </c>
      <c r="AB240" s="426"/>
      <c r="AC240" s="469">
        <f>IF(ISNUMBER(VLOOKUP(B240,'New Masses'!A:C,3,FALSE)),VLOOKUP(B240,'New Masses'!A:C,3,FALSE),"")</f>
        <v>0.291525</v>
      </c>
      <c r="AD240" s="451"/>
      <c r="AE240" s="451">
        <f>10^(AF240)</f>
        <v>0</v>
      </c>
      <c r="AF240" s="439">
        <v>-11.6</v>
      </c>
      <c r="AG240" s="438"/>
      <c r="AH240" s="459">
        <v>0.05</v>
      </c>
      <c r="AI240" s="420"/>
      <c r="AJ240" s="446">
        <f>IF(ISNUMBER(VLOOKUP(B240,'New Masses'!A:C,2, FALSE)),VLOOKUP(B240,'New Masses'!A:C,2, FALSE),"")</f>
        <v>0.03689</v>
      </c>
      <c r="AK240" s="420"/>
      <c r="AL240" s="420"/>
      <c r="AM240" s="436">
        <v>-5.1</v>
      </c>
      <c r="AN240" s="438"/>
      <c r="AO240" s="436">
        <v>11.0</v>
      </c>
      <c r="AP240" s="438"/>
      <c r="AQ240" s="436">
        <v>0.0</v>
      </c>
      <c r="AR240" s="438"/>
      <c r="AS240" s="420" t="s">
        <v>2349</v>
      </c>
      <c r="AT240" s="448"/>
      <c r="AU240" s="452"/>
      <c r="AV240" s="438"/>
      <c r="AW240" s="438"/>
      <c r="AX240" s="450">
        <v>137.0</v>
      </c>
    </row>
    <row r="241">
      <c r="A241" s="419" t="s">
        <v>418</v>
      </c>
      <c r="B241" s="419" t="s">
        <v>418</v>
      </c>
      <c r="C241" s="436"/>
      <c r="D241" s="436" t="s">
        <v>199</v>
      </c>
      <c r="E241" s="436"/>
      <c r="F241" s="436" t="s">
        <v>2469</v>
      </c>
      <c r="G241" s="436" t="s">
        <v>169</v>
      </c>
      <c r="H241" s="436" t="s">
        <v>413</v>
      </c>
      <c r="I241" s="456">
        <v>35400.0</v>
      </c>
      <c r="J241" s="438"/>
      <c r="K241" s="438"/>
      <c r="L241" s="436" t="s">
        <v>419</v>
      </c>
      <c r="M241" s="439"/>
      <c r="N241" s="422">
        <v>8.171</v>
      </c>
      <c r="O241" s="422">
        <v>6.734</v>
      </c>
      <c r="P241" s="422">
        <v>10.31</v>
      </c>
      <c r="Q241" s="436" t="s">
        <v>2189</v>
      </c>
      <c r="R241" s="436" t="s">
        <v>2257</v>
      </c>
      <c r="S241" s="436" t="s">
        <v>414</v>
      </c>
      <c r="T241" s="436" t="s">
        <v>293</v>
      </c>
      <c r="U241" s="436" t="s">
        <v>294</v>
      </c>
      <c r="V241" s="440"/>
      <c r="W241" s="474">
        <v>1.97</v>
      </c>
      <c r="X241" s="436"/>
      <c r="Y241" s="442"/>
      <c r="Z241" s="469"/>
      <c r="AA241" s="470">
        <v>3.37</v>
      </c>
      <c r="AB241" s="470"/>
      <c r="AC241" s="436" t="str">
        <f>IF(ISNUMBER(VLOOKUP(B241,'New Masses'!A:C,3,FALSE)),VLOOKUP(B241,'New Masses'!A:C,3,FALSE),"")</f>
        <v/>
      </c>
      <c r="AD241" s="451"/>
      <c r="AE241" s="451">
        <v>1.77E-7</v>
      </c>
      <c r="AF241" s="453">
        <f t="shared" ref="AF241:AF246" si="67">LOG10(AE241)</f>
        <v>-6.752026734</v>
      </c>
      <c r="AG241" s="438"/>
      <c r="AH241" s="459">
        <v>0.27</v>
      </c>
      <c r="AI241" s="436"/>
      <c r="AJ241" s="446" t="str">
        <f>IF(ISNUMBER(VLOOKUP(B241,'New Masses'!A:C,2, FALSE)),VLOOKUP(B241,'New Masses'!A:C,2, FALSE),"")</f>
        <v/>
      </c>
      <c r="AK241" s="436"/>
      <c r="AL241" s="436"/>
      <c r="AM241" s="436">
        <v>0.358</v>
      </c>
      <c r="AN241" s="438"/>
      <c r="AO241" s="436">
        <v>1.0</v>
      </c>
      <c r="AP241" s="438"/>
      <c r="AQ241" s="438"/>
      <c r="AR241" s="438"/>
      <c r="AS241" s="438"/>
      <c r="AT241" s="448"/>
      <c r="AU241" s="449"/>
      <c r="AV241" s="438"/>
      <c r="AW241" s="438"/>
      <c r="AX241" s="450">
        <v>124.354908910029</v>
      </c>
    </row>
    <row r="242">
      <c r="A242" s="419" t="s">
        <v>436</v>
      </c>
      <c r="B242" s="419" t="s">
        <v>436</v>
      </c>
      <c r="C242" s="436"/>
      <c r="D242" s="436" t="s">
        <v>199</v>
      </c>
      <c r="E242" s="436"/>
      <c r="F242" s="436" t="s">
        <v>2470</v>
      </c>
      <c r="G242" s="436" t="s">
        <v>169</v>
      </c>
      <c r="H242" s="436" t="s">
        <v>413</v>
      </c>
      <c r="I242" s="456">
        <v>35400.0</v>
      </c>
      <c r="J242" s="438"/>
      <c r="K242" s="438"/>
      <c r="L242" s="436" t="s">
        <v>434</v>
      </c>
      <c r="M242" s="439"/>
      <c r="N242" s="422">
        <v>8.719</v>
      </c>
      <c r="O242" s="422">
        <v>7.096</v>
      </c>
      <c r="P242" s="422">
        <v>12.08</v>
      </c>
      <c r="Q242" s="436" t="s">
        <v>2189</v>
      </c>
      <c r="R242" s="436" t="s">
        <v>2257</v>
      </c>
      <c r="S242" s="436" t="s">
        <v>414</v>
      </c>
      <c r="T242" s="436" t="s">
        <v>293</v>
      </c>
      <c r="U242" s="436" t="s">
        <v>294</v>
      </c>
      <c r="V242" s="440"/>
      <c r="W242" s="474">
        <v>1.45</v>
      </c>
      <c r="X242" s="436"/>
      <c r="Y242" s="442"/>
      <c r="Z242" s="469"/>
      <c r="AA242" s="470">
        <v>2.49</v>
      </c>
      <c r="AB242" s="470"/>
      <c r="AC242" s="436" t="str">
        <f>IF(ISNUMBER(VLOOKUP(B242,'New Masses'!A:C,3,FALSE)),VLOOKUP(B242,'New Masses'!A:C,3,FALSE),"")</f>
        <v/>
      </c>
      <c r="AD242" s="451"/>
      <c r="AE242" s="451">
        <v>3.79E-8</v>
      </c>
      <c r="AF242" s="453">
        <f t="shared" si="67"/>
        <v>-7.42136079</v>
      </c>
      <c r="AG242" s="438"/>
      <c r="AH242" s="459">
        <v>0.431</v>
      </c>
      <c r="AI242" s="436"/>
      <c r="AJ242" s="446" t="str">
        <f>IF(ISNUMBER(VLOOKUP(B242,'New Masses'!A:C,2, FALSE)),VLOOKUP(B242,'New Masses'!A:C,2, FALSE),"")</f>
        <v/>
      </c>
      <c r="AK242" s="436"/>
      <c r="AL242" s="436"/>
      <c r="AM242" s="436">
        <v>0.166</v>
      </c>
      <c r="AN242" s="438"/>
      <c r="AO242" s="436">
        <v>1.0</v>
      </c>
      <c r="AP242" s="438"/>
      <c r="AQ242" s="438"/>
      <c r="AR242" s="438"/>
      <c r="AS242" s="438"/>
      <c r="AT242" s="448"/>
      <c r="AU242" s="452"/>
      <c r="AV242" s="438"/>
      <c r="AW242" s="438"/>
      <c r="AX242" s="450">
        <v>128.518185323223</v>
      </c>
    </row>
    <row r="243">
      <c r="A243" s="419" t="s">
        <v>431</v>
      </c>
      <c r="B243" s="419" t="s">
        <v>431</v>
      </c>
      <c r="C243" s="436"/>
      <c r="D243" s="436" t="s">
        <v>199</v>
      </c>
      <c r="E243" s="436"/>
      <c r="F243" s="436" t="s">
        <v>2471</v>
      </c>
      <c r="G243" s="436" t="s">
        <v>169</v>
      </c>
      <c r="H243" s="436" t="s">
        <v>413</v>
      </c>
      <c r="I243" s="456">
        <v>35400.0</v>
      </c>
      <c r="J243" s="438"/>
      <c r="K243" s="438"/>
      <c r="L243" s="436" t="s">
        <v>427</v>
      </c>
      <c r="M243" s="439"/>
      <c r="N243" s="422">
        <v>9.139</v>
      </c>
      <c r="O243" s="422">
        <v>8.015</v>
      </c>
      <c r="P243" s="422">
        <v>11.79</v>
      </c>
      <c r="Q243" s="436" t="s">
        <v>2189</v>
      </c>
      <c r="R243" s="436" t="s">
        <v>2257</v>
      </c>
      <c r="S243" s="436" t="s">
        <v>414</v>
      </c>
      <c r="T243" s="436" t="s">
        <v>293</v>
      </c>
      <c r="U243" s="436" t="s">
        <v>294</v>
      </c>
      <c r="V243" s="440"/>
      <c r="W243" s="474">
        <v>0.87</v>
      </c>
      <c r="X243" s="436"/>
      <c r="Y243" s="442"/>
      <c r="Z243" s="469"/>
      <c r="AA243" s="470">
        <v>2.09</v>
      </c>
      <c r="AB243" s="470"/>
      <c r="AC243" s="436" t="str">
        <f>IF(ISNUMBER(VLOOKUP(B243,'New Masses'!A:C,3,FALSE)),VLOOKUP(B243,'New Masses'!A:C,3,FALSE),"")</f>
        <v/>
      </c>
      <c r="AD243" s="451"/>
      <c r="AE243" s="451">
        <v>3.5E-9</v>
      </c>
      <c r="AF243" s="453">
        <f t="shared" si="67"/>
        <v>-8.455931956</v>
      </c>
      <c r="AG243" s="438"/>
      <c r="AH243" s="459">
        <v>0.382</v>
      </c>
      <c r="AI243" s="436"/>
      <c r="AJ243" s="446" t="str">
        <f>IF(ISNUMBER(VLOOKUP(B243,'New Masses'!A:C,2, FALSE)),VLOOKUP(B243,'New Masses'!A:C,2, FALSE),"")</f>
        <v/>
      </c>
      <c r="AK243" s="436"/>
      <c r="AL243" s="436"/>
      <c r="AM243" s="436">
        <v>0.016</v>
      </c>
      <c r="AN243" s="438"/>
      <c r="AO243" s="436">
        <v>1.0</v>
      </c>
      <c r="AP243" s="438"/>
      <c r="AQ243" s="438"/>
      <c r="AR243" s="438"/>
      <c r="AS243" s="438"/>
      <c r="AT243" s="448"/>
      <c r="AU243" s="449"/>
      <c r="AV243" s="438"/>
      <c r="AW243" s="438"/>
      <c r="AX243" s="450">
        <v>128.219922811606</v>
      </c>
    </row>
    <row r="244">
      <c r="A244" s="419" t="s">
        <v>426</v>
      </c>
      <c r="B244" s="419" t="s">
        <v>426</v>
      </c>
      <c r="C244" s="436"/>
      <c r="D244" s="436" t="s">
        <v>199</v>
      </c>
      <c r="E244" s="436"/>
      <c r="F244" s="436" t="s">
        <v>2472</v>
      </c>
      <c r="G244" s="436" t="s">
        <v>169</v>
      </c>
      <c r="H244" s="436" t="s">
        <v>413</v>
      </c>
      <c r="I244" s="456">
        <v>35400.0</v>
      </c>
      <c r="J244" s="438"/>
      <c r="K244" s="438"/>
      <c r="L244" s="436" t="s">
        <v>427</v>
      </c>
      <c r="M244" s="439"/>
      <c r="N244" s="422">
        <v>9.47</v>
      </c>
      <c r="O244" s="422">
        <v>7.303</v>
      </c>
      <c r="P244" s="422">
        <v>13.01</v>
      </c>
      <c r="Q244" s="436" t="s">
        <v>2189</v>
      </c>
      <c r="R244" s="436" t="s">
        <v>2257</v>
      </c>
      <c r="S244" s="436" t="s">
        <v>414</v>
      </c>
      <c r="T244" s="436" t="s">
        <v>293</v>
      </c>
      <c r="U244" s="436" t="s">
        <v>294</v>
      </c>
      <c r="V244" s="440"/>
      <c r="W244" s="474">
        <v>1.01</v>
      </c>
      <c r="X244" s="436"/>
      <c r="Y244" s="442"/>
      <c r="Z244" s="469"/>
      <c r="AA244" s="470">
        <v>2.25</v>
      </c>
      <c r="AB244" s="470"/>
      <c r="AC244" s="436" t="str">
        <f>IF(ISNUMBER(VLOOKUP(B244,'New Masses'!A:C,3,FALSE)),VLOOKUP(B244,'New Masses'!A:C,3,FALSE),"")</f>
        <v/>
      </c>
      <c r="AD244" s="451"/>
      <c r="AE244" s="451">
        <v>1.44E-7</v>
      </c>
      <c r="AF244" s="453">
        <f t="shared" si="67"/>
        <v>-6.841637508</v>
      </c>
      <c r="AG244" s="438"/>
      <c r="AH244" s="459">
        <v>0.369</v>
      </c>
      <c r="AI244" s="436"/>
      <c r="AJ244" s="446" t="str">
        <f>IF(ISNUMBER(VLOOKUP(B244,'New Masses'!A:C,2, FALSE)),VLOOKUP(B244,'New Masses'!A:C,2, FALSE),"")</f>
        <v/>
      </c>
      <c r="AK244" s="436"/>
      <c r="AL244" s="436"/>
      <c r="AM244" s="436">
        <v>0.6</v>
      </c>
      <c r="AN244" s="438"/>
      <c r="AO244" s="436">
        <v>1.0</v>
      </c>
      <c r="AP244" s="438"/>
      <c r="AQ244" s="438"/>
      <c r="AR244" s="438"/>
      <c r="AS244" s="438"/>
      <c r="AT244" s="448"/>
      <c r="AU244" s="452"/>
      <c r="AV244" s="438"/>
      <c r="AW244" s="438"/>
      <c r="AX244" s="450">
        <v>139.380592646279</v>
      </c>
    </row>
    <row r="245">
      <c r="A245" s="419" t="s">
        <v>437</v>
      </c>
      <c r="B245" s="419" t="s">
        <v>437</v>
      </c>
      <c r="C245" s="436"/>
      <c r="D245" s="436" t="s">
        <v>199</v>
      </c>
      <c r="E245" s="436"/>
      <c r="F245" s="436" t="s">
        <v>2473</v>
      </c>
      <c r="G245" s="436" t="s">
        <v>169</v>
      </c>
      <c r="H245" s="436" t="s">
        <v>413</v>
      </c>
      <c r="I245" s="456">
        <v>35400.0</v>
      </c>
      <c r="J245" s="438"/>
      <c r="K245" s="438"/>
      <c r="L245" s="436" t="s">
        <v>427</v>
      </c>
      <c r="M245" s="439"/>
      <c r="N245" s="422">
        <v>9.511</v>
      </c>
      <c r="O245" s="422">
        <v>7.981</v>
      </c>
      <c r="P245" s="422">
        <v>13.21</v>
      </c>
      <c r="Q245" s="436" t="s">
        <v>2189</v>
      </c>
      <c r="R245" s="436" t="s">
        <v>2257</v>
      </c>
      <c r="S245" s="436" t="s">
        <v>414</v>
      </c>
      <c r="T245" s="436" t="s">
        <v>293</v>
      </c>
      <c r="U245" s="436" t="s">
        <v>294</v>
      </c>
      <c r="V245" s="440"/>
      <c r="W245" s="474">
        <v>0.635</v>
      </c>
      <c r="X245" s="436"/>
      <c r="Y245" s="442"/>
      <c r="Z245" s="469"/>
      <c r="AA245" s="470">
        <v>1.785</v>
      </c>
      <c r="AB245" s="470"/>
      <c r="AC245" s="436" t="str">
        <f>IF(ISNUMBER(VLOOKUP(B245,'New Masses'!A:C,3,FALSE)),VLOOKUP(B245,'New Masses'!A:C,3,FALSE),"")</f>
        <v/>
      </c>
      <c r="AD245" s="451"/>
      <c r="AE245" s="451">
        <v>6.0E-10</v>
      </c>
      <c r="AF245" s="453">
        <f t="shared" si="67"/>
        <v>-9.22184875</v>
      </c>
      <c r="AG245" s="438"/>
      <c r="AH245" s="459">
        <v>0.439</v>
      </c>
      <c r="AI245" s="436"/>
      <c r="AJ245" s="446" t="str">
        <f>IF(ISNUMBER(VLOOKUP(B245,'New Masses'!A:C,2, FALSE)),VLOOKUP(B245,'New Masses'!A:C,2, FALSE),"")</f>
        <v/>
      </c>
      <c r="AK245" s="436"/>
      <c r="AL245" s="436"/>
      <c r="AM245" s="436">
        <v>0.004</v>
      </c>
      <c r="AN245" s="438"/>
      <c r="AO245" s="436">
        <v>1.0</v>
      </c>
      <c r="AP245" s="438"/>
      <c r="AQ245" s="438"/>
      <c r="AR245" s="438"/>
      <c r="AS245" s="438"/>
      <c r="AT245" s="448"/>
      <c r="AU245" s="449"/>
      <c r="AV245" s="438"/>
      <c r="AW245" s="438"/>
      <c r="AX245" s="450">
        <v>197.448959443983</v>
      </c>
    </row>
    <row r="246">
      <c r="A246" s="419" t="s">
        <v>462</v>
      </c>
      <c r="B246" s="419" t="s">
        <v>462</v>
      </c>
      <c r="C246" s="436"/>
      <c r="D246" s="436" t="s">
        <v>199</v>
      </c>
      <c r="E246" s="436"/>
      <c r="F246" s="436" t="s">
        <v>2474</v>
      </c>
      <c r="G246" s="436" t="s">
        <v>169</v>
      </c>
      <c r="H246" s="436" t="s">
        <v>413</v>
      </c>
      <c r="I246" s="456">
        <v>35400.0</v>
      </c>
      <c r="J246" s="438"/>
      <c r="K246" s="438"/>
      <c r="L246" s="436" t="s">
        <v>459</v>
      </c>
      <c r="M246" s="439"/>
      <c r="N246" s="422">
        <v>9.465</v>
      </c>
      <c r="O246" s="422">
        <v>8.036</v>
      </c>
      <c r="P246" s="422">
        <v>12.37</v>
      </c>
      <c r="Q246" s="436" t="s">
        <v>2189</v>
      </c>
      <c r="R246" s="436" t="s">
        <v>2257</v>
      </c>
      <c r="S246" s="436" t="s">
        <v>414</v>
      </c>
      <c r="T246" s="436" t="s">
        <v>293</v>
      </c>
      <c r="U246" s="436" t="s">
        <v>294</v>
      </c>
      <c r="V246" s="440"/>
      <c r="W246" s="474">
        <v>0.57</v>
      </c>
      <c r="X246" s="436"/>
      <c r="Y246" s="442"/>
      <c r="Z246" s="469"/>
      <c r="AA246" s="470">
        <v>1.36</v>
      </c>
      <c r="AB246" s="470"/>
      <c r="AC246" s="436" t="str">
        <f>IF(ISNUMBER(VLOOKUP(B246,'New Masses'!A:C,3,FALSE)),VLOOKUP(B246,'New Masses'!A:C,3,FALSE),"")</f>
        <v/>
      </c>
      <c r="AD246" s="451"/>
      <c r="AE246" s="451">
        <v>1.29E-8</v>
      </c>
      <c r="AF246" s="453">
        <f t="shared" si="67"/>
        <v>-7.88941029</v>
      </c>
      <c r="AG246" s="438"/>
      <c r="AH246" s="459">
        <v>0.87</v>
      </c>
      <c r="AI246" s="436"/>
      <c r="AJ246" s="446" t="str">
        <f>IF(ISNUMBER(VLOOKUP(B246,'New Masses'!A:C,2, FALSE)),VLOOKUP(B246,'New Masses'!A:C,2, FALSE),"")</f>
        <v/>
      </c>
      <c r="AK246" s="436"/>
      <c r="AL246" s="436"/>
      <c r="AM246" s="436">
        <v>0.209</v>
      </c>
      <c r="AN246" s="438"/>
      <c r="AO246" s="436">
        <v>1.0</v>
      </c>
      <c r="AP246" s="438"/>
      <c r="AQ246" s="438"/>
      <c r="AR246" s="438"/>
      <c r="AS246" s="438"/>
      <c r="AT246" s="448"/>
      <c r="AU246" s="452"/>
      <c r="AV246" s="438"/>
      <c r="AW246" s="438"/>
      <c r="AX246" s="450">
        <v>159.071025212757</v>
      </c>
    </row>
    <row r="247">
      <c r="A247" s="485" t="s">
        <v>808</v>
      </c>
      <c r="B247" s="485" t="s">
        <v>809</v>
      </c>
      <c r="C247" s="486"/>
      <c r="D247" s="491"/>
      <c r="E247" s="491"/>
      <c r="F247" s="528" t="s">
        <v>2475</v>
      </c>
      <c r="G247" s="486" t="s">
        <v>169</v>
      </c>
      <c r="H247" s="486" t="s">
        <v>810</v>
      </c>
      <c r="I247" s="491"/>
      <c r="J247" s="491"/>
      <c r="K247" s="491"/>
      <c r="L247" s="491"/>
      <c r="M247" s="486"/>
      <c r="N247" s="422"/>
      <c r="O247" s="422"/>
      <c r="P247" s="422"/>
      <c r="Q247" s="486" t="s">
        <v>2476</v>
      </c>
      <c r="R247" s="486" t="s">
        <v>2477</v>
      </c>
      <c r="S247" s="486" t="s">
        <v>2478</v>
      </c>
      <c r="T247" s="486" t="s">
        <v>2379</v>
      </c>
      <c r="U247" s="486" t="s">
        <v>2178</v>
      </c>
      <c r="V247" s="486">
        <f>7.6E-14</f>
        <v>0</v>
      </c>
      <c r="W247" s="529"/>
      <c r="X247" s="486"/>
      <c r="Y247" s="442"/>
      <c r="Z247" s="491"/>
      <c r="AA247" s="494">
        <f>1.6*0.10049</f>
        <v>0.160784</v>
      </c>
      <c r="AB247" s="494"/>
      <c r="AC247" s="436" t="str">
        <f>IF(ISNUMBER(VLOOKUP(B247,'New Masses'!A:C,3,FALSE)),VLOOKUP(B247,'New Masses'!A:C,3,FALSE),"")</f>
        <v/>
      </c>
      <c r="AD247" s="486"/>
      <c r="AE247" s="530">
        <f>1/1048 * (3*10^-6)/5</f>
        <v>0.000000000572519084</v>
      </c>
      <c r="AF247" s="531"/>
      <c r="AG247" s="491"/>
      <c r="AH247" s="525">
        <f>5/1048</f>
        <v>0.004770992366</v>
      </c>
      <c r="AI247" s="486"/>
      <c r="AJ247" s="446" t="str">
        <f>IF(ISNUMBER(VLOOKUP(B247,'New Masses'!A:C,2, FALSE)),VLOOKUP(B247,'New Masses'!A:C,2, FALSE),"")</f>
        <v/>
      </c>
      <c r="AK247" s="486"/>
      <c r="AL247" s="486"/>
      <c r="AM247" s="436"/>
      <c r="AN247" s="438"/>
      <c r="AO247" s="497">
        <v>2.0</v>
      </c>
      <c r="AP247" s="486" t="s">
        <v>156</v>
      </c>
      <c r="AQ247" s="454">
        <v>0.75</v>
      </c>
      <c r="AR247" s="438"/>
      <c r="AS247" s="438"/>
      <c r="AT247" s="448"/>
      <c r="AU247" s="449"/>
      <c r="AV247" s="438"/>
      <c r="AW247" s="438"/>
      <c r="AX247" s="450">
        <f>1000/6.2947</f>
        <v>158.8638061</v>
      </c>
    </row>
    <row r="248">
      <c r="A248" s="419" t="s">
        <v>1456</v>
      </c>
      <c r="B248" s="436" t="s">
        <v>1457</v>
      </c>
      <c r="C248" s="436"/>
      <c r="D248" s="436" t="s">
        <v>158</v>
      </c>
      <c r="E248" s="436"/>
      <c r="F248" s="436" t="s">
        <v>2479</v>
      </c>
      <c r="G248" s="436" t="s">
        <v>169</v>
      </c>
      <c r="H248" s="436" t="s">
        <v>160</v>
      </c>
      <c r="I248" s="436" t="s">
        <v>1963</v>
      </c>
      <c r="J248" s="436">
        <v>4168.69383</v>
      </c>
      <c r="K248" s="436"/>
      <c r="L248" s="438"/>
      <c r="M248" s="453"/>
      <c r="N248" s="422">
        <v>9.753</v>
      </c>
      <c r="O248" s="422">
        <v>7.057</v>
      </c>
      <c r="P248" s="422">
        <v>14.15</v>
      </c>
      <c r="Q248" s="436" t="s">
        <v>2183</v>
      </c>
      <c r="R248" s="436" t="s">
        <v>2184</v>
      </c>
      <c r="S248" s="436" t="s">
        <v>1964</v>
      </c>
      <c r="T248" s="419" t="s">
        <v>162</v>
      </c>
      <c r="U248" s="436" t="s">
        <v>2185</v>
      </c>
      <c r="V248" s="451">
        <v>4.61549E30</v>
      </c>
      <c r="W248" s="458">
        <v>2.51188643150958</v>
      </c>
      <c r="X248" s="438"/>
      <c r="Y248" s="442">
        <f t="shared" ref="Y248:Y262" si="68">IF((W248/((J248/5780)^4))^0.5&gt;0,(W248/((J248/5780)^4))^0.5,"")</f>
        <v>3.046882299</v>
      </c>
      <c r="Z248" s="442"/>
      <c r="AA248" s="443"/>
      <c r="AB248" s="443"/>
      <c r="AC248" s="436" t="str">
        <f>IF(ISNUMBER(VLOOKUP(B248,'New Masses'!A:C,3,FALSE)),VLOOKUP(B248,'New Masses'!A:C,3,FALSE),"")</f>
        <v/>
      </c>
      <c r="AD248" s="440"/>
      <c r="AE248" s="440">
        <f t="shared" ref="AE248:AE261" si="69">10^AF248</f>
        <v>0.0000001258925412</v>
      </c>
      <c r="AF248" s="439">
        <v>-6.9</v>
      </c>
      <c r="AG248" s="438"/>
      <c r="AH248" s="459">
        <f t="shared" ref="AH248:AH249" si="70">10^AK248</f>
        <v>0.7244359601</v>
      </c>
      <c r="AI248" s="436"/>
      <c r="AJ248" s="446" t="str">
        <f>IF(ISNUMBER(VLOOKUP(B248,'New Masses'!A:C,2, FALSE)),VLOOKUP(B248,'New Masses'!A:C,2, FALSE),"")</f>
        <v/>
      </c>
      <c r="AK248" s="436">
        <v>-0.14</v>
      </c>
      <c r="AL248" s="436"/>
      <c r="AM248" s="436">
        <v>0.03</v>
      </c>
      <c r="AN248" s="438"/>
      <c r="AO248" s="436">
        <v>1.0</v>
      </c>
      <c r="AP248" s="419" t="s">
        <v>156</v>
      </c>
      <c r="AQ248" s="438"/>
      <c r="AR248" s="436"/>
      <c r="AS248" s="438"/>
      <c r="AT248" s="455">
        <v>1.5</v>
      </c>
      <c r="AU248" s="449"/>
      <c r="AV248" s="438" t="s">
        <v>1459</v>
      </c>
      <c r="AW248" s="438"/>
      <c r="AX248" s="450"/>
    </row>
    <row r="249">
      <c r="A249" s="419" t="s">
        <v>1454</v>
      </c>
      <c r="B249" s="436" t="s">
        <v>1455</v>
      </c>
      <c r="C249" s="436"/>
      <c r="D249" s="436" t="s">
        <v>158</v>
      </c>
      <c r="E249" s="436"/>
      <c r="F249" s="436" t="s">
        <v>2480</v>
      </c>
      <c r="G249" s="436" t="s">
        <v>169</v>
      </c>
      <c r="H249" s="436" t="s">
        <v>160</v>
      </c>
      <c r="I249" s="436" t="s">
        <v>1963</v>
      </c>
      <c r="J249" s="436">
        <v>4168.69383</v>
      </c>
      <c r="K249" s="436"/>
      <c r="L249" s="438"/>
      <c r="M249" s="453"/>
      <c r="N249" s="422">
        <v>10.365</v>
      </c>
      <c r="O249" s="422">
        <v>7.549</v>
      </c>
      <c r="P249" s="422"/>
      <c r="Q249" s="436" t="s">
        <v>2183</v>
      </c>
      <c r="R249" s="436" t="s">
        <v>2184</v>
      </c>
      <c r="S249" s="436" t="s">
        <v>1964</v>
      </c>
      <c r="T249" s="419" t="s">
        <v>162</v>
      </c>
      <c r="U249" s="436" t="s">
        <v>2185</v>
      </c>
      <c r="V249" s="451">
        <v>2.98001E30</v>
      </c>
      <c r="W249" s="458">
        <v>2.4547089156850306</v>
      </c>
      <c r="X249" s="438"/>
      <c r="Y249" s="442">
        <f t="shared" si="68"/>
        <v>3.012004926</v>
      </c>
      <c r="Z249" s="442"/>
      <c r="AA249" s="443"/>
      <c r="AB249" s="443"/>
      <c r="AC249" s="436" t="str">
        <f>IF(ISNUMBER(VLOOKUP(B249,'New Masses'!A:C,3,FALSE)),VLOOKUP(B249,'New Masses'!A:C,3,FALSE),"")</f>
        <v/>
      </c>
      <c r="AD249" s="440"/>
      <c r="AE249" s="440">
        <f t="shared" si="69"/>
        <v>0.00000007079457844</v>
      </c>
      <c r="AF249" s="439">
        <v>-7.15</v>
      </c>
      <c r="AG249" s="438"/>
      <c r="AH249" s="459">
        <f t="shared" si="70"/>
        <v>0.7079457844</v>
      </c>
      <c r="AI249" s="436"/>
      <c r="AJ249" s="446" t="str">
        <f>IF(ISNUMBER(VLOOKUP(B249,'New Masses'!A:C,2, FALSE)),VLOOKUP(B249,'New Masses'!A:C,2, FALSE),"")</f>
        <v/>
      </c>
      <c r="AK249" s="436">
        <v>-0.15</v>
      </c>
      <c r="AL249" s="436"/>
      <c r="AM249" s="436">
        <v>-0.23</v>
      </c>
      <c r="AN249" s="438"/>
      <c r="AO249" s="436">
        <v>1.0</v>
      </c>
      <c r="AP249" s="419" t="s">
        <v>156</v>
      </c>
      <c r="AQ249" s="438"/>
      <c r="AR249" s="438"/>
      <c r="AS249" s="438"/>
      <c r="AT249" s="455">
        <v>2.1</v>
      </c>
      <c r="AU249" s="452"/>
      <c r="AV249" s="438"/>
      <c r="AW249" s="438"/>
      <c r="AX249" s="450"/>
    </row>
    <row r="250">
      <c r="A250" s="435" t="s">
        <v>1719</v>
      </c>
      <c r="B250" s="436" t="s">
        <v>1720</v>
      </c>
      <c r="C250" s="436"/>
      <c r="D250" s="436" t="s">
        <v>350</v>
      </c>
      <c r="E250" s="436"/>
      <c r="F250" s="436" t="s">
        <v>2481</v>
      </c>
      <c r="G250" s="437" t="s">
        <v>169</v>
      </c>
      <c r="H250" s="437" t="s">
        <v>702</v>
      </c>
      <c r="I250" s="437" t="s">
        <v>1999</v>
      </c>
      <c r="J250" s="437">
        <v>3400.0</v>
      </c>
      <c r="K250" s="438"/>
      <c r="L250" s="436" t="s">
        <v>422</v>
      </c>
      <c r="M250" s="439"/>
      <c r="N250" s="422">
        <v>12.844</v>
      </c>
      <c r="O250" s="422">
        <v>11.863</v>
      </c>
      <c r="P250" s="422">
        <v>15.82</v>
      </c>
      <c r="Q250" s="436" t="s">
        <v>1632</v>
      </c>
      <c r="R250" s="438"/>
      <c r="S250" s="436" t="s">
        <v>2000</v>
      </c>
      <c r="T250" s="436" t="s">
        <v>1632</v>
      </c>
      <c r="U250" s="436" t="s">
        <v>1633</v>
      </c>
      <c r="V250" s="440"/>
      <c r="W250" s="441">
        <v>0.13</v>
      </c>
      <c r="X250" s="438"/>
      <c r="Y250" s="442">
        <f t="shared" si="68"/>
        <v>1.042004319</v>
      </c>
      <c r="Z250" s="442"/>
      <c r="AA250" s="443"/>
      <c r="AB250" s="443"/>
      <c r="AC250" s="436" t="str">
        <f>IF(ISNUMBER(VLOOKUP(B250,'New Masses'!A:C,3,FALSE)),VLOOKUP(B250,'New Masses'!A:C,3,FALSE),"")</f>
        <v/>
      </c>
      <c r="AD250" s="440"/>
      <c r="AE250" s="440">
        <f t="shared" si="69"/>
        <v>0.000000000316227766</v>
      </c>
      <c r="AF250" s="444">
        <v>-9.5</v>
      </c>
      <c r="AG250" s="438"/>
      <c r="AH250" s="445">
        <v>0.35</v>
      </c>
      <c r="AI250" s="438"/>
      <c r="AJ250" s="446" t="str">
        <f>IF(ISNUMBER(VLOOKUP(B250,'New Masses'!A:C,2, FALSE)),VLOOKUP(B250,'New Masses'!A:C,2, FALSE),"")</f>
        <v/>
      </c>
      <c r="AK250" s="438"/>
      <c r="AL250" s="437"/>
      <c r="AM250" s="447">
        <v>-2.59</v>
      </c>
      <c r="AN250" s="438"/>
      <c r="AO250" s="436">
        <v>3.0</v>
      </c>
      <c r="AP250" s="438"/>
      <c r="AQ250" s="438"/>
      <c r="AR250" s="436"/>
      <c r="AS250" s="438"/>
      <c r="AT250" s="448"/>
      <c r="AU250" s="449"/>
      <c r="AV250" s="438" t="s">
        <v>705</v>
      </c>
      <c r="AW250" s="438"/>
      <c r="AX250" s="450">
        <v>370.713623725671</v>
      </c>
    </row>
    <row r="251">
      <c r="A251" s="435" t="s">
        <v>1725</v>
      </c>
      <c r="B251" s="436" t="s">
        <v>1726</v>
      </c>
      <c r="C251" s="436"/>
      <c r="D251" s="436" t="s">
        <v>350</v>
      </c>
      <c r="E251" s="436"/>
      <c r="F251" s="436" t="s">
        <v>2482</v>
      </c>
      <c r="G251" s="437" t="s">
        <v>169</v>
      </c>
      <c r="H251" s="437" t="s">
        <v>702</v>
      </c>
      <c r="I251" s="437" t="s">
        <v>1999</v>
      </c>
      <c r="J251" s="437">
        <v>3400.0</v>
      </c>
      <c r="K251" s="438"/>
      <c r="L251" s="436" t="s">
        <v>422</v>
      </c>
      <c r="M251" s="439"/>
      <c r="N251" s="422">
        <v>12.174</v>
      </c>
      <c r="O251" s="422">
        <v>10.986</v>
      </c>
      <c r="P251" s="422">
        <v>15.22</v>
      </c>
      <c r="Q251" s="436" t="s">
        <v>1632</v>
      </c>
      <c r="R251" s="438"/>
      <c r="S251" s="436" t="s">
        <v>2000</v>
      </c>
      <c r="T251" s="436" t="s">
        <v>1632</v>
      </c>
      <c r="U251" s="436" t="s">
        <v>1633</v>
      </c>
      <c r="V251" s="451"/>
      <c r="W251" s="441">
        <v>0.22</v>
      </c>
      <c r="X251" s="438"/>
      <c r="Y251" s="442">
        <f t="shared" si="68"/>
        <v>1.355530155</v>
      </c>
      <c r="Z251" s="442"/>
      <c r="AA251" s="443"/>
      <c r="AB251" s="443"/>
      <c r="AC251" s="436" t="str">
        <f>IF(ISNUMBER(VLOOKUP(B251,'New Masses'!A:C,3,FALSE)),VLOOKUP(B251,'New Masses'!A:C,3,FALSE),"")</f>
        <v/>
      </c>
      <c r="AD251" s="440"/>
      <c r="AE251" s="440">
        <f t="shared" si="69"/>
        <v>0.000000002187761624</v>
      </c>
      <c r="AF251" s="444">
        <v>-8.66</v>
      </c>
      <c r="AG251" s="438"/>
      <c r="AH251" s="445">
        <v>0.4</v>
      </c>
      <c r="AI251" s="438"/>
      <c r="AJ251" s="446" t="str">
        <f>IF(ISNUMBER(VLOOKUP(B251,'New Masses'!A:C,2, FALSE)),VLOOKUP(B251,'New Masses'!A:C,2, FALSE),"")</f>
        <v/>
      </c>
      <c r="AK251" s="438"/>
      <c r="AL251" s="437"/>
      <c r="AM251" s="447">
        <v>-1.8</v>
      </c>
      <c r="AN251" s="438"/>
      <c r="AO251" s="436">
        <v>3.0</v>
      </c>
      <c r="AP251" s="438"/>
      <c r="AQ251" s="438"/>
      <c r="AR251" s="436"/>
      <c r="AS251" s="438"/>
      <c r="AT251" s="448"/>
      <c r="AU251" s="452"/>
      <c r="AV251" s="438" t="s">
        <v>705</v>
      </c>
      <c r="AW251" s="438"/>
      <c r="AX251" s="450"/>
    </row>
    <row r="252">
      <c r="A252" s="435" t="s">
        <v>1749</v>
      </c>
      <c r="B252" s="436" t="s">
        <v>1750</v>
      </c>
      <c r="C252" s="436"/>
      <c r="D252" s="436" t="s">
        <v>350</v>
      </c>
      <c r="E252" s="436"/>
      <c r="F252" s="436" t="s">
        <v>2483</v>
      </c>
      <c r="G252" s="437" t="s">
        <v>169</v>
      </c>
      <c r="H252" s="437" t="s">
        <v>702</v>
      </c>
      <c r="I252" s="437" t="s">
        <v>1999</v>
      </c>
      <c r="J252" s="437">
        <v>3900.0</v>
      </c>
      <c r="K252" s="438"/>
      <c r="L252" s="436" t="s">
        <v>427</v>
      </c>
      <c r="M252" s="439"/>
      <c r="N252" s="422">
        <v>11.512</v>
      </c>
      <c r="O252" s="422">
        <v>10.395</v>
      </c>
      <c r="P252" s="422">
        <v>14.48</v>
      </c>
      <c r="Q252" s="436" t="s">
        <v>1632</v>
      </c>
      <c r="R252" s="438"/>
      <c r="S252" s="436" t="s">
        <v>2000</v>
      </c>
      <c r="T252" s="436" t="s">
        <v>1632</v>
      </c>
      <c r="U252" s="436" t="s">
        <v>1633</v>
      </c>
      <c r="V252" s="440"/>
      <c r="W252" s="441">
        <v>0.41</v>
      </c>
      <c r="X252" s="438"/>
      <c r="Y252" s="442">
        <f t="shared" si="68"/>
        <v>1.406430873</v>
      </c>
      <c r="Z252" s="442"/>
      <c r="AA252" s="443"/>
      <c r="AB252" s="443"/>
      <c r="AC252" s="436" t="str">
        <f>IF(ISNUMBER(VLOOKUP(B252,'New Masses'!A:C,3,FALSE)),VLOOKUP(B252,'New Masses'!A:C,3,FALSE),"")</f>
        <v/>
      </c>
      <c r="AD252" s="440"/>
      <c r="AE252" s="440">
        <f t="shared" si="69"/>
        <v>0.0000000005495408739</v>
      </c>
      <c r="AF252" s="444">
        <v>-9.26</v>
      </c>
      <c r="AG252" s="438"/>
      <c r="AH252" s="445">
        <v>0.9</v>
      </c>
      <c r="AI252" s="438"/>
      <c r="AJ252" s="446" t="str">
        <f>IF(ISNUMBER(VLOOKUP(B252,'New Masses'!A:C,2, FALSE)),VLOOKUP(B252,'New Masses'!A:C,2, FALSE),"")</f>
        <v/>
      </c>
      <c r="AK252" s="438"/>
      <c r="AL252" s="437"/>
      <c r="AM252" s="447">
        <v>-2.06</v>
      </c>
      <c r="AN252" s="438"/>
      <c r="AO252" s="436">
        <v>3.0</v>
      </c>
      <c r="AP252" s="438"/>
      <c r="AQ252" s="436"/>
      <c r="AR252" s="436"/>
      <c r="AS252" s="438"/>
      <c r="AT252" s="448"/>
      <c r="AU252" s="449" t="s">
        <v>137</v>
      </c>
      <c r="AV252" s="438" t="s">
        <v>1676</v>
      </c>
      <c r="AW252" s="438"/>
      <c r="AX252" s="450">
        <v>380.734818199124</v>
      </c>
    </row>
    <row r="253">
      <c r="A253" s="435" t="s">
        <v>1733</v>
      </c>
      <c r="B253" s="436" t="s">
        <v>1734</v>
      </c>
      <c r="C253" s="436"/>
      <c r="D253" s="436" t="s">
        <v>350</v>
      </c>
      <c r="E253" s="436"/>
      <c r="F253" s="436" t="s">
        <v>2484</v>
      </c>
      <c r="G253" s="437" t="s">
        <v>169</v>
      </c>
      <c r="H253" s="437" t="s">
        <v>702</v>
      </c>
      <c r="I253" s="437" t="s">
        <v>1999</v>
      </c>
      <c r="J253" s="437">
        <v>3600.0</v>
      </c>
      <c r="K253" s="438"/>
      <c r="L253" s="436" t="s">
        <v>571</v>
      </c>
      <c r="M253" s="439"/>
      <c r="N253" s="422">
        <v>11.733</v>
      </c>
      <c r="O253" s="422">
        <v>10.335</v>
      </c>
      <c r="P253" s="422">
        <v>14.02</v>
      </c>
      <c r="Q253" s="436" t="s">
        <v>1632</v>
      </c>
      <c r="R253" s="438"/>
      <c r="S253" s="436" t="s">
        <v>2000</v>
      </c>
      <c r="T253" s="436" t="s">
        <v>1632</v>
      </c>
      <c r="U253" s="436" t="s">
        <v>1633</v>
      </c>
      <c r="V253" s="440"/>
      <c r="W253" s="441">
        <v>0.42</v>
      </c>
      <c r="X253" s="438"/>
      <c r="Y253" s="442">
        <f t="shared" si="68"/>
        <v>1.670610938</v>
      </c>
      <c r="Z253" s="442"/>
      <c r="AA253" s="443"/>
      <c r="AB253" s="443"/>
      <c r="AC253" s="436" t="str">
        <f>IF(ISNUMBER(VLOOKUP(B253,'New Masses'!A:C,3,FALSE)),VLOOKUP(B253,'New Masses'!A:C,3,FALSE),"")</f>
        <v/>
      </c>
      <c r="AD253" s="440"/>
      <c r="AE253" s="440">
        <f t="shared" si="69"/>
        <v>0.000000001122018454</v>
      </c>
      <c r="AF253" s="444">
        <v>-8.95</v>
      </c>
      <c r="AG253" s="438"/>
      <c r="AH253" s="445">
        <v>0.6</v>
      </c>
      <c r="AI253" s="438"/>
      <c r="AJ253" s="446" t="str">
        <f>IF(ISNUMBER(VLOOKUP(B253,'New Masses'!A:C,2, FALSE)),VLOOKUP(B253,'New Masses'!A:C,2, FALSE),"")</f>
        <v/>
      </c>
      <c r="AK253" s="438"/>
      <c r="AL253" s="437"/>
      <c r="AM253" s="447">
        <v>-2.01</v>
      </c>
      <c r="AN253" s="438"/>
      <c r="AO253" s="436">
        <v>3.0</v>
      </c>
      <c r="AP253" s="438"/>
      <c r="AQ253" s="438"/>
      <c r="AR253" s="436"/>
      <c r="AS253" s="438"/>
      <c r="AT253" s="448"/>
      <c r="AU253" s="449"/>
      <c r="AV253" s="438" t="s">
        <v>705</v>
      </c>
      <c r="AW253" s="438"/>
      <c r="AX253" s="450">
        <v>420.433046037418</v>
      </c>
    </row>
    <row r="254">
      <c r="A254" s="435" t="s">
        <v>1721</v>
      </c>
      <c r="B254" s="436" t="s">
        <v>1722</v>
      </c>
      <c r="C254" s="436"/>
      <c r="D254" s="436" t="s">
        <v>350</v>
      </c>
      <c r="E254" s="436"/>
      <c r="F254" s="436" t="s">
        <v>2485</v>
      </c>
      <c r="G254" s="437" t="s">
        <v>169</v>
      </c>
      <c r="H254" s="437" t="s">
        <v>702</v>
      </c>
      <c r="I254" s="437" t="s">
        <v>1999</v>
      </c>
      <c r="J254" s="437">
        <v>3400.0</v>
      </c>
      <c r="K254" s="438"/>
      <c r="L254" s="436" t="s">
        <v>1285</v>
      </c>
      <c r="M254" s="439"/>
      <c r="N254" s="422">
        <v>12.888</v>
      </c>
      <c r="O254" s="422">
        <v>11.401</v>
      </c>
      <c r="P254" s="422">
        <v>15.59</v>
      </c>
      <c r="Q254" s="436" t="s">
        <v>1632</v>
      </c>
      <c r="R254" s="438"/>
      <c r="S254" s="436" t="s">
        <v>2000</v>
      </c>
      <c r="T254" s="436" t="s">
        <v>1632</v>
      </c>
      <c r="U254" s="436" t="s">
        <v>1633</v>
      </c>
      <c r="V254" s="451"/>
      <c r="W254" s="441">
        <v>0.06</v>
      </c>
      <c r="X254" s="438"/>
      <c r="Y254" s="442">
        <f t="shared" si="68"/>
        <v>0.7079025357</v>
      </c>
      <c r="Z254" s="442"/>
      <c r="AA254" s="443"/>
      <c r="AB254" s="443"/>
      <c r="AC254" s="436" t="str">
        <f>IF(ISNUMBER(VLOOKUP(B254,'New Masses'!A:C,3,FALSE)),VLOOKUP(B254,'New Masses'!A:C,3,FALSE),"")</f>
        <v/>
      </c>
      <c r="AD254" s="440"/>
      <c r="AE254" s="440">
        <f t="shared" si="69"/>
        <v>0.0000000001513561248</v>
      </c>
      <c r="AF254" s="444">
        <v>-9.82</v>
      </c>
      <c r="AG254" s="438"/>
      <c r="AH254" s="445">
        <v>0.35</v>
      </c>
      <c r="AI254" s="438"/>
      <c r="AJ254" s="446" t="str">
        <f>IF(ISNUMBER(VLOOKUP(B254,'New Masses'!A:C,2, FALSE)),VLOOKUP(B254,'New Masses'!A:C,2, FALSE),"")</f>
        <v/>
      </c>
      <c r="AK254" s="438"/>
      <c r="AL254" s="437"/>
      <c r="AM254" s="447">
        <v>-2.74</v>
      </c>
      <c r="AN254" s="438"/>
      <c r="AO254" s="436">
        <v>3.0</v>
      </c>
      <c r="AP254" s="438"/>
      <c r="AQ254" s="438"/>
      <c r="AR254" s="436"/>
      <c r="AS254" s="438"/>
      <c r="AT254" s="448"/>
      <c r="AU254" s="452"/>
      <c r="AV254" s="438" t="s">
        <v>705</v>
      </c>
      <c r="AW254" s="438"/>
      <c r="AX254" s="450">
        <v>396.039603960396</v>
      </c>
    </row>
    <row r="255">
      <c r="A255" s="435" t="s">
        <v>714</v>
      </c>
      <c r="B255" s="436" t="s">
        <v>715</v>
      </c>
      <c r="C255" s="436"/>
      <c r="D255" s="436" t="s">
        <v>350</v>
      </c>
      <c r="E255" s="436"/>
      <c r="F255" s="436" t="s">
        <v>2486</v>
      </c>
      <c r="G255" s="437" t="s">
        <v>712</v>
      </c>
      <c r="H255" s="437" t="s">
        <v>702</v>
      </c>
      <c r="I255" s="437" t="s">
        <v>1999</v>
      </c>
      <c r="J255" s="437">
        <v>3700.0</v>
      </c>
      <c r="K255" s="438"/>
      <c r="L255" s="436" t="s">
        <v>716</v>
      </c>
      <c r="M255" s="439"/>
      <c r="N255" s="422">
        <v>11.298</v>
      </c>
      <c r="O255" s="422">
        <v>10.26</v>
      </c>
      <c r="P255" s="422">
        <v>13.18</v>
      </c>
      <c r="Q255" s="436" t="s">
        <v>1632</v>
      </c>
      <c r="R255" s="438"/>
      <c r="S255" s="436" t="s">
        <v>2000</v>
      </c>
      <c r="T255" s="436" t="s">
        <v>1632</v>
      </c>
      <c r="U255" s="436" t="s">
        <v>1633</v>
      </c>
      <c r="V255" s="440"/>
      <c r="W255" s="441">
        <v>0.5</v>
      </c>
      <c r="X255" s="438"/>
      <c r="Y255" s="442">
        <f t="shared" si="68"/>
        <v>1.725588473</v>
      </c>
      <c r="Z255" s="442"/>
      <c r="AA255" s="443"/>
      <c r="AB255" s="443"/>
      <c r="AC255" s="436" t="str">
        <f>IF(ISNUMBER(VLOOKUP(B255,'New Masses'!A:C,3,FALSE)),VLOOKUP(B255,'New Masses'!A:C,3,FALSE),"")</f>
        <v/>
      </c>
      <c r="AD255" s="440"/>
      <c r="AE255" s="440">
        <f t="shared" si="69"/>
        <v>0.0000000007413102413</v>
      </c>
      <c r="AF255" s="444">
        <v>-9.13</v>
      </c>
      <c r="AG255" s="438"/>
      <c r="AH255" s="445">
        <v>0.8</v>
      </c>
      <c r="AI255" s="438"/>
      <c r="AJ255" s="446" t="str">
        <f>IF(ISNUMBER(VLOOKUP(B255,'New Masses'!A:C,2, FALSE)),VLOOKUP(B255,'New Masses'!A:C,2, FALSE),"")</f>
        <v/>
      </c>
      <c r="AK255" s="438"/>
      <c r="AL255" s="437"/>
      <c r="AM255" s="447">
        <v>-2.07</v>
      </c>
      <c r="AN255" s="438"/>
      <c r="AO255" s="436">
        <v>3.0</v>
      </c>
      <c r="AP255" s="438"/>
      <c r="AQ255" s="436"/>
      <c r="AR255" s="436"/>
      <c r="AS255" s="438"/>
      <c r="AT255" s="448"/>
      <c r="AU255" s="449" t="s">
        <v>1670</v>
      </c>
      <c r="AV255" s="438" t="s">
        <v>705</v>
      </c>
      <c r="AW255" s="438"/>
      <c r="AX255" s="450">
        <v>400.914084111774</v>
      </c>
    </row>
    <row r="256">
      <c r="A256" s="435" t="s">
        <v>1742</v>
      </c>
      <c r="B256" s="436" t="s">
        <v>1743</v>
      </c>
      <c r="C256" s="436"/>
      <c r="D256" s="436" t="s">
        <v>350</v>
      </c>
      <c r="E256" s="436"/>
      <c r="F256" s="436" t="s">
        <v>2487</v>
      </c>
      <c r="G256" s="437" t="s">
        <v>169</v>
      </c>
      <c r="H256" s="437" t="s">
        <v>702</v>
      </c>
      <c r="I256" s="437" t="s">
        <v>1999</v>
      </c>
      <c r="J256" s="437">
        <v>3700.0</v>
      </c>
      <c r="K256" s="438"/>
      <c r="L256" s="436" t="s">
        <v>713</v>
      </c>
      <c r="M256" s="439"/>
      <c r="N256" s="422">
        <v>11.994</v>
      </c>
      <c r="O256" s="422">
        <v>10.734</v>
      </c>
      <c r="P256" s="422">
        <v>14.56</v>
      </c>
      <c r="Q256" s="436" t="s">
        <v>1632</v>
      </c>
      <c r="R256" s="438"/>
      <c r="S256" s="436" t="s">
        <v>2000</v>
      </c>
      <c r="T256" s="436" t="s">
        <v>1632</v>
      </c>
      <c r="U256" s="436" t="s">
        <v>1633</v>
      </c>
      <c r="V256" s="440"/>
      <c r="W256" s="441">
        <v>0.29</v>
      </c>
      <c r="X256" s="438"/>
      <c r="Y256" s="442">
        <f t="shared" si="68"/>
        <v>1.314169028</v>
      </c>
      <c r="Z256" s="442"/>
      <c r="AA256" s="443"/>
      <c r="AB256" s="443"/>
      <c r="AC256" s="436" t="str">
        <f>IF(ISNUMBER(VLOOKUP(B256,'New Masses'!A:C,3,FALSE)),VLOOKUP(B256,'New Masses'!A:C,3,FALSE),"")</f>
        <v/>
      </c>
      <c r="AD256" s="440"/>
      <c r="AE256" s="440">
        <f t="shared" si="69"/>
        <v>0.0000000002951209227</v>
      </c>
      <c r="AF256" s="444">
        <v>-9.53</v>
      </c>
      <c r="AG256" s="438"/>
      <c r="AH256" s="445">
        <v>0.7</v>
      </c>
      <c r="AI256" s="438"/>
      <c r="AJ256" s="446" t="str">
        <f>IF(ISNUMBER(VLOOKUP(B256,'New Masses'!A:C,2, FALSE)),VLOOKUP(B256,'New Masses'!A:C,2, FALSE),"")</f>
        <v/>
      </c>
      <c r="AK256" s="438"/>
      <c r="AL256" s="437"/>
      <c r="AM256" s="447">
        <v>-2.41</v>
      </c>
      <c r="AN256" s="438"/>
      <c r="AO256" s="436">
        <v>3.0</v>
      </c>
      <c r="AP256" s="438"/>
      <c r="AQ256" s="436"/>
      <c r="AR256" s="436"/>
      <c r="AS256" s="438"/>
      <c r="AT256" s="448"/>
      <c r="AU256" s="449" t="s">
        <v>137</v>
      </c>
      <c r="AV256" s="438" t="s">
        <v>705</v>
      </c>
      <c r="AW256" s="438"/>
      <c r="AX256" s="450">
        <v>410.694484373074</v>
      </c>
    </row>
    <row r="257">
      <c r="A257" s="435" t="s">
        <v>1746</v>
      </c>
      <c r="B257" s="436" t="s">
        <v>1747</v>
      </c>
      <c r="C257" s="436"/>
      <c r="D257" s="436" t="s">
        <v>350</v>
      </c>
      <c r="E257" s="436"/>
      <c r="F257" s="436" t="s">
        <v>2488</v>
      </c>
      <c r="G257" s="437" t="s">
        <v>169</v>
      </c>
      <c r="H257" s="437" t="s">
        <v>702</v>
      </c>
      <c r="I257" s="437" t="s">
        <v>1999</v>
      </c>
      <c r="J257" s="437">
        <v>3800.0</v>
      </c>
      <c r="K257" s="438"/>
      <c r="L257" s="436" t="s">
        <v>1748</v>
      </c>
      <c r="M257" s="439"/>
      <c r="N257" s="422">
        <v>11.4</v>
      </c>
      <c r="O257" s="422">
        <v>10.34</v>
      </c>
      <c r="P257" s="422">
        <v>13.49</v>
      </c>
      <c r="Q257" s="436" t="s">
        <v>1632</v>
      </c>
      <c r="R257" s="438"/>
      <c r="S257" s="436" t="s">
        <v>2000</v>
      </c>
      <c r="T257" s="436" t="s">
        <v>1632</v>
      </c>
      <c r="U257" s="436" t="s">
        <v>1633</v>
      </c>
      <c r="V257" s="440"/>
      <c r="W257" s="441">
        <v>0.53</v>
      </c>
      <c r="X257" s="438"/>
      <c r="Y257" s="442">
        <f t="shared" si="68"/>
        <v>1.684327031</v>
      </c>
      <c r="Z257" s="442"/>
      <c r="AA257" s="443"/>
      <c r="AB257" s="443"/>
      <c r="AC257" s="436" t="str">
        <f>IF(ISNUMBER(VLOOKUP(B257,'New Masses'!A:C,3,FALSE)),VLOOKUP(B257,'New Masses'!A:C,3,FALSE),"")</f>
        <v/>
      </c>
      <c r="AD257" s="440"/>
      <c r="AE257" s="440">
        <f t="shared" si="69"/>
        <v>0.0000000005754399373</v>
      </c>
      <c r="AF257" s="444">
        <v>-9.24</v>
      </c>
      <c r="AG257" s="438"/>
      <c r="AH257" s="445">
        <v>0.9</v>
      </c>
      <c r="AI257" s="438"/>
      <c r="AJ257" s="446" t="str">
        <f>IF(ISNUMBER(VLOOKUP(B257,'New Masses'!A:C,2, FALSE)),VLOOKUP(B257,'New Masses'!A:C,2, FALSE),"")</f>
        <v/>
      </c>
      <c r="AK257" s="438"/>
      <c r="AL257" s="437"/>
      <c r="AM257" s="447">
        <v>-2.12</v>
      </c>
      <c r="AN257" s="438"/>
      <c r="AO257" s="436">
        <v>3.0</v>
      </c>
      <c r="AP257" s="438"/>
      <c r="AQ257" s="436"/>
      <c r="AR257" s="436"/>
      <c r="AS257" s="438"/>
      <c r="AT257" s="448"/>
      <c r="AU257" s="449" t="s">
        <v>137</v>
      </c>
      <c r="AV257" s="438" t="s">
        <v>705</v>
      </c>
      <c r="AW257" s="438"/>
      <c r="AX257" s="450">
        <v>402.252614641995</v>
      </c>
    </row>
    <row r="258">
      <c r="A258" s="435" t="s">
        <v>416</v>
      </c>
      <c r="B258" s="436" t="s">
        <v>417</v>
      </c>
      <c r="C258" s="436"/>
      <c r="D258" s="436" t="s">
        <v>350</v>
      </c>
      <c r="E258" s="436"/>
      <c r="F258" s="436" t="s">
        <v>2489</v>
      </c>
      <c r="G258" s="436" t="s">
        <v>169</v>
      </c>
      <c r="H258" s="436" t="s">
        <v>352</v>
      </c>
      <c r="I258" s="436" t="s">
        <v>2223</v>
      </c>
      <c r="J258" s="436">
        <v>3270.0</v>
      </c>
      <c r="K258" s="436"/>
      <c r="L258" s="436" t="s">
        <v>395</v>
      </c>
      <c r="M258" s="439"/>
      <c r="N258" s="422">
        <v>12.825</v>
      </c>
      <c r="O258" s="422">
        <v>11.59</v>
      </c>
      <c r="P258" s="422">
        <v>15.84</v>
      </c>
      <c r="Q258" s="436" t="s">
        <v>2224</v>
      </c>
      <c r="R258" s="436" t="s">
        <v>2225</v>
      </c>
      <c r="S258" s="436" t="s">
        <v>2191</v>
      </c>
      <c r="T258" s="436" t="s">
        <v>293</v>
      </c>
      <c r="U258" s="436" t="s">
        <v>294</v>
      </c>
      <c r="V258" s="440"/>
      <c r="W258" s="474">
        <v>0.13</v>
      </c>
      <c r="X258" s="436"/>
      <c r="Y258" s="442">
        <f t="shared" si="68"/>
        <v>1.12650169</v>
      </c>
      <c r="Z258" s="469"/>
      <c r="AA258" s="470">
        <v>1.12</v>
      </c>
      <c r="AB258" s="470"/>
      <c r="AC258" s="436" t="str">
        <f>IF(ISNUMBER(VLOOKUP(B258,'New Masses'!A:C,3,FALSE)),VLOOKUP(B258,'New Masses'!A:C,3,FALSE),"")</f>
        <v/>
      </c>
      <c r="AD258" s="440"/>
      <c r="AE258" s="440">
        <f t="shared" si="69"/>
        <v>0.000000001071519305</v>
      </c>
      <c r="AF258" s="439">
        <v>-8.97</v>
      </c>
      <c r="AG258" s="438"/>
      <c r="AH258" s="459">
        <v>0.26</v>
      </c>
      <c r="AI258" s="436"/>
      <c r="AJ258" s="446" t="str">
        <f>IF(ISNUMBER(VLOOKUP(B258,'New Masses'!A:C,2, FALSE)),VLOOKUP(B258,'New Masses'!A:C,2, FALSE),"")</f>
        <v/>
      </c>
      <c r="AK258" s="436"/>
      <c r="AL258" s="436"/>
      <c r="AM258" s="419">
        <v>-2.0</v>
      </c>
      <c r="AN258" s="466">
        <v>43864.0</v>
      </c>
      <c r="AO258" s="436">
        <v>3.0</v>
      </c>
      <c r="AP258" s="438"/>
      <c r="AQ258" s="438"/>
      <c r="AR258" s="438"/>
      <c r="AS258" s="438"/>
      <c r="AT258" s="448"/>
      <c r="AU258" s="449"/>
      <c r="AV258" s="438"/>
      <c r="AW258" s="438"/>
      <c r="AX258" s="450">
        <v>387.672029463074</v>
      </c>
    </row>
    <row r="259">
      <c r="A259" s="435" t="s">
        <v>416</v>
      </c>
      <c r="B259" s="436" t="s">
        <v>417</v>
      </c>
      <c r="C259" s="436"/>
      <c r="D259" s="436" t="s">
        <v>350</v>
      </c>
      <c r="E259" s="436"/>
      <c r="F259" s="436" t="s">
        <v>2490</v>
      </c>
      <c r="G259" s="437" t="s">
        <v>169</v>
      </c>
      <c r="H259" s="437" t="s">
        <v>702</v>
      </c>
      <c r="I259" s="437" t="s">
        <v>1999</v>
      </c>
      <c r="J259" s="437">
        <v>3400.0</v>
      </c>
      <c r="K259" s="438"/>
      <c r="L259" s="436"/>
      <c r="M259" s="439"/>
      <c r="N259" s="422">
        <v>12.825</v>
      </c>
      <c r="O259" s="422">
        <v>11.59</v>
      </c>
      <c r="P259" s="422">
        <v>15.84</v>
      </c>
      <c r="Q259" s="436" t="s">
        <v>1632</v>
      </c>
      <c r="R259" s="438"/>
      <c r="S259" s="436" t="s">
        <v>2000</v>
      </c>
      <c r="T259" s="436" t="s">
        <v>1632</v>
      </c>
      <c r="U259" s="436" t="s">
        <v>1633</v>
      </c>
      <c r="V259" s="451"/>
      <c r="W259" s="441">
        <v>0.13</v>
      </c>
      <c r="X259" s="438"/>
      <c r="Y259" s="442">
        <f t="shared" si="68"/>
        <v>1.042004319</v>
      </c>
      <c r="Z259" s="442"/>
      <c r="AA259" s="443"/>
      <c r="AB259" s="443"/>
      <c r="AC259" s="436" t="str">
        <f>IF(ISNUMBER(VLOOKUP(B259,'New Masses'!A:C,3,FALSE)),VLOOKUP(B259,'New Masses'!A:C,3,FALSE),"")</f>
        <v/>
      </c>
      <c r="AD259" s="440"/>
      <c r="AE259" s="440">
        <f t="shared" si="69"/>
        <v>0.000000002511886432</v>
      </c>
      <c r="AF259" s="444">
        <v>-8.6</v>
      </c>
      <c r="AG259" s="438"/>
      <c r="AH259" s="445">
        <v>0.35</v>
      </c>
      <c r="AI259" s="438"/>
      <c r="AJ259" s="446" t="str">
        <f>IF(ISNUMBER(VLOOKUP(B259,'New Masses'!A:C,2, FALSE)),VLOOKUP(B259,'New Masses'!A:C,2, FALSE),"")</f>
        <v/>
      </c>
      <c r="AK259" s="438"/>
      <c r="AL259" s="437"/>
      <c r="AM259" s="447">
        <v>-1.68</v>
      </c>
      <c r="AN259" s="438"/>
      <c r="AO259" s="436">
        <v>3.0</v>
      </c>
      <c r="AP259" s="438"/>
      <c r="AQ259" s="438"/>
      <c r="AR259" s="436"/>
      <c r="AS259" s="438"/>
      <c r="AT259" s="448"/>
      <c r="AU259" s="452"/>
      <c r="AV259" s="438"/>
      <c r="AW259" s="438"/>
      <c r="AX259" s="450">
        <v>387.672029463074</v>
      </c>
    </row>
    <row r="260">
      <c r="A260" s="435" t="s">
        <v>1739</v>
      </c>
      <c r="B260" s="436" t="s">
        <v>1740</v>
      </c>
      <c r="C260" s="436"/>
      <c r="D260" s="436" t="s">
        <v>350</v>
      </c>
      <c r="E260" s="436"/>
      <c r="F260" s="436" t="s">
        <v>2491</v>
      </c>
      <c r="G260" s="437" t="s">
        <v>169</v>
      </c>
      <c r="H260" s="437" t="s">
        <v>702</v>
      </c>
      <c r="I260" s="437" t="s">
        <v>1999</v>
      </c>
      <c r="J260" s="437">
        <v>3600.0</v>
      </c>
      <c r="K260" s="438"/>
      <c r="L260" s="436" t="s">
        <v>453</v>
      </c>
      <c r="M260" s="439"/>
      <c r="N260" s="422">
        <v>11.054</v>
      </c>
      <c r="O260" s="422">
        <v>9.832</v>
      </c>
      <c r="P260" s="422">
        <v>13.51</v>
      </c>
      <c r="Q260" s="436" t="s">
        <v>1632</v>
      </c>
      <c r="R260" s="438"/>
      <c r="S260" s="436" t="s">
        <v>2000</v>
      </c>
      <c r="T260" s="436" t="s">
        <v>1632</v>
      </c>
      <c r="U260" s="436" t="s">
        <v>1633</v>
      </c>
      <c r="V260" s="440"/>
      <c r="W260" s="441">
        <v>0.64</v>
      </c>
      <c r="X260" s="438"/>
      <c r="Y260" s="442">
        <f t="shared" si="68"/>
        <v>2.062246914</v>
      </c>
      <c r="Z260" s="442"/>
      <c r="AA260" s="443"/>
      <c r="AB260" s="443"/>
      <c r="AC260" s="436" t="str">
        <f>IF(ISNUMBER(VLOOKUP(B260,'New Masses'!A:C,3,FALSE)),VLOOKUP(B260,'New Masses'!A:C,3,FALSE),"")</f>
        <v/>
      </c>
      <c r="AD260" s="440"/>
      <c r="AE260" s="440">
        <f t="shared" si="69"/>
        <v>0.0000000008511380382</v>
      </c>
      <c r="AF260" s="444">
        <v>-9.07</v>
      </c>
      <c r="AG260" s="438"/>
      <c r="AH260" s="445">
        <v>0.7</v>
      </c>
      <c r="AI260" s="438"/>
      <c r="AJ260" s="446" t="str">
        <f>IF(ISNUMBER(VLOOKUP(B260,'New Masses'!A:C,2, FALSE)),VLOOKUP(B260,'New Masses'!A:C,2, FALSE),"")</f>
        <v/>
      </c>
      <c r="AK260" s="438"/>
      <c r="AL260" s="437"/>
      <c r="AM260" s="447">
        <v>-2.15</v>
      </c>
      <c r="AN260" s="438"/>
      <c r="AO260" s="436">
        <v>3.0</v>
      </c>
      <c r="AP260" s="438"/>
      <c r="AQ260" s="436"/>
      <c r="AR260" s="436"/>
      <c r="AS260" s="438"/>
      <c r="AT260" s="448"/>
      <c r="AU260" s="449" t="s">
        <v>1670</v>
      </c>
      <c r="AV260" s="438" t="s">
        <v>705</v>
      </c>
      <c r="AW260" s="438"/>
      <c r="AX260" s="450">
        <v>406.752084604433</v>
      </c>
    </row>
    <row r="261">
      <c r="A261" s="435" t="s">
        <v>1705</v>
      </c>
      <c r="B261" s="436" t="s">
        <v>1706</v>
      </c>
      <c r="C261" s="436"/>
      <c r="D261" s="436" t="s">
        <v>350</v>
      </c>
      <c r="E261" s="436"/>
      <c r="F261" s="436" t="s">
        <v>2492</v>
      </c>
      <c r="G261" s="437" t="s">
        <v>169</v>
      </c>
      <c r="H261" s="437" t="s">
        <v>702</v>
      </c>
      <c r="I261" s="437" t="s">
        <v>1999</v>
      </c>
      <c r="J261" s="437">
        <v>3300.0</v>
      </c>
      <c r="K261" s="438"/>
      <c r="L261" s="436" t="s">
        <v>402</v>
      </c>
      <c r="M261" s="439"/>
      <c r="N261" s="422">
        <v>12.339</v>
      </c>
      <c r="O261" s="422">
        <v>11.254</v>
      </c>
      <c r="P261" s="422">
        <v>15.46</v>
      </c>
      <c r="Q261" s="436" t="s">
        <v>1632</v>
      </c>
      <c r="R261" s="438"/>
      <c r="S261" s="436" t="s">
        <v>2000</v>
      </c>
      <c r="T261" s="436" t="s">
        <v>1632</v>
      </c>
      <c r="U261" s="436" t="s">
        <v>1633</v>
      </c>
      <c r="V261" s="440"/>
      <c r="W261" s="441">
        <v>0.2</v>
      </c>
      <c r="X261" s="438"/>
      <c r="Y261" s="442">
        <f t="shared" si="68"/>
        <v>1.37196425</v>
      </c>
      <c r="Z261" s="442"/>
      <c r="AA261" s="443"/>
      <c r="AB261" s="443"/>
      <c r="AC261" s="436" t="str">
        <f>IF(ISNUMBER(VLOOKUP(B261,'New Masses'!A:C,3,FALSE)),VLOOKUP(B261,'New Masses'!A:C,3,FALSE),"")</f>
        <v/>
      </c>
      <c r="AD261" s="440"/>
      <c r="AE261" s="440">
        <f t="shared" si="69"/>
        <v>0.0000000004073802778</v>
      </c>
      <c r="AF261" s="444">
        <v>-9.39</v>
      </c>
      <c r="AG261" s="438"/>
      <c r="AH261" s="445">
        <v>0.3</v>
      </c>
      <c r="AI261" s="438"/>
      <c r="AJ261" s="446" t="str">
        <f>IF(ISNUMBER(VLOOKUP(B261,'New Masses'!A:C,2, FALSE)),VLOOKUP(B261,'New Masses'!A:C,2, FALSE),"")</f>
        <v/>
      </c>
      <c r="AK261" s="438"/>
      <c r="AL261" s="437"/>
      <c r="AM261" s="447">
        <v>-2.66</v>
      </c>
      <c r="AN261" s="438"/>
      <c r="AO261" s="436">
        <v>3.0</v>
      </c>
      <c r="AP261" s="438"/>
      <c r="AQ261" s="438"/>
      <c r="AR261" s="436"/>
      <c r="AS261" s="438"/>
      <c r="AT261" s="448"/>
      <c r="AU261" s="449"/>
      <c r="AV261" s="438" t="s">
        <v>705</v>
      </c>
      <c r="AW261" s="438"/>
      <c r="AX261" s="450">
        <v>372.661548781396</v>
      </c>
    </row>
    <row r="262">
      <c r="A262" s="435" t="s">
        <v>2001</v>
      </c>
      <c r="B262" s="436" t="s">
        <v>2002</v>
      </c>
      <c r="C262" s="436"/>
      <c r="D262" s="436" t="s">
        <v>350</v>
      </c>
      <c r="E262" s="436"/>
      <c r="F262" s="436" t="s">
        <v>2493</v>
      </c>
      <c r="G262" s="437" t="s">
        <v>169</v>
      </c>
      <c r="H262" s="437" t="s">
        <v>702</v>
      </c>
      <c r="I262" s="437" t="s">
        <v>1999</v>
      </c>
      <c r="J262" s="437">
        <v>4000.0</v>
      </c>
      <c r="K262" s="438"/>
      <c r="L262" s="436" t="s">
        <v>716</v>
      </c>
      <c r="M262" s="439"/>
      <c r="N262" s="422">
        <v>11.697</v>
      </c>
      <c r="O262" s="422">
        <v>10.759</v>
      </c>
      <c r="P262" s="422">
        <v>13.2</v>
      </c>
      <c r="Q262" s="436" t="s">
        <v>1632</v>
      </c>
      <c r="R262" s="438"/>
      <c r="S262" s="436" t="s">
        <v>2000</v>
      </c>
      <c r="T262" s="436" t="s">
        <v>1632</v>
      </c>
      <c r="U262" s="436" t="s">
        <v>1633</v>
      </c>
      <c r="V262" s="440"/>
      <c r="W262" s="441">
        <v>0.43</v>
      </c>
      <c r="X262" s="438"/>
      <c r="Y262" s="442">
        <f t="shared" si="68"/>
        <v>1.369209557</v>
      </c>
      <c r="Z262" s="442"/>
      <c r="AA262" s="443"/>
      <c r="AB262" s="443"/>
      <c r="AC262" s="436" t="str">
        <f>IF(ISNUMBER(VLOOKUP(B262,'New Masses'!A:C,3,FALSE)),VLOOKUP(B262,'New Masses'!A:C,3,FALSE),"")</f>
        <v/>
      </c>
      <c r="AD262" s="440"/>
      <c r="AE262" s="440"/>
      <c r="AF262" s="444"/>
      <c r="AG262" s="438"/>
      <c r="AH262" s="445">
        <v>1.0</v>
      </c>
      <c r="AI262" s="438"/>
      <c r="AJ262" s="446" t="str">
        <f>IF(ISNUMBER(VLOOKUP(B262,'New Masses'!A:C,2, FALSE)),VLOOKUP(B262,'New Masses'!A:C,2, FALSE),"")</f>
        <v/>
      </c>
      <c r="AK262" s="438"/>
      <c r="AL262" s="437"/>
      <c r="AM262" s="447"/>
      <c r="AN262" s="438"/>
      <c r="AO262" s="436">
        <v>3.0</v>
      </c>
      <c r="AP262" s="438"/>
      <c r="AQ262" s="438"/>
      <c r="AR262" s="436"/>
      <c r="AS262" s="438"/>
      <c r="AT262" s="448"/>
      <c r="AU262" s="449" t="s">
        <v>137</v>
      </c>
      <c r="AV262" s="438" t="s">
        <v>705</v>
      </c>
      <c r="AW262" s="438"/>
      <c r="AX262" s="450">
        <v>414.593698175787</v>
      </c>
    </row>
    <row r="263">
      <c r="A263" s="419" t="s">
        <v>372</v>
      </c>
      <c r="B263" s="436" t="s">
        <v>2494</v>
      </c>
      <c r="C263" s="436"/>
      <c r="D263" s="436" t="s">
        <v>199</v>
      </c>
      <c r="E263" s="436"/>
      <c r="F263" s="419" t="s">
        <v>2495</v>
      </c>
      <c r="G263" s="436" t="s">
        <v>169</v>
      </c>
      <c r="H263" s="436" t="s">
        <v>248</v>
      </c>
      <c r="I263" s="436" t="s">
        <v>2231</v>
      </c>
      <c r="J263" s="436"/>
      <c r="K263" s="436"/>
      <c r="L263" s="436" t="s">
        <v>371</v>
      </c>
      <c r="M263" s="439"/>
      <c r="N263" s="422">
        <v>10.402</v>
      </c>
      <c r="O263" s="422">
        <v>9.408</v>
      </c>
      <c r="P263" s="422"/>
      <c r="Q263" s="436" t="s">
        <v>2232</v>
      </c>
      <c r="R263" s="436" t="s">
        <v>2496</v>
      </c>
      <c r="S263" s="436" t="s">
        <v>2234</v>
      </c>
      <c r="T263" s="436" t="s">
        <v>596</v>
      </c>
      <c r="U263" s="436" t="s">
        <v>597</v>
      </c>
      <c r="V263" s="451"/>
      <c r="W263" s="474">
        <v>0.2290867652767773</v>
      </c>
      <c r="X263" s="436"/>
      <c r="Y263" s="442"/>
      <c r="Z263" s="469"/>
      <c r="AA263" s="470">
        <v>1.0</v>
      </c>
      <c r="AB263" s="470"/>
      <c r="AC263" s="436" t="str">
        <f>IF(ISNUMBER(VLOOKUP(B263,'New Masses'!A:C,3,FALSE)),VLOOKUP(B263,'New Masses'!A:C,3,FALSE),"")</f>
        <v/>
      </c>
      <c r="AD263" s="451"/>
      <c r="AE263" s="451">
        <f>10^(AF263)</f>
        <v>0</v>
      </c>
      <c r="AF263" s="439">
        <v>-10.3</v>
      </c>
      <c r="AG263" s="436">
        <v>0.12</v>
      </c>
      <c r="AH263" s="459">
        <v>0.12</v>
      </c>
      <c r="AI263" s="436"/>
      <c r="AJ263" s="446" t="str">
        <f>IF(ISNUMBER(VLOOKUP(B263,'New Masses'!A:C,2, FALSE)),VLOOKUP(B263,'New Masses'!A:C,2, FALSE),"")</f>
        <v/>
      </c>
      <c r="AK263" s="436">
        <f>LOG10(AH263)</f>
        <v>-0.920818754</v>
      </c>
      <c r="AL263" s="460">
        <f>(6.67*10^(-11))*((2*10^(33))^2)*AE263*AH263/(3*10^7*AA263*7*10^10)</f>
        <v>7.64096E+26</v>
      </c>
      <c r="AM263" s="451">
        <f>log10(AL263/(4*10^33))</f>
        <v>-6.718912215</v>
      </c>
      <c r="AN263" s="436"/>
      <c r="AO263" s="436">
        <v>2.04</v>
      </c>
      <c r="AP263" s="436"/>
      <c r="AQ263" s="419">
        <v>0.34</v>
      </c>
      <c r="AR263" s="436"/>
      <c r="AS263" s="438"/>
      <c r="AT263" s="448"/>
      <c r="AU263" s="449"/>
      <c r="AV263" s="438" t="s">
        <v>599</v>
      </c>
      <c r="AW263" s="438"/>
      <c r="AX263" s="450">
        <v>171.16839546746</v>
      </c>
    </row>
    <row r="264">
      <c r="A264" s="419" t="s">
        <v>444</v>
      </c>
      <c r="B264" s="419" t="s">
        <v>444</v>
      </c>
      <c r="C264" s="436"/>
      <c r="D264" s="436" t="s">
        <v>199</v>
      </c>
      <c r="E264" s="436"/>
      <c r="F264" s="436" t="s">
        <v>2497</v>
      </c>
      <c r="G264" s="436" t="s">
        <v>169</v>
      </c>
      <c r="H264" s="436" t="s">
        <v>413</v>
      </c>
      <c r="I264" s="456">
        <v>35400.0</v>
      </c>
      <c r="J264" s="438"/>
      <c r="K264" s="438"/>
      <c r="L264" s="436" t="s">
        <v>427</v>
      </c>
      <c r="M264" s="439"/>
      <c r="N264" s="422">
        <v>9.781</v>
      </c>
      <c r="O264" s="422">
        <v>8.349</v>
      </c>
      <c r="P264" s="422">
        <v>12.46</v>
      </c>
      <c r="Q264" s="436" t="s">
        <v>2189</v>
      </c>
      <c r="R264" s="436" t="s">
        <v>2257</v>
      </c>
      <c r="S264" s="436" t="s">
        <v>414</v>
      </c>
      <c r="T264" s="436" t="s">
        <v>293</v>
      </c>
      <c r="U264" s="436" t="s">
        <v>294</v>
      </c>
      <c r="V264" s="440"/>
      <c r="W264" s="468"/>
      <c r="X264" s="436"/>
      <c r="Y264" s="442"/>
      <c r="Z264" s="469"/>
      <c r="AA264" s="470">
        <v>1.44</v>
      </c>
      <c r="AB264" s="470"/>
      <c r="AC264" s="436" t="str">
        <f>IF(ISNUMBER(VLOOKUP(B264,'New Masses'!A:C,3,FALSE)),VLOOKUP(B264,'New Masses'!A:C,3,FALSE),"")</f>
        <v/>
      </c>
      <c r="AD264" s="451"/>
      <c r="AE264" s="451">
        <v>8.0E-10</v>
      </c>
      <c r="AF264" s="453">
        <f>LOG10(AE264)</f>
        <v>-9.096910013</v>
      </c>
      <c r="AG264" s="438"/>
      <c r="AH264" s="459">
        <v>0.522</v>
      </c>
      <c r="AI264" s="436"/>
      <c r="AJ264" s="446" t="str">
        <f>IF(ISNUMBER(VLOOKUP(B264,'New Masses'!A:C,2, FALSE)),VLOOKUP(B264,'New Masses'!A:C,2, FALSE),"")</f>
        <v/>
      </c>
      <c r="AK264" s="436"/>
      <c r="AL264" s="436"/>
      <c r="AM264" s="436">
        <v>0.007</v>
      </c>
      <c r="AN264" s="438"/>
      <c r="AO264" s="436">
        <v>1.0</v>
      </c>
      <c r="AP264" s="438"/>
      <c r="AQ264" s="438"/>
      <c r="AR264" s="438"/>
      <c r="AS264" s="438"/>
      <c r="AT264" s="448"/>
      <c r="AU264" s="452"/>
      <c r="AV264" s="438"/>
      <c r="AW264" s="438"/>
      <c r="AX264" s="450">
        <v>130.573872168179</v>
      </c>
    </row>
    <row r="265">
      <c r="A265" s="435" t="s">
        <v>545</v>
      </c>
      <c r="B265" s="451" t="s">
        <v>546</v>
      </c>
      <c r="C265" s="440"/>
      <c r="D265" s="440" t="s">
        <v>314</v>
      </c>
      <c r="E265" s="440"/>
      <c r="F265" s="451" t="s">
        <v>2498</v>
      </c>
      <c r="G265" s="440" t="s">
        <v>169</v>
      </c>
      <c r="H265" s="440" t="s">
        <v>476</v>
      </c>
      <c r="I265" s="438"/>
      <c r="J265" s="460">
        <v>3270.0</v>
      </c>
      <c r="K265" s="460">
        <v>75.0</v>
      </c>
      <c r="L265" s="460" t="s">
        <v>395</v>
      </c>
      <c r="M265" s="461">
        <v>0.5</v>
      </c>
      <c r="N265" s="422">
        <v>11.445</v>
      </c>
      <c r="O265" s="422">
        <v>9.544</v>
      </c>
      <c r="P265" s="422">
        <v>15.89</v>
      </c>
      <c r="Q265" s="440" t="s">
        <v>2189</v>
      </c>
      <c r="R265" s="451" t="s">
        <v>2190</v>
      </c>
      <c r="S265" s="451" t="s">
        <v>2191</v>
      </c>
      <c r="T265" s="462" t="s">
        <v>162</v>
      </c>
      <c r="U265" s="451" t="s">
        <v>2192</v>
      </c>
      <c r="V265" s="440"/>
      <c r="W265" s="463"/>
      <c r="X265" s="437"/>
      <c r="Y265" s="442" t="str">
        <f t="shared" ref="Y265:Y306" si="71">IF((W265/((J265/5780)^4))^0.5&gt;0,(W265/((J265/5780)^4))^0.5,"")</f>
        <v/>
      </c>
      <c r="Z265" s="464"/>
      <c r="AA265" s="465">
        <v>1.59</v>
      </c>
      <c r="AB265" s="465">
        <v>0.37</v>
      </c>
      <c r="AC265" s="436" t="str">
        <f>IF(ISNUMBER(VLOOKUP(B265,'New Masses'!A:C,3,FALSE)),VLOOKUP(B265,'New Masses'!A:C,3,FALSE),"")</f>
        <v/>
      </c>
      <c r="AD265" s="440"/>
      <c r="AE265" s="440">
        <f t="shared" ref="AE265:AE266" si="72">10^AF265</f>
        <v>0.0000000003090295433</v>
      </c>
      <c r="AF265" s="444">
        <v>-9.51</v>
      </c>
      <c r="AG265" s="440"/>
      <c r="AH265" s="445">
        <v>0.26</v>
      </c>
      <c r="AI265" s="460">
        <v>0.03</v>
      </c>
      <c r="AJ265" s="446" t="str">
        <f>IF(ISNUMBER(VLOOKUP(B265,'New Masses'!A:C,2, FALSE)),VLOOKUP(B265,'New Masses'!A:C,2, FALSE),"")</f>
        <v/>
      </c>
      <c r="AK265" s="440">
        <f>LOG10(AH265)</f>
        <v>-0.585026652</v>
      </c>
      <c r="AL265" s="460"/>
      <c r="AM265" s="460">
        <v>-2.9</v>
      </c>
      <c r="AN265" s="466">
        <v>43900.0</v>
      </c>
      <c r="AO265" s="436">
        <v>3.0</v>
      </c>
      <c r="AP265" s="440"/>
      <c r="AQ265" s="440"/>
      <c r="AR265" s="440"/>
      <c r="AS265" s="440"/>
      <c r="AT265" s="448"/>
      <c r="AU265" s="452"/>
      <c r="AV265" s="440"/>
      <c r="AW265" s="440"/>
      <c r="AX265" s="450"/>
    </row>
    <row r="266">
      <c r="A266" s="419" t="s">
        <v>1394</v>
      </c>
      <c r="B266" s="419" t="s">
        <v>1394</v>
      </c>
      <c r="C266" s="419"/>
      <c r="D266" s="436" t="s">
        <v>158</v>
      </c>
      <c r="E266" s="436"/>
      <c r="F266" s="436" t="s">
        <v>2499</v>
      </c>
      <c r="G266" s="436" t="s">
        <v>169</v>
      </c>
      <c r="H266" s="436" t="s">
        <v>160</v>
      </c>
      <c r="I266" s="436" t="s">
        <v>1963</v>
      </c>
      <c r="J266" s="436">
        <v>3388.44156</v>
      </c>
      <c r="K266" s="436"/>
      <c r="L266" s="438"/>
      <c r="M266" s="453"/>
      <c r="N266" s="422">
        <v>12.838</v>
      </c>
      <c r="O266" s="422">
        <v>9.545</v>
      </c>
      <c r="P266" s="422"/>
      <c r="Q266" s="436" t="s">
        <v>2183</v>
      </c>
      <c r="R266" s="436" t="s">
        <v>2184</v>
      </c>
      <c r="S266" s="436" t="s">
        <v>1964</v>
      </c>
      <c r="T266" s="419" t="s">
        <v>162</v>
      </c>
      <c r="U266" s="436" t="s">
        <v>2185</v>
      </c>
      <c r="V266" s="451"/>
      <c r="W266" s="458">
        <v>0.5888436553555889</v>
      </c>
      <c r="X266" s="438"/>
      <c r="Y266" s="442">
        <f t="shared" si="71"/>
        <v>2.232830095</v>
      </c>
      <c r="Z266" s="442"/>
      <c r="AA266" s="443"/>
      <c r="AB266" s="443"/>
      <c r="AC266" s="436" t="str">
        <f>IF(ISNUMBER(VLOOKUP(B266,'New Masses'!A:C,3,FALSE)),VLOOKUP(B266,'New Masses'!A:C,3,FALSE),"")</f>
        <v/>
      </c>
      <c r="AD266" s="440"/>
      <c r="AE266" s="440">
        <f t="shared" si="72"/>
        <v>0.000000006025595861</v>
      </c>
      <c r="AF266" s="439">
        <v>-8.22</v>
      </c>
      <c r="AG266" s="438"/>
      <c r="AH266" s="459">
        <f>10^AK266</f>
        <v>0.301995172</v>
      </c>
      <c r="AI266" s="436"/>
      <c r="AJ266" s="446" t="str">
        <f>IF(ISNUMBER(VLOOKUP(B266,'New Masses'!A:C,2, FALSE)),VLOOKUP(B266,'New Masses'!A:C,2, FALSE),"")</f>
        <v/>
      </c>
      <c r="AK266" s="436">
        <v>-0.52</v>
      </c>
      <c r="AL266" s="436"/>
      <c r="AM266" s="436">
        <v>-1.54</v>
      </c>
      <c r="AN266" s="438"/>
      <c r="AO266" s="436">
        <v>1.0</v>
      </c>
      <c r="AP266" s="438"/>
      <c r="AQ266" s="438"/>
      <c r="AR266" s="438"/>
      <c r="AS266" s="438"/>
      <c r="AT266" s="455">
        <v>3.1</v>
      </c>
      <c r="AU266" s="452"/>
      <c r="AV266" s="438"/>
      <c r="AW266" s="438"/>
      <c r="AX266" s="450">
        <v>143.696742394849</v>
      </c>
    </row>
    <row r="267">
      <c r="A267" s="419" t="s">
        <v>1394</v>
      </c>
      <c r="B267" s="419" t="s">
        <v>1394</v>
      </c>
      <c r="C267" s="419"/>
      <c r="D267" s="436" t="s">
        <v>158</v>
      </c>
      <c r="E267" s="436"/>
      <c r="F267" s="436" t="s">
        <v>2499</v>
      </c>
      <c r="G267" s="436" t="s">
        <v>169</v>
      </c>
      <c r="H267" s="436" t="s">
        <v>1309</v>
      </c>
      <c r="I267" s="436" t="s">
        <v>2409</v>
      </c>
      <c r="J267" s="436">
        <v>3850.0</v>
      </c>
      <c r="K267" s="436"/>
      <c r="L267" s="436" t="s">
        <v>427</v>
      </c>
      <c r="M267" s="457">
        <v>2.0</v>
      </c>
      <c r="N267" s="422">
        <v>12.838</v>
      </c>
      <c r="O267" s="422">
        <v>9.545</v>
      </c>
      <c r="P267" s="422"/>
      <c r="Q267" s="436" t="s">
        <v>2410</v>
      </c>
      <c r="R267" s="436" t="s">
        <v>2500</v>
      </c>
      <c r="S267" s="436" t="s">
        <v>2412</v>
      </c>
      <c r="T267" s="436" t="s">
        <v>596</v>
      </c>
      <c r="U267" s="436" t="s">
        <v>2413</v>
      </c>
      <c r="V267" s="440"/>
      <c r="W267" s="474">
        <v>0.55</v>
      </c>
      <c r="X267" s="419"/>
      <c r="Y267" s="442">
        <f t="shared" si="71"/>
        <v>1.671535338</v>
      </c>
      <c r="Z267" s="469"/>
      <c r="AA267" s="470"/>
      <c r="AB267" s="470"/>
      <c r="AC267" s="436" t="str">
        <f>IF(ISNUMBER(VLOOKUP(B267,'New Masses'!A:C,3,FALSE)),VLOOKUP(B267,'New Masses'!A:C,3,FALSE),"")</f>
        <v/>
      </c>
      <c r="AD267" s="451"/>
      <c r="AE267" s="451">
        <f>10^(AF267)</f>
        <v>0.000000001862087137</v>
      </c>
      <c r="AF267" s="439">
        <v>-8.73</v>
      </c>
      <c r="AG267" s="438"/>
      <c r="AH267" s="459">
        <v>0.4</v>
      </c>
      <c r="AI267" s="436"/>
      <c r="AJ267" s="446" t="str">
        <f>IF(ISNUMBER(VLOOKUP(B267,'New Masses'!A:C,2, FALSE)),VLOOKUP(B267,'New Masses'!A:C,2, FALSE),"")</f>
        <v/>
      </c>
      <c r="AK267" s="436"/>
      <c r="AL267" s="438"/>
      <c r="AM267" s="438"/>
      <c r="AN267" s="436" t="s">
        <v>2407</v>
      </c>
      <c r="AO267" s="436">
        <v>1.0</v>
      </c>
      <c r="AP267" s="438"/>
      <c r="AQ267" s="438"/>
      <c r="AR267" s="438"/>
      <c r="AS267" s="438"/>
      <c r="AT267" s="448"/>
      <c r="AU267" s="449"/>
      <c r="AV267" s="438"/>
      <c r="AW267" s="438"/>
      <c r="AX267" s="450">
        <v>143.696742394849</v>
      </c>
    </row>
    <row r="268">
      <c r="A268" s="419" t="s">
        <v>1319</v>
      </c>
      <c r="B268" s="419" t="s">
        <v>1319</v>
      </c>
      <c r="C268" s="454"/>
      <c r="D268" s="420" t="s">
        <v>158</v>
      </c>
      <c r="E268" s="420"/>
      <c r="F268" s="420" t="s">
        <v>2501</v>
      </c>
      <c r="G268" s="420" t="s">
        <v>169</v>
      </c>
      <c r="H268" s="420" t="s">
        <v>160</v>
      </c>
      <c r="I268" s="420" t="s">
        <v>1963</v>
      </c>
      <c r="J268" s="436">
        <v>2630.26799</v>
      </c>
      <c r="K268" s="436"/>
      <c r="L268" s="420" t="s">
        <v>345</v>
      </c>
      <c r="M268" s="429"/>
      <c r="N268" s="422">
        <v>14.844</v>
      </c>
      <c r="O268" s="422">
        <v>12.143</v>
      </c>
      <c r="P268" s="422"/>
      <c r="Q268" s="420" t="s">
        <v>2183</v>
      </c>
      <c r="R268" s="438"/>
      <c r="S268" s="438" t="s">
        <v>1964</v>
      </c>
      <c r="T268" s="421" t="s">
        <v>162</v>
      </c>
      <c r="U268" s="420" t="s">
        <v>2185</v>
      </c>
      <c r="V268" s="451"/>
      <c r="W268" s="458">
        <v>0.020417379446695295</v>
      </c>
      <c r="X268" s="438"/>
      <c r="Y268" s="442">
        <f t="shared" si="71"/>
        <v>0.690010465</v>
      </c>
      <c r="Z268" s="442"/>
      <c r="AA268" s="443"/>
      <c r="AB268" s="443"/>
      <c r="AC268" s="469">
        <f>IF(ISNUMBER(VLOOKUP(B268,'New Masses'!A:C,3,FALSE)),VLOOKUP(B268,'New Masses'!A:C,3,FALSE),"")</f>
        <v>0.53496</v>
      </c>
      <c r="AD268" s="440"/>
      <c r="AE268" s="440">
        <f t="shared" ref="AE268:AE269" si="73">10^AF268</f>
        <v>0.0000000001174897555</v>
      </c>
      <c r="AF268" s="439">
        <v>-9.93</v>
      </c>
      <c r="AG268" s="438"/>
      <c r="AH268" s="459">
        <f>10^AK268</f>
        <v>0.03981071706</v>
      </c>
      <c r="AI268" s="438"/>
      <c r="AJ268" s="446">
        <f>IF(ISNUMBER(VLOOKUP(B268,'New Masses'!A:C,2, FALSE)),VLOOKUP(B268,'New Masses'!A:C,2, FALSE),"")</f>
        <v>0.038933</v>
      </c>
      <c r="AK268" s="436">
        <v>-1.4</v>
      </c>
      <c r="AL268" s="436"/>
      <c r="AM268" s="489">
        <v>-3.61</v>
      </c>
      <c r="AN268" s="436"/>
      <c r="AO268" s="436">
        <v>1.0</v>
      </c>
      <c r="AP268" s="438"/>
      <c r="AQ268" s="436">
        <v>8.5</v>
      </c>
      <c r="AR268" s="438"/>
      <c r="AS268" s="420" t="s">
        <v>2408</v>
      </c>
      <c r="AT268" s="455">
        <v>1.8</v>
      </c>
      <c r="AU268" s="449"/>
      <c r="AV268" s="420" t="s">
        <v>1304</v>
      </c>
      <c r="AW268" s="438"/>
      <c r="AX268" s="450"/>
    </row>
    <row r="269">
      <c r="A269" s="419" t="s">
        <v>1319</v>
      </c>
      <c r="B269" s="419" t="s">
        <v>1319</v>
      </c>
      <c r="C269" s="454"/>
      <c r="D269" s="420" t="s">
        <v>158</v>
      </c>
      <c r="E269" s="420"/>
      <c r="F269" s="420" t="s">
        <v>2501</v>
      </c>
      <c r="G269" s="420" t="s">
        <v>169</v>
      </c>
      <c r="H269" s="420" t="s">
        <v>1309</v>
      </c>
      <c r="I269" s="420" t="s">
        <v>2409</v>
      </c>
      <c r="J269" s="436">
        <v>2650.0</v>
      </c>
      <c r="K269" s="419">
        <v>150.0</v>
      </c>
      <c r="L269" s="420" t="s">
        <v>345</v>
      </c>
      <c r="M269" s="422">
        <v>2.0</v>
      </c>
      <c r="N269" s="422">
        <v>14.844</v>
      </c>
      <c r="O269" s="422">
        <v>12.143</v>
      </c>
      <c r="P269" s="422"/>
      <c r="Q269" s="420" t="s">
        <v>2410</v>
      </c>
      <c r="R269" s="420" t="s">
        <v>2500</v>
      </c>
      <c r="S269" s="420" t="s">
        <v>2412</v>
      </c>
      <c r="T269" s="420" t="s">
        <v>596</v>
      </c>
      <c r="U269" s="420" t="s">
        <v>2413</v>
      </c>
      <c r="V269" s="440"/>
      <c r="W269" s="441">
        <v>0.04</v>
      </c>
      <c r="X269" s="454"/>
      <c r="Y269" s="442">
        <f t="shared" si="71"/>
        <v>0.9514674261</v>
      </c>
      <c r="Z269" s="442"/>
      <c r="AA269" s="443"/>
      <c r="AB269" s="443"/>
      <c r="AC269" s="469">
        <f>IF(ISNUMBER(VLOOKUP(B269,'New Masses'!A:C,3,FALSE)),VLOOKUP(B269,'New Masses'!A:C,3,FALSE),"")</f>
        <v>0.53496</v>
      </c>
      <c r="AD269" s="451"/>
      <c r="AE269" s="451">
        <f t="shared" si="73"/>
        <v>0.0000000002041737945</v>
      </c>
      <c r="AF269" s="439">
        <v>-9.69</v>
      </c>
      <c r="AG269" s="438"/>
      <c r="AH269" s="459">
        <v>0.04</v>
      </c>
      <c r="AI269" s="436"/>
      <c r="AJ269" s="446">
        <f>IF(ISNUMBER(VLOOKUP(B269,'New Masses'!A:C,2, FALSE)),VLOOKUP(B269,'New Masses'!A:C,2, FALSE),"")</f>
        <v>0.038933</v>
      </c>
      <c r="AK269" s="436"/>
      <c r="AL269" s="438"/>
      <c r="AM269" s="438"/>
      <c r="AN269" s="420" t="s">
        <v>2407</v>
      </c>
      <c r="AO269" s="505">
        <v>1.0</v>
      </c>
      <c r="AP269" s="506"/>
      <c r="AQ269" s="505">
        <v>8.5</v>
      </c>
      <c r="AR269" s="506"/>
      <c r="AS269" s="507" t="s">
        <v>2408</v>
      </c>
      <c r="AT269" s="448"/>
      <c r="AU269" s="449"/>
      <c r="AV269" s="506"/>
      <c r="AW269" s="506"/>
      <c r="AX269" s="450"/>
    </row>
    <row r="270">
      <c r="A270" s="419" t="s">
        <v>1319</v>
      </c>
      <c r="B270" s="419" t="s">
        <v>1319</v>
      </c>
      <c r="C270" s="454"/>
      <c r="D270" s="420" t="s">
        <v>158</v>
      </c>
      <c r="E270" s="420"/>
      <c r="F270" s="420" t="s">
        <v>2501</v>
      </c>
      <c r="G270" s="420" t="s">
        <v>169</v>
      </c>
      <c r="H270" s="420" t="s">
        <v>269</v>
      </c>
      <c r="I270" s="420" t="s">
        <v>2199</v>
      </c>
      <c r="J270" s="436">
        <v>2700.0</v>
      </c>
      <c r="K270" s="421">
        <v>100.0</v>
      </c>
      <c r="L270" s="420" t="s">
        <v>353</v>
      </c>
      <c r="M270" s="429"/>
      <c r="N270" s="422">
        <v>14.844</v>
      </c>
      <c r="O270" s="422">
        <v>12.143</v>
      </c>
      <c r="P270" s="422"/>
      <c r="Q270" s="420" t="s">
        <v>2200</v>
      </c>
      <c r="R270" s="420" t="s">
        <v>2176</v>
      </c>
      <c r="S270" s="420" t="s">
        <v>2201</v>
      </c>
      <c r="T270" s="421" t="s">
        <v>162</v>
      </c>
      <c r="U270" s="420" t="s">
        <v>1965</v>
      </c>
      <c r="V270" s="440"/>
      <c r="W270" s="458">
        <v>0.039810717055349734</v>
      </c>
      <c r="X270" s="438"/>
      <c r="Y270" s="442">
        <f t="shared" si="71"/>
        <v>0.9143830113</v>
      </c>
      <c r="Z270" s="442"/>
      <c r="AA270" s="443"/>
      <c r="AB270" s="443"/>
      <c r="AC270" s="469">
        <f>IF(ISNUMBER(VLOOKUP(B270,'New Masses'!A:C,3,FALSE)),VLOOKUP(B270,'New Masses'!A:C,3,FALSE),"")</f>
        <v>0.53496</v>
      </c>
      <c r="AD270" s="451"/>
      <c r="AE270" s="451">
        <f>(10^-10.1)</f>
        <v>0</v>
      </c>
      <c r="AF270" s="439">
        <f>LOG10(AE270)</f>
        <v>-10.1</v>
      </c>
      <c r="AG270" s="438"/>
      <c r="AH270" s="459">
        <f>0.0009543*60</f>
        <v>0.057258</v>
      </c>
      <c r="AI270" s="420"/>
      <c r="AJ270" s="446">
        <f>VLOOKUP(A270,'New Masses'!A:C,2, FALSE)</f>
        <v>0.038933</v>
      </c>
      <c r="AK270" s="420"/>
      <c r="AL270" s="438"/>
      <c r="AM270" s="438"/>
      <c r="AN270" s="420" t="s">
        <v>2407</v>
      </c>
      <c r="AO270" s="505">
        <v>1.0</v>
      </c>
      <c r="AP270" s="506"/>
      <c r="AQ270" s="505">
        <v>8.5</v>
      </c>
      <c r="AR270" s="506"/>
      <c r="AS270" s="507" t="s">
        <v>2408</v>
      </c>
      <c r="AT270" s="448"/>
      <c r="AU270" s="449"/>
      <c r="AV270" s="506"/>
      <c r="AW270" s="506"/>
      <c r="AX270" s="450"/>
    </row>
    <row r="271">
      <c r="A271" s="419" t="s">
        <v>1319</v>
      </c>
      <c r="B271" s="419" t="s">
        <v>1319</v>
      </c>
      <c r="C271" s="454"/>
      <c r="D271" s="420" t="s">
        <v>158</v>
      </c>
      <c r="E271" s="420"/>
      <c r="F271" s="420" t="s">
        <v>2501</v>
      </c>
      <c r="G271" s="420" t="s">
        <v>169</v>
      </c>
      <c r="H271" s="420" t="s">
        <v>754</v>
      </c>
      <c r="I271" s="436">
        <v>2010.0</v>
      </c>
      <c r="J271" s="436">
        <v>2900.0</v>
      </c>
      <c r="K271" s="419">
        <v>75.0</v>
      </c>
      <c r="L271" s="420" t="s">
        <v>345</v>
      </c>
      <c r="M271" s="429"/>
      <c r="N271" s="422">
        <v>14.844</v>
      </c>
      <c r="O271" s="422">
        <v>12.143</v>
      </c>
      <c r="P271" s="422"/>
      <c r="Q271" s="420" t="s">
        <v>2417</v>
      </c>
      <c r="R271" s="420" t="s">
        <v>2502</v>
      </c>
      <c r="S271" s="420" t="s">
        <v>2419</v>
      </c>
      <c r="T271" s="421" t="s">
        <v>162</v>
      </c>
      <c r="U271" s="420" t="s">
        <v>1754</v>
      </c>
      <c r="V271" s="440"/>
      <c r="W271" s="474">
        <v>0.04</v>
      </c>
      <c r="X271" s="436"/>
      <c r="Y271" s="442">
        <f t="shared" si="71"/>
        <v>0.7944922711</v>
      </c>
      <c r="Z271" s="469"/>
      <c r="AA271" s="470">
        <v>0.79</v>
      </c>
      <c r="AB271" s="470">
        <v>0.2</v>
      </c>
      <c r="AC271" s="469">
        <f>IF(ISNUMBER(VLOOKUP(B271,'New Masses'!A:C,3,FALSE)),VLOOKUP(B271,'New Masses'!A:C,3,FALSE),"")</f>
        <v>0.53496</v>
      </c>
      <c r="AD271" s="451"/>
      <c r="AE271" s="451">
        <f>10^AF271</f>
        <v>0.0000000001412537545</v>
      </c>
      <c r="AF271" s="439">
        <v>-9.85</v>
      </c>
      <c r="AG271" s="438"/>
      <c r="AH271" s="459">
        <v>0.07</v>
      </c>
      <c r="AI271" s="436">
        <v>0.02</v>
      </c>
      <c r="AJ271" s="446">
        <f>IF(ISNUMBER(VLOOKUP(B271,'New Masses'!A:C,2, FALSE)),VLOOKUP(B271,'New Masses'!A:C,2, FALSE),"")</f>
        <v>0.038933</v>
      </c>
      <c r="AK271" s="436"/>
      <c r="AL271" s="436"/>
      <c r="AM271" s="436">
        <v>-3.51</v>
      </c>
      <c r="AN271" s="438"/>
      <c r="AO271" s="436">
        <v>1.0</v>
      </c>
      <c r="AP271" s="438"/>
      <c r="AQ271" s="436">
        <v>8.5</v>
      </c>
      <c r="AR271" s="438"/>
      <c r="AS271" s="420" t="s">
        <v>2408</v>
      </c>
      <c r="AT271" s="448"/>
      <c r="AU271" s="452"/>
      <c r="AV271" s="438"/>
      <c r="AW271" s="438"/>
      <c r="AX271" s="450"/>
    </row>
    <row r="272">
      <c r="A272" s="436" t="s">
        <v>636</v>
      </c>
      <c r="B272" s="436" t="s">
        <v>636</v>
      </c>
      <c r="C272" s="420"/>
      <c r="D272" s="420" t="s">
        <v>158</v>
      </c>
      <c r="E272" s="420"/>
      <c r="F272" s="420" t="s">
        <v>2503</v>
      </c>
      <c r="G272" s="420" t="s">
        <v>169</v>
      </c>
      <c r="H272" s="420" t="s">
        <v>269</v>
      </c>
      <c r="I272" s="420" t="s">
        <v>2199</v>
      </c>
      <c r="J272" s="436">
        <v>2600.0</v>
      </c>
      <c r="K272" s="421">
        <v>100.0</v>
      </c>
      <c r="L272" s="420" t="s">
        <v>232</v>
      </c>
      <c r="M272" s="429"/>
      <c r="N272" s="422">
        <v>12.34</v>
      </c>
      <c r="O272" s="422">
        <v>10.857</v>
      </c>
      <c r="P272" s="422">
        <v>17.95</v>
      </c>
      <c r="Q272" s="420" t="s">
        <v>2200</v>
      </c>
      <c r="R272" s="420" t="s">
        <v>2176</v>
      </c>
      <c r="S272" s="420" t="s">
        <v>2201</v>
      </c>
      <c r="T272" s="420" t="s">
        <v>596</v>
      </c>
      <c r="U272" s="420" t="s">
        <v>597</v>
      </c>
      <c r="V272" s="440"/>
      <c r="W272" s="458">
        <v>0.06025595860743578</v>
      </c>
      <c r="X272" s="438"/>
      <c r="Y272" s="442">
        <f t="shared" si="71"/>
        <v>1.213134576</v>
      </c>
      <c r="Z272" s="442"/>
      <c r="AA272" s="443"/>
      <c r="AB272" s="443"/>
      <c r="AC272" s="469">
        <f>IF(ISNUMBER(VLOOKUP(B272,'New Masses'!A:C,3,FALSE)),VLOOKUP(B272,'New Masses'!A:C,3,FALSE),"")</f>
        <v>0.604621</v>
      </c>
      <c r="AD272" s="451"/>
      <c r="AE272" s="451">
        <f>(10^-10.5)</f>
        <v>0</v>
      </c>
      <c r="AF272" s="439">
        <f>LOG10(AE272)</f>
        <v>-10.5</v>
      </c>
      <c r="AG272" s="438"/>
      <c r="AH272" s="459">
        <f>0.0009543*40</f>
        <v>0.038172</v>
      </c>
      <c r="AI272" s="420"/>
      <c r="AJ272" s="446">
        <f>IF(ISNUMBER(VLOOKUP(B272,'New Masses'!A:C,2, FALSE)),VLOOKUP(B272,'New Masses'!A:C,2, FALSE),"")</f>
        <v>0.047607</v>
      </c>
      <c r="AK272" s="420"/>
      <c r="AL272" s="438"/>
      <c r="AM272" s="438"/>
      <c r="AN272" s="420" t="s">
        <v>2407</v>
      </c>
      <c r="AO272" s="505">
        <v>1.0</v>
      </c>
      <c r="AP272" s="506"/>
      <c r="AQ272" s="505">
        <v>2.0</v>
      </c>
      <c r="AR272" s="506"/>
      <c r="AS272" s="507" t="s">
        <v>2504</v>
      </c>
      <c r="AT272" s="448"/>
      <c r="AU272" s="452"/>
      <c r="AV272" s="506"/>
      <c r="AW272" s="506"/>
      <c r="AX272" s="450">
        <v>151.258470474346</v>
      </c>
    </row>
    <row r="273">
      <c r="A273" s="436" t="s">
        <v>636</v>
      </c>
      <c r="B273" s="436" t="s">
        <v>636</v>
      </c>
      <c r="C273" s="420"/>
      <c r="D273" s="420" t="s">
        <v>158</v>
      </c>
      <c r="E273" s="420"/>
      <c r="F273" s="420" t="s">
        <v>2503</v>
      </c>
      <c r="G273" s="420" t="s">
        <v>169</v>
      </c>
      <c r="H273" s="420" t="s">
        <v>160</v>
      </c>
      <c r="I273" s="420" t="s">
        <v>1963</v>
      </c>
      <c r="J273" s="436">
        <v>2691.5348</v>
      </c>
      <c r="K273" s="436"/>
      <c r="L273" s="420" t="s">
        <v>217</v>
      </c>
      <c r="M273" s="429"/>
      <c r="N273" s="422">
        <v>12.34</v>
      </c>
      <c r="O273" s="422">
        <v>10.857</v>
      </c>
      <c r="P273" s="422">
        <v>17.95</v>
      </c>
      <c r="Q273" s="420" t="s">
        <v>2183</v>
      </c>
      <c r="R273" s="438"/>
      <c r="S273" s="438" t="s">
        <v>1964</v>
      </c>
      <c r="T273" s="421" t="s">
        <v>162</v>
      </c>
      <c r="U273" s="420" t="s">
        <v>2185</v>
      </c>
      <c r="V273" s="451"/>
      <c r="W273" s="458">
        <v>0.03715352290971726</v>
      </c>
      <c r="X273" s="438"/>
      <c r="Y273" s="442">
        <f t="shared" si="71"/>
        <v>0.8889056735</v>
      </c>
      <c r="Z273" s="442"/>
      <c r="AA273" s="443"/>
      <c r="AB273" s="443"/>
      <c r="AC273" s="469">
        <f>IF(ISNUMBER(VLOOKUP(B273,'New Masses'!A:C,3,FALSE)),VLOOKUP(B273,'New Masses'!A:C,3,FALSE),"")</f>
        <v>0.604621</v>
      </c>
      <c r="AD273" s="440"/>
      <c r="AE273" s="440">
        <f t="shared" ref="AE273:AE277" si="74">10^AF273</f>
        <v>0</v>
      </c>
      <c r="AF273" s="439">
        <v>-10.54</v>
      </c>
      <c r="AG273" s="438"/>
      <c r="AH273" s="459">
        <f>10^AK273</f>
        <v>0.05754399373</v>
      </c>
      <c r="AI273" s="438"/>
      <c r="AJ273" s="446">
        <f>IF(ISNUMBER(VLOOKUP(B273,'New Masses'!A:C,2, FALSE)),VLOOKUP(B273,'New Masses'!A:C,2, FALSE),"")</f>
        <v>0.047607</v>
      </c>
      <c r="AK273" s="436">
        <v>-1.24</v>
      </c>
      <c r="AL273" s="436"/>
      <c r="AM273" s="511">
        <v>-4.17</v>
      </c>
      <c r="AN273" s="436"/>
      <c r="AO273" s="436">
        <v>1.0</v>
      </c>
      <c r="AP273" s="438"/>
      <c r="AQ273" s="436">
        <v>2.0</v>
      </c>
      <c r="AR273" s="438"/>
      <c r="AS273" s="420" t="s">
        <v>2504</v>
      </c>
      <c r="AT273" s="455">
        <v>0.0</v>
      </c>
      <c r="AU273" s="452"/>
      <c r="AV273" s="420" t="s">
        <v>1304</v>
      </c>
      <c r="AW273" s="438"/>
      <c r="AX273" s="450">
        <v>151.258470474346</v>
      </c>
    </row>
    <row r="274">
      <c r="A274" s="436" t="s">
        <v>636</v>
      </c>
      <c r="B274" s="436" t="s">
        <v>636</v>
      </c>
      <c r="C274" s="420"/>
      <c r="D274" s="420" t="s">
        <v>158</v>
      </c>
      <c r="E274" s="420"/>
      <c r="F274" s="420" t="s">
        <v>2503</v>
      </c>
      <c r="G274" s="420" t="s">
        <v>169</v>
      </c>
      <c r="H274" s="420" t="s">
        <v>754</v>
      </c>
      <c r="I274" s="436">
        <v>2010.0</v>
      </c>
      <c r="J274" s="436">
        <v>2935.0</v>
      </c>
      <c r="K274" s="419">
        <v>50.0</v>
      </c>
      <c r="L274" s="420" t="s">
        <v>217</v>
      </c>
      <c r="M274" s="429"/>
      <c r="N274" s="422">
        <v>12.34</v>
      </c>
      <c r="O274" s="422">
        <v>10.857</v>
      </c>
      <c r="P274" s="422">
        <v>17.95</v>
      </c>
      <c r="Q274" s="420" t="s">
        <v>2417</v>
      </c>
      <c r="R274" s="420" t="s">
        <v>2505</v>
      </c>
      <c r="S274" s="420" t="s">
        <v>2419</v>
      </c>
      <c r="T274" s="421" t="s">
        <v>162</v>
      </c>
      <c r="U274" s="420" t="s">
        <v>1754</v>
      </c>
      <c r="V274" s="440"/>
      <c r="W274" s="474">
        <v>0.033</v>
      </c>
      <c r="X274" s="436"/>
      <c r="Y274" s="442">
        <f t="shared" si="71"/>
        <v>0.7045250438</v>
      </c>
      <c r="Z274" s="469"/>
      <c r="AA274" s="470">
        <v>0.7</v>
      </c>
      <c r="AB274" s="470">
        <v>0.03</v>
      </c>
      <c r="AC274" s="469">
        <f>IF(ISNUMBER(VLOOKUP(B274,'New Masses'!A:C,3,FALSE)),VLOOKUP(B274,'New Masses'!A:C,3,FALSE),"")</f>
        <v>0.604621</v>
      </c>
      <c r="AD274" s="451"/>
      <c r="AE274" s="451">
        <f t="shared" si="74"/>
        <v>0</v>
      </c>
      <c r="AF274" s="439">
        <v>-10.49</v>
      </c>
      <c r="AG274" s="438"/>
      <c r="AH274" s="459">
        <v>0.07</v>
      </c>
      <c r="AI274" s="436">
        <v>0.01</v>
      </c>
      <c r="AJ274" s="446">
        <f>IF(ISNUMBER(VLOOKUP(B274,'New Masses'!A:C,2, FALSE)),VLOOKUP(B274,'New Masses'!A:C,2, FALSE),"")</f>
        <v>0.047607</v>
      </c>
      <c r="AK274" s="436"/>
      <c r="AL274" s="436"/>
      <c r="AM274" s="436">
        <v>-4.09</v>
      </c>
      <c r="AN274" s="438"/>
      <c r="AO274" s="436">
        <v>1.0</v>
      </c>
      <c r="AP274" s="438"/>
      <c r="AQ274" s="436">
        <v>2.0</v>
      </c>
      <c r="AR274" s="438"/>
      <c r="AS274" s="420" t="s">
        <v>2504</v>
      </c>
      <c r="AT274" s="448"/>
      <c r="AU274" s="449"/>
      <c r="AV274" s="438"/>
      <c r="AW274" s="438"/>
      <c r="AX274" s="450">
        <v>151.258470474346</v>
      </c>
    </row>
    <row r="275">
      <c r="A275" s="436" t="s">
        <v>636</v>
      </c>
      <c r="B275" s="436" t="s">
        <v>636</v>
      </c>
      <c r="C275" s="420"/>
      <c r="D275" s="436" t="s">
        <v>158</v>
      </c>
      <c r="E275" s="436"/>
      <c r="F275" s="436" t="s">
        <v>2503</v>
      </c>
      <c r="G275" s="436" t="s">
        <v>169</v>
      </c>
      <c r="H275" s="436" t="s">
        <v>754</v>
      </c>
      <c r="I275" s="436">
        <v>2010.0</v>
      </c>
      <c r="J275" s="436">
        <v>2935.0</v>
      </c>
      <c r="K275" s="436">
        <v>50.0</v>
      </c>
      <c r="L275" s="436" t="s">
        <v>217</v>
      </c>
      <c r="M275" s="439"/>
      <c r="N275" s="422">
        <v>12.34</v>
      </c>
      <c r="O275" s="422">
        <v>10.857</v>
      </c>
      <c r="P275" s="422">
        <v>17.95</v>
      </c>
      <c r="Q275" s="436" t="s">
        <v>2417</v>
      </c>
      <c r="R275" s="436" t="s">
        <v>2505</v>
      </c>
      <c r="S275" s="436" t="s">
        <v>2419</v>
      </c>
      <c r="T275" s="419" t="s">
        <v>162</v>
      </c>
      <c r="U275" s="436" t="s">
        <v>1754</v>
      </c>
      <c r="V275" s="440"/>
      <c r="W275" s="474">
        <v>0.033</v>
      </c>
      <c r="X275" s="436"/>
      <c r="Y275" s="442">
        <f t="shared" si="71"/>
        <v>0.7045250438</v>
      </c>
      <c r="Z275" s="469"/>
      <c r="AA275" s="470">
        <v>0.7</v>
      </c>
      <c r="AB275" s="470">
        <v>0.03</v>
      </c>
      <c r="AC275" s="469">
        <f>IF(ISNUMBER(VLOOKUP(B275,'New Masses'!A:C,3,FALSE)),VLOOKUP(B275,'New Masses'!A:C,3,FALSE),"")</f>
        <v>0.604621</v>
      </c>
      <c r="AD275" s="440"/>
      <c r="AE275" s="440">
        <f t="shared" si="74"/>
        <v>0</v>
      </c>
      <c r="AF275" s="439">
        <v>-10.49</v>
      </c>
      <c r="AG275" s="438"/>
      <c r="AH275" s="459">
        <v>0.07</v>
      </c>
      <c r="AI275" s="436">
        <v>0.1</v>
      </c>
      <c r="AJ275" s="446">
        <f>IF(ISNUMBER(VLOOKUP(B275,'New Masses'!A:C,2, FALSE)),VLOOKUP(B275,'New Masses'!A:C,2, FALSE),"")</f>
        <v>0.047607</v>
      </c>
      <c r="AK275" s="436">
        <f>LOG10(AH275)</f>
        <v>-1.15490196</v>
      </c>
      <c r="AL275" s="436"/>
      <c r="AM275" s="436">
        <v>-4.09</v>
      </c>
      <c r="AN275" s="438"/>
      <c r="AO275" s="436">
        <v>1.0</v>
      </c>
      <c r="AP275" s="438"/>
      <c r="AQ275" s="438"/>
      <c r="AR275" s="438"/>
      <c r="AS275" s="438"/>
      <c r="AT275" s="448"/>
      <c r="AU275" s="449"/>
      <c r="AV275" s="438"/>
      <c r="AW275" s="438"/>
      <c r="AX275" s="450">
        <v>151.258470474346</v>
      </c>
    </row>
    <row r="276">
      <c r="A276" s="436" t="s">
        <v>214</v>
      </c>
      <c r="B276" s="436" t="s">
        <v>214</v>
      </c>
      <c r="C276" s="421" t="s">
        <v>2506</v>
      </c>
      <c r="D276" s="420" t="s">
        <v>158</v>
      </c>
      <c r="E276" s="420"/>
      <c r="F276" s="420" t="s">
        <v>2507</v>
      </c>
      <c r="G276" s="420" t="s">
        <v>169</v>
      </c>
      <c r="H276" s="420" t="s">
        <v>160</v>
      </c>
      <c r="I276" s="420" t="s">
        <v>1963</v>
      </c>
      <c r="J276" s="436">
        <v>2344.22882</v>
      </c>
      <c r="K276" s="436"/>
      <c r="L276" s="420" t="s">
        <v>318</v>
      </c>
      <c r="M276" s="429"/>
      <c r="N276" s="422">
        <v>16.451</v>
      </c>
      <c r="O276" s="422">
        <v>13.935</v>
      </c>
      <c r="P276" s="422"/>
      <c r="Q276" s="420" t="s">
        <v>2183</v>
      </c>
      <c r="R276" s="438"/>
      <c r="S276" s="438" t="s">
        <v>1964</v>
      </c>
      <c r="T276" s="421" t="s">
        <v>162</v>
      </c>
      <c r="U276" s="420" t="s">
        <v>2185</v>
      </c>
      <c r="V276" s="451"/>
      <c r="W276" s="458">
        <v>0.001122018454301963</v>
      </c>
      <c r="X276" s="438"/>
      <c r="Y276" s="442">
        <f t="shared" si="71"/>
        <v>0.203636524</v>
      </c>
      <c r="Z276" s="442"/>
      <c r="AA276" s="443"/>
      <c r="AB276" s="443"/>
      <c r="AC276" s="469">
        <f>IF(ISNUMBER(VLOOKUP(B276,'New Masses'!A:C,3,FALSE)),VLOOKUP(B276,'New Masses'!A:C,3,FALSE),"")</f>
        <v>0.604621</v>
      </c>
      <c r="AD276" s="440"/>
      <c r="AE276" s="440">
        <f t="shared" si="74"/>
        <v>0</v>
      </c>
      <c r="AF276" s="439">
        <v>-11.81</v>
      </c>
      <c r="AG276" s="438"/>
      <c r="AH276" s="459">
        <f>10^AK276</f>
        <v>0.006918309709</v>
      </c>
      <c r="AI276" s="438"/>
      <c r="AJ276" s="446">
        <f>IF(ISNUMBER(VLOOKUP(B276,'New Masses'!A:C,2, FALSE)),VLOOKUP(B276,'New Masses'!A:C,2, FALSE),"")</f>
        <v>0.047607</v>
      </c>
      <c r="AK276" s="436">
        <v>-2.16</v>
      </c>
      <c r="AL276" s="436"/>
      <c r="AM276" s="489">
        <v>-5.73</v>
      </c>
      <c r="AN276" s="436"/>
      <c r="AO276" s="436">
        <v>1.0</v>
      </c>
      <c r="AP276" s="438"/>
      <c r="AQ276" s="436">
        <v>7.8</v>
      </c>
      <c r="AR276" s="438"/>
      <c r="AS276" s="420" t="s">
        <v>2408</v>
      </c>
      <c r="AT276" s="455">
        <v>0.6</v>
      </c>
      <c r="AU276" s="449" t="s">
        <v>137</v>
      </c>
      <c r="AV276" s="420" t="s">
        <v>1304</v>
      </c>
      <c r="AW276" s="438"/>
      <c r="AX276" s="450"/>
    </row>
    <row r="277">
      <c r="A277" s="436" t="s">
        <v>214</v>
      </c>
      <c r="B277" s="508" t="s">
        <v>214</v>
      </c>
      <c r="C277" s="421" t="s">
        <v>2506</v>
      </c>
      <c r="D277" s="420" t="s">
        <v>158</v>
      </c>
      <c r="E277" s="420"/>
      <c r="F277" s="420" t="s">
        <v>2507</v>
      </c>
      <c r="G277" s="420" t="s">
        <v>169</v>
      </c>
      <c r="H277" s="420" t="s">
        <v>1309</v>
      </c>
      <c r="I277" s="420" t="s">
        <v>2409</v>
      </c>
      <c r="J277" s="436">
        <v>2400.0</v>
      </c>
      <c r="K277" s="419">
        <v>150.0</v>
      </c>
      <c r="L277" s="420" t="s">
        <v>213</v>
      </c>
      <c r="M277" s="422">
        <v>0.5</v>
      </c>
      <c r="N277" s="422">
        <v>16.451</v>
      </c>
      <c r="O277" s="422">
        <v>13.935</v>
      </c>
      <c r="P277" s="422"/>
      <c r="Q277" s="420" t="s">
        <v>2410</v>
      </c>
      <c r="R277" s="420" t="s">
        <v>2508</v>
      </c>
      <c r="S277" s="420" t="s">
        <v>2412</v>
      </c>
      <c r="T277" s="420" t="s">
        <v>596</v>
      </c>
      <c r="U277" s="420" t="s">
        <v>2413</v>
      </c>
      <c r="V277" s="440"/>
      <c r="W277" s="441">
        <v>0.01</v>
      </c>
      <c r="X277" s="454"/>
      <c r="Y277" s="442">
        <f t="shared" si="71"/>
        <v>0.5800069444</v>
      </c>
      <c r="Z277" s="442"/>
      <c r="AA277" s="443"/>
      <c r="AB277" s="443"/>
      <c r="AC277" s="469">
        <f>IF(ISNUMBER(VLOOKUP(B277,'New Masses'!A:C,3,FALSE)),VLOOKUP(B277,'New Masses'!A:C,3,FALSE),"")</f>
        <v>0.604621</v>
      </c>
      <c r="AD277" s="451"/>
      <c r="AE277" s="451">
        <f t="shared" si="74"/>
        <v>0</v>
      </c>
      <c r="AF277" s="439">
        <v>-10.83</v>
      </c>
      <c r="AG277" s="438"/>
      <c r="AH277" s="459">
        <v>0.015</v>
      </c>
      <c r="AI277" s="436"/>
      <c r="AJ277" s="446">
        <f>IF(ISNUMBER(VLOOKUP(B277,'New Masses'!A:C,2, FALSE)),VLOOKUP(B277,'New Masses'!A:C,2, FALSE),"")</f>
        <v>0.047607</v>
      </c>
      <c r="AK277" s="436"/>
      <c r="AL277" s="438"/>
      <c r="AM277" s="438"/>
      <c r="AN277" s="420" t="s">
        <v>2407</v>
      </c>
      <c r="AO277" s="505">
        <v>1.0</v>
      </c>
      <c r="AP277" s="506"/>
      <c r="AQ277" s="505">
        <v>7.8</v>
      </c>
      <c r="AR277" s="507"/>
      <c r="AS277" s="507" t="s">
        <v>2408</v>
      </c>
      <c r="AT277" s="448"/>
      <c r="AU277" s="449" t="s">
        <v>137</v>
      </c>
      <c r="AV277" s="506"/>
      <c r="AW277" s="506"/>
      <c r="AX277" s="450"/>
    </row>
    <row r="278">
      <c r="A278" s="436" t="s">
        <v>214</v>
      </c>
      <c r="B278" s="532" t="s">
        <v>214</v>
      </c>
      <c r="C278" s="421" t="s">
        <v>2506</v>
      </c>
      <c r="D278" s="420" t="s">
        <v>158</v>
      </c>
      <c r="E278" s="420"/>
      <c r="F278" s="420" t="s">
        <v>2507</v>
      </c>
      <c r="G278" s="420" t="s">
        <v>169</v>
      </c>
      <c r="H278" s="420" t="s">
        <v>215</v>
      </c>
      <c r="I278" s="420" t="s">
        <v>2509</v>
      </c>
      <c r="J278" s="436">
        <v>2700.0</v>
      </c>
      <c r="K278" s="421">
        <v>100.0</v>
      </c>
      <c r="L278" s="420" t="s">
        <v>217</v>
      </c>
      <c r="M278" s="429"/>
      <c r="N278" s="422">
        <v>16.451</v>
      </c>
      <c r="O278" s="422">
        <v>13.935</v>
      </c>
      <c r="P278" s="422"/>
      <c r="Q278" s="420" t="s">
        <v>2510</v>
      </c>
      <c r="R278" s="420" t="s">
        <v>2511</v>
      </c>
      <c r="S278" s="420" t="s">
        <v>216</v>
      </c>
      <c r="T278" s="421" t="s">
        <v>162</v>
      </c>
      <c r="U278" s="420" t="s">
        <v>2210</v>
      </c>
      <c r="V278" s="462">
        <v>1020000.0</v>
      </c>
      <c r="W278" s="533">
        <v>0.005011872336272725</v>
      </c>
      <c r="X278" s="420"/>
      <c r="Y278" s="442">
        <f t="shared" si="71"/>
        <v>0.3244353353</v>
      </c>
      <c r="Z278" s="534"/>
      <c r="AA278" s="426"/>
      <c r="AB278" s="426"/>
      <c r="AC278" s="469">
        <f>IF(ISNUMBER(VLOOKUP(B278,'New Masses'!A:C,3,FALSE)),VLOOKUP(B278,'New Masses'!A:C,3,FALSE),"")</f>
        <v>0.604621</v>
      </c>
      <c r="AD278" s="451"/>
      <c r="AE278" s="451">
        <f>9.5*10^-10</f>
        <v>0.00000000095</v>
      </c>
      <c r="AF278" s="439">
        <f>LOG10(AE278)</f>
        <v>-9.022276395</v>
      </c>
      <c r="AG278" s="420" t="s">
        <v>2512</v>
      </c>
      <c r="AH278" s="459">
        <f>0.0009543 *30</f>
        <v>0.028629</v>
      </c>
      <c r="AI278" s="438"/>
      <c r="AJ278" s="446">
        <f>IF(ISNUMBER(VLOOKUP(B278,'New Masses'!A:C,2, FALSE)),VLOOKUP(B278,'New Masses'!A:C,2, FALSE),"")</f>
        <v>0.047607</v>
      </c>
      <c r="AK278" s="438"/>
      <c r="AL278" s="438"/>
      <c r="AM278" s="438"/>
      <c r="AN278" s="438"/>
      <c r="AO278" s="436">
        <v>1.0</v>
      </c>
      <c r="AP278" s="438"/>
      <c r="AQ278" s="419">
        <v>8.0</v>
      </c>
      <c r="AR278" s="438"/>
      <c r="AS278" s="420"/>
      <c r="AT278" s="448"/>
      <c r="AU278" s="452"/>
      <c r="AV278" s="438"/>
      <c r="AW278" s="438"/>
      <c r="AX278" s="450"/>
    </row>
    <row r="279">
      <c r="A279" s="436" t="s">
        <v>214</v>
      </c>
      <c r="B279" s="436" t="s">
        <v>214</v>
      </c>
      <c r="C279" s="421" t="s">
        <v>2506</v>
      </c>
      <c r="D279" s="420" t="s">
        <v>158</v>
      </c>
      <c r="E279" s="420"/>
      <c r="F279" s="420" t="s">
        <v>2507</v>
      </c>
      <c r="G279" s="420" t="s">
        <v>169</v>
      </c>
      <c r="H279" s="420" t="s">
        <v>754</v>
      </c>
      <c r="I279" s="436">
        <v>2010.0</v>
      </c>
      <c r="J279" s="436">
        <v>2700.0</v>
      </c>
      <c r="K279" s="419">
        <v>75.0</v>
      </c>
      <c r="L279" s="420" t="s">
        <v>318</v>
      </c>
      <c r="M279" s="429"/>
      <c r="N279" s="422">
        <v>16.451</v>
      </c>
      <c r="O279" s="422">
        <v>13.935</v>
      </c>
      <c r="P279" s="422"/>
      <c r="Q279" s="420" t="s">
        <v>2417</v>
      </c>
      <c r="R279" s="420" t="s">
        <v>2513</v>
      </c>
      <c r="S279" s="420" t="s">
        <v>2419</v>
      </c>
      <c r="T279" s="421" t="s">
        <v>162</v>
      </c>
      <c r="U279" s="420" t="s">
        <v>1754</v>
      </c>
      <c r="V279" s="440"/>
      <c r="W279" s="474">
        <v>0.005</v>
      </c>
      <c r="X279" s="436"/>
      <c r="Y279" s="442">
        <f t="shared" si="71"/>
        <v>0.3240508393</v>
      </c>
      <c r="Z279" s="469"/>
      <c r="AA279" s="470">
        <v>0.32</v>
      </c>
      <c r="AB279" s="470">
        <v>0.06</v>
      </c>
      <c r="AC279" s="469">
        <f>IF(ISNUMBER(VLOOKUP(B279,'New Masses'!A:C,3,FALSE)),VLOOKUP(B279,'New Masses'!A:C,3,FALSE),"")</f>
        <v>0.604621</v>
      </c>
      <c r="AD279" s="451"/>
      <c r="AE279" s="451">
        <f>10^AF279</f>
        <v>0</v>
      </c>
      <c r="AF279" s="439">
        <v>-10.7</v>
      </c>
      <c r="AG279" s="438"/>
      <c r="AH279" s="459">
        <v>0.03</v>
      </c>
      <c r="AI279" s="436">
        <v>0.02</v>
      </c>
      <c r="AJ279" s="446">
        <f>IF(ISNUMBER(VLOOKUP(B279,'New Masses'!A:C,2, FALSE)),VLOOKUP(B279,'New Masses'!A:C,2, FALSE),"")</f>
        <v>0.047607</v>
      </c>
      <c r="AK279" s="436"/>
      <c r="AL279" s="436"/>
      <c r="AM279" s="436">
        <v>-4.33</v>
      </c>
      <c r="AN279" s="438"/>
      <c r="AO279" s="436">
        <v>1.0</v>
      </c>
      <c r="AP279" s="438"/>
      <c r="AQ279" s="436">
        <v>7.8</v>
      </c>
      <c r="AR279" s="438"/>
      <c r="AS279" s="420" t="s">
        <v>2408</v>
      </c>
      <c r="AT279" s="448"/>
      <c r="AU279" s="452"/>
      <c r="AV279" s="438"/>
      <c r="AW279" s="438"/>
      <c r="AX279" s="450"/>
    </row>
    <row r="280">
      <c r="A280" s="436" t="s">
        <v>1967</v>
      </c>
      <c r="B280" s="436" t="s">
        <v>1967</v>
      </c>
      <c r="C280" s="436"/>
      <c r="D280" s="436" t="s">
        <v>158</v>
      </c>
      <c r="E280" s="436"/>
      <c r="F280" s="436" t="s">
        <v>2514</v>
      </c>
      <c r="G280" s="436" t="s">
        <v>169</v>
      </c>
      <c r="H280" s="436" t="s">
        <v>160</v>
      </c>
      <c r="I280" s="436" t="s">
        <v>1963</v>
      </c>
      <c r="J280" s="436">
        <v>2818.38293</v>
      </c>
      <c r="K280" s="436"/>
      <c r="L280" s="438"/>
      <c r="M280" s="453"/>
      <c r="N280" s="422">
        <v>14.932</v>
      </c>
      <c r="O280" s="422">
        <v>11.533</v>
      </c>
      <c r="P280" s="422"/>
      <c r="Q280" s="436" t="s">
        <v>2183</v>
      </c>
      <c r="R280" s="436" t="s">
        <v>2184</v>
      </c>
      <c r="S280" s="436" t="s">
        <v>1964</v>
      </c>
      <c r="T280" s="419" t="s">
        <v>162</v>
      </c>
      <c r="U280" s="436" t="s">
        <v>2185</v>
      </c>
      <c r="V280" s="451"/>
      <c r="W280" s="458">
        <v>0.07585775750291836</v>
      </c>
      <c r="X280" s="438"/>
      <c r="Y280" s="442">
        <f t="shared" si="71"/>
        <v>1.158392341</v>
      </c>
      <c r="Z280" s="442"/>
      <c r="AA280" s="443"/>
      <c r="AB280" s="443"/>
      <c r="AC280" s="436" t="str">
        <f>IF(ISNUMBER(VLOOKUP(B280,'New Masses'!A:C,3,FALSE)),VLOOKUP(B280,'New Masses'!A:C,3,FALSE),"")</f>
        <v/>
      </c>
      <c r="AD280" s="440"/>
      <c r="AE280" s="440"/>
      <c r="AF280" s="439"/>
      <c r="AG280" s="438"/>
      <c r="AH280" s="459">
        <f t="shared" ref="AH280:AH282" si="75">10^AK280</f>
        <v>0.087096359</v>
      </c>
      <c r="AI280" s="436"/>
      <c r="AJ280" s="446" t="str">
        <f>IF(ISNUMBER(VLOOKUP(B280,'New Masses'!A:C,2, FALSE)),VLOOKUP(B280,'New Masses'!A:C,2, FALSE),"")</f>
        <v/>
      </c>
      <c r="AK280" s="436">
        <v>-1.06</v>
      </c>
      <c r="AL280" s="436"/>
      <c r="AM280" s="436"/>
      <c r="AN280" s="438"/>
      <c r="AO280" s="436">
        <v>1.0</v>
      </c>
      <c r="AP280" s="438"/>
      <c r="AQ280" s="438"/>
      <c r="AR280" s="438"/>
      <c r="AS280" s="438"/>
      <c r="AT280" s="455">
        <v>3.2</v>
      </c>
      <c r="AU280" s="452"/>
      <c r="AV280" s="438"/>
      <c r="AW280" s="438"/>
      <c r="AX280" s="450"/>
    </row>
    <row r="281">
      <c r="A281" s="436" t="s">
        <v>1475</v>
      </c>
      <c r="B281" s="436" t="s">
        <v>1475</v>
      </c>
      <c r="C281" s="436"/>
      <c r="D281" s="436" t="s">
        <v>158</v>
      </c>
      <c r="E281" s="436"/>
      <c r="F281" s="436" t="s">
        <v>2515</v>
      </c>
      <c r="G281" s="436" t="s">
        <v>169</v>
      </c>
      <c r="H281" s="436" t="s">
        <v>160</v>
      </c>
      <c r="I281" s="436" t="s">
        <v>1963</v>
      </c>
      <c r="J281" s="436">
        <v>4570.8819</v>
      </c>
      <c r="K281" s="436"/>
      <c r="L281" s="438"/>
      <c r="M281" s="453"/>
      <c r="N281" s="422">
        <v>8.97</v>
      </c>
      <c r="O281" s="422">
        <v>6.571</v>
      </c>
      <c r="P281" s="422">
        <v>14.33</v>
      </c>
      <c r="Q281" s="436" t="s">
        <v>2183</v>
      </c>
      <c r="R281" s="436" t="s">
        <v>2184</v>
      </c>
      <c r="S281" s="436" t="s">
        <v>1964</v>
      </c>
      <c r="T281" s="419" t="s">
        <v>162</v>
      </c>
      <c r="U281" s="436" t="s">
        <v>2185</v>
      </c>
      <c r="V281" s="451">
        <v>6.0844E29</v>
      </c>
      <c r="W281" s="458">
        <v>5.370317963702527</v>
      </c>
      <c r="X281" s="438"/>
      <c r="Y281" s="442">
        <f t="shared" si="71"/>
        <v>3.705575584</v>
      </c>
      <c r="Z281" s="442"/>
      <c r="AA281" s="443"/>
      <c r="AB281" s="443"/>
      <c r="AC281" s="436" t="str">
        <f>IF(ISNUMBER(VLOOKUP(B281,'New Masses'!A:C,3,FALSE)),VLOOKUP(B281,'New Masses'!A:C,3,FALSE),"")</f>
        <v/>
      </c>
      <c r="AD281" s="440"/>
      <c r="AE281" s="440">
        <f t="shared" ref="AE281:AE306" si="76">10^AF281</f>
        <v>0.000000006165950019</v>
      </c>
      <c r="AF281" s="439">
        <v>-8.21</v>
      </c>
      <c r="AG281" s="438"/>
      <c r="AH281" s="459">
        <f t="shared" si="75"/>
        <v>1.122018454</v>
      </c>
      <c r="AI281" s="436"/>
      <c r="AJ281" s="446" t="str">
        <f>IF(ISNUMBER(VLOOKUP(B281,'New Masses'!A:C,2, FALSE)),VLOOKUP(B281,'New Masses'!A:C,2, FALSE),"")</f>
        <v/>
      </c>
      <c r="AK281" s="436">
        <v>0.05</v>
      </c>
      <c r="AL281" s="436"/>
      <c r="AM281" s="436">
        <v>-1.17</v>
      </c>
      <c r="AN281" s="438"/>
      <c r="AO281" s="436">
        <v>1.0</v>
      </c>
      <c r="AP281" s="438"/>
      <c r="AQ281" s="438"/>
      <c r="AR281" s="438"/>
      <c r="AS281" s="438"/>
      <c r="AT281" s="455">
        <v>1.5</v>
      </c>
      <c r="AU281" s="449"/>
      <c r="AV281" s="438"/>
      <c r="AW281" s="438"/>
      <c r="AX281" s="450">
        <v>137.858777468361</v>
      </c>
    </row>
    <row r="282">
      <c r="A282" s="436" t="s">
        <v>1350</v>
      </c>
      <c r="B282" s="436" t="s">
        <v>1350</v>
      </c>
      <c r="C282" s="436"/>
      <c r="D282" s="436" t="s">
        <v>158</v>
      </c>
      <c r="E282" s="436"/>
      <c r="F282" s="436" t="s">
        <v>2516</v>
      </c>
      <c r="G282" s="436" t="s">
        <v>169</v>
      </c>
      <c r="H282" s="436" t="s">
        <v>160</v>
      </c>
      <c r="I282" s="436" t="s">
        <v>1963</v>
      </c>
      <c r="J282" s="436">
        <v>2884.0315</v>
      </c>
      <c r="K282" s="436"/>
      <c r="L282" s="438"/>
      <c r="M282" s="453"/>
      <c r="N282" s="422">
        <v>15.052</v>
      </c>
      <c r="O282" s="422">
        <v>10.224</v>
      </c>
      <c r="P282" s="422"/>
      <c r="Q282" s="436" t="s">
        <v>2183</v>
      </c>
      <c r="R282" s="436" t="s">
        <v>2184</v>
      </c>
      <c r="S282" s="436" t="s">
        <v>1964</v>
      </c>
      <c r="T282" s="419" t="s">
        <v>162</v>
      </c>
      <c r="U282" s="436" t="s">
        <v>2185</v>
      </c>
      <c r="V282" s="451">
        <v>1.00976E29</v>
      </c>
      <c r="W282" s="458">
        <v>0.15135612484362082</v>
      </c>
      <c r="X282" s="438"/>
      <c r="Y282" s="442">
        <f t="shared" si="71"/>
        <v>1.562628273</v>
      </c>
      <c r="Z282" s="442"/>
      <c r="AA282" s="443"/>
      <c r="AB282" s="443"/>
      <c r="AC282" s="436" t="str">
        <f>IF(ISNUMBER(VLOOKUP(B282,'New Masses'!A:C,3,FALSE)),VLOOKUP(B282,'New Masses'!A:C,3,FALSE),"")</f>
        <v/>
      </c>
      <c r="AD282" s="440"/>
      <c r="AE282" s="440">
        <f t="shared" si="76"/>
        <v>0.0000000019498446</v>
      </c>
      <c r="AF282" s="439">
        <v>-8.71</v>
      </c>
      <c r="AG282" s="438"/>
      <c r="AH282" s="459">
        <f t="shared" si="75"/>
        <v>0.1318256739</v>
      </c>
      <c r="AI282" s="436"/>
      <c r="AJ282" s="446" t="str">
        <f>IF(ISNUMBER(VLOOKUP(B282,'New Masses'!A:C,2, FALSE)),VLOOKUP(B282,'New Masses'!A:C,2, FALSE),"")</f>
        <v/>
      </c>
      <c r="AK282" s="436">
        <v>-0.88</v>
      </c>
      <c r="AL282" s="436"/>
      <c r="AM282" s="436">
        <v>-2.22</v>
      </c>
      <c r="AN282" s="438"/>
      <c r="AO282" s="436">
        <v>1.0</v>
      </c>
      <c r="AP282" s="438"/>
      <c r="AQ282" s="438"/>
      <c r="AR282" s="438"/>
      <c r="AS282" s="438"/>
      <c r="AT282" s="455">
        <v>3.9</v>
      </c>
      <c r="AU282" s="452"/>
      <c r="AV282" s="438"/>
      <c r="AW282" s="438"/>
      <c r="AX282" s="450"/>
    </row>
    <row r="283">
      <c r="A283" s="436" t="s">
        <v>1350</v>
      </c>
      <c r="B283" s="436" t="s">
        <v>1350</v>
      </c>
      <c r="C283" s="436"/>
      <c r="D283" s="436" t="s">
        <v>158</v>
      </c>
      <c r="E283" s="436"/>
      <c r="F283" s="436" t="s">
        <v>2516</v>
      </c>
      <c r="G283" s="436" t="s">
        <v>169</v>
      </c>
      <c r="H283" s="436" t="s">
        <v>1309</v>
      </c>
      <c r="I283" s="436" t="s">
        <v>2409</v>
      </c>
      <c r="J283" s="436">
        <v>4350.0</v>
      </c>
      <c r="K283" s="436"/>
      <c r="L283" s="436" t="s">
        <v>459</v>
      </c>
      <c r="M283" s="457">
        <v>4.0</v>
      </c>
      <c r="N283" s="422">
        <v>15.052</v>
      </c>
      <c r="O283" s="422">
        <v>10.224</v>
      </c>
      <c r="P283" s="422"/>
      <c r="Q283" s="436" t="s">
        <v>2410</v>
      </c>
      <c r="R283" s="436" t="s">
        <v>2517</v>
      </c>
      <c r="S283" s="436" t="s">
        <v>2412</v>
      </c>
      <c r="T283" s="436" t="s">
        <v>596</v>
      </c>
      <c r="U283" s="436" t="s">
        <v>2413</v>
      </c>
      <c r="V283" s="440"/>
      <c r="W283" s="474">
        <v>0.16</v>
      </c>
      <c r="X283" s="419"/>
      <c r="Y283" s="442">
        <f t="shared" si="71"/>
        <v>0.7062153521</v>
      </c>
      <c r="Z283" s="469"/>
      <c r="AA283" s="470"/>
      <c r="AB283" s="470"/>
      <c r="AC283" s="436" t="str">
        <f>IF(ISNUMBER(VLOOKUP(B283,'New Masses'!A:C,3,FALSE)),VLOOKUP(B283,'New Masses'!A:C,3,FALSE),"")</f>
        <v/>
      </c>
      <c r="AD283" s="440"/>
      <c r="AE283" s="440">
        <f t="shared" si="76"/>
        <v>0.0000000002454708916</v>
      </c>
      <c r="AF283" s="439">
        <v>-9.61</v>
      </c>
      <c r="AG283" s="438"/>
      <c r="AH283" s="459">
        <v>0.7</v>
      </c>
      <c r="AI283" s="436"/>
      <c r="AJ283" s="446" t="str">
        <f>IF(ISNUMBER(VLOOKUP(B283,'New Masses'!A:C,2, FALSE)),VLOOKUP(B283,'New Masses'!A:C,2, FALSE),"")</f>
        <v/>
      </c>
      <c r="AK283" s="436">
        <f t="shared" ref="AK283:AK284" si="77">LOG10(AH283)</f>
        <v>-0.15490196</v>
      </c>
      <c r="AL283" s="438"/>
      <c r="AM283" s="438"/>
      <c r="AN283" s="436" t="s">
        <v>2407</v>
      </c>
      <c r="AO283" s="436">
        <v>3.0</v>
      </c>
      <c r="AP283" s="438"/>
      <c r="AQ283" s="438"/>
      <c r="AR283" s="438"/>
      <c r="AS283" s="438"/>
      <c r="AT283" s="448"/>
      <c r="AU283" s="452"/>
      <c r="AV283" s="438"/>
      <c r="AW283" s="438"/>
      <c r="AX283" s="450"/>
    </row>
    <row r="284">
      <c r="A284" s="436" t="s">
        <v>1350</v>
      </c>
      <c r="B284" s="436" t="s">
        <v>1350</v>
      </c>
      <c r="C284" s="436"/>
      <c r="D284" s="436" t="s">
        <v>158</v>
      </c>
      <c r="E284" s="436"/>
      <c r="F284" s="436" t="s">
        <v>2516</v>
      </c>
      <c r="G284" s="436" t="s">
        <v>169</v>
      </c>
      <c r="H284" s="436" t="s">
        <v>754</v>
      </c>
      <c r="I284" s="436">
        <v>2010.0</v>
      </c>
      <c r="J284" s="436">
        <v>4060.0</v>
      </c>
      <c r="K284" s="436">
        <v>50.0</v>
      </c>
      <c r="L284" s="436" t="s">
        <v>434</v>
      </c>
      <c r="M284" s="439"/>
      <c r="N284" s="422">
        <v>15.052</v>
      </c>
      <c r="O284" s="422">
        <v>10.224</v>
      </c>
      <c r="P284" s="422"/>
      <c r="Q284" s="436" t="s">
        <v>2417</v>
      </c>
      <c r="R284" s="436" t="s">
        <v>2518</v>
      </c>
      <c r="S284" s="436" t="s">
        <v>2419</v>
      </c>
      <c r="T284" s="419" t="s">
        <v>162</v>
      </c>
      <c r="U284" s="436" t="s">
        <v>1754</v>
      </c>
      <c r="V284" s="440"/>
      <c r="W284" s="474">
        <v>0.415</v>
      </c>
      <c r="X284" s="436"/>
      <c r="Y284" s="442">
        <f t="shared" si="71"/>
        <v>1.305652661</v>
      </c>
      <c r="Z284" s="469"/>
      <c r="AA284" s="470">
        <v>1.31</v>
      </c>
      <c r="AB284" s="470">
        <v>0.21</v>
      </c>
      <c r="AC284" s="436" t="str">
        <f>IF(ISNUMBER(VLOOKUP(B284,'New Masses'!A:C,3,FALSE)),VLOOKUP(B284,'New Masses'!A:C,3,FALSE),"")</f>
        <v/>
      </c>
      <c r="AD284" s="440"/>
      <c r="AE284" s="440">
        <f t="shared" si="76"/>
        <v>0.000000003235936569</v>
      </c>
      <c r="AF284" s="439">
        <v>-8.49</v>
      </c>
      <c r="AG284" s="438"/>
      <c r="AH284" s="459">
        <v>1.02</v>
      </c>
      <c r="AI284" s="436">
        <v>0.1</v>
      </c>
      <c r="AJ284" s="446" t="str">
        <f>IF(ISNUMBER(VLOOKUP(B284,'New Masses'!A:C,2, FALSE)),VLOOKUP(B284,'New Masses'!A:C,2, FALSE),"")</f>
        <v/>
      </c>
      <c r="AK284" s="436">
        <f t="shared" si="77"/>
        <v>0.008600171762</v>
      </c>
      <c r="AL284" s="436"/>
      <c r="AM284" s="436">
        <v>-1.2</v>
      </c>
      <c r="AN284" s="438"/>
      <c r="AO284" s="436">
        <v>1.0</v>
      </c>
      <c r="AP284" s="438"/>
      <c r="AQ284" s="438"/>
      <c r="AR284" s="438"/>
      <c r="AS284" s="438"/>
      <c r="AT284" s="448"/>
      <c r="AU284" s="449"/>
      <c r="AV284" s="438"/>
      <c r="AW284" s="438"/>
      <c r="AX284" s="450"/>
    </row>
    <row r="285">
      <c r="A285" s="436" t="s">
        <v>1425</v>
      </c>
      <c r="B285" s="436" t="s">
        <v>1425</v>
      </c>
      <c r="C285" s="436"/>
      <c r="D285" s="436" t="s">
        <v>158</v>
      </c>
      <c r="E285" s="436"/>
      <c r="F285" s="436" t="s">
        <v>2519</v>
      </c>
      <c r="G285" s="436" t="s">
        <v>169</v>
      </c>
      <c r="H285" s="436" t="s">
        <v>160</v>
      </c>
      <c r="I285" s="436" t="s">
        <v>1963</v>
      </c>
      <c r="J285" s="436">
        <v>3801.89396</v>
      </c>
      <c r="K285" s="436"/>
      <c r="L285" s="438"/>
      <c r="M285" s="453"/>
      <c r="N285" s="422">
        <v>9.391</v>
      </c>
      <c r="O285" s="422">
        <v>7.847</v>
      </c>
      <c r="P285" s="422">
        <v>12.65</v>
      </c>
      <c r="Q285" s="436" t="s">
        <v>2183</v>
      </c>
      <c r="R285" s="436" t="s">
        <v>2184</v>
      </c>
      <c r="S285" s="436" t="s">
        <v>1964</v>
      </c>
      <c r="T285" s="419" t="s">
        <v>162</v>
      </c>
      <c r="U285" s="436" t="s">
        <v>2185</v>
      </c>
      <c r="V285" s="451">
        <v>7.31506E28</v>
      </c>
      <c r="W285" s="458">
        <v>1.3489628825916535</v>
      </c>
      <c r="X285" s="438"/>
      <c r="Y285" s="442">
        <f t="shared" si="71"/>
        <v>2.684452215</v>
      </c>
      <c r="Z285" s="442"/>
      <c r="AA285" s="443"/>
      <c r="AB285" s="443"/>
      <c r="AC285" s="436" t="str">
        <f>IF(ISNUMBER(VLOOKUP(B285,'New Masses'!A:C,3,FALSE)),VLOOKUP(B285,'New Masses'!A:C,3,FALSE),"")</f>
        <v/>
      </c>
      <c r="AD285" s="440"/>
      <c r="AE285" s="440">
        <f t="shared" si="76"/>
        <v>0.0000000005754399373</v>
      </c>
      <c r="AF285" s="439">
        <v>-9.24</v>
      </c>
      <c r="AG285" s="438"/>
      <c r="AH285" s="459">
        <f t="shared" ref="AH285:AH304" si="78">10^AK285</f>
        <v>0.4897788194</v>
      </c>
      <c r="AI285" s="436"/>
      <c r="AJ285" s="446" t="str">
        <f>IF(ISNUMBER(VLOOKUP(B285,'New Masses'!A:C,2, FALSE)),VLOOKUP(B285,'New Masses'!A:C,2, FALSE),"")</f>
        <v/>
      </c>
      <c r="AK285" s="436">
        <v>-0.31</v>
      </c>
      <c r="AL285" s="436"/>
      <c r="AM285" s="436">
        <v>-2.42</v>
      </c>
      <c r="AN285" s="438"/>
      <c r="AO285" s="436">
        <v>1.0</v>
      </c>
      <c r="AP285" s="438"/>
      <c r="AQ285" s="436"/>
      <c r="AR285" s="438"/>
      <c r="AS285" s="438"/>
      <c r="AT285" s="455">
        <v>0.6</v>
      </c>
      <c r="AU285" s="449"/>
      <c r="AV285" s="438"/>
      <c r="AW285" s="438"/>
      <c r="AX285" s="450">
        <v>138.463881696459</v>
      </c>
    </row>
    <row r="286">
      <c r="A286" s="436" t="s">
        <v>1478</v>
      </c>
      <c r="B286" s="436" t="s">
        <v>1478</v>
      </c>
      <c r="C286" s="436"/>
      <c r="D286" s="436" t="s">
        <v>158</v>
      </c>
      <c r="E286" s="436"/>
      <c r="F286" s="436" t="s">
        <v>2520</v>
      </c>
      <c r="G286" s="436" t="s">
        <v>169</v>
      </c>
      <c r="H286" s="436" t="s">
        <v>160</v>
      </c>
      <c r="I286" s="436" t="s">
        <v>1963</v>
      </c>
      <c r="J286" s="436">
        <v>4786.30092</v>
      </c>
      <c r="K286" s="436"/>
      <c r="L286" s="438"/>
      <c r="M286" s="453"/>
      <c r="N286" s="422">
        <v>11.115</v>
      </c>
      <c r="O286" s="422">
        <v>7.324</v>
      </c>
      <c r="P286" s="422">
        <v>17.81</v>
      </c>
      <c r="Q286" s="436" t="s">
        <v>2183</v>
      </c>
      <c r="R286" s="436" t="s">
        <v>2184</v>
      </c>
      <c r="S286" s="436" t="s">
        <v>1964</v>
      </c>
      <c r="T286" s="419" t="s">
        <v>162</v>
      </c>
      <c r="U286" s="436" t="s">
        <v>2185</v>
      </c>
      <c r="V286" s="451">
        <v>5.6783E29</v>
      </c>
      <c r="W286" s="458">
        <v>7.244359600749901</v>
      </c>
      <c r="X286" s="438"/>
      <c r="Y286" s="442">
        <f t="shared" si="71"/>
        <v>3.925144753</v>
      </c>
      <c r="Z286" s="442"/>
      <c r="AA286" s="443"/>
      <c r="AB286" s="443"/>
      <c r="AC286" s="436" t="str">
        <f>IF(ISNUMBER(VLOOKUP(B286,'New Masses'!A:C,3,FALSE)),VLOOKUP(B286,'New Masses'!A:C,3,FALSE),"")</f>
        <v/>
      </c>
      <c r="AD286" s="440"/>
      <c r="AE286" s="440">
        <f t="shared" si="76"/>
        <v>0.00000000512861384</v>
      </c>
      <c r="AF286" s="439">
        <v>-8.29</v>
      </c>
      <c r="AG286" s="438"/>
      <c r="AH286" s="459">
        <f t="shared" si="78"/>
        <v>1.348962883</v>
      </c>
      <c r="AI286" s="436"/>
      <c r="AJ286" s="446" t="str">
        <f>IF(ISNUMBER(VLOOKUP(B286,'New Masses'!A:C,2, FALSE)),VLOOKUP(B286,'New Masses'!A:C,2, FALSE),"")</f>
        <v/>
      </c>
      <c r="AK286" s="436">
        <v>0.13</v>
      </c>
      <c r="AL286" s="436"/>
      <c r="AM286" s="436">
        <v>-1.2</v>
      </c>
      <c r="AN286" s="438"/>
      <c r="AO286" s="436">
        <v>1.0</v>
      </c>
      <c r="AP286" s="438"/>
      <c r="AQ286" s="436"/>
      <c r="AR286" s="438"/>
      <c r="AS286" s="438"/>
      <c r="AT286" s="455">
        <v>3.9</v>
      </c>
      <c r="AU286" s="452"/>
      <c r="AV286" s="438"/>
      <c r="AW286" s="438"/>
      <c r="AX286" s="450">
        <v>137.868280644672</v>
      </c>
    </row>
    <row r="287">
      <c r="A287" s="436" t="s">
        <v>1463</v>
      </c>
      <c r="B287" s="436" t="s">
        <v>1463</v>
      </c>
      <c r="C287" s="436"/>
      <c r="D287" s="436" t="s">
        <v>158</v>
      </c>
      <c r="E287" s="436"/>
      <c r="F287" s="436" t="s">
        <v>2521</v>
      </c>
      <c r="G287" s="436" t="s">
        <v>169</v>
      </c>
      <c r="H287" s="436" t="s">
        <v>160</v>
      </c>
      <c r="I287" s="436" t="s">
        <v>1963</v>
      </c>
      <c r="J287" s="436">
        <v>4265.79519</v>
      </c>
      <c r="K287" s="436"/>
      <c r="L287" s="454" t="s">
        <v>453</v>
      </c>
      <c r="M287" s="453"/>
      <c r="N287" s="422">
        <v>9.999</v>
      </c>
      <c r="O287" s="422">
        <v>6.685</v>
      </c>
      <c r="P287" s="422">
        <v>15.81</v>
      </c>
      <c r="Q287" s="436" t="s">
        <v>2183</v>
      </c>
      <c r="R287" s="436" t="s">
        <v>2184</v>
      </c>
      <c r="S287" s="436" t="s">
        <v>1964</v>
      </c>
      <c r="T287" s="419" t="s">
        <v>162</v>
      </c>
      <c r="U287" s="436" t="s">
        <v>2185</v>
      </c>
      <c r="V287" s="451">
        <v>7.31506E30</v>
      </c>
      <c r="W287" s="458">
        <v>3.3884415613920256</v>
      </c>
      <c r="X287" s="438"/>
      <c r="Y287" s="442">
        <f t="shared" si="71"/>
        <v>3.379525101</v>
      </c>
      <c r="Z287" s="442"/>
      <c r="AA287" s="443"/>
      <c r="AB287" s="443"/>
      <c r="AC287" s="436" t="str">
        <f>IF(ISNUMBER(VLOOKUP(B287,'New Masses'!A:C,3,FALSE)),VLOOKUP(B287,'New Masses'!A:C,3,FALSE),"")</f>
        <v/>
      </c>
      <c r="AD287" s="440"/>
      <c r="AE287" s="440">
        <f t="shared" si="76"/>
        <v>0.000000213796209</v>
      </c>
      <c r="AF287" s="439">
        <v>-6.67</v>
      </c>
      <c r="AG287" s="438"/>
      <c r="AH287" s="459">
        <f t="shared" si="78"/>
        <v>0.8511380382</v>
      </c>
      <c r="AI287" s="436"/>
      <c r="AJ287" s="446" t="str">
        <f>IF(ISNUMBER(VLOOKUP(B287,'New Masses'!A:C,2, FALSE)),VLOOKUP(B287,'New Masses'!A:C,2, FALSE),"")</f>
        <v/>
      </c>
      <c r="AK287" s="436">
        <v>-0.07</v>
      </c>
      <c r="AL287" s="436"/>
      <c r="AM287" s="436">
        <v>0.3</v>
      </c>
      <c r="AN287" s="438"/>
      <c r="AO287" s="436">
        <v>1.0</v>
      </c>
      <c r="AP287" s="438"/>
      <c r="AQ287" s="438"/>
      <c r="AR287" s="438"/>
      <c r="AS287" s="438"/>
      <c r="AT287" s="455">
        <v>2.0</v>
      </c>
      <c r="AU287" s="449"/>
      <c r="AV287" s="438"/>
      <c r="AW287" s="438"/>
      <c r="AX287" s="450">
        <v>136.223078914029</v>
      </c>
    </row>
    <row r="288">
      <c r="A288" s="436" t="s">
        <v>1357</v>
      </c>
      <c r="B288" s="436" t="s">
        <v>1357</v>
      </c>
      <c r="C288" s="436"/>
      <c r="D288" s="436" t="s">
        <v>158</v>
      </c>
      <c r="E288" s="436"/>
      <c r="F288" s="436" t="s">
        <v>2522</v>
      </c>
      <c r="G288" s="436" t="s">
        <v>169</v>
      </c>
      <c r="H288" s="436" t="s">
        <v>160</v>
      </c>
      <c r="I288" s="436" t="s">
        <v>1963</v>
      </c>
      <c r="J288" s="436">
        <v>2884.0315</v>
      </c>
      <c r="K288" s="436"/>
      <c r="L288" s="438"/>
      <c r="M288" s="453"/>
      <c r="N288" s="422">
        <v>16.28</v>
      </c>
      <c r="O288" s="422">
        <v>11.073</v>
      </c>
      <c r="P288" s="422"/>
      <c r="Q288" s="436" t="s">
        <v>2183</v>
      </c>
      <c r="R288" s="436" t="s">
        <v>2184</v>
      </c>
      <c r="S288" s="436" t="s">
        <v>1964</v>
      </c>
      <c r="T288" s="419" t="s">
        <v>162</v>
      </c>
      <c r="U288" s="436" t="s">
        <v>2185</v>
      </c>
      <c r="V288" s="451">
        <v>1.214E28</v>
      </c>
      <c r="W288" s="458">
        <v>0.18197008586099836</v>
      </c>
      <c r="X288" s="438"/>
      <c r="Y288" s="442">
        <f t="shared" si="71"/>
        <v>1.71338783</v>
      </c>
      <c r="Z288" s="442"/>
      <c r="AA288" s="443"/>
      <c r="AB288" s="443"/>
      <c r="AC288" s="436" t="str">
        <f>IF(ISNUMBER(VLOOKUP(B288,'New Masses'!A:C,3,FALSE)),VLOOKUP(B288,'New Masses'!A:C,3,FALSE),"")</f>
        <v/>
      </c>
      <c r="AD288" s="440"/>
      <c r="AE288" s="440">
        <f t="shared" si="76"/>
        <v>0.0000000001047128548</v>
      </c>
      <c r="AF288" s="439">
        <v>-9.98</v>
      </c>
      <c r="AG288" s="438"/>
      <c r="AH288" s="459">
        <f t="shared" si="78"/>
        <v>0.1479108388</v>
      </c>
      <c r="AI288" s="436"/>
      <c r="AJ288" s="446" t="str">
        <f>IF(ISNUMBER(VLOOKUP(B288,'New Masses'!A:C,2, FALSE)),VLOOKUP(B288,'New Masses'!A:C,2, FALSE),"")</f>
        <v/>
      </c>
      <c r="AK288" s="436">
        <v>-0.83</v>
      </c>
      <c r="AL288" s="436"/>
      <c r="AM288" s="436">
        <v>-3.48</v>
      </c>
      <c r="AN288" s="438"/>
      <c r="AO288" s="436">
        <v>1.0</v>
      </c>
      <c r="AP288" s="438"/>
      <c r="AQ288" s="436"/>
      <c r="AR288" s="438"/>
      <c r="AS288" s="438"/>
      <c r="AT288" s="455">
        <v>5.3</v>
      </c>
      <c r="AU288" s="452"/>
      <c r="AV288" s="438"/>
      <c r="AW288" s="438"/>
      <c r="AX288" s="450"/>
    </row>
    <row r="289">
      <c r="A289" s="436" t="s">
        <v>1405</v>
      </c>
      <c r="B289" s="436" t="s">
        <v>1405</v>
      </c>
      <c r="C289" s="436"/>
      <c r="D289" s="436" t="s">
        <v>158</v>
      </c>
      <c r="E289" s="436"/>
      <c r="F289" s="436" t="s">
        <v>2523</v>
      </c>
      <c r="G289" s="436" t="s">
        <v>169</v>
      </c>
      <c r="H289" s="436" t="s">
        <v>160</v>
      </c>
      <c r="I289" s="436" t="s">
        <v>1963</v>
      </c>
      <c r="J289" s="436">
        <v>3548.13389</v>
      </c>
      <c r="K289" s="436"/>
      <c r="L289" s="438"/>
      <c r="M289" s="453"/>
      <c r="N289" s="422">
        <v>14.04</v>
      </c>
      <c r="O289" s="422">
        <v>9.983</v>
      </c>
      <c r="P289" s="422"/>
      <c r="Q289" s="436" t="s">
        <v>2183</v>
      </c>
      <c r="R289" s="436" t="s">
        <v>2184</v>
      </c>
      <c r="S289" s="436" t="s">
        <v>1964</v>
      </c>
      <c r="T289" s="419" t="s">
        <v>162</v>
      </c>
      <c r="U289" s="436" t="s">
        <v>2185</v>
      </c>
      <c r="V289" s="451">
        <v>1.56393E29</v>
      </c>
      <c r="W289" s="458">
        <v>0.8128305161640993</v>
      </c>
      <c r="X289" s="438"/>
      <c r="Y289" s="442">
        <f t="shared" si="71"/>
        <v>2.392520554</v>
      </c>
      <c r="Z289" s="442"/>
      <c r="AA289" s="443"/>
      <c r="AB289" s="443"/>
      <c r="AC289" s="436" t="str">
        <f>IF(ISNUMBER(VLOOKUP(B289,'New Masses'!A:C,3,FALSE)),VLOOKUP(B289,'New Masses'!A:C,3,FALSE),"")</f>
        <v/>
      </c>
      <c r="AD289" s="440"/>
      <c r="AE289" s="440">
        <f t="shared" si="76"/>
        <v>0.0000000019498446</v>
      </c>
      <c r="AF289" s="439">
        <v>-8.71</v>
      </c>
      <c r="AG289" s="438"/>
      <c r="AH289" s="459">
        <f t="shared" si="78"/>
        <v>0.3630780548</v>
      </c>
      <c r="AI289" s="436"/>
      <c r="AJ289" s="446" t="str">
        <f>IF(ISNUMBER(VLOOKUP(B289,'New Masses'!A:C,2, FALSE)),VLOOKUP(B289,'New Masses'!A:C,2, FALSE),"")</f>
        <v/>
      </c>
      <c r="AK289" s="436">
        <v>-0.44</v>
      </c>
      <c r="AL289" s="436"/>
      <c r="AM289" s="436">
        <v>-1.97</v>
      </c>
      <c r="AN289" s="438"/>
      <c r="AO289" s="436">
        <v>1.0</v>
      </c>
      <c r="AP289" s="438"/>
      <c r="AQ289" s="436"/>
      <c r="AR289" s="438"/>
      <c r="AS289" s="438"/>
      <c r="AT289" s="455">
        <v>4.6</v>
      </c>
      <c r="AU289" s="449"/>
      <c r="AV289" s="438"/>
      <c r="AW289" s="438"/>
      <c r="AX289" s="450"/>
    </row>
    <row r="290">
      <c r="A290" s="436" t="s">
        <v>1385</v>
      </c>
      <c r="B290" s="436" t="s">
        <v>1385</v>
      </c>
      <c r="C290" s="436"/>
      <c r="D290" s="436" t="s">
        <v>158</v>
      </c>
      <c r="E290" s="436"/>
      <c r="F290" s="436" t="s">
        <v>2524</v>
      </c>
      <c r="G290" s="436" t="s">
        <v>159</v>
      </c>
      <c r="H290" s="436" t="s">
        <v>160</v>
      </c>
      <c r="I290" s="436" t="s">
        <v>1963</v>
      </c>
      <c r="J290" s="436">
        <v>3311.31121</v>
      </c>
      <c r="K290" s="436"/>
      <c r="L290" s="438"/>
      <c r="M290" s="453"/>
      <c r="N290" s="422">
        <v>15.309</v>
      </c>
      <c r="O290" s="422">
        <v>10.777</v>
      </c>
      <c r="P290" s="422"/>
      <c r="Q290" s="436" t="s">
        <v>2183</v>
      </c>
      <c r="R290" s="436" t="s">
        <v>2184</v>
      </c>
      <c r="S290" s="436" t="s">
        <v>1964</v>
      </c>
      <c r="T290" s="419" t="s">
        <v>162</v>
      </c>
      <c r="U290" s="436" t="s">
        <v>2185</v>
      </c>
      <c r="V290" s="451">
        <v>7.1486E28</v>
      </c>
      <c r="W290" s="458">
        <v>0.5128613839913648</v>
      </c>
      <c r="X290" s="438"/>
      <c r="Y290" s="442">
        <f t="shared" si="71"/>
        <v>2.182004682</v>
      </c>
      <c r="Z290" s="442"/>
      <c r="AA290" s="443"/>
      <c r="AB290" s="443"/>
      <c r="AC290" s="436" t="str">
        <f>IF(ISNUMBER(VLOOKUP(B290,'New Masses'!A:C,3,FALSE)),VLOOKUP(B290,'New Masses'!A:C,3,FALSE),"")</f>
        <v/>
      </c>
      <c r="AD290" s="440"/>
      <c r="AE290" s="440">
        <f t="shared" si="76"/>
        <v>0.0000000008128305162</v>
      </c>
      <c r="AF290" s="439">
        <v>-9.09</v>
      </c>
      <c r="AG290" s="438"/>
      <c r="AH290" s="459">
        <f t="shared" si="78"/>
        <v>0.2754228703</v>
      </c>
      <c r="AI290" s="436"/>
      <c r="AJ290" s="446" t="str">
        <f>IF(ISNUMBER(VLOOKUP(B290,'New Masses'!A:C,2, FALSE)),VLOOKUP(B290,'New Masses'!A:C,2, FALSE),"")</f>
        <v/>
      </c>
      <c r="AK290" s="436">
        <v>-0.56</v>
      </c>
      <c r="AL290" s="436"/>
      <c r="AM290" s="436">
        <v>-2.43</v>
      </c>
      <c r="AN290" s="438"/>
      <c r="AO290" s="436">
        <v>1.0</v>
      </c>
      <c r="AP290" s="438"/>
      <c r="AQ290" s="436"/>
      <c r="AR290" s="438"/>
      <c r="AS290" s="438"/>
      <c r="AT290" s="455">
        <v>5.4</v>
      </c>
      <c r="AU290" s="452" t="s">
        <v>137</v>
      </c>
      <c r="AV290" s="438"/>
      <c r="AW290" s="438"/>
      <c r="AX290" s="450"/>
    </row>
    <row r="291">
      <c r="A291" s="436" t="s">
        <v>1384</v>
      </c>
      <c r="B291" s="436" t="s">
        <v>1384</v>
      </c>
      <c r="C291" s="436"/>
      <c r="D291" s="436" t="s">
        <v>158</v>
      </c>
      <c r="E291" s="436"/>
      <c r="F291" s="436" t="s">
        <v>2525</v>
      </c>
      <c r="G291" s="436" t="s">
        <v>159</v>
      </c>
      <c r="H291" s="436" t="s">
        <v>160</v>
      </c>
      <c r="I291" s="436" t="s">
        <v>1963</v>
      </c>
      <c r="J291" s="436">
        <v>3311.31121</v>
      </c>
      <c r="K291" s="436"/>
      <c r="L291" s="438"/>
      <c r="M291" s="453"/>
      <c r="N291" s="422">
        <v>16.314</v>
      </c>
      <c r="O291" s="422">
        <v>9.977</v>
      </c>
      <c r="P291" s="422"/>
      <c r="Q291" s="436" t="s">
        <v>2183</v>
      </c>
      <c r="R291" s="436" t="s">
        <v>2184</v>
      </c>
      <c r="S291" s="436" t="s">
        <v>1964</v>
      </c>
      <c r="T291" s="419" t="s">
        <v>162</v>
      </c>
      <c r="U291" s="436" t="s">
        <v>2185</v>
      </c>
      <c r="V291" s="451">
        <v>1.63764E30</v>
      </c>
      <c r="W291" s="458">
        <v>0.5011872336272722</v>
      </c>
      <c r="X291" s="438"/>
      <c r="Y291" s="442">
        <f t="shared" si="71"/>
        <v>2.157027481</v>
      </c>
      <c r="Z291" s="442"/>
      <c r="AA291" s="443"/>
      <c r="AB291" s="443"/>
      <c r="AC291" s="436" t="str">
        <f>IF(ISNUMBER(VLOOKUP(B291,'New Masses'!A:C,3,FALSE)),VLOOKUP(B291,'New Masses'!A:C,3,FALSE),"")</f>
        <v/>
      </c>
      <c r="AD291" s="440"/>
      <c r="AE291" s="440">
        <f t="shared" si="76"/>
        <v>0.00000005754399373</v>
      </c>
      <c r="AF291" s="439">
        <v>-7.24</v>
      </c>
      <c r="AG291" s="438"/>
      <c r="AH291" s="459">
        <f t="shared" si="78"/>
        <v>0.2691534804</v>
      </c>
      <c r="AI291" s="436"/>
      <c r="AJ291" s="446" t="str">
        <f>IF(ISNUMBER(VLOOKUP(B291,'New Masses'!A:C,2, FALSE)),VLOOKUP(B291,'New Masses'!A:C,2, FALSE),"")</f>
        <v/>
      </c>
      <c r="AK291" s="436">
        <v>-0.57</v>
      </c>
      <c r="AL291" s="436"/>
      <c r="AM291" s="436">
        <v>-0.58</v>
      </c>
      <c r="AN291" s="438"/>
      <c r="AO291" s="436">
        <v>1.0</v>
      </c>
      <c r="AP291" s="438"/>
      <c r="AQ291" s="438"/>
      <c r="AR291" s="438"/>
      <c r="AS291" s="438"/>
      <c r="AT291" s="455">
        <v>6.3</v>
      </c>
      <c r="AU291" s="449"/>
      <c r="AV291" s="438"/>
      <c r="AW291" s="438"/>
      <c r="AX291" s="450"/>
    </row>
    <row r="292">
      <c r="A292" s="436" t="s">
        <v>177</v>
      </c>
      <c r="B292" s="436" t="s">
        <v>177</v>
      </c>
      <c r="C292" s="436"/>
      <c r="D292" s="436" t="s">
        <v>158</v>
      </c>
      <c r="E292" s="436"/>
      <c r="F292" s="436" t="s">
        <v>2526</v>
      </c>
      <c r="G292" s="436" t="s">
        <v>169</v>
      </c>
      <c r="H292" s="436" t="s">
        <v>160</v>
      </c>
      <c r="I292" s="436" t="s">
        <v>1963</v>
      </c>
      <c r="J292" s="436">
        <v>3162.27766</v>
      </c>
      <c r="K292" s="436"/>
      <c r="L292" s="438"/>
      <c r="M292" s="453"/>
      <c r="N292" s="422">
        <v>14.958</v>
      </c>
      <c r="O292" s="422">
        <v>10.859</v>
      </c>
      <c r="P292" s="422"/>
      <c r="Q292" s="436" t="s">
        <v>2183</v>
      </c>
      <c r="R292" s="436" t="s">
        <v>2184</v>
      </c>
      <c r="S292" s="436" t="s">
        <v>1964</v>
      </c>
      <c r="T292" s="419" t="s">
        <v>162</v>
      </c>
      <c r="U292" s="436" t="s">
        <v>2185</v>
      </c>
      <c r="V292" s="451">
        <v>7.4855E28</v>
      </c>
      <c r="W292" s="458">
        <v>0.32359365692962827</v>
      </c>
      <c r="X292" s="438"/>
      <c r="Y292" s="442">
        <f t="shared" si="71"/>
        <v>1.900446626</v>
      </c>
      <c r="Z292" s="442"/>
      <c r="AA292" s="443"/>
      <c r="AB292" s="443"/>
      <c r="AC292" s="436" t="str">
        <f>IF(ISNUMBER(VLOOKUP(B292,'New Masses'!A:C,3,FALSE)),VLOOKUP(B292,'New Masses'!A:C,3,FALSE),"")</f>
        <v/>
      </c>
      <c r="AD292" s="440"/>
      <c r="AE292" s="440">
        <f t="shared" si="76"/>
        <v>0.00000001174897555</v>
      </c>
      <c r="AF292" s="439">
        <v>-7.93</v>
      </c>
      <c r="AG292" s="438"/>
      <c r="AH292" s="459">
        <f t="shared" si="78"/>
        <v>0.2089296131</v>
      </c>
      <c r="AI292" s="436"/>
      <c r="AJ292" s="446" t="str">
        <f>IF(ISNUMBER(VLOOKUP(B292,'New Masses'!A:C,2, FALSE)),VLOOKUP(B292,'New Masses'!A:C,2, FALSE),"")</f>
        <v/>
      </c>
      <c r="AK292" s="436">
        <v>-0.68</v>
      </c>
      <c r="AL292" s="436"/>
      <c r="AM292" s="436">
        <v>-1.34</v>
      </c>
      <c r="AN292" s="438"/>
      <c r="AO292" s="436">
        <v>1.0</v>
      </c>
      <c r="AP292" s="438"/>
      <c r="AQ292" s="436"/>
      <c r="AR292" s="438"/>
      <c r="AS292" s="438"/>
      <c r="AT292" s="455">
        <v>4.6</v>
      </c>
      <c r="AU292" s="452" t="s">
        <v>137</v>
      </c>
      <c r="AV292" s="438"/>
      <c r="AW292" s="438"/>
      <c r="AX292" s="450"/>
    </row>
    <row r="293">
      <c r="A293" s="436" t="s">
        <v>1364</v>
      </c>
      <c r="B293" s="436" t="s">
        <v>1364</v>
      </c>
      <c r="C293" s="436"/>
      <c r="D293" s="436" t="s">
        <v>158</v>
      </c>
      <c r="E293" s="436"/>
      <c r="F293" s="436" t="s">
        <v>2527</v>
      </c>
      <c r="G293" s="436" t="s">
        <v>169</v>
      </c>
      <c r="H293" s="436" t="s">
        <v>160</v>
      </c>
      <c r="I293" s="436" t="s">
        <v>1963</v>
      </c>
      <c r="J293" s="436">
        <v>3019.95172</v>
      </c>
      <c r="K293" s="436"/>
      <c r="L293" s="438"/>
      <c r="M293" s="453"/>
      <c r="N293" s="422">
        <v>12.66</v>
      </c>
      <c r="O293" s="422">
        <v>9.589</v>
      </c>
      <c r="P293" s="422">
        <v>17.37</v>
      </c>
      <c r="Q293" s="436" t="s">
        <v>2183</v>
      </c>
      <c r="R293" s="436" t="s">
        <v>2184</v>
      </c>
      <c r="S293" s="436" t="s">
        <v>1964</v>
      </c>
      <c r="T293" s="419" t="s">
        <v>162</v>
      </c>
      <c r="U293" s="436" t="s">
        <v>2185</v>
      </c>
      <c r="V293" s="451">
        <v>2.06167E28</v>
      </c>
      <c r="W293" s="458">
        <v>0.24547089156850305</v>
      </c>
      <c r="X293" s="438"/>
      <c r="Y293" s="442">
        <f t="shared" si="71"/>
        <v>1.814912438</v>
      </c>
      <c r="Z293" s="442"/>
      <c r="AA293" s="443"/>
      <c r="AB293" s="443"/>
      <c r="AC293" s="436" t="str">
        <f>IF(ISNUMBER(VLOOKUP(B293,'New Masses'!A:C,3,FALSE)),VLOOKUP(B293,'New Masses'!A:C,3,FALSE),"")</f>
        <v/>
      </c>
      <c r="AD293" s="440"/>
      <c r="AE293" s="440">
        <f t="shared" si="76"/>
        <v>0.00000000019498446</v>
      </c>
      <c r="AF293" s="439">
        <v>-9.71</v>
      </c>
      <c r="AG293" s="438"/>
      <c r="AH293" s="459">
        <f t="shared" si="78"/>
        <v>0.177827941</v>
      </c>
      <c r="AI293" s="436"/>
      <c r="AJ293" s="446" t="str">
        <f>IF(ISNUMBER(VLOOKUP(B293,'New Masses'!A:C,2, FALSE)),VLOOKUP(B293,'New Masses'!A:C,2, FALSE),"")</f>
        <v/>
      </c>
      <c r="AK293" s="436">
        <v>-0.75</v>
      </c>
      <c r="AL293" s="436"/>
      <c r="AM293" s="436">
        <v>-3.16</v>
      </c>
      <c r="AN293" s="438"/>
      <c r="AO293" s="436">
        <v>1.0</v>
      </c>
      <c r="AP293" s="438"/>
      <c r="AQ293" s="436"/>
      <c r="AR293" s="438"/>
      <c r="AS293" s="438"/>
      <c r="AT293" s="455">
        <v>2.1</v>
      </c>
      <c r="AU293" s="449"/>
      <c r="AV293" s="438"/>
      <c r="AW293" s="438"/>
      <c r="AX293" s="450">
        <v>136.109976861303</v>
      </c>
    </row>
    <row r="294">
      <c r="A294" s="436" t="s">
        <v>1346</v>
      </c>
      <c r="B294" s="436" t="s">
        <v>1346</v>
      </c>
      <c r="C294" s="436"/>
      <c r="D294" s="436" t="s">
        <v>158</v>
      </c>
      <c r="E294" s="436"/>
      <c r="F294" s="436" t="s">
        <v>2528</v>
      </c>
      <c r="G294" s="436" t="s">
        <v>169</v>
      </c>
      <c r="H294" s="436" t="s">
        <v>160</v>
      </c>
      <c r="I294" s="436" t="s">
        <v>1963</v>
      </c>
      <c r="J294" s="436">
        <v>2884.0315</v>
      </c>
      <c r="K294" s="436"/>
      <c r="L294" s="438"/>
      <c r="M294" s="453"/>
      <c r="N294" s="422">
        <v>15.741</v>
      </c>
      <c r="O294" s="422">
        <v>11.106</v>
      </c>
      <c r="P294" s="422"/>
      <c r="Q294" s="436" t="s">
        <v>2183</v>
      </c>
      <c r="R294" s="436" t="s">
        <v>2184</v>
      </c>
      <c r="S294" s="436" t="s">
        <v>1964</v>
      </c>
      <c r="T294" s="419" t="s">
        <v>162</v>
      </c>
      <c r="U294" s="436" t="s">
        <v>2185</v>
      </c>
      <c r="V294" s="451">
        <v>1.83746E29</v>
      </c>
      <c r="W294" s="458">
        <v>0.1380384264602885</v>
      </c>
      <c r="X294" s="438"/>
      <c r="Y294" s="442">
        <f t="shared" si="71"/>
        <v>1.492298415</v>
      </c>
      <c r="Z294" s="442"/>
      <c r="AA294" s="443"/>
      <c r="AB294" s="443"/>
      <c r="AC294" s="436" t="str">
        <f>IF(ISNUMBER(VLOOKUP(B294,'New Masses'!A:C,3,FALSE)),VLOOKUP(B294,'New Masses'!A:C,3,FALSE),"")</f>
        <v/>
      </c>
      <c r="AD294" s="440"/>
      <c r="AE294" s="440">
        <f t="shared" si="76"/>
        <v>0.000000004365158322</v>
      </c>
      <c r="AF294" s="439">
        <v>-8.36</v>
      </c>
      <c r="AG294" s="438"/>
      <c r="AH294" s="459">
        <f t="shared" si="78"/>
        <v>0.1258925412</v>
      </c>
      <c r="AI294" s="436"/>
      <c r="AJ294" s="446" t="str">
        <f>IF(ISNUMBER(VLOOKUP(B294,'New Masses'!A:C,2, FALSE)),VLOOKUP(B294,'New Masses'!A:C,2, FALSE),"")</f>
        <v/>
      </c>
      <c r="AK294" s="436">
        <v>-0.9</v>
      </c>
      <c r="AL294" s="436"/>
      <c r="AM294" s="436">
        <v>-1.88</v>
      </c>
      <c r="AN294" s="438"/>
      <c r="AO294" s="436">
        <v>1.0</v>
      </c>
      <c r="AP294" s="438"/>
      <c r="AQ294" s="438"/>
      <c r="AR294" s="438"/>
      <c r="AS294" s="438"/>
      <c r="AT294" s="455">
        <v>4.5</v>
      </c>
      <c r="AU294" s="452"/>
      <c r="AV294" s="438"/>
      <c r="AW294" s="438"/>
      <c r="AX294" s="450"/>
    </row>
    <row r="295">
      <c r="A295" s="436" t="s">
        <v>1349</v>
      </c>
      <c r="B295" s="436" t="s">
        <v>1349</v>
      </c>
      <c r="C295" s="436"/>
      <c r="D295" s="436" t="s">
        <v>158</v>
      </c>
      <c r="E295" s="436"/>
      <c r="F295" s="436" t="s">
        <v>2529</v>
      </c>
      <c r="G295" s="436" t="s">
        <v>169</v>
      </c>
      <c r="H295" s="436" t="s">
        <v>160</v>
      </c>
      <c r="I295" s="436" t="s">
        <v>1963</v>
      </c>
      <c r="J295" s="436">
        <v>2884.0315</v>
      </c>
      <c r="K295" s="436"/>
      <c r="L295" s="438"/>
      <c r="M295" s="453"/>
      <c r="N295" s="422">
        <v>15.033</v>
      </c>
      <c r="O295" s="422">
        <v>11.565</v>
      </c>
      <c r="P295" s="422"/>
      <c r="Q295" s="436" t="s">
        <v>2183</v>
      </c>
      <c r="R295" s="436" t="s">
        <v>2184</v>
      </c>
      <c r="S295" s="436" t="s">
        <v>1964</v>
      </c>
      <c r="T295" s="419" t="s">
        <v>162</v>
      </c>
      <c r="U295" s="436" t="s">
        <v>2185</v>
      </c>
      <c r="V295" s="451">
        <v>9.86775E27</v>
      </c>
      <c r="W295" s="458">
        <v>0.14454397707459277</v>
      </c>
      <c r="X295" s="438"/>
      <c r="Y295" s="442">
        <f t="shared" si="71"/>
        <v>1.527058511</v>
      </c>
      <c r="Z295" s="442"/>
      <c r="AA295" s="443"/>
      <c r="AB295" s="443"/>
      <c r="AC295" s="436" t="str">
        <f>IF(ISNUMBER(VLOOKUP(B295,'New Masses'!A:C,3,FALSE)),VLOOKUP(B295,'New Masses'!A:C,3,FALSE),"")</f>
        <v/>
      </c>
      <c r="AD295" s="440"/>
      <c r="AE295" s="440">
        <f t="shared" si="76"/>
        <v>0</v>
      </c>
      <c r="AF295" s="439">
        <v>-10.09</v>
      </c>
      <c r="AG295" s="438"/>
      <c r="AH295" s="459">
        <f t="shared" si="78"/>
        <v>0.1288249552</v>
      </c>
      <c r="AI295" s="436"/>
      <c r="AJ295" s="446" t="str">
        <f>IF(ISNUMBER(VLOOKUP(B295,'New Masses'!A:C,2, FALSE)),VLOOKUP(B295,'New Masses'!A:C,2, FALSE),"")</f>
        <v/>
      </c>
      <c r="AK295" s="436">
        <v>-0.89</v>
      </c>
      <c r="AL295" s="436"/>
      <c r="AM295" s="436">
        <v>-3.61</v>
      </c>
      <c r="AN295" s="438"/>
      <c r="AO295" s="436">
        <v>1.0</v>
      </c>
      <c r="AP295" s="438"/>
      <c r="AQ295" s="436"/>
      <c r="AR295" s="438"/>
      <c r="AS295" s="438"/>
      <c r="AT295" s="455">
        <v>4.2</v>
      </c>
      <c r="AU295" s="449"/>
      <c r="AV295" s="438"/>
      <c r="AW295" s="438"/>
      <c r="AX295" s="450"/>
    </row>
    <row r="296">
      <c r="A296" s="436" t="s">
        <v>1374</v>
      </c>
      <c r="B296" s="436" t="s">
        <v>1374</v>
      </c>
      <c r="C296" s="436"/>
      <c r="D296" s="436" t="s">
        <v>158</v>
      </c>
      <c r="E296" s="436"/>
      <c r="F296" s="436" t="s">
        <v>2530</v>
      </c>
      <c r="G296" s="436" t="s">
        <v>169</v>
      </c>
      <c r="H296" s="436" t="s">
        <v>160</v>
      </c>
      <c r="I296" s="436" t="s">
        <v>1963</v>
      </c>
      <c r="J296" s="436">
        <v>3235.93657</v>
      </c>
      <c r="K296" s="436"/>
      <c r="L296" s="438"/>
      <c r="M296" s="453"/>
      <c r="N296" s="422">
        <v>10.774</v>
      </c>
      <c r="O296" s="422">
        <v>9.273</v>
      </c>
      <c r="P296" s="422">
        <v>15.41</v>
      </c>
      <c r="Q296" s="436" t="s">
        <v>2183</v>
      </c>
      <c r="R296" s="436" t="s">
        <v>2184</v>
      </c>
      <c r="S296" s="436" t="s">
        <v>1964</v>
      </c>
      <c r="T296" s="419" t="s">
        <v>162</v>
      </c>
      <c r="U296" s="436" t="s">
        <v>2185</v>
      </c>
      <c r="V296" s="451">
        <v>4.01993E28</v>
      </c>
      <c r="W296" s="458">
        <v>0.3981071705534972</v>
      </c>
      <c r="X296" s="438"/>
      <c r="Y296" s="442">
        <f t="shared" si="71"/>
        <v>2.013055167</v>
      </c>
      <c r="Z296" s="442"/>
      <c r="AA296" s="443"/>
      <c r="AB296" s="443"/>
      <c r="AC296" s="436" t="str">
        <f>IF(ISNUMBER(VLOOKUP(B296,'New Masses'!A:C,3,FALSE)),VLOOKUP(B296,'New Masses'!A:C,3,FALSE),"")</f>
        <v/>
      </c>
      <c r="AD296" s="440"/>
      <c r="AE296" s="440">
        <f t="shared" si="76"/>
        <v>0.0000000004073802778</v>
      </c>
      <c r="AF296" s="439">
        <v>-9.39</v>
      </c>
      <c r="AG296" s="438"/>
      <c r="AH296" s="459">
        <f t="shared" si="78"/>
        <v>0.2344228815</v>
      </c>
      <c r="AI296" s="436"/>
      <c r="AJ296" s="446" t="str">
        <f>IF(ISNUMBER(VLOOKUP(B296,'New Masses'!A:C,2, FALSE)),VLOOKUP(B296,'New Masses'!A:C,2, FALSE),"")</f>
        <v/>
      </c>
      <c r="AK296" s="436">
        <v>-0.63</v>
      </c>
      <c r="AL296" s="436"/>
      <c r="AM296" s="436">
        <v>-2.77</v>
      </c>
      <c r="AN296" s="438"/>
      <c r="AO296" s="436">
        <v>1.0</v>
      </c>
      <c r="AP296" s="438"/>
      <c r="AQ296" s="436"/>
      <c r="AR296" s="438"/>
      <c r="AS296" s="438"/>
      <c r="AT296" s="455">
        <v>0.8</v>
      </c>
      <c r="AU296" s="452"/>
      <c r="AV296" s="438"/>
      <c r="AW296" s="438"/>
      <c r="AX296" s="450">
        <v>167.72332360538</v>
      </c>
    </row>
    <row r="297">
      <c r="A297" s="436" t="s">
        <v>178</v>
      </c>
      <c r="B297" s="436" t="s">
        <v>178</v>
      </c>
      <c r="C297" s="436"/>
      <c r="D297" s="436" t="s">
        <v>158</v>
      </c>
      <c r="E297" s="436"/>
      <c r="F297" s="436" t="s">
        <v>2531</v>
      </c>
      <c r="G297" s="436" t="s">
        <v>169</v>
      </c>
      <c r="H297" s="436" t="s">
        <v>160</v>
      </c>
      <c r="I297" s="436" t="s">
        <v>1963</v>
      </c>
      <c r="J297" s="436">
        <v>3162.27766</v>
      </c>
      <c r="K297" s="436"/>
      <c r="L297" s="438"/>
      <c r="M297" s="453"/>
      <c r="N297" s="422">
        <v>17.029</v>
      </c>
      <c r="O297" s="422">
        <v>11.525</v>
      </c>
      <c r="P297" s="422"/>
      <c r="Q297" s="436" t="s">
        <v>2183</v>
      </c>
      <c r="R297" s="436" t="s">
        <v>2184</v>
      </c>
      <c r="S297" s="436" t="s">
        <v>1964</v>
      </c>
      <c r="T297" s="419" t="s">
        <v>162</v>
      </c>
      <c r="U297" s="436" t="s">
        <v>2185</v>
      </c>
      <c r="V297" s="451">
        <v>3.34363E29</v>
      </c>
      <c r="W297" s="458">
        <v>3.3884415613920256</v>
      </c>
      <c r="X297" s="438"/>
      <c r="Y297" s="442">
        <f t="shared" si="71"/>
        <v>6.149724734</v>
      </c>
      <c r="Z297" s="442"/>
      <c r="AA297" s="443"/>
      <c r="AB297" s="443"/>
      <c r="AC297" s="436" t="str">
        <f>IF(ISNUMBER(VLOOKUP(B297,'New Masses'!A:C,3,FALSE)),VLOOKUP(B297,'New Masses'!A:C,3,FALSE),"")</f>
        <v/>
      </c>
      <c r="AD297" s="440"/>
      <c r="AE297" s="440">
        <f t="shared" si="76"/>
        <v>0.000000007413102413</v>
      </c>
      <c r="AF297" s="439">
        <v>-8.13</v>
      </c>
      <c r="AG297" s="438"/>
      <c r="AH297" s="459">
        <f t="shared" si="78"/>
        <v>0.2089296131</v>
      </c>
      <c r="AI297" s="436"/>
      <c r="AJ297" s="446" t="str">
        <f>IF(ISNUMBER(VLOOKUP(B297,'New Masses'!A:C,2, FALSE)),VLOOKUP(B297,'New Masses'!A:C,2, FALSE),"")</f>
        <v/>
      </c>
      <c r="AK297" s="436">
        <v>-0.68</v>
      </c>
      <c r="AL297" s="436"/>
      <c r="AM297" s="436">
        <v>-1.54</v>
      </c>
      <c r="AN297" s="438"/>
      <c r="AO297" s="436">
        <v>1.0</v>
      </c>
      <c r="AP297" s="438"/>
      <c r="AQ297" s="436"/>
      <c r="AR297" s="438"/>
      <c r="AS297" s="438"/>
      <c r="AT297" s="455">
        <v>4.6</v>
      </c>
      <c r="AU297" s="449" t="s">
        <v>137</v>
      </c>
      <c r="AV297" s="438"/>
      <c r="AW297" s="438"/>
      <c r="AX297" s="450"/>
    </row>
    <row r="298">
      <c r="A298" s="436" t="s">
        <v>1464</v>
      </c>
      <c r="B298" s="436" t="s">
        <v>1464</v>
      </c>
      <c r="C298" s="436"/>
      <c r="D298" s="436" t="s">
        <v>158</v>
      </c>
      <c r="E298" s="436"/>
      <c r="F298" s="436" t="s">
        <v>2532</v>
      </c>
      <c r="G298" s="436" t="s">
        <v>169</v>
      </c>
      <c r="H298" s="436" t="s">
        <v>160</v>
      </c>
      <c r="I298" s="436" t="s">
        <v>1963</v>
      </c>
      <c r="J298" s="436">
        <v>4265.79519</v>
      </c>
      <c r="K298" s="436"/>
      <c r="L298" s="438"/>
      <c r="M298" s="453"/>
      <c r="N298" s="422">
        <v>10.499</v>
      </c>
      <c r="O298" s="422">
        <v>7.878</v>
      </c>
      <c r="P298" s="422">
        <v>16.29</v>
      </c>
      <c r="Q298" s="436" t="s">
        <v>2183</v>
      </c>
      <c r="R298" s="436" t="s">
        <v>2184</v>
      </c>
      <c r="S298" s="436" t="s">
        <v>1964</v>
      </c>
      <c r="T298" s="419" t="s">
        <v>162</v>
      </c>
      <c r="U298" s="436" t="s">
        <v>2185</v>
      </c>
      <c r="V298" s="451">
        <v>8.02081E29</v>
      </c>
      <c r="W298" s="458">
        <v>3.3884415613920256</v>
      </c>
      <c r="X298" s="438"/>
      <c r="Y298" s="442">
        <f t="shared" si="71"/>
        <v>3.379525101</v>
      </c>
      <c r="Z298" s="442"/>
      <c r="AA298" s="443"/>
      <c r="AB298" s="443"/>
      <c r="AC298" s="436" t="str">
        <f>IF(ISNUMBER(VLOOKUP(B298,'New Masses'!A:C,3,FALSE)),VLOOKUP(B298,'New Masses'!A:C,3,FALSE),"")</f>
        <v/>
      </c>
      <c r="AD298" s="440"/>
      <c r="AE298" s="440">
        <f t="shared" si="76"/>
        <v>0.00000001047128548</v>
      </c>
      <c r="AF298" s="439">
        <v>-7.98</v>
      </c>
      <c r="AG298" s="438"/>
      <c r="AH298" s="459">
        <f t="shared" si="78"/>
        <v>0.8511380382</v>
      </c>
      <c r="AI298" s="436"/>
      <c r="AJ298" s="446" t="str">
        <f>IF(ISNUMBER(VLOOKUP(B298,'New Masses'!A:C,2, FALSE)),VLOOKUP(B298,'New Masses'!A:C,2, FALSE),"")</f>
        <v/>
      </c>
      <c r="AK298" s="436">
        <v>-0.07</v>
      </c>
      <c r="AL298" s="436"/>
      <c r="AM298" s="436">
        <v>-1.01</v>
      </c>
      <c r="AN298" s="438"/>
      <c r="AO298" s="436">
        <v>1.0</v>
      </c>
      <c r="AP298" s="438"/>
      <c r="AQ298" s="438"/>
      <c r="AR298" s="438"/>
      <c r="AS298" s="438"/>
      <c r="AT298" s="455">
        <v>2.5</v>
      </c>
      <c r="AU298" s="452"/>
      <c r="AV298" s="438"/>
      <c r="AW298" s="438"/>
      <c r="AX298" s="450">
        <v>131.126904618289</v>
      </c>
    </row>
    <row r="299">
      <c r="A299" s="436" t="s">
        <v>1352</v>
      </c>
      <c r="B299" s="436" t="s">
        <v>1352</v>
      </c>
      <c r="C299" s="436"/>
      <c r="D299" s="436" t="s">
        <v>158</v>
      </c>
      <c r="E299" s="436"/>
      <c r="F299" s="436" t="s">
        <v>2533</v>
      </c>
      <c r="G299" s="436" t="s">
        <v>169</v>
      </c>
      <c r="H299" s="436" t="s">
        <v>160</v>
      </c>
      <c r="I299" s="436" t="s">
        <v>1963</v>
      </c>
      <c r="J299" s="436">
        <v>2884.0315</v>
      </c>
      <c r="K299" s="436"/>
      <c r="L299" s="438"/>
      <c r="M299" s="453"/>
      <c r="N299" s="422">
        <v>15.328</v>
      </c>
      <c r="O299" s="422">
        <v>11.437</v>
      </c>
      <c r="P299" s="422"/>
      <c r="Q299" s="436" t="s">
        <v>2183</v>
      </c>
      <c r="R299" s="436" t="s">
        <v>2184</v>
      </c>
      <c r="S299" s="436" t="s">
        <v>1964</v>
      </c>
      <c r="T299" s="419" t="s">
        <v>162</v>
      </c>
      <c r="U299" s="436" t="s">
        <v>2185</v>
      </c>
      <c r="V299" s="451">
        <v>1.214E28</v>
      </c>
      <c r="W299" s="458">
        <v>0.15848931924611134</v>
      </c>
      <c r="X299" s="438"/>
      <c r="Y299" s="442">
        <f t="shared" si="71"/>
        <v>1.599026561</v>
      </c>
      <c r="Z299" s="442"/>
      <c r="AA299" s="443"/>
      <c r="AB299" s="443"/>
      <c r="AC299" s="436" t="str">
        <f>IF(ISNUMBER(VLOOKUP(B299,'New Masses'!A:C,3,FALSE)),VLOOKUP(B299,'New Masses'!A:C,3,FALSE),"")</f>
        <v/>
      </c>
      <c r="AD299" s="440"/>
      <c r="AE299" s="440">
        <f t="shared" si="76"/>
        <v>0.0000000001096478196</v>
      </c>
      <c r="AF299" s="439">
        <v>-9.96</v>
      </c>
      <c r="AG299" s="438"/>
      <c r="AH299" s="459">
        <f t="shared" si="78"/>
        <v>0.1348962883</v>
      </c>
      <c r="AI299" s="436"/>
      <c r="AJ299" s="446" t="str">
        <f>IF(ISNUMBER(VLOOKUP(B299,'New Masses'!A:C,2, FALSE)),VLOOKUP(B299,'New Masses'!A:C,2, FALSE),"")</f>
        <v/>
      </c>
      <c r="AK299" s="436">
        <v>-0.87</v>
      </c>
      <c r="AL299" s="436"/>
      <c r="AM299" s="436">
        <v>-3.47</v>
      </c>
      <c r="AN299" s="438"/>
      <c r="AO299" s="436">
        <v>1.0</v>
      </c>
      <c r="AP299" s="438"/>
      <c r="AQ299" s="436"/>
      <c r="AR299" s="438"/>
      <c r="AS299" s="438"/>
      <c r="AT299" s="455">
        <v>4.3</v>
      </c>
      <c r="AU299" s="449" t="s">
        <v>137</v>
      </c>
      <c r="AV299" s="438"/>
      <c r="AW299" s="438"/>
      <c r="AX299" s="450"/>
    </row>
    <row r="300">
      <c r="A300" s="436" t="s">
        <v>1418</v>
      </c>
      <c r="B300" s="436" t="s">
        <v>1418</v>
      </c>
      <c r="C300" s="436"/>
      <c r="D300" s="436" t="s">
        <v>158</v>
      </c>
      <c r="E300" s="436"/>
      <c r="F300" s="436" t="s">
        <v>2534</v>
      </c>
      <c r="G300" s="436" t="s">
        <v>159</v>
      </c>
      <c r="H300" s="436" t="s">
        <v>160</v>
      </c>
      <c r="I300" s="436" t="s">
        <v>1963</v>
      </c>
      <c r="J300" s="436">
        <v>3630.78055</v>
      </c>
      <c r="K300" s="436"/>
      <c r="L300" s="438"/>
      <c r="M300" s="453"/>
      <c r="N300" s="422">
        <v>12.985</v>
      </c>
      <c r="O300" s="422">
        <v>9.604</v>
      </c>
      <c r="P300" s="422"/>
      <c r="Q300" s="436" t="s">
        <v>2183</v>
      </c>
      <c r="R300" s="436" t="s">
        <v>2184</v>
      </c>
      <c r="S300" s="436" t="s">
        <v>1964</v>
      </c>
      <c r="T300" s="419" t="s">
        <v>162</v>
      </c>
      <c r="U300" s="436" t="s">
        <v>2185</v>
      </c>
      <c r="V300" s="451">
        <v>1.3311E29</v>
      </c>
      <c r="W300" s="458">
        <v>1.0</v>
      </c>
      <c r="X300" s="438"/>
      <c r="Y300" s="442">
        <f t="shared" si="71"/>
        <v>2.534286303</v>
      </c>
      <c r="Z300" s="442"/>
      <c r="AA300" s="443"/>
      <c r="AB300" s="443"/>
      <c r="AC300" s="436" t="str">
        <f>IF(ISNUMBER(VLOOKUP(B300,'New Masses'!A:C,3,FALSE)),VLOOKUP(B300,'New Masses'!A:C,3,FALSE),"")</f>
        <v/>
      </c>
      <c r="AD300" s="440"/>
      <c r="AE300" s="440">
        <f t="shared" si="76"/>
        <v>0.000000001445439771</v>
      </c>
      <c r="AF300" s="439">
        <v>-8.84</v>
      </c>
      <c r="AG300" s="438"/>
      <c r="AH300" s="459">
        <f t="shared" si="78"/>
        <v>0.4168693835</v>
      </c>
      <c r="AI300" s="436"/>
      <c r="AJ300" s="446" t="str">
        <f>IF(ISNUMBER(VLOOKUP(B300,'New Masses'!A:C,2, FALSE)),VLOOKUP(B300,'New Masses'!A:C,2, FALSE),"")</f>
        <v/>
      </c>
      <c r="AK300" s="436">
        <v>-0.38</v>
      </c>
      <c r="AL300" s="436"/>
      <c r="AM300" s="436">
        <v>-2.07</v>
      </c>
      <c r="AN300" s="438"/>
      <c r="AO300" s="436">
        <v>1.0</v>
      </c>
      <c r="AP300" s="438"/>
      <c r="AQ300" s="436"/>
      <c r="AR300" s="438"/>
      <c r="AS300" s="438"/>
      <c r="AT300" s="455">
        <v>3.8</v>
      </c>
      <c r="AU300" s="452" t="s">
        <v>137</v>
      </c>
      <c r="AV300" s="438"/>
      <c r="AW300" s="438"/>
      <c r="AX300" s="450">
        <v>150.679564837416</v>
      </c>
    </row>
    <row r="301">
      <c r="A301" s="436" t="s">
        <v>1371</v>
      </c>
      <c r="B301" s="436" t="s">
        <v>1371</v>
      </c>
      <c r="C301" s="436"/>
      <c r="D301" s="436" t="s">
        <v>158</v>
      </c>
      <c r="E301" s="436"/>
      <c r="F301" s="436" t="s">
        <v>2535</v>
      </c>
      <c r="G301" s="436" t="s">
        <v>159</v>
      </c>
      <c r="H301" s="436" t="s">
        <v>160</v>
      </c>
      <c r="I301" s="436" t="s">
        <v>1963</v>
      </c>
      <c r="J301" s="436">
        <v>3090.29543</v>
      </c>
      <c r="K301" s="436"/>
      <c r="L301" s="438"/>
      <c r="M301" s="453"/>
      <c r="N301" s="422">
        <v>10.989</v>
      </c>
      <c r="O301" s="422">
        <v>9.573</v>
      </c>
      <c r="P301" s="422">
        <v>15.15</v>
      </c>
      <c r="Q301" s="436" t="s">
        <v>2183</v>
      </c>
      <c r="R301" s="436" t="s">
        <v>2184</v>
      </c>
      <c r="S301" s="436" t="s">
        <v>1964</v>
      </c>
      <c r="T301" s="419" t="s">
        <v>162</v>
      </c>
      <c r="U301" s="436" t="s">
        <v>2185</v>
      </c>
      <c r="V301" s="451">
        <v>5.1787E28</v>
      </c>
      <c r="W301" s="458">
        <v>0.30902954325135906</v>
      </c>
      <c r="X301" s="438"/>
      <c r="Y301" s="442">
        <f t="shared" si="71"/>
        <v>1.944713717</v>
      </c>
      <c r="Z301" s="442"/>
      <c r="AA301" s="443"/>
      <c r="AB301" s="443"/>
      <c r="AC301" s="436" t="str">
        <f>IF(ISNUMBER(VLOOKUP(B301,'New Masses'!A:C,3,FALSE)),VLOOKUP(B301,'New Masses'!A:C,3,FALSE),"")</f>
        <v/>
      </c>
      <c r="AD301" s="440"/>
      <c r="AE301" s="440">
        <f t="shared" si="76"/>
        <v>0.0000000006309573445</v>
      </c>
      <c r="AF301" s="439">
        <v>-9.2</v>
      </c>
      <c r="AG301" s="438"/>
      <c r="AH301" s="459">
        <f t="shared" si="78"/>
        <v>0.2041737945</v>
      </c>
      <c r="AI301" s="436"/>
      <c r="AJ301" s="446" t="str">
        <f>IF(ISNUMBER(VLOOKUP(B301,'New Masses'!A:C,2, FALSE)),VLOOKUP(B301,'New Masses'!A:C,2, FALSE),"")</f>
        <v/>
      </c>
      <c r="AK301" s="436">
        <v>-0.69</v>
      </c>
      <c r="AL301" s="436"/>
      <c r="AM301" s="436">
        <v>-2.62</v>
      </c>
      <c r="AN301" s="438"/>
      <c r="AO301" s="436">
        <v>1.0</v>
      </c>
      <c r="AP301" s="438"/>
      <c r="AQ301" s="436"/>
      <c r="AR301" s="438"/>
      <c r="AS301" s="438"/>
      <c r="AT301" s="455">
        <v>0.7</v>
      </c>
      <c r="AU301" s="449" t="s">
        <v>137</v>
      </c>
      <c r="AV301" s="438"/>
      <c r="AW301" s="438"/>
      <c r="AX301" s="450">
        <v>140.118820760004</v>
      </c>
    </row>
    <row r="302">
      <c r="A302" s="436" t="s">
        <v>1424</v>
      </c>
      <c r="B302" s="436" t="s">
        <v>1424</v>
      </c>
      <c r="C302" s="436"/>
      <c r="D302" s="436" t="s">
        <v>158</v>
      </c>
      <c r="E302" s="436"/>
      <c r="F302" s="436" t="s">
        <v>2536</v>
      </c>
      <c r="G302" s="436" t="s">
        <v>169</v>
      </c>
      <c r="H302" s="436" t="s">
        <v>160</v>
      </c>
      <c r="I302" s="436" t="s">
        <v>1963</v>
      </c>
      <c r="J302" s="436">
        <v>3715.35229</v>
      </c>
      <c r="K302" s="436"/>
      <c r="L302" s="438"/>
      <c r="M302" s="453"/>
      <c r="N302" s="422">
        <v>13.248</v>
      </c>
      <c r="O302" s="422">
        <v>8.955</v>
      </c>
      <c r="P302" s="422"/>
      <c r="Q302" s="436" t="s">
        <v>2183</v>
      </c>
      <c r="R302" s="436" t="s">
        <v>2184</v>
      </c>
      <c r="S302" s="436" t="s">
        <v>1964</v>
      </c>
      <c r="T302" s="419" t="s">
        <v>162</v>
      </c>
      <c r="U302" s="436" t="s">
        <v>2185</v>
      </c>
      <c r="V302" s="451">
        <v>2.26057E30</v>
      </c>
      <c r="W302" s="458">
        <v>1.2302687708123816</v>
      </c>
      <c r="X302" s="438"/>
      <c r="Y302" s="442">
        <f t="shared" si="71"/>
        <v>2.684452211</v>
      </c>
      <c r="Z302" s="442"/>
      <c r="AA302" s="443"/>
      <c r="AB302" s="443"/>
      <c r="AC302" s="436" t="str">
        <f>IF(ISNUMBER(VLOOKUP(B302,'New Masses'!A:C,3,FALSE)),VLOOKUP(B302,'New Masses'!A:C,3,FALSE),"")</f>
        <v/>
      </c>
      <c r="AD302" s="440"/>
      <c r="AE302" s="440">
        <f t="shared" si="76"/>
        <v>0.00000006309573445</v>
      </c>
      <c r="AF302" s="439">
        <v>-7.2</v>
      </c>
      <c r="AG302" s="438"/>
      <c r="AH302" s="459">
        <f t="shared" si="78"/>
        <v>0.4677351413</v>
      </c>
      <c r="AI302" s="436"/>
      <c r="AJ302" s="446" t="str">
        <f>IF(ISNUMBER(VLOOKUP(B302,'New Masses'!A:C,2, FALSE)),VLOOKUP(B302,'New Masses'!A:C,2, FALSE),"")</f>
        <v/>
      </c>
      <c r="AK302" s="436">
        <v>-0.33</v>
      </c>
      <c r="AL302" s="436"/>
      <c r="AM302" s="436">
        <v>-0.4</v>
      </c>
      <c r="AN302" s="438"/>
      <c r="AO302" s="436">
        <v>1.0</v>
      </c>
      <c r="AP302" s="438"/>
      <c r="AQ302" s="438"/>
      <c r="AR302" s="438"/>
      <c r="AS302" s="438"/>
      <c r="AT302" s="455">
        <v>4.2</v>
      </c>
      <c r="AU302" s="452"/>
      <c r="AV302" s="438"/>
      <c r="AW302" s="438"/>
      <c r="AX302" s="450">
        <v>115.877540615077</v>
      </c>
    </row>
    <row r="303">
      <c r="A303" s="436" t="s">
        <v>1347</v>
      </c>
      <c r="B303" s="436" t="s">
        <v>1347</v>
      </c>
      <c r="C303" s="436"/>
      <c r="D303" s="436" t="s">
        <v>158</v>
      </c>
      <c r="E303" s="436"/>
      <c r="F303" s="436" t="s">
        <v>2537</v>
      </c>
      <c r="G303" s="436" t="s">
        <v>159</v>
      </c>
      <c r="H303" s="436" t="s">
        <v>160</v>
      </c>
      <c r="I303" s="436" t="s">
        <v>1963</v>
      </c>
      <c r="J303" s="436">
        <v>2884.0315</v>
      </c>
      <c r="K303" s="436"/>
      <c r="L303" s="438"/>
      <c r="M303" s="453"/>
      <c r="N303" s="422">
        <v>12.331</v>
      </c>
      <c r="O303" s="422">
        <v>10.556</v>
      </c>
      <c r="P303" s="422">
        <v>17.41</v>
      </c>
      <c r="Q303" s="436" t="s">
        <v>2183</v>
      </c>
      <c r="R303" s="436" t="s">
        <v>2184</v>
      </c>
      <c r="S303" s="436" t="s">
        <v>1964</v>
      </c>
      <c r="T303" s="419" t="s">
        <v>162</v>
      </c>
      <c r="U303" s="436" t="s">
        <v>2185</v>
      </c>
      <c r="V303" s="451">
        <v>1.3008E28</v>
      </c>
      <c r="W303" s="458">
        <v>0.14791083881682077</v>
      </c>
      <c r="X303" s="438"/>
      <c r="Y303" s="442">
        <f t="shared" si="71"/>
        <v>1.544741015</v>
      </c>
      <c r="Z303" s="442"/>
      <c r="AA303" s="443"/>
      <c r="AB303" s="443"/>
      <c r="AC303" s="436" t="str">
        <f>IF(ISNUMBER(VLOOKUP(B303,'New Masses'!A:C,3,FALSE)),VLOOKUP(B303,'New Masses'!A:C,3,FALSE),"")</f>
        <v/>
      </c>
      <c r="AD303" s="440"/>
      <c r="AE303" s="440">
        <f t="shared" si="76"/>
        <v>0.0000000001202264435</v>
      </c>
      <c r="AF303" s="439">
        <v>-9.92</v>
      </c>
      <c r="AG303" s="438"/>
      <c r="AH303" s="459">
        <f t="shared" si="78"/>
        <v>0.1288249552</v>
      </c>
      <c r="AI303" s="436"/>
      <c r="AJ303" s="446" t="str">
        <f>IF(ISNUMBER(VLOOKUP(B303,'New Masses'!A:C,2, FALSE)),VLOOKUP(B303,'New Masses'!A:C,2, FALSE),"")</f>
        <v/>
      </c>
      <c r="AK303" s="436">
        <v>-0.89</v>
      </c>
      <c r="AL303" s="436"/>
      <c r="AM303" s="436">
        <v>-3.44</v>
      </c>
      <c r="AN303" s="438"/>
      <c r="AO303" s="436">
        <v>1.0</v>
      </c>
      <c r="AP303" s="438"/>
      <c r="AQ303" s="436"/>
      <c r="AR303" s="438"/>
      <c r="AS303" s="438"/>
      <c r="AT303" s="455">
        <v>1.3</v>
      </c>
      <c r="AU303" s="452" t="s">
        <v>137</v>
      </c>
      <c r="AV303" s="438"/>
      <c r="AW303" s="438"/>
      <c r="AX303" s="450">
        <v>145.623998835008</v>
      </c>
    </row>
    <row r="304">
      <c r="A304" s="419" t="s">
        <v>1351</v>
      </c>
      <c r="B304" s="419" t="s">
        <v>1351</v>
      </c>
      <c r="C304" s="436"/>
      <c r="D304" s="436" t="s">
        <v>158</v>
      </c>
      <c r="E304" s="436"/>
      <c r="F304" s="436" t="s">
        <v>2538</v>
      </c>
      <c r="G304" s="436" t="s">
        <v>169</v>
      </c>
      <c r="H304" s="436" t="s">
        <v>160</v>
      </c>
      <c r="I304" s="436" t="s">
        <v>1963</v>
      </c>
      <c r="J304" s="436">
        <v>2884.0315</v>
      </c>
      <c r="K304" s="436"/>
      <c r="L304" s="438"/>
      <c r="M304" s="453"/>
      <c r="N304" s="422">
        <v>13.5</v>
      </c>
      <c r="O304" s="422">
        <v>9.977</v>
      </c>
      <c r="P304" s="422">
        <v>19.33</v>
      </c>
      <c r="Q304" s="436" t="s">
        <v>2183</v>
      </c>
      <c r="R304" s="436" t="s">
        <v>2184</v>
      </c>
      <c r="S304" s="436" t="s">
        <v>1964</v>
      </c>
      <c r="T304" s="419" t="s">
        <v>162</v>
      </c>
      <c r="U304" s="436" t="s">
        <v>2185</v>
      </c>
      <c r="V304" s="451">
        <v>1.24228E30</v>
      </c>
      <c r="W304" s="458">
        <v>0.1548816618912481</v>
      </c>
      <c r="X304" s="438"/>
      <c r="Y304" s="442">
        <f t="shared" si="71"/>
        <v>1.580722655</v>
      </c>
      <c r="Z304" s="442"/>
      <c r="AA304" s="443"/>
      <c r="AB304" s="443"/>
      <c r="AC304" s="436" t="str">
        <f>IF(ISNUMBER(VLOOKUP(B304,'New Masses'!A:C,3,FALSE)),VLOOKUP(B304,'New Masses'!A:C,3,FALSE),"")</f>
        <v/>
      </c>
      <c r="AD304" s="440"/>
      <c r="AE304" s="440">
        <f t="shared" si="76"/>
        <v>0.00000005888436554</v>
      </c>
      <c r="AF304" s="439">
        <v>-7.23</v>
      </c>
      <c r="AG304" s="438"/>
      <c r="AH304" s="459">
        <f t="shared" si="78"/>
        <v>0.1348962883</v>
      </c>
      <c r="AI304" s="436"/>
      <c r="AJ304" s="446" t="str">
        <f>IF(ISNUMBER(VLOOKUP(B304,'New Masses'!A:C,2, FALSE)),VLOOKUP(B304,'New Masses'!A:C,2, FALSE),"")</f>
        <v/>
      </c>
      <c r="AK304" s="436">
        <v>-0.87</v>
      </c>
      <c r="AL304" s="436"/>
      <c r="AM304" s="436">
        <v>-0.74</v>
      </c>
      <c r="AN304" s="438"/>
      <c r="AO304" s="436">
        <v>1.0</v>
      </c>
      <c r="AP304" s="438"/>
      <c r="AQ304" s="438"/>
      <c r="AR304" s="438"/>
      <c r="AS304" s="438"/>
      <c r="AT304" s="455">
        <v>2.5</v>
      </c>
      <c r="AU304" s="452"/>
      <c r="AV304" s="438"/>
      <c r="AW304" s="438"/>
      <c r="AX304" s="450">
        <v>132.569731678863</v>
      </c>
    </row>
    <row r="305">
      <c r="A305" s="436" t="s">
        <v>1351</v>
      </c>
      <c r="B305" s="436" t="s">
        <v>1351</v>
      </c>
      <c r="C305" s="436"/>
      <c r="D305" s="436" t="s">
        <v>158</v>
      </c>
      <c r="E305" s="436"/>
      <c r="F305" s="436" t="s">
        <v>2539</v>
      </c>
      <c r="G305" s="436" t="s">
        <v>169</v>
      </c>
      <c r="H305" s="436" t="s">
        <v>754</v>
      </c>
      <c r="I305" s="436">
        <v>2010.0</v>
      </c>
      <c r="J305" s="436">
        <v>3340.0</v>
      </c>
      <c r="K305" s="436">
        <v>50.0</v>
      </c>
      <c r="L305" s="436" t="s">
        <v>422</v>
      </c>
      <c r="M305" s="439"/>
      <c r="N305" s="422">
        <v>13.5</v>
      </c>
      <c r="O305" s="422">
        <v>9.977</v>
      </c>
      <c r="P305" s="422">
        <v>19.33</v>
      </c>
      <c r="Q305" s="436" t="s">
        <v>2417</v>
      </c>
      <c r="R305" s="436" t="s">
        <v>2540</v>
      </c>
      <c r="S305" s="436" t="s">
        <v>2419</v>
      </c>
      <c r="T305" s="419" t="s">
        <v>162</v>
      </c>
      <c r="U305" s="436" t="s">
        <v>1754</v>
      </c>
      <c r="V305" s="440"/>
      <c r="W305" s="474">
        <v>0.106</v>
      </c>
      <c r="X305" s="436"/>
      <c r="Y305" s="442">
        <f t="shared" si="71"/>
        <v>0.9750248306</v>
      </c>
      <c r="Z305" s="469"/>
      <c r="AA305" s="470">
        <v>0.97</v>
      </c>
      <c r="AB305" s="470">
        <v>0.04</v>
      </c>
      <c r="AC305" s="436" t="str">
        <f>IF(ISNUMBER(VLOOKUP(B305,'New Masses'!A:C,3,FALSE)),VLOOKUP(B305,'New Masses'!A:C,3,FALSE),"")</f>
        <v/>
      </c>
      <c r="AD305" s="440"/>
      <c r="AE305" s="440">
        <f t="shared" si="76"/>
        <v>0.000000004365158322</v>
      </c>
      <c r="AF305" s="439">
        <v>-8.36</v>
      </c>
      <c r="AG305" s="438"/>
      <c r="AH305" s="459">
        <v>0.3</v>
      </c>
      <c r="AI305" s="436">
        <v>0.1</v>
      </c>
      <c r="AJ305" s="446" t="str">
        <f>IF(ISNUMBER(VLOOKUP(B305,'New Masses'!A:C,2, FALSE)),VLOOKUP(B305,'New Masses'!A:C,2, FALSE),"")</f>
        <v/>
      </c>
      <c r="AK305" s="436">
        <f>LOG10(AH305)</f>
        <v>-0.5228787453</v>
      </c>
      <c r="AL305" s="436"/>
      <c r="AM305" s="436">
        <v>-1.47</v>
      </c>
      <c r="AN305" s="438"/>
      <c r="AO305" s="436">
        <v>1.0</v>
      </c>
      <c r="AP305" s="438"/>
      <c r="AQ305" s="438"/>
      <c r="AR305" s="438"/>
      <c r="AS305" s="438"/>
      <c r="AT305" s="448"/>
      <c r="AU305" s="449"/>
      <c r="AV305" s="438"/>
      <c r="AW305" s="438"/>
      <c r="AX305" s="450">
        <v>132.569731678863</v>
      </c>
    </row>
    <row r="306">
      <c r="A306" s="436" t="s">
        <v>1465</v>
      </c>
      <c r="B306" s="436" t="s">
        <v>1465</v>
      </c>
      <c r="C306" s="436"/>
      <c r="D306" s="436" t="s">
        <v>158</v>
      </c>
      <c r="E306" s="436"/>
      <c r="F306" s="436" t="s">
        <v>2541</v>
      </c>
      <c r="G306" s="436" t="s">
        <v>159</v>
      </c>
      <c r="H306" s="436" t="s">
        <v>160</v>
      </c>
      <c r="I306" s="436" t="s">
        <v>1963</v>
      </c>
      <c r="J306" s="436">
        <v>4265.79519</v>
      </c>
      <c r="K306" s="436"/>
      <c r="L306" s="438"/>
      <c r="M306" s="453"/>
      <c r="N306" s="422">
        <v>12.2</v>
      </c>
      <c r="O306" s="422">
        <v>8.687</v>
      </c>
      <c r="P306" s="422"/>
      <c r="Q306" s="436" t="s">
        <v>2183</v>
      </c>
      <c r="R306" s="436" t="s">
        <v>2184</v>
      </c>
      <c r="S306" s="436" t="s">
        <v>1964</v>
      </c>
      <c r="T306" s="419" t="s">
        <v>162</v>
      </c>
      <c r="U306" s="436" t="s">
        <v>2185</v>
      </c>
      <c r="V306" s="451">
        <v>2.2606E29</v>
      </c>
      <c r="W306" s="458">
        <v>3.3884415613920256</v>
      </c>
      <c r="X306" s="438"/>
      <c r="Y306" s="442">
        <f t="shared" si="71"/>
        <v>3.379525101</v>
      </c>
      <c r="Z306" s="442"/>
      <c r="AA306" s="443"/>
      <c r="AB306" s="443"/>
      <c r="AC306" s="436" t="str">
        <f>IF(ISNUMBER(VLOOKUP(B306,'New Masses'!A:C,3,FALSE)),VLOOKUP(B306,'New Masses'!A:C,3,FALSE),"")</f>
        <v/>
      </c>
      <c r="AD306" s="440"/>
      <c r="AE306" s="440">
        <f t="shared" si="76"/>
        <v>0.000000001905460718</v>
      </c>
      <c r="AF306" s="439">
        <v>-8.72</v>
      </c>
      <c r="AG306" s="438"/>
      <c r="AH306" s="459">
        <f>10^AK306</f>
        <v>0.8511380382</v>
      </c>
      <c r="AI306" s="436"/>
      <c r="AJ306" s="446" t="str">
        <f>IF(ISNUMBER(VLOOKUP(B306,'New Masses'!A:C,2, FALSE)),VLOOKUP(B306,'New Masses'!A:C,2, FALSE),"")</f>
        <v/>
      </c>
      <c r="AK306" s="436">
        <v>-0.07</v>
      </c>
      <c r="AL306" s="436"/>
      <c r="AM306" s="436">
        <v>-1.75</v>
      </c>
      <c r="AN306" s="438"/>
      <c r="AO306" s="436">
        <v>1.0</v>
      </c>
      <c r="AP306" s="438"/>
      <c r="AQ306" s="436"/>
      <c r="AR306" s="438"/>
      <c r="AS306" s="438"/>
      <c r="AT306" s="455">
        <v>4.2</v>
      </c>
      <c r="AU306" s="449" t="s">
        <v>137</v>
      </c>
      <c r="AV306" s="438"/>
      <c r="AW306" s="438"/>
      <c r="AX306" s="450"/>
    </row>
    <row r="307">
      <c r="A307" s="436" t="s">
        <v>1968</v>
      </c>
      <c r="B307" s="436" t="s">
        <v>1968</v>
      </c>
      <c r="C307" s="436"/>
      <c r="D307" s="436" t="s">
        <v>158</v>
      </c>
      <c r="E307" s="436"/>
      <c r="F307" s="436" t="s">
        <v>2542</v>
      </c>
      <c r="G307" s="436" t="s">
        <v>159</v>
      </c>
      <c r="H307" s="436" t="s">
        <v>160</v>
      </c>
      <c r="I307" s="436" t="s">
        <v>1963</v>
      </c>
      <c r="J307" s="436"/>
      <c r="K307" s="436"/>
      <c r="L307" s="438"/>
      <c r="M307" s="453"/>
      <c r="N307" s="422">
        <v>13.81</v>
      </c>
      <c r="O307" s="422">
        <v>10.212</v>
      </c>
      <c r="P307" s="422"/>
      <c r="Q307" s="436" t="s">
        <v>2183</v>
      </c>
      <c r="R307" s="436" t="s">
        <v>2184</v>
      </c>
      <c r="S307" s="436" t="s">
        <v>1964</v>
      </c>
      <c r="T307" s="419" t="s">
        <v>162</v>
      </c>
      <c r="U307" s="436" t="s">
        <v>2185</v>
      </c>
      <c r="V307" s="451"/>
      <c r="W307" s="458"/>
      <c r="X307" s="438"/>
      <c r="Y307" s="442"/>
      <c r="Z307" s="442"/>
      <c r="AA307" s="443"/>
      <c r="AB307" s="443"/>
      <c r="AC307" s="436" t="str">
        <f>IF(ISNUMBER(VLOOKUP(B307,'New Masses'!A:C,3,FALSE)),VLOOKUP(B307,'New Masses'!A:C,3,FALSE),"")</f>
        <v/>
      </c>
      <c r="AD307" s="440"/>
      <c r="AE307" s="440"/>
      <c r="AF307" s="439"/>
      <c r="AG307" s="438"/>
      <c r="AH307" s="459"/>
      <c r="AI307" s="436"/>
      <c r="AJ307" s="446" t="str">
        <f>IF(ISNUMBER(VLOOKUP(B307,'New Masses'!A:C,2, FALSE)),VLOOKUP(B307,'New Masses'!A:C,2, FALSE),"")</f>
        <v/>
      </c>
      <c r="AK307" s="436"/>
      <c r="AL307" s="436"/>
      <c r="AM307" s="436"/>
      <c r="AN307" s="438"/>
      <c r="AO307" s="436">
        <v>1.0</v>
      </c>
      <c r="AP307" s="438"/>
      <c r="AQ307" s="436"/>
      <c r="AR307" s="438"/>
      <c r="AS307" s="438"/>
      <c r="AT307" s="448"/>
      <c r="AU307" s="452" t="s">
        <v>137</v>
      </c>
      <c r="AV307" s="438"/>
      <c r="AW307" s="438"/>
      <c r="AX307" s="450"/>
    </row>
    <row r="308">
      <c r="A308" s="436" t="s">
        <v>175</v>
      </c>
      <c r="B308" s="436" t="s">
        <v>175</v>
      </c>
      <c r="C308" s="436"/>
      <c r="D308" s="436" t="s">
        <v>158</v>
      </c>
      <c r="E308" s="436"/>
      <c r="F308" s="436" t="s">
        <v>2543</v>
      </c>
      <c r="G308" s="436" t="s">
        <v>169</v>
      </c>
      <c r="H308" s="436" t="s">
        <v>160</v>
      </c>
      <c r="I308" s="436" t="s">
        <v>1963</v>
      </c>
      <c r="J308" s="436">
        <v>2951.20923</v>
      </c>
      <c r="K308" s="436"/>
      <c r="L308" s="438"/>
      <c r="M308" s="453"/>
      <c r="N308" s="422">
        <v>21.3</v>
      </c>
      <c r="O308" s="422">
        <v>13.458</v>
      </c>
      <c r="P308" s="422"/>
      <c r="Q308" s="436" t="s">
        <v>2183</v>
      </c>
      <c r="R308" s="436" t="s">
        <v>2184</v>
      </c>
      <c r="S308" s="436" t="s">
        <v>1964</v>
      </c>
      <c r="T308" s="419" t="s">
        <v>162</v>
      </c>
      <c r="U308" s="436" t="s">
        <v>2185</v>
      </c>
      <c r="V308" s="451">
        <v>3.34363E29</v>
      </c>
      <c r="W308" s="458">
        <v>0.20417379446695297</v>
      </c>
      <c r="X308" s="438"/>
      <c r="Y308" s="442">
        <f t="shared" ref="Y308:Y339" si="79">IF((W308/((J308/5780)^4))^0.5&gt;0,(W308/((J308/5780)^4))^0.5,"")</f>
        <v>1.733227918</v>
      </c>
      <c r="Z308" s="442"/>
      <c r="AA308" s="443"/>
      <c r="AB308" s="443"/>
      <c r="AC308" s="436" t="str">
        <f>IF(ISNUMBER(VLOOKUP(B308,'New Masses'!A:C,3,FALSE)),VLOOKUP(B308,'New Masses'!A:C,3,FALSE),"")</f>
        <v/>
      </c>
      <c r="AD308" s="440"/>
      <c r="AE308" s="440">
        <f t="shared" ref="AE308:AE313" si="80">10^AF308</f>
        <v>0.0000001202264435</v>
      </c>
      <c r="AF308" s="439">
        <v>-6.92</v>
      </c>
      <c r="AG308" s="438"/>
      <c r="AH308" s="459">
        <f t="shared" ref="AH308:AH312" si="81">10^AK308</f>
        <v>0.1584893192</v>
      </c>
      <c r="AI308" s="436"/>
      <c r="AJ308" s="446" t="str">
        <f>IF(ISNUMBER(VLOOKUP(B308,'New Masses'!A:C,2, FALSE)),VLOOKUP(B308,'New Masses'!A:C,2, FALSE),"")</f>
        <v/>
      </c>
      <c r="AK308" s="436">
        <v>-0.8</v>
      </c>
      <c r="AL308" s="436"/>
      <c r="AM308" s="436">
        <v>-0.4</v>
      </c>
      <c r="AN308" s="438"/>
      <c r="AO308" s="436">
        <v>1.0</v>
      </c>
      <c r="AP308" s="438"/>
      <c r="AQ308" s="436"/>
      <c r="AR308" s="438"/>
      <c r="AS308" s="438"/>
      <c r="AT308" s="455">
        <v>10.4</v>
      </c>
      <c r="AU308" s="449" t="s">
        <v>137</v>
      </c>
      <c r="AV308" s="438"/>
      <c r="AW308" s="438"/>
      <c r="AX308" s="450"/>
    </row>
    <row r="309">
      <c r="A309" s="436" t="s">
        <v>180</v>
      </c>
      <c r="B309" s="436" t="s">
        <v>180</v>
      </c>
      <c r="C309" s="436"/>
      <c r="D309" s="436" t="s">
        <v>158</v>
      </c>
      <c r="E309" s="436"/>
      <c r="F309" s="436" t="s">
        <v>2544</v>
      </c>
      <c r="G309" s="436" t="s">
        <v>169</v>
      </c>
      <c r="H309" s="436" t="s">
        <v>160</v>
      </c>
      <c r="I309" s="436" t="s">
        <v>1963</v>
      </c>
      <c r="J309" s="436">
        <v>3162.27766</v>
      </c>
      <c r="K309" s="436"/>
      <c r="L309" s="438"/>
      <c r="M309" s="453"/>
      <c r="N309" s="422">
        <v>21.83</v>
      </c>
      <c r="O309" s="422">
        <v>13.119</v>
      </c>
      <c r="P309" s="422"/>
      <c r="Q309" s="436" t="s">
        <v>2183</v>
      </c>
      <c r="R309" s="436" t="s">
        <v>2184</v>
      </c>
      <c r="S309" s="436" t="s">
        <v>1964</v>
      </c>
      <c r="T309" s="419" t="s">
        <v>162</v>
      </c>
      <c r="U309" s="436" t="s">
        <v>2185</v>
      </c>
      <c r="V309" s="451">
        <v>3.34363E29</v>
      </c>
      <c r="W309" s="458">
        <v>0.3311311214825911</v>
      </c>
      <c r="X309" s="438"/>
      <c r="Y309" s="442">
        <f t="shared" si="79"/>
        <v>1.92245276</v>
      </c>
      <c r="Z309" s="442"/>
      <c r="AA309" s="443"/>
      <c r="AB309" s="443"/>
      <c r="AC309" s="436" t="str">
        <f>IF(ISNUMBER(VLOOKUP(B309,'New Masses'!A:C,3,FALSE)),VLOOKUP(B309,'New Masses'!A:C,3,FALSE),"")</f>
        <v/>
      </c>
      <c r="AD309" s="440"/>
      <c r="AE309" s="440">
        <f t="shared" si="80"/>
        <v>0.0000001202264435</v>
      </c>
      <c r="AF309" s="439">
        <v>-6.92</v>
      </c>
      <c r="AG309" s="438"/>
      <c r="AH309" s="459">
        <f t="shared" si="81"/>
        <v>0.213796209</v>
      </c>
      <c r="AI309" s="436"/>
      <c r="AJ309" s="446" t="str">
        <f>IF(ISNUMBER(VLOOKUP(B309,'New Masses'!A:C,2, FALSE)),VLOOKUP(B309,'New Masses'!A:C,2, FALSE),"")</f>
        <v/>
      </c>
      <c r="AK309" s="436">
        <v>-0.67</v>
      </c>
      <c r="AL309" s="436"/>
      <c r="AM309" s="436">
        <v>-0.32</v>
      </c>
      <c r="AN309" s="438"/>
      <c r="AO309" s="436">
        <v>1.0</v>
      </c>
      <c r="AP309" s="438"/>
      <c r="AQ309" s="436"/>
      <c r="AR309" s="438"/>
      <c r="AS309" s="438"/>
      <c r="AT309" s="455">
        <v>10.7</v>
      </c>
      <c r="AU309" s="452" t="s">
        <v>137</v>
      </c>
      <c r="AV309" s="438"/>
      <c r="AW309" s="438"/>
      <c r="AX309" s="450"/>
    </row>
    <row r="310">
      <c r="A310" s="436" t="s">
        <v>1419</v>
      </c>
      <c r="B310" s="436" t="s">
        <v>1419</v>
      </c>
      <c r="C310" s="436"/>
      <c r="D310" s="436" t="s">
        <v>158</v>
      </c>
      <c r="E310" s="436"/>
      <c r="F310" s="436" t="s">
        <v>2545</v>
      </c>
      <c r="G310" s="436" t="s">
        <v>169</v>
      </c>
      <c r="H310" s="436" t="s">
        <v>160</v>
      </c>
      <c r="I310" s="436" t="s">
        <v>1963</v>
      </c>
      <c r="J310" s="436">
        <v>3715.35229</v>
      </c>
      <c r="K310" s="436"/>
      <c r="L310" s="438"/>
      <c r="M310" s="453"/>
      <c r="N310" s="422">
        <v>14.698</v>
      </c>
      <c r="O310" s="422">
        <v>10.014</v>
      </c>
      <c r="P310" s="422"/>
      <c r="Q310" s="436" t="s">
        <v>2183</v>
      </c>
      <c r="R310" s="436" t="s">
        <v>2184</v>
      </c>
      <c r="S310" s="436" t="s">
        <v>1964</v>
      </c>
      <c r="T310" s="419" t="s">
        <v>162</v>
      </c>
      <c r="U310" s="436" t="s">
        <v>2185</v>
      </c>
      <c r="V310" s="451">
        <v>7.83823E28</v>
      </c>
      <c r="W310" s="458">
        <v>1.0471285480508996</v>
      </c>
      <c r="X310" s="438"/>
      <c r="Y310" s="442">
        <f t="shared" si="79"/>
        <v>2.476598908</v>
      </c>
      <c r="Z310" s="442"/>
      <c r="AA310" s="443"/>
      <c r="AB310" s="443"/>
      <c r="AC310" s="436" t="str">
        <f>IF(ISNUMBER(VLOOKUP(B310,'New Masses'!A:C,3,FALSE)),VLOOKUP(B310,'New Masses'!A:C,3,FALSE),"")</f>
        <v/>
      </c>
      <c r="AD310" s="440"/>
      <c r="AE310" s="440">
        <f t="shared" si="80"/>
        <v>0.0000000006918309709</v>
      </c>
      <c r="AF310" s="439">
        <v>-9.16</v>
      </c>
      <c r="AG310" s="438"/>
      <c r="AH310" s="459">
        <f t="shared" si="81"/>
        <v>0.4265795188</v>
      </c>
      <c r="AI310" s="436"/>
      <c r="AJ310" s="446" t="str">
        <f>IF(ISNUMBER(VLOOKUP(B310,'New Masses'!A:C,2, FALSE)),VLOOKUP(B310,'New Masses'!A:C,2, FALSE),"")</f>
        <v/>
      </c>
      <c r="AK310" s="436">
        <v>-0.37</v>
      </c>
      <c r="AL310" s="436"/>
      <c r="AM310" s="436">
        <v>-2.37</v>
      </c>
      <c r="AN310" s="438"/>
      <c r="AO310" s="436">
        <v>1.0</v>
      </c>
      <c r="AP310" s="438"/>
      <c r="AQ310" s="436"/>
      <c r="AR310" s="438"/>
      <c r="AS310" s="438"/>
      <c r="AT310" s="455">
        <v>5.5</v>
      </c>
      <c r="AU310" s="449" t="s">
        <v>137</v>
      </c>
      <c r="AV310" s="438"/>
      <c r="AW310" s="438"/>
      <c r="AX310" s="450"/>
    </row>
    <row r="311">
      <c r="A311" s="535" t="s">
        <v>1312</v>
      </c>
      <c r="B311" s="535" t="s">
        <v>1312</v>
      </c>
      <c r="C311" s="420"/>
      <c r="D311" s="420" t="s">
        <v>158</v>
      </c>
      <c r="E311" s="420"/>
      <c r="F311" s="420" t="s">
        <v>2546</v>
      </c>
      <c r="G311" s="420" t="s">
        <v>159</v>
      </c>
      <c r="H311" s="420" t="s">
        <v>160</v>
      </c>
      <c r="I311" s="420" t="s">
        <v>1963</v>
      </c>
      <c r="J311" s="436">
        <v>2570.39578</v>
      </c>
      <c r="K311" s="436"/>
      <c r="L311" s="420" t="s">
        <v>1285</v>
      </c>
      <c r="M311" s="429"/>
      <c r="N311" s="422">
        <v>18.2</v>
      </c>
      <c r="O311" s="422">
        <v>12.806</v>
      </c>
      <c r="P311" s="422"/>
      <c r="Q311" s="420" t="s">
        <v>2183</v>
      </c>
      <c r="R311" s="438"/>
      <c r="S311" s="438" t="s">
        <v>1964</v>
      </c>
      <c r="T311" s="421" t="s">
        <v>162</v>
      </c>
      <c r="U311" s="420" t="s">
        <v>2185</v>
      </c>
      <c r="V311" s="451"/>
      <c r="W311" s="458"/>
      <c r="X311" s="438"/>
      <c r="Y311" s="442" t="str">
        <f t="shared" si="79"/>
        <v/>
      </c>
      <c r="Z311" s="442"/>
      <c r="AA311" s="443"/>
      <c r="AB311" s="443"/>
      <c r="AC311" s="436" t="str">
        <f>IF(ISNUMBER(VLOOKUP(B311,'New Masses'!A:C,3,FALSE)),VLOOKUP(B311,'New Masses'!A:C,3,FALSE),"")</f>
        <v/>
      </c>
      <c r="AD311" s="440"/>
      <c r="AE311" s="440">
        <f t="shared" si="80"/>
        <v>0</v>
      </c>
      <c r="AF311" s="439">
        <v>-10.12</v>
      </c>
      <c r="AG311" s="438"/>
      <c r="AH311" s="459">
        <f t="shared" si="81"/>
        <v>0.02818382931</v>
      </c>
      <c r="AI311" s="438"/>
      <c r="AJ311" s="446" t="str">
        <f>IF(ISNUMBER(VLOOKUP(B311,'New Masses'!A:C,2, FALSE)),VLOOKUP(B311,'New Masses'!A:C,2, FALSE),"")</f>
        <v/>
      </c>
      <c r="AK311" s="436">
        <v>-1.55</v>
      </c>
      <c r="AL311" s="436"/>
      <c r="AM311" s="511">
        <v>-3.85</v>
      </c>
      <c r="AN311" s="436"/>
      <c r="AO311" s="436">
        <v>1.0</v>
      </c>
      <c r="AP311" s="438"/>
      <c r="AQ311" s="436">
        <v>13.47</v>
      </c>
      <c r="AR311" s="438"/>
      <c r="AS311" s="420" t="s">
        <v>664</v>
      </c>
      <c r="AT311" s="455">
        <v>3.8</v>
      </c>
      <c r="AU311" s="452" t="s">
        <v>137</v>
      </c>
      <c r="AV311" s="420" t="s">
        <v>1304</v>
      </c>
      <c r="AW311" s="438"/>
      <c r="AX311" s="450"/>
    </row>
    <row r="312">
      <c r="A312" s="436" t="s">
        <v>1407</v>
      </c>
      <c r="B312" s="436" t="s">
        <v>1407</v>
      </c>
      <c r="C312" s="436"/>
      <c r="D312" s="436" t="s">
        <v>158</v>
      </c>
      <c r="E312" s="436"/>
      <c r="F312" s="436" t="s">
        <v>2547</v>
      </c>
      <c r="G312" s="436" t="s">
        <v>169</v>
      </c>
      <c r="H312" s="436" t="s">
        <v>160</v>
      </c>
      <c r="I312" s="436" t="s">
        <v>1963</v>
      </c>
      <c r="J312" s="436">
        <v>3630.78055</v>
      </c>
      <c r="K312" s="436"/>
      <c r="L312" s="436" t="s">
        <v>434</v>
      </c>
      <c r="M312" s="439"/>
      <c r="N312" s="422">
        <v>12.257</v>
      </c>
      <c r="O312" s="422">
        <v>9.251</v>
      </c>
      <c r="P312" s="422">
        <v>18.46</v>
      </c>
      <c r="Q312" s="436" t="s">
        <v>2183</v>
      </c>
      <c r="R312" s="436" t="s">
        <v>2184</v>
      </c>
      <c r="S312" s="436" t="s">
        <v>1964</v>
      </c>
      <c r="T312" s="419" t="s">
        <v>162</v>
      </c>
      <c r="U312" s="436" t="s">
        <v>2185</v>
      </c>
      <c r="V312" s="451">
        <v>7.48545E29</v>
      </c>
      <c r="W312" s="458">
        <v>0.8709635899560807</v>
      </c>
      <c r="X312" s="438"/>
      <c r="Y312" s="442">
        <f t="shared" si="79"/>
        <v>2.365133591</v>
      </c>
      <c r="Z312" s="442"/>
      <c r="AA312" s="443"/>
      <c r="AB312" s="443"/>
      <c r="AC312" s="436" t="str">
        <f>IF(ISNUMBER(VLOOKUP(B312,'New Masses'!A:C,3,FALSE)),VLOOKUP(B312,'New Masses'!A:C,3,FALSE),"")</f>
        <v/>
      </c>
      <c r="AD312" s="440"/>
      <c r="AE312" s="440">
        <f t="shared" si="80"/>
        <v>0.00000001621810097</v>
      </c>
      <c r="AF312" s="439">
        <v>-7.79</v>
      </c>
      <c r="AG312" s="438"/>
      <c r="AH312" s="459">
        <f t="shared" si="81"/>
        <v>0.3801893963</v>
      </c>
      <c r="AI312" s="436"/>
      <c r="AJ312" s="446" t="str">
        <f>IF(ISNUMBER(VLOOKUP(B312,'New Masses'!A:C,2, FALSE)),VLOOKUP(B312,'New Masses'!A:C,2, FALSE),"")</f>
        <v/>
      </c>
      <c r="AK312" s="436">
        <v>-0.42</v>
      </c>
      <c r="AL312" s="436"/>
      <c r="AM312" s="436">
        <v>-1.04</v>
      </c>
      <c r="AN312" s="438"/>
      <c r="AO312" s="436">
        <v>1.0</v>
      </c>
      <c r="AP312" s="438"/>
      <c r="AQ312" s="436"/>
      <c r="AR312" s="473"/>
      <c r="AS312" s="438"/>
      <c r="AT312" s="455">
        <v>3.0</v>
      </c>
      <c r="AU312" s="449"/>
      <c r="AV312" s="473" t="s">
        <v>1408</v>
      </c>
      <c r="AW312" s="438"/>
      <c r="AX312" s="450">
        <v>133.895695253397</v>
      </c>
    </row>
    <row r="313">
      <c r="A313" s="436" t="s">
        <v>1407</v>
      </c>
      <c r="B313" s="436" t="s">
        <v>1407</v>
      </c>
      <c r="C313" s="436"/>
      <c r="D313" s="436" t="s">
        <v>158</v>
      </c>
      <c r="E313" s="436"/>
      <c r="F313" s="436" t="s">
        <v>2547</v>
      </c>
      <c r="G313" s="436" t="s">
        <v>169</v>
      </c>
      <c r="H313" s="436" t="s">
        <v>1309</v>
      </c>
      <c r="I313" s="436" t="s">
        <v>2409</v>
      </c>
      <c r="J313" s="436">
        <v>3900.0</v>
      </c>
      <c r="K313" s="436"/>
      <c r="L313" s="436" t="s">
        <v>1401</v>
      </c>
      <c r="M313" s="457">
        <v>0.5</v>
      </c>
      <c r="N313" s="422">
        <v>12.257</v>
      </c>
      <c r="O313" s="422">
        <v>9.251</v>
      </c>
      <c r="P313" s="422">
        <v>18.46</v>
      </c>
      <c r="Q313" s="436" t="s">
        <v>2410</v>
      </c>
      <c r="R313" s="436" t="s">
        <v>2548</v>
      </c>
      <c r="S313" s="436" t="s">
        <v>2412</v>
      </c>
      <c r="T313" s="436" t="s">
        <v>596</v>
      </c>
      <c r="U313" s="436" t="s">
        <v>2413</v>
      </c>
      <c r="V313" s="440"/>
      <c r="W313" s="458">
        <v>0.8709635899560806</v>
      </c>
      <c r="X313" s="438"/>
      <c r="Y313" s="442">
        <f t="shared" si="79"/>
        <v>2.049870676</v>
      </c>
      <c r="Z313" s="442"/>
      <c r="AA313" s="443"/>
      <c r="AB313" s="443"/>
      <c r="AC313" s="436" t="str">
        <f>IF(ISNUMBER(VLOOKUP(B313,'New Masses'!A:C,3,FALSE)),VLOOKUP(B313,'New Masses'!A:C,3,FALSE),"")</f>
        <v/>
      </c>
      <c r="AD313" s="440"/>
      <c r="AE313" s="440">
        <f t="shared" si="80"/>
        <v>0.000000004570881896</v>
      </c>
      <c r="AF313" s="439">
        <v>-8.34</v>
      </c>
      <c r="AG313" s="438"/>
      <c r="AH313" s="459">
        <v>0.4</v>
      </c>
      <c r="AI313" s="436"/>
      <c r="AJ313" s="446" t="str">
        <f>IF(ISNUMBER(VLOOKUP(B313,'New Masses'!A:C,2, FALSE)),VLOOKUP(B313,'New Masses'!A:C,2, FALSE),"")</f>
        <v/>
      </c>
      <c r="AK313" s="436">
        <f>LOG10(AH313)</f>
        <v>-0.3979400087</v>
      </c>
      <c r="AL313" s="438"/>
      <c r="AM313" s="438"/>
      <c r="AN313" s="436" t="s">
        <v>2407</v>
      </c>
      <c r="AO313" s="436">
        <v>3.0</v>
      </c>
      <c r="AP313" s="438"/>
      <c r="AQ313" s="438"/>
      <c r="AR313" s="438"/>
      <c r="AS313" s="438"/>
      <c r="AT313" s="448"/>
      <c r="AU313" s="452"/>
      <c r="AV313" s="438"/>
      <c r="AW313" s="438"/>
      <c r="AX313" s="450">
        <v>133.895695253397</v>
      </c>
    </row>
    <row r="314">
      <c r="A314" s="436" t="s">
        <v>1971</v>
      </c>
      <c r="B314" s="436" t="s">
        <v>1971</v>
      </c>
      <c r="C314" s="436"/>
      <c r="D314" s="436" t="s">
        <v>158</v>
      </c>
      <c r="E314" s="436"/>
      <c r="F314" s="436" t="s">
        <v>2549</v>
      </c>
      <c r="G314" s="436" t="s">
        <v>169</v>
      </c>
      <c r="H314" s="436" t="s">
        <v>160</v>
      </c>
      <c r="I314" s="436" t="s">
        <v>1963</v>
      </c>
      <c r="J314" s="436">
        <v>2818.38293</v>
      </c>
      <c r="K314" s="436"/>
      <c r="L314" s="438"/>
      <c r="M314" s="453"/>
      <c r="N314" s="422">
        <v>19.198</v>
      </c>
      <c r="O314" s="422">
        <v>12.806</v>
      </c>
      <c r="P314" s="422"/>
      <c r="Q314" s="436" t="s">
        <v>2183</v>
      </c>
      <c r="R314" s="436" t="s">
        <v>2184</v>
      </c>
      <c r="S314" s="436" t="s">
        <v>1964</v>
      </c>
      <c r="T314" s="419" t="s">
        <v>162</v>
      </c>
      <c r="U314" s="436" t="s">
        <v>2185</v>
      </c>
      <c r="V314" s="451"/>
      <c r="W314" s="458">
        <v>0.10232929922807542</v>
      </c>
      <c r="X314" s="438"/>
      <c r="Y314" s="442">
        <f t="shared" si="79"/>
        <v>1.345413178</v>
      </c>
      <c r="Z314" s="442"/>
      <c r="AA314" s="443"/>
      <c r="AB314" s="443"/>
      <c r="AC314" s="436" t="str">
        <f>IF(ISNUMBER(VLOOKUP(B314,'New Masses'!A:C,3,FALSE)),VLOOKUP(B314,'New Masses'!A:C,3,FALSE),"")</f>
        <v/>
      </c>
      <c r="AD314" s="451"/>
      <c r="AE314" s="451"/>
      <c r="AF314" s="439"/>
      <c r="AG314" s="438"/>
      <c r="AH314" s="459">
        <f>10^AK314</f>
        <v>0.1047128548</v>
      </c>
      <c r="AI314" s="436"/>
      <c r="AJ314" s="446" t="str">
        <f>IF(ISNUMBER(VLOOKUP(B314,'New Masses'!A:C,2, FALSE)),VLOOKUP(B314,'New Masses'!A:C,2, FALSE),"")</f>
        <v/>
      </c>
      <c r="AK314" s="436">
        <v>-0.98</v>
      </c>
      <c r="AL314" s="436"/>
      <c r="AM314" s="436"/>
      <c r="AN314" s="438"/>
      <c r="AO314" s="436">
        <v>1.0</v>
      </c>
      <c r="AP314" s="438"/>
      <c r="AQ314" s="438"/>
      <c r="AR314" s="438"/>
      <c r="AS314" s="438"/>
      <c r="AT314" s="455">
        <v>7.1</v>
      </c>
      <c r="AU314" s="452" t="s">
        <v>137</v>
      </c>
      <c r="AV314" s="438"/>
      <c r="AW314" s="438"/>
      <c r="AX314" s="450"/>
    </row>
    <row r="315">
      <c r="A315" s="436" t="s">
        <v>1973</v>
      </c>
      <c r="B315" s="436" t="s">
        <v>1973</v>
      </c>
      <c r="C315" s="436"/>
      <c r="D315" s="436" t="s">
        <v>158</v>
      </c>
      <c r="E315" s="436"/>
      <c r="F315" s="436" t="s">
        <v>2550</v>
      </c>
      <c r="G315" s="436" t="s">
        <v>169</v>
      </c>
      <c r="H315" s="436" t="s">
        <v>160</v>
      </c>
      <c r="I315" s="436" t="s">
        <v>1963</v>
      </c>
      <c r="J315" s="436">
        <v>3162.27766</v>
      </c>
      <c r="K315" s="436"/>
      <c r="L315" s="438"/>
      <c r="M315" s="453"/>
      <c r="N315" s="422"/>
      <c r="O315" s="422">
        <v>14.407</v>
      </c>
      <c r="P315" s="422"/>
      <c r="Q315" s="436" t="s">
        <v>2183</v>
      </c>
      <c r="R315" s="436" t="s">
        <v>2184</v>
      </c>
      <c r="S315" s="436" t="s">
        <v>1964</v>
      </c>
      <c r="T315" s="419" t="s">
        <v>162</v>
      </c>
      <c r="U315" s="436" t="s">
        <v>2185</v>
      </c>
      <c r="V315" s="451"/>
      <c r="W315" s="458">
        <v>0.3311311214825911</v>
      </c>
      <c r="X315" s="438"/>
      <c r="Y315" s="442">
        <f t="shared" si="79"/>
        <v>1.92245276</v>
      </c>
      <c r="Z315" s="442"/>
      <c r="AA315" s="443"/>
      <c r="AB315" s="443"/>
      <c r="AC315" s="436" t="str">
        <f>IF(ISNUMBER(VLOOKUP(B315,'New Masses'!A:C,3,FALSE)),VLOOKUP(B315,'New Masses'!A:C,3,FALSE),"")</f>
        <v/>
      </c>
      <c r="AD315" s="451"/>
      <c r="AE315" s="451"/>
      <c r="AF315" s="439"/>
      <c r="AG315" s="438"/>
      <c r="AH315" s="459"/>
      <c r="AI315" s="436"/>
      <c r="AJ315" s="446" t="str">
        <f>IF(ISNUMBER(VLOOKUP(B315,'New Masses'!A:C,2, FALSE)),VLOOKUP(B315,'New Masses'!A:C,2, FALSE),"")</f>
        <v/>
      </c>
      <c r="AK315" s="436"/>
      <c r="AL315" s="436"/>
      <c r="AM315" s="436"/>
      <c r="AN315" s="438"/>
      <c r="AO315" s="436">
        <v>1.0</v>
      </c>
      <c r="AP315" s="438"/>
      <c r="AQ315" s="438"/>
      <c r="AR315" s="438"/>
      <c r="AS315" s="438"/>
      <c r="AT315" s="455">
        <v>-1.0</v>
      </c>
      <c r="AU315" s="449" t="s">
        <v>137</v>
      </c>
      <c r="AV315" s="438"/>
      <c r="AW315" s="438"/>
      <c r="AX315" s="450"/>
    </row>
    <row r="316">
      <c r="A316" s="436" t="s">
        <v>1358</v>
      </c>
      <c r="B316" s="436" t="s">
        <v>1358</v>
      </c>
      <c r="C316" s="436"/>
      <c r="D316" s="436" t="s">
        <v>158</v>
      </c>
      <c r="E316" s="436"/>
      <c r="F316" s="436" t="s">
        <v>2551</v>
      </c>
      <c r="G316" s="436" t="s">
        <v>169</v>
      </c>
      <c r="H316" s="436" t="s">
        <v>160</v>
      </c>
      <c r="I316" s="436" t="s">
        <v>1963</v>
      </c>
      <c r="J316" s="436">
        <v>2951.20923</v>
      </c>
      <c r="K316" s="436"/>
      <c r="L316" s="438"/>
      <c r="M316" s="453"/>
      <c r="N316" s="422">
        <v>16.006</v>
      </c>
      <c r="O316" s="422">
        <v>11.464</v>
      </c>
      <c r="P316" s="422"/>
      <c r="Q316" s="436" t="s">
        <v>2183</v>
      </c>
      <c r="R316" s="436" t="s">
        <v>2184</v>
      </c>
      <c r="S316" s="436" t="s">
        <v>1964</v>
      </c>
      <c r="T316" s="419" t="s">
        <v>162</v>
      </c>
      <c r="U316" s="436" t="s">
        <v>2185</v>
      </c>
      <c r="V316" s="451">
        <v>3.34363E28</v>
      </c>
      <c r="W316" s="458">
        <v>0.19054607179632474</v>
      </c>
      <c r="X316" s="438"/>
      <c r="Y316" s="442">
        <f t="shared" si="79"/>
        <v>1.674386354</v>
      </c>
      <c r="Z316" s="442"/>
      <c r="AA316" s="443"/>
      <c r="AB316" s="443"/>
      <c r="AC316" s="436" t="str">
        <f>IF(ISNUMBER(VLOOKUP(B316,'New Masses'!A:C,3,FALSE)),VLOOKUP(B316,'New Masses'!A:C,3,FALSE),"")</f>
        <v/>
      </c>
      <c r="AD316" s="440"/>
      <c r="AE316" s="440">
        <f t="shared" ref="AE316:AE319" si="82">10^AF316</f>
        <v>0.0000000004073802778</v>
      </c>
      <c r="AF316" s="439">
        <v>-9.39</v>
      </c>
      <c r="AG316" s="438"/>
      <c r="AH316" s="459">
        <f t="shared" ref="AH316:AH317" si="83">10^AK316</f>
        <v>0.1513561248</v>
      </c>
      <c r="AI316" s="436"/>
      <c r="AJ316" s="446" t="str">
        <f>IF(ISNUMBER(VLOOKUP(B316,'New Masses'!A:C,2, FALSE)),VLOOKUP(B316,'New Masses'!A:C,2, FALSE),"")</f>
        <v/>
      </c>
      <c r="AK316" s="436">
        <v>-0.82</v>
      </c>
      <c r="AL316" s="436"/>
      <c r="AM316" s="436">
        <v>-2.88</v>
      </c>
      <c r="AN316" s="438"/>
      <c r="AO316" s="436">
        <v>1.0</v>
      </c>
      <c r="AP316" s="438"/>
      <c r="AQ316" s="436"/>
      <c r="AR316" s="438"/>
      <c r="AS316" s="438"/>
      <c r="AT316" s="455">
        <v>5.1</v>
      </c>
      <c r="AU316" s="452" t="s">
        <v>137</v>
      </c>
      <c r="AV316" s="438"/>
      <c r="AW316" s="438"/>
      <c r="AX316" s="450"/>
    </row>
    <row r="317">
      <c r="A317" s="436" t="s">
        <v>753</v>
      </c>
      <c r="B317" s="436" t="s">
        <v>753</v>
      </c>
      <c r="C317" s="436"/>
      <c r="D317" s="436" t="s">
        <v>158</v>
      </c>
      <c r="E317" s="436"/>
      <c r="F317" s="436" t="s">
        <v>2552</v>
      </c>
      <c r="G317" s="436" t="s">
        <v>169</v>
      </c>
      <c r="H317" s="436" t="s">
        <v>160</v>
      </c>
      <c r="I317" s="436" t="s">
        <v>1963</v>
      </c>
      <c r="J317" s="436">
        <v>2818.38293</v>
      </c>
      <c r="K317" s="436"/>
      <c r="L317" s="438"/>
      <c r="M317" s="453"/>
      <c r="N317" s="422">
        <v>15.45</v>
      </c>
      <c r="O317" s="422">
        <v>11.483</v>
      </c>
      <c r="P317" s="422"/>
      <c r="Q317" s="436" t="s">
        <v>2183</v>
      </c>
      <c r="R317" s="436" t="s">
        <v>2184</v>
      </c>
      <c r="S317" s="436" t="s">
        <v>1964</v>
      </c>
      <c r="T317" s="419" t="s">
        <v>162</v>
      </c>
      <c r="U317" s="436" t="s">
        <v>2185</v>
      </c>
      <c r="V317" s="451">
        <v>4.61549E28</v>
      </c>
      <c r="W317" s="458">
        <v>0.0812830516164099</v>
      </c>
      <c r="X317" s="438"/>
      <c r="Y317" s="442">
        <f t="shared" si="79"/>
        <v>1.199100757</v>
      </c>
      <c r="Z317" s="442"/>
      <c r="AA317" s="443"/>
      <c r="AB317" s="443"/>
      <c r="AC317" s="436" t="str">
        <f>IF(ISNUMBER(VLOOKUP(B317,'New Masses'!A:C,3,FALSE)),VLOOKUP(B317,'New Masses'!A:C,3,FALSE),"")</f>
        <v/>
      </c>
      <c r="AD317" s="440"/>
      <c r="AE317" s="440">
        <f t="shared" si="82"/>
        <v>0.0000000007413102413</v>
      </c>
      <c r="AF317" s="439">
        <v>-9.13</v>
      </c>
      <c r="AG317" s="438"/>
      <c r="AH317" s="459">
        <f t="shared" si="83"/>
        <v>0.09120108394</v>
      </c>
      <c r="AI317" s="436"/>
      <c r="AJ317" s="446" t="str">
        <f>IF(ISNUMBER(VLOOKUP(B317,'New Masses'!A:C,2, FALSE)),VLOOKUP(B317,'New Masses'!A:C,2, FALSE),"")</f>
        <v/>
      </c>
      <c r="AK317" s="436">
        <v>-1.04</v>
      </c>
      <c r="AL317" s="436"/>
      <c r="AM317" s="436">
        <v>-2.69</v>
      </c>
      <c r="AN317" s="438"/>
      <c r="AO317" s="436">
        <v>1.0</v>
      </c>
      <c r="AP317" s="438"/>
      <c r="AQ317" s="438"/>
      <c r="AR317" s="438"/>
      <c r="AS317" s="438"/>
      <c r="AT317" s="455">
        <v>3.7</v>
      </c>
      <c r="AU317" s="452"/>
      <c r="AV317" s="438"/>
      <c r="AW317" s="438"/>
      <c r="AX317" s="450"/>
    </row>
    <row r="318">
      <c r="A318" s="436" t="s">
        <v>753</v>
      </c>
      <c r="B318" s="436" t="s">
        <v>753</v>
      </c>
      <c r="C318" s="436"/>
      <c r="D318" s="436" t="s">
        <v>158</v>
      </c>
      <c r="E318" s="436"/>
      <c r="F318" s="436" t="s">
        <v>2552</v>
      </c>
      <c r="G318" s="436" t="s">
        <v>169</v>
      </c>
      <c r="H318" s="436" t="s">
        <v>754</v>
      </c>
      <c r="I318" s="436">
        <v>2010.0</v>
      </c>
      <c r="J318" s="436">
        <v>3200.0</v>
      </c>
      <c r="K318" s="436">
        <v>50.0</v>
      </c>
      <c r="L318" s="436" t="s">
        <v>402</v>
      </c>
      <c r="M318" s="439"/>
      <c r="N318" s="422">
        <v>15.45</v>
      </c>
      <c r="O318" s="422">
        <v>11.483</v>
      </c>
      <c r="P318" s="422"/>
      <c r="Q318" s="436" t="s">
        <v>2417</v>
      </c>
      <c r="R318" s="436" t="s">
        <v>2553</v>
      </c>
      <c r="S318" s="436" t="s">
        <v>2419</v>
      </c>
      <c r="T318" s="419" t="s">
        <v>162</v>
      </c>
      <c r="U318" s="436" t="s">
        <v>1754</v>
      </c>
      <c r="V318" s="440"/>
      <c r="W318" s="474">
        <v>0.109</v>
      </c>
      <c r="X318" s="436"/>
      <c r="Y318" s="442">
        <f t="shared" si="79"/>
        <v>1.077132101</v>
      </c>
      <c r="Z318" s="469"/>
      <c r="AA318" s="470">
        <v>1.08</v>
      </c>
      <c r="AB318" s="470">
        <v>0.05</v>
      </c>
      <c r="AC318" s="436" t="str">
        <f>IF(ISNUMBER(VLOOKUP(B318,'New Masses'!A:C,3,FALSE)),VLOOKUP(B318,'New Masses'!A:C,3,FALSE),"")</f>
        <v/>
      </c>
      <c r="AD318" s="440"/>
      <c r="AE318" s="440">
        <f t="shared" si="82"/>
        <v>0.000000001202264435</v>
      </c>
      <c r="AF318" s="439">
        <v>-8.92</v>
      </c>
      <c r="AG318" s="438"/>
      <c r="AH318" s="459">
        <v>0.22</v>
      </c>
      <c r="AI318" s="436">
        <v>0.1</v>
      </c>
      <c r="AJ318" s="446" t="str">
        <f>IF(ISNUMBER(VLOOKUP(B318,'New Masses'!A:C,2, FALSE)),VLOOKUP(B318,'New Masses'!A:C,2, FALSE),"")</f>
        <v/>
      </c>
      <c r="AK318" s="436">
        <f>LOG10(AH318)</f>
        <v>-0.6575773192</v>
      </c>
      <c r="AL318" s="436"/>
      <c r="AM318" s="436">
        <v>-2.21</v>
      </c>
      <c r="AN318" s="438"/>
      <c r="AO318" s="436">
        <v>1.0</v>
      </c>
      <c r="AP318" s="438"/>
      <c r="AQ318" s="436"/>
      <c r="AR318" s="438"/>
      <c r="AS318" s="438"/>
      <c r="AT318" s="448"/>
      <c r="AU318" s="449"/>
      <c r="AV318" s="438"/>
      <c r="AW318" s="438"/>
      <c r="AX318" s="450"/>
    </row>
    <row r="319">
      <c r="A319" s="436" t="s">
        <v>1345</v>
      </c>
      <c r="B319" s="436" t="s">
        <v>1345</v>
      </c>
      <c r="C319" s="436"/>
      <c r="D319" s="436" t="s">
        <v>158</v>
      </c>
      <c r="E319" s="436"/>
      <c r="F319" s="436" t="s">
        <v>2554</v>
      </c>
      <c r="G319" s="436" t="s">
        <v>169</v>
      </c>
      <c r="H319" s="436" t="s">
        <v>160</v>
      </c>
      <c r="I319" s="436" t="s">
        <v>1963</v>
      </c>
      <c r="J319" s="436">
        <v>2884.0315</v>
      </c>
      <c r="K319" s="436"/>
      <c r="L319" s="438"/>
      <c r="M319" s="453"/>
      <c r="N319" s="422">
        <v>16.052</v>
      </c>
      <c r="O319" s="422">
        <v>11.82</v>
      </c>
      <c r="P319" s="422"/>
      <c r="Q319" s="436" t="s">
        <v>2183</v>
      </c>
      <c r="R319" s="436" t="s">
        <v>2184</v>
      </c>
      <c r="S319" s="436" t="s">
        <v>1964</v>
      </c>
      <c r="T319" s="419" t="s">
        <v>162</v>
      </c>
      <c r="U319" s="436" t="s">
        <v>2185</v>
      </c>
      <c r="V319" s="451">
        <v>1.36213E28</v>
      </c>
      <c r="W319" s="458">
        <v>0.11748975549395294</v>
      </c>
      <c r="X319" s="438"/>
      <c r="Y319" s="442">
        <f t="shared" si="79"/>
        <v>1.376751879</v>
      </c>
      <c r="Z319" s="442"/>
      <c r="AA319" s="443"/>
      <c r="AB319" s="443"/>
      <c r="AC319" s="436" t="str">
        <f>IF(ISNUMBER(VLOOKUP(B319,'New Masses'!A:C,3,FALSE)),VLOOKUP(B319,'New Masses'!A:C,3,FALSE),"")</f>
        <v/>
      </c>
      <c r="AD319" s="440"/>
      <c r="AE319" s="440">
        <f t="shared" si="82"/>
        <v>0.0000000001318256739</v>
      </c>
      <c r="AF319" s="439">
        <v>-9.88</v>
      </c>
      <c r="AG319" s="438"/>
      <c r="AH319" s="459">
        <f t="shared" ref="AH319:AH323" si="84">10^AK319</f>
        <v>0.1148153621</v>
      </c>
      <c r="AI319" s="436"/>
      <c r="AJ319" s="446" t="str">
        <f>IF(ISNUMBER(VLOOKUP(B319,'New Masses'!A:C,2, FALSE)),VLOOKUP(B319,'New Masses'!A:C,2, FALSE),"")</f>
        <v/>
      </c>
      <c r="AK319" s="436">
        <v>-0.94</v>
      </c>
      <c r="AL319" s="436"/>
      <c r="AM319" s="436">
        <v>-3.42</v>
      </c>
      <c r="AN319" s="438"/>
      <c r="AO319" s="436">
        <v>1.0</v>
      </c>
      <c r="AP319" s="438"/>
      <c r="AQ319" s="436"/>
      <c r="AR319" s="438"/>
      <c r="AS319" s="438"/>
      <c r="AT319" s="455">
        <v>4.7</v>
      </c>
      <c r="AU319" s="449" t="s">
        <v>137</v>
      </c>
      <c r="AV319" s="438"/>
      <c r="AW319" s="438"/>
      <c r="AX319" s="450"/>
    </row>
    <row r="320">
      <c r="A320" s="436" t="s">
        <v>1976</v>
      </c>
      <c r="B320" s="436" t="s">
        <v>1976</v>
      </c>
      <c r="C320" s="436"/>
      <c r="D320" s="436" t="s">
        <v>158</v>
      </c>
      <c r="E320" s="436"/>
      <c r="F320" s="436" t="s">
        <v>2555</v>
      </c>
      <c r="G320" s="436" t="s">
        <v>159</v>
      </c>
      <c r="H320" s="436" t="s">
        <v>160</v>
      </c>
      <c r="I320" s="436" t="s">
        <v>1963</v>
      </c>
      <c r="J320" s="436">
        <v>4265.79519</v>
      </c>
      <c r="K320" s="436"/>
      <c r="L320" s="438"/>
      <c r="M320" s="453"/>
      <c r="N320" s="422">
        <v>14.251</v>
      </c>
      <c r="O320" s="422">
        <v>9.389</v>
      </c>
      <c r="P320" s="422"/>
      <c r="Q320" s="436" t="s">
        <v>2183</v>
      </c>
      <c r="R320" s="436" t="s">
        <v>2184</v>
      </c>
      <c r="S320" s="436" t="s">
        <v>1964</v>
      </c>
      <c r="T320" s="419" t="s">
        <v>162</v>
      </c>
      <c r="U320" s="436" t="s">
        <v>2185</v>
      </c>
      <c r="V320" s="451"/>
      <c r="W320" s="458">
        <v>3.0902954325135905</v>
      </c>
      <c r="X320" s="438"/>
      <c r="Y320" s="442">
        <f t="shared" si="79"/>
        <v>3.227421416</v>
      </c>
      <c r="Z320" s="442"/>
      <c r="AA320" s="443"/>
      <c r="AB320" s="443"/>
      <c r="AC320" s="436" t="str">
        <f>IF(ISNUMBER(VLOOKUP(B320,'New Masses'!A:C,3,FALSE)),VLOOKUP(B320,'New Masses'!A:C,3,FALSE),"")</f>
        <v/>
      </c>
      <c r="AD320" s="440"/>
      <c r="AE320" s="440"/>
      <c r="AF320" s="439"/>
      <c r="AG320" s="438"/>
      <c r="AH320" s="459">
        <f t="shared" si="84"/>
        <v>0.8128305162</v>
      </c>
      <c r="AI320" s="436"/>
      <c r="AJ320" s="446" t="str">
        <f>IF(ISNUMBER(VLOOKUP(B320,'New Masses'!A:C,2, FALSE)),VLOOKUP(B320,'New Masses'!A:C,2, FALSE),"")</f>
        <v/>
      </c>
      <c r="AK320" s="436">
        <v>-0.09</v>
      </c>
      <c r="AL320" s="436"/>
      <c r="AM320" s="436"/>
      <c r="AN320" s="438"/>
      <c r="AO320" s="436">
        <v>1.0</v>
      </c>
      <c r="AP320" s="438"/>
      <c r="AQ320" s="436"/>
      <c r="AR320" s="438"/>
      <c r="AS320" s="438"/>
      <c r="AT320" s="455">
        <v>6.1</v>
      </c>
      <c r="AU320" s="452" t="s">
        <v>137</v>
      </c>
      <c r="AV320" s="438"/>
      <c r="AW320" s="438"/>
      <c r="AX320" s="450"/>
    </row>
    <row r="321">
      <c r="A321" s="436" t="s">
        <v>1472</v>
      </c>
      <c r="B321" s="436" t="s">
        <v>1472</v>
      </c>
      <c r="C321" s="436"/>
      <c r="D321" s="436" t="s">
        <v>158</v>
      </c>
      <c r="E321" s="436"/>
      <c r="F321" s="436" t="s">
        <v>2556</v>
      </c>
      <c r="G321" s="436" t="s">
        <v>169</v>
      </c>
      <c r="H321" s="436" t="s">
        <v>160</v>
      </c>
      <c r="I321" s="436" t="s">
        <v>1963</v>
      </c>
      <c r="J321" s="436">
        <v>4466.83592</v>
      </c>
      <c r="K321" s="436"/>
      <c r="L321" s="436" t="s">
        <v>2557</v>
      </c>
      <c r="M321" s="439"/>
      <c r="N321" s="422">
        <v>14.164</v>
      </c>
      <c r="O321" s="422">
        <v>8.064</v>
      </c>
      <c r="P321" s="422"/>
      <c r="Q321" s="436" t="s">
        <v>2183</v>
      </c>
      <c r="R321" s="436" t="s">
        <v>2184</v>
      </c>
      <c r="S321" s="436" t="s">
        <v>1964</v>
      </c>
      <c r="T321" s="419" t="s">
        <v>162</v>
      </c>
      <c r="U321" s="436" t="s">
        <v>2185</v>
      </c>
      <c r="V321" s="451">
        <v>6.22613E30</v>
      </c>
      <c r="W321" s="458">
        <v>4.570881896148751</v>
      </c>
      <c r="X321" s="438"/>
      <c r="Y321" s="442">
        <f t="shared" si="79"/>
        <v>3.579774558</v>
      </c>
      <c r="Z321" s="442"/>
      <c r="AA321" s="443"/>
      <c r="AB321" s="443"/>
      <c r="AC321" s="436" t="str">
        <f>IF(ISNUMBER(VLOOKUP(B321,'New Masses'!A:C,3,FALSE)),VLOOKUP(B321,'New Masses'!A:C,3,FALSE),"")</f>
        <v/>
      </c>
      <c r="AD321" s="440"/>
      <c r="AE321" s="440">
        <f t="shared" ref="AE321:AE326" si="85">10^AF321</f>
        <v>0.0000001584893192</v>
      </c>
      <c r="AF321" s="439">
        <v>-6.8</v>
      </c>
      <c r="AG321" s="438"/>
      <c r="AH321" s="459">
        <f t="shared" si="84"/>
        <v>1.023292992</v>
      </c>
      <c r="AI321" s="436"/>
      <c r="AJ321" s="446" t="str">
        <f>IF(ISNUMBER(VLOOKUP(B321,'New Masses'!A:C,2, FALSE)),VLOOKUP(B321,'New Masses'!A:C,2, FALSE),"")</f>
        <v/>
      </c>
      <c r="AK321" s="436">
        <v>0.01</v>
      </c>
      <c r="AL321" s="436"/>
      <c r="AM321" s="436">
        <v>0.21</v>
      </c>
      <c r="AN321" s="438"/>
      <c r="AO321" s="436">
        <v>1.0</v>
      </c>
      <c r="AP321" s="438"/>
      <c r="AQ321" s="438"/>
      <c r="AR321" s="436"/>
      <c r="AS321" s="438"/>
      <c r="AT321" s="455">
        <v>6.3</v>
      </c>
      <c r="AU321" s="449"/>
      <c r="AV321" s="438" t="s">
        <v>1474</v>
      </c>
      <c r="AW321" s="438"/>
      <c r="AX321" s="450"/>
    </row>
    <row r="322">
      <c r="A322" s="436" t="s">
        <v>1392</v>
      </c>
      <c r="B322" s="436" t="s">
        <v>1392</v>
      </c>
      <c r="C322" s="419"/>
      <c r="D322" s="436" t="s">
        <v>158</v>
      </c>
      <c r="E322" s="436"/>
      <c r="F322" s="436" t="s">
        <v>2558</v>
      </c>
      <c r="G322" s="436" t="s">
        <v>169</v>
      </c>
      <c r="H322" s="436" t="s">
        <v>160</v>
      </c>
      <c r="I322" s="436" t="s">
        <v>1963</v>
      </c>
      <c r="J322" s="436">
        <v>3388.44156</v>
      </c>
      <c r="K322" s="436"/>
      <c r="L322" s="438"/>
      <c r="M322" s="453"/>
      <c r="N322" s="422"/>
      <c r="O322" s="422">
        <v>12.565</v>
      </c>
      <c r="P322" s="422"/>
      <c r="Q322" s="436" t="s">
        <v>2183</v>
      </c>
      <c r="R322" s="436" t="s">
        <v>2184</v>
      </c>
      <c r="S322" s="436" t="s">
        <v>1964</v>
      </c>
      <c r="T322" s="419" t="s">
        <v>162</v>
      </c>
      <c r="U322" s="436" t="s">
        <v>2185</v>
      </c>
      <c r="V322" s="451">
        <v>3.34363E29</v>
      </c>
      <c r="W322" s="458">
        <v>0.5754399373371569</v>
      </c>
      <c r="X322" s="438"/>
      <c r="Y322" s="442">
        <f t="shared" si="79"/>
        <v>2.207271101</v>
      </c>
      <c r="Z322" s="442"/>
      <c r="AA322" s="443"/>
      <c r="AB322" s="443"/>
      <c r="AC322" s="436" t="str">
        <f>IF(ISNUMBER(VLOOKUP(B322,'New Masses'!A:C,3,FALSE)),VLOOKUP(B322,'New Masses'!A:C,3,FALSE),"")</f>
        <v/>
      </c>
      <c r="AD322" s="440"/>
      <c r="AE322" s="440">
        <f t="shared" si="85"/>
        <v>0.0000000389045145</v>
      </c>
      <c r="AF322" s="439">
        <v>-7.41</v>
      </c>
      <c r="AG322" s="438"/>
      <c r="AH322" s="459">
        <f t="shared" si="84"/>
        <v>0.2951209227</v>
      </c>
      <c r="AI322" s="436"/>
      <c r="AJ322" s="446" t="str">
        <f>IF(ISNUMBER(VLOOKUP(B322,'New Masses'!A:C,2, FALSE)),VLOOKUP(B322,'New Masses'!A:C,2, FALSE),"")</f>
        <v/>
      </c>
      <c r="AK322" s="436">
        <v>-0.53</v>
      </c>
      <c r="AL322" s="436"/>
      <c r="AM322" s="436">
        <v>-0.73</v>
      </c>
      <c r="AN322" s="438"/>
      <c r="AO322" s="436">
        <v>1.0</v>
      </c>
      <c r="AP322" s="438"/>
      <c r="AQ322" s="436"/>
      <c r="AR322" s="438"/>
      <c r="AS322" s="438"/>
      <c r="AT322" s="455">
        <v>10.6</v>
      </c>
      <c r="AU322" s="452" t="s">
        <v>137</v>
      </c>
      <c r="AV322" s="438"/>
      <c r="AW322" s="438"/>
      <c r="AX322" s="450"/>
    </row>
    <row r="323">
      <c r="A323" s="436" t="s">
        <v>1316</v>
      </c>
      <c r="B323" s="436" t="s">
        <v>1316</v>
      </c>
      <c r="C323" s="420"/>
      <c r="D323" s="420" t="s">
        <v>158</v>
      </c>
      <c r="E323" s="420"/>
      <c r="F323" s="420" t="s">
        <v>2559</v>
      </c>
      <c r="G323" s="420" t="s">
        <v>169</v>
      </c>
      <c r="H323" s="420" t="s">
        <v>160</v>
      </c>
      <c r="I323" s="420" t="s">
        <v>1963</v>
      </c>
      <c r="J323" s="436">
        <v>2570.39578</v>
      </c>
      <c r="K323" s="436"/>
      <c r="L323" s="420" t="s">
        <v>558</v>
      </c>
      <c r="M323" s="429"/>
      <c r="N323" s="422">
        <v>17.244</v>
      </c>
      <c r="O323" s="422">
        <v>13.559</v>
      </c>
      <c r="P323" s="422"/>
      <c r="Q323" s="420" t="s">
        <v>2183</v>
      </c>
      <c r="R323" s="438"/>
      <c r="S323" s="438" t="s">
        <v>1964</v>
      </c>
      <c r="T323" s="421" t="s">
        <v>162</v>
      </c>
      <c r="U323" s="420" t="s">
        <v>2185</v>
      </c>
      <c r="V323" s="451"/>
      <c r="W323" s="458">
        <v>0.012589254117941675</v>
      </c>
      <c r="X323" s="438"/>
      <c r="Y323" s="442">
        <f t="shared" si="79"/>
        <v>0.5673560336</v>
      </c>
      <c r="Z323" s="442"/>
      <c r="AA323" s="443"/>
      <c r="AB323" s="443"/>
      <c r="AC323" s="436" t="str">
        <f>IF(ISNUMBER(VLOOKUP(B323,'New Masses'!A:C,3,FALSE)),VLOOKUP(B323,'New Masses'!A:C,3,FALSE),"")</f>
        <v/>
      </c>
      <c r="AD323" s="440"/>
      <c r="AE323" s="440">
        <f t="shared" si="85"/>
        <v>0.0000000002818382931</v>
      </c>
      <c r="AF323" s="439">
        <v>-9.55</v>
      </c>
      <c r="AG323" s="438"/>
      <c r="AH323" s="459">
        <f t="shared" si="84"/>
        <v>0.02951209227</v>
      </c>
      <c r="AI323" s="438"/>
      <c r="AJ323" s="446" t="str">
        <f>IF(ISNUMBER(VLOOKUP(B323,'New Masses'!A:C,2, FALSE)),VLOOKUP(B323,'New Masses'!A:C,2, FALSE),"")</f>
        <v/>
      </c>
      <c r="AK323" s="436">
        <v>-1.53</v>
      </c>
      <c r="AL323" s="436"/>
      <c r="AM323" s="489">
        <v>-3.27</v>
      </c>
      <c r="AN323" s="436"/>
      <c r="AO323" s="436">
        <v>1.0</v>
      </c>
      <c r="AP323" s="438"/>
      <c r="AQ323" s="436">
        <v>13.12</v>
      </c>
      <c r="AR323" s="438"/>
      <c r="AS323" s="420" t="s">
        <v>664</v>
      </c>
      <c r="AT323" s="455">
        <v>3.7</v>
      </c>
      <c r="AU323" s="449"/>
      <c r="AV323" s="420" t="s">
        <v>1304</v>
      </c>
      <c r="AW323" s="438"/>
      <c r="AX323" s="450"/>
    </row>
    <row r="324">
      <c r="A324" s="436" t="s">
        <v>1316</v>
      </c>
      <c r="B324" s="436" t="s">
        <v>1316</v>
      </c>
      <c r="C324" s="419"/>
      <c r="D324" s="436" t="s">
        <v>158</v>
      </c>
      <c r="E324" s="436"/>
      <c r="F324" s="436" t="s">
        <v>2559</v>
      </c>
      <c r="G324" s="436" t="s">
        <v>169</v>
      </c>
      <c r="H324" s="436" t="s">
        <v>754</v>
      </c>
      <c r="I324" s="436">
        <v>2010.0</v>
      </c>
      <c r="J324" s="436">
        <v>3600.0</v>
      </c>
      <c r="K324" s="436">
        <v>235.0</v>
      </c>
      <c r="L324" s="436" t="s">
        <v>558</v>
      </c>
      <c r="M324" s="439"/>
      <c r="N324" s="422">
        <v>17.244</v>
      </c>
      <c r="O324" s="422">
        <v>13.559</v>
      </c>
      <c r="P324" s="422"/>
      <c r="Q324" s="436" t="s">
        <v>2417</v>
      </c>
      <c r="R324" s="436" t="s">
        <v>2560</v>
      </c>
      <c r="S324" s="436" t="s">
        <v>2419</v>
      </c>
      <c r="T324" s="419" t="s">
        <v>162</v>
      </c>
      <c r="U324" s="436" t="s">
        <v>1754</v>
      </c>
      <c r="V324" s="440"/>
      <c r="W324" s="474">
        <v>0.009</v>
      </c>
      <c r="X324" s="436"/>
      <c r="Y324" s="442">
        <f t="shared" si="79"/>
        <v>0.2445524004</v>
      </c>
      <c r="Z324" s="469"/>
      <c r="AA324" s="470">
        <v>0.25</v>
      </c>
      <c r="AB324" s="470">
        <v>0.06</v>
      </c>
      <c r="AC324" s="436" t="str">
        <f>IF(ISNUMBER(VLOOKUP(B324,'New Masses'!A:C,3,FALSE)),VLOOKUP(B324,'New Masses'!A:C,3,FALSE),"")</f>
        <v/>
      </c>
      <c r="AD324" s="440"/>
      <c r="AE324" s="440">
        <f t="shared" si="85"/>
        <v>0</v>
      </c>
      <c r="AF324" s="439">
        <v>-11.32</v>
      </c>
      <c r="AG324" s="438"/>
      <c r="AH324" s="459">
        <v>0.4</v>
      </c>
      <c r="AI324" s="436">
        <v>0.1</v>
      </c>
      <c r="AJ324" s="446" t="str">
        <f>IF(ISNUMBER(VLOOKUP(B324,'New Masses'!A:C,2, FALSE)),VLOOKUP(B324,'New Masses'!A:C,2, FALSE),"")</f>
        <v/>
      </c>
      <c r="AK324" s="436">
        <f>LOG10(AH324)</f>
        <v>-0.3979400087</v>
      </c>
      <c r="AL324" s="436"/>
      <c r="AM324" s="436">
        <v>-3.71</v>
      </c>
      <c r="AN324" s="438"/>
      <c r="AO324" s="436">
        <v>1.0</v>
      </c>
      <c r="AP324" s="438"/>
      <c r="AQ324" s="438"/>
      <c r="AR324" s="438"/>
      <c r="AS324" s="438"/>
      <c r="AT324" s="448"/>
      <c r="AU324" s="449"/>
      <c r="AV324" s="438"/>
      <c r="AW324" s="438"/>
      <c r="AX324" s="450"/>
    </row>
    <row r="325">
      <c r="A325" s="436" t="s">
        <v>1399</v>
      </c>
      <c r="B325" s="436" t="s">
        <v>1399</v>
      </c>
      <c r="C325" s="436"/>
      <c r="D325" s="436" t="s">
        <v>158</v>
      </c>
      <c r="E325" s="436"/>
      <c r="F325" s="436" t="s">
        <v>2561</v>
      </c>
      <c r="G325" s="436" t="s">
        <v>169</v>
      </c>
      <c r="H325" s="436" t="s">
        <v>160</v>
      </c>
      <c r="I325" s="436" t="s">
        <v>1963</v>
      </c>
      <c r="J325" s="436">
        <v>3467.3685</v>
      </c>
      <c r="K325" s="436"/>
      <c r="L325" s="438"/>
      <c r="M325" s="453"/>
      <c r="N325" s="422">
        <v>16.904</v>
      </c>
      <c r="O325" s="422">
        <v>10.856</v>
      </c>
      <c r="P325" s="422"/>
      <c r="Q325" s="436" t="s">
        <v>2183</v>
      </c>
      <c r="R325" s="436" t="s">
        <v>2184</v>
      </c>
      <c r="S325" s="436" t="s">
        <v>1964</v>
      </c>
      <c r="T325" s="419" t="s">
        <v>162</v>
      </c>
      <c r="U325" s="436" t="s">
        <v>2185</v>
      </c>
      <c r="V325" s="451">
        <v>8.20764E28</v>
      </c>
      <c r="W325" s="458">
        <v>0.7079457843841379</v>
      </c>
      <c r="X325" s="438"/>
      <c r="Y325" s="442">
        <f t="shared" si="79"/>
        <v>2.33806014</v>
      </c>
      <c r="Z325" s="442"/>
      <c r="AA325" s="443"/>
      <c r="AB325" s="443"/>
      <c r="AC325" s="436" t="str">
        <f>IF(ISNUMBER(VLOOKUP(B325,'New Masses'!A:C,3,FALSE)),VLOOKUP(B325,'New Masses'!A:C,3,FALSE),"")</f>
        <v/>
      </c>
      <c r="AD325" s="440"/>
      <c r="AE325" s="440">
        <f t="shared" si="85"/>
        <v>0.00000000087096359</v>
      </c>
      <c r="AF325" s="439">
        <v>-9.06</v>
      </c>
      <c r="AG325" s="438"/>
      <c r="AH325" s="459">
        <f t="shared" ref="AH325:AH326" si="86">10^AK325</f>
        <v>0.3311311215</v>
      </c>
      <c r="AI325" s="436"/>
      <c r="AJ325" s="446" t="str">
        <f>IF(ISNUMBER(VLOOKUP(B325,'New Masses'!A:C,2, FALSE)),VLOOKUP(B325,'New Masses'!A:C,2, FALSE),"")</f>
        <v/>
      </c>
      <c r="AK325" s="436">
        <v>-0.48</v>
      </c>
      <c r="AL325" s="436"/>
      <c r="AM325" s="436">
        <v>-2.35</v>
      </c>
      <c r="AN325" s="438"/>
      <c r="AO325" s="436">
        <v>1.0</v>
      </c>
      <c r="AP325" s="438"/>
      <c r="AQ325" s="436"/>
      <c r="AR325" s="438"/>
      <c r="AS325" s="438"/>
      <c r="AT325" s="455">
        <v>7.2</v>
      </c>
      <c r="AU325" s="452" t="s">
        <v>137</v>
      </c>
      <c r="AV325" s="438"/>
      <c r="AW325" s="438"/>
      <c r="AX325" s="450"/>
    </row>
    <row r="326">
      <c r="A326" s="436" t="s">
        <v>1398</v>
      </c>
      <c r="B326" s="436" t="s">
        <v>1398</v>
      </c>
      <c r="C326" s="421"/>
      <c r="D326" s="436" t="s">
        <v>158</v>
      </c>
      <c r="E326" s="436"/>
      <c r="F326" s="436" t="s">
        <v>2562</v>
      </c>
      <c r="G326" s="436" t="s">
        <v>169</v>
      </c>
      <c r="H326" s="436" t="s">
        <v>160</v>
      </c>
      <c r="I326" s="436" t="s">
        <v>1963</v>
      </c>
      <c r="J326" s="436">
        <v>3467.3685</v>
      </c>
      <c r="K326" s="436"/>
      <c r="L326" s="438"/>
      <c r="M326" s="453"/>
      <c r="N326" s="422">
        <v>16.476</v>
      </c>
      <c r="O326" s="422">
        <v>11.219</v>
      </c>
      <c r="P326" s="422"/>
      <c r="Q326" s="436" t="s">
        <v>2183</v>
      </c>
      <c r="R326" s="436" t="s">
        <v>2184</v>
      </c>
      <c r="S326" s="436" t="s">
        <v>1964</v>
      </c>
      <c r="T326" s="419" t="s">
        <v>162</v>
      </c>
      <c r="U326" s="436" t="s">
        <v>2185</v>
      </c>
      <c r="V326" s="451">
        <v>9.20912E28</v>
      </c>
      <c r="W326" s="458">
        <v>0.6760829753919817</v>
      </c>
      <c r="X326" s="438"/>
      <c r="Y326" s="442">
        <f t="shared" si="79"/>
        <v>2.284839394</v>
      </c>
      <c r="Z326" s="442"/>
      <c r="AA326" s="443"/>
      <c r="AB326" s="443"/>
      <c r="AC326" s="436" t="str">
        <f>IF(ISNUMBER(VLOOKUP(B326,'New Masses'!A:C,3,FALSE)),VLOOKUP(B326,'New Masses'!A:C,3,FALSE),"")</f>
        <v/>
      </c>
      <c r="AD326" s="440"/>
      <c r="AE326" s="440">
        <f t="shared" si="85"/>
        <v>0.000000001</v>
      </c>
      <c r="AF326" s="439">
        <v>-9.0</v>
      </c>
      <c r="AG326" s="438"/>
      <c r="AH326" s="459">
        <f t="shared" si="86"/>
        <v>0.3235936569</v>
      </c>
      <c r="AI326" s="436"/>
      <c r="AJ326" s="446" t="str">
        <f>IF(ISNUMBER(VLOOKUP(B326,'New Masses'!A:C,2, FALSE)),VLOOKUP(B326,'New Masses'!A:C,2, FALSE),"")</f>
        <v/>
      </c>
      <c r="AK326" s="436">
        <v>-0.49</v>
      </c>
      <c r="AL326" s="436"/>
      <c r="AM326" s="436">
        <v>-2.29</v>
      </c>
      <c r="AN326" s="438"/>
      <c r="AO326" s="436">
        <v>1.0</v>
      </c>
      <c r="AP326" s="438"/>
      <c r="AQ326" s="436"/>
      <c r="AR326" s="438"/>
      <c r="AS326" s="438"/>
      <c r="AT326" s="455">
        <v>6.8</v>
      </c>
      <c r="AU326" s="449" t="s">
        <v>137</v>
      </c>
      <c r="AV326" s="438"/>
      <c r="AW326" s="438"/>
      <c r="AX326" s="450"/>
    </row>
    <row r="327">
      <c r="A327" s="436" t="s">
        <v>659</v>
      </c>
      <c r="B327" s="436" t="s">
        <v>659</v>
      </c>
      <c r="C327" s="420"/>
      <c r="D327" s="420" t="s">
        <v>158</v>
      </c>
      <c r="E327" s="420"/>
      <c r="F327" s="420" t="s">
        <v>2563</v>
      </c>
      <c r="G327" s="420" t="s">
        <v>169</v>
      </c>
      <c r="H327" s="420" t="s">
        <v>269</v>
      </c>
      <c r="I327" s="420" t="s">
        <v>2199</v>
      </c>
      <c r="J327" s="436">
        <v>2700.0</v>
      </c>
      <c r="K327" s="421">
        <v>100.0</v>
      </c>
      <c r="L327" s="420" t="s">
        <v>353</v>
      </c>
      <c r="M327" s="429"/>
      <c r="N327" s="422">
        <v>12.433</v>
      </c>
      <c r="O327" s="422">
        <v>10.766</v>
      </c>
      <c r="P327" s="422">
        <v>17.57</v>
      </c>
      <c r="Q327" s="420" t="s">
        <v>2200</v>
      </c>
      <c r="R327" s="420" t="s">
        <v>2176</v>
      </c>
      <c r="S327" s="420" t="s">
        <v>2201</v>
      </c>
      <c r="T327" s="420" t="s">
        <v>596</v>
      </c>
      <c r="U327" s="420" t="s">
        <v>597</v>
      </c>
      <c r="V327" s="440"/>
      <c r="W327" s="458">
        <v>0.07943282347242814</v>
      </c>
      <c r="X327" s="438"/>
      <c r="Y327" s="442">
        <f t="shared" si="79"/>
        <v>1.291600334</v>
      </c>
      <c r="Z327" s="442"/>
      <c r="AA327" s="443"/>
      <c r="AB327" s="443"/>
      <c r="AC327" s="469">
        <f>IF(ISNUMBER(VLOOKUP(B327,'New Masses'!A:C,3,FALSE)),VLOOKUP(B327,'New Masses'!A:C,3,FALSE),"")</f>
        <v>0.690178</v>
      </c>
      <c r="AD327" s="451"/>
      <c r="AE327" s="451">
        <f>(10^-9)</f>
        <v>0.000000001</v>
      </c>
      <c r="AF327" s="439">
        <f t="shared" ref="AF327:AF328" si="87">LOG10(AE327)</f>
        <v>-9</v>
      </c>
      <c r="AG327" s="438"/>
      <c r="AH327" s="459">
        <f t="shared" ref="AH327:AH328" si="88">0.0009543*60</f>
        <v>0.057258</v>
      </c>
      <c r="AI327" s="420"/>
      <c r="AJ327" s="446">
        <f>IF(ISNUMBER(VLOOKUP(B327,'New Masses'!A:C,2, FALSE)),VLOOKUP(B327,'New Masses'!A:C,2, FALSE),"")</f>
        <v>0.058417</v>
      </c>
      <c r="AK327" s="420"/>
      <c r="AL327" s="438"/>
      <c r="AM327" s="438"/>
      <c r="AN327" s="420" t="s">
        <v>2407</v>
      </c>
      <c r="AO327" s="505">
        <v>1.0</v>
      </c>
      <c r="AP327" s="506"/>
      <c r="AQ327" s="505">
        <v>3.19</v>
      </c>
      <c r="AR327" s="507"/>
      <c r="AS327" s="507" t="s">
        <v>2408</v>
      </c>
      <c r="AT327" s="448"/>
      <c r="AU327" s="449"/>
      <c r="AV327" s="506"/>
      <c r="AW327" s="506"/>
      <c r="AX327" s="450">
        <v>142.122168215798</v>
      </c>
    </row>
    <row r="328">
      <c r="A328" s="436" t="s">
        <v>659</v>
      </c>
      <c r="B328" s="436" t="s">
        <v>659</v>
      </c>
      <c r="C328" s="420"/>
      <c r="D328" s="420" t="s">
        <v>158</v>
      </c>
      <c r="E328" s="420"/>
      <c r="F328" s="420" t="s">
        <v>2563</v>
      </c>
      <c r="G328" s="420" t="s">
        <v>169</v>
      </c>
      <c r="H328" s="420" t="s">
        <v>269</v>
      </c>
      <c r="I328" s="420" t="s">
        <v>2199</v>
      </c>
      <c r="J328" s="436">
        <v>2700.0</v>
      </c>
      <c r="K328" s="421">
        <v>100.0</v>
      </c>
      <c r="L328" s="420" t="s">
        <v>353</v>
      </c>
      <c r="M328" s="429"/>
      <c r="N328" s="422">
        <v>12.433</v>
      </c>
      <c r="O328" s="422">
        <v>10.766</v>
      </c>
      <c r="P328" s="422">
        <v>17.57</v>
      </c>
      <c r="Q328" s="420" t="s">
        <v>2564</v>
      </c>
      <c r="R328" s="420" t="s">
        <v>2176</v>
      </c>
      <c r="S328" s="420" t="s">
        <v>2201</v>
      </c>
      <c r="T328" s="421" t="s">
        <v>162</v>
      </c>
      <c r="U328" s="420" t="s">
        <v>1965</v>
      </c>
      <c r="V328" s="440"/>
      <c r="W328" s="458">
        <v>0.07943282347242814</v>
      </c>
      <c r="X328" s="438"/>
      <c r="Y328" s="442">
        <f t="shared" si="79"/>
        <v>1.291600334</v>
      </c>
      <c r="Z328" s="442"/>
      <c r="AA328" s="443"/>
      <c r="AB328" s="443"/>
      <c r="AC328" s="469">
        <f>IF(ISNUMBER(VLOOKUP(B328,'New Masses'!A:C,3,FALSE)),VLOOKUP(B328,'New Masses'!A:C,3,FALSE),"")</f>
        <v>0.690178</v>
      </c>
      <c r="AD328" s="451"/>
      <c r="AE328" s="451">
        <f>(10^-10.3)</f>
        <v>0</v>
      </c>
      <c r="AF328" s="439">
        <f t="shared" si="87"/>
        <v>-10.3</v>
      </c>
      <c r="AG328" s="438"/>
      <c r="AH328" s="459">
        <f t="shared" si="88"/>
        <v>0.057258</v>
      </c>
      <c r="AI328" s="420"/>
      <c r="AJ328" s="446">
        <f>IF(ISNUMBER(VLOOKUP(B328,'New Masses'!A:C,2, FALSE)),VLOOKUP(B328,'New Masses'!A:C,2, FALSE),"")</f>
        <v>0.058417</v>
      </c>
      <c r="AK328" s="420"/>
      <c r="AL328" s="438"/>
      <c r="AM328" s="438"/>
      <c r="AN328" s="420" t="s">
        <v>2407</v>
      </c>
      <c r="AO328" s="505">
        <v>1.0</v>
      </c>
      <c r="AP328" s="506"/>
      <c r="AQ328" s="505">
        <v>3.19</v>
      </c>
      <c r="AR328" s="506"/>
      <c r="AS328" s="507" t="s">
        <v>2408</v>
      </c>
      <c r="AT328" s="448"/>
      <c r="AU328" s="452"/>
      <c r="AV328" s="506"/>
      <c r="AW328" s="506"/>
      <c r="AX328" s="450">
        <v>142.122168215798</v>
      </c>
    </row>
    <row r="329">
      <c r="A329" s="436" t="s">
        <v>659</v>
      </c>
      <c r="B329" s="436" t="s">
        <v>659</v>
      </c>
      <c r="C329" s="420"/>
      <c r="D329" s="420" t="s">
        <v>158</v>
      </c>
      <c r="E329" s="420"/>
      <c r="F329" s="420" t="s">
        <v>2563</v>
      </c>
      <c r="G329" s="420" t="s">
        <v>169</v>
      </c>
      <c r="H329" s="420" t="s">
        <v>1309</v>
      </c>
      <c r="I329" s="420" t="s">
        <v>2409</v>
      </c>
      <c r="J329" s="436">
        <v>2700.0</v>
      </c>
      <c r="K329" s="419">
        <v>150.0</v>
      </c>
      <c r="L329" s="420" t="s">
        <v>353</v>
      </c>
      <c r="M329" s="422">
        <v>1.5</v>
      </c>
      <c r="N329" s="422">
        <v>12.433</v>
      </c>
      <c r="O329" s="422">
        <v>10.766</v>
      </c>
      <c r="P329" s="422">
        <v>17.57</v>
      </c>
      <c r="Q329" s="420" t="s">
        <v>2410</v>
      </c>
      <c r="R329" s="420" t="s">
        <v>2565</v>
      </c>
      <c r="S329" s="420" t="s">
        <v>2412</v>
      </c>
      <c r="T329" s="420" t="s">
        <v>596</v>
      </c>
      <c r="U329" s="420" t="s">
        <v>2413</v>
      </c>
      <c r="V329" s="440"/>
      <c r="W329" s="441">
        <v>0.08</v>
      </c>
      <c r="X329" s="454"/>
      <c r="Y329" s="442">
        <f t="shared" si="79"/>
        <v>1.296203357</v>
      </c>
      <c r="Z329" s="442"/>
      <c r="AA329" s="443"/>
      <c r="AB329" s="443"/>
      <c r="AC329" s="469">
        <f>IF(ISNUMBER(VLOOKUP(B329,'New Masses'!A:C,3,FALSE)),VLOOKUP(B329,'New Masses'!A:C,3,FALSE),"")</f>
        <v>0.690178</v>
      </c>
      <c r="AD329" s="451"/>
      <c r="AE329" s="451">
        <f t="shared" ref="AE329:AE331" si="89">10^AF329</f>
        <v>0.0000000006760829754</v>
      </c>
      <c r="AF329" s="439">
        <v>-9.17</v>
      </c>
      <c r="AG329" s="438"/>
      <c r="AH329" s="459">
        <v>0.06</v>
      </c>
      <c r="AI329" s="436"/>
      <c r="AJ329" s="446">
        <f>IF(ISNUMBER(VLOOKUP(B329,'New Masses'!A:C,2, FALSE)),VLOOKUP(B329,'New Masses'!A:C,2, FALSE),"")</f>
        <v>0.058417</v>
      </c>
      <c r="AK329" s="436"/>
      <c r="AL329" s="438"/>
      <c r="AM329" s="438"/>
      <c r="AN329" s="420" t="s">
        <v>2407</v>
      </c>
      <c r="AO329" s="505">
        <v>1.0</v>
      </c>
      <c r="AP329" s="506"/>
      <c r="AQ329" s="505">
        <v>3.19</v>
      </c>
      <c r="AR329" s="506"/>
      <c r="AS329" s="507" t="s">
        <v>2408</v>
      </c>
      <c r="AT329" s="448"/>
      <c r="AU329" s="452"/>
      <c r="AV329" s="506"/>
      <c r="AW329" s="506"/>
      <c r="AX329" s="450">
        <v>142.122168215798</v>
      </c>
    </row>
    <row r="330">
      <c r="A330" s="436" t="s">
        <v>659</v>
      </c>
      <c r="B330" s="436" t="s">
        <v>659</v>
      </c>
      <c r="C330" s="421"/>
      <c r="D330" s="436" t="s">
        <v>158</v>
      </c>
      <c r="E330" s="436"/>
      <c r="F330" s="436" t="s">
        <v>2563</v>
      </c>
      <c r="G330" s="436" t="s">
        <v>169</v>
      </c>
      <c r="H330" s="436" t="s">
        <v>160</v>
      </c>
      <c r="I330" s="436" t="s">
        <v>1963</v>
      </c>
      <c r="J330" s="436">
        <v>2754.2287</v>
      </c>
      <c r="K330" s="436"/>
      <c r="L330" s="438"/>
      <c r="M330" s="453"/>
      <c r="N330" s="422">
        <v>12.433</v>
      </c>
      <c r="O330" s="422">
        <v>10.766</v>
      </c>
      <c r="P330" s="422">
        <v>17.57</v>
      </c>
      <c r="Q330" s="436" t="s">
        <v>2183</v>
      </c>
      <c r="R330" s="436" t="s">
        <v>2184</v>
      </c>
      <c r="S330" s="436" t="s">
        <v>1964</v>
      </c>
      <c r="T330" s="419" t="s">
        <v>162</v>
      </c>
      <c r="U330" s="436" t="s">
        <v>2185</v>
      </c>
      <c r="V330" s="451">
        <v>2.91218E28</v>
      </c>
      <c r="W330" s="458">
        <v>0.06025595860743578</v>
      </c>
      <c r="X330" s="438"/>
      <c r="Y330" s="442">
        <f t="shared" si="79"/>
        <v>1.081074635</v>
      </c>
      <c r="Z330" s="442"/>
      <c r="AA330" s="443"/>
      <c r="AB330" s="443"/>
      <c r="AC330" s="469">
        <f>IF(ISNUMBER(VLOOKUP(B330,'New Masses'!A:C,3,FALSE)),VLOOKUP(B330,'New Masses'!A:C,3,FALSE),"")</f>
        <v>0.690178</v>
      </c>
      <c r="AD330" s="440"/>
      <c r="AE330" s="440">
        <f t="shared" si="89"/>
        <v>0.0000000004265795188</v>
      </c>
      <c r="AF330" s="439">
        <v>-9.37</v>
      </c>
      <c r="AG330" s="438"/>
      <c r="AH330" s="459">
        <f>10^AK330</f>
        <v>0.0758577575</v>
      </c>
      <c r="AI330" s="436"/>
      <c r="AJ330" s="446">
        <f>IF(ISNUMBER(VLOOKUP(B330,'New Masses'!A:C,2, FALSE)),VLOOKUP(B330,'New Masses'!A:C,2, FALSE),"")</f>
        <v>0.058417</v>
      </c>
      <c r="AK330" s="436">
        <v>-1.12</v>
      </c>
      <c r="AL330" s="436"/>
      <c r="AM330" s="436">
        <v>-2.96</v>
      </c>
      <c r="AN330" s="438"/>
      <c r="AO330" s="436">
        <v>1.0</v>
      </c>
      <c r="AP330" s="438"/>
      <c r="AQ330" s="438"/>
      <c r="AR330" s="438"/>
      <c r="AS330" s="438"/>
      <c r="AT330" s="455">
        <v>0.6</v>
      </c>
      <c r="AU330" s="449"/>
      <c r="AV330" s="438"/>
      <c r="AW330" s="438"/>
      <c r="AX330" s="450">
        <v>142.122168215798</v>
      </c>
    </row>
    <row r="331">
      <c r="A331" s="436" t="s">
        <v>659</v>
      </c>
      <c r="B331" s="436" t="s">
        <v>659</v>
      </c>
      <c r="C331" s="421"/>
      <c r="D331" s="436" t="s">
        <v>158</v>
      </c>
      <c r="E331" s="436"/>
      <c r="F331" s="436" t="s">
        <v>2563</v>
      </c>
      <c r="G331" s="436" t="s">
        <v>169</v>
      </c>
      <c r="H331" s="436" t="s">
        <v>754</v>
      </c>
      <c r="I331" s="436">
        <v>2010.0</v>
      </c>
      <c r="J331" s="436">
        <v>3125.0</v>
      </c>
      <c r="K331" s="436">
        <v>50.0</v>
      </c>
      <c r="L331" s="436" t="s">
        <v>371</v>
      </c>
      <c r="M331" s="439"/>
      <c r="N331" s="422">
        <v>12.433</v>
      </c>
      <c r="O331" s="422">
        <v>10.766</v>
      </c>
      <c r="P331" s="422">
        <v>17.57</v>
      </c>
      <c r="Q331" s="436" t="s">
        <v>2417</v>
      </c>
      <c r="R331" s="436" t="s">
        <v>2566</v>
      </c>
      <c r="S331" s="436" t="s">
        <v>2419</v>
      </c>
      <c r="T331" s="419" t="s">
        <v>162</v>
      </c>
      <c r="U331" s="436" t="s">
        <v>1754</v>
      </c>
      <c r="V331" s="440"/>
      <c r="W331" s="474">
        <v>0.046</v>
      </c>
      <c r="X331" s="436"/>
      <c r="Y331" s="442">
        <f t="shared" si="79"/>
        <v>0.7337270821</v>
      </c>
      <c r="Z331" s="469"/>
      <c r="AA331" s="470">
        <v>0.74</v>
      </c>
      <c r="AB331" s="470">
        <v>0.02</v>
      </c>
      <c r="AC331" s="469">
        <f>IF(ISNUMBER(VLOOKUP(B331,'New Masses'!A:C,3,FALSE)),VLOOKUP(B331,'New Masses'!A:C,3,FALSE),"")</f>
        <v>0.690178</v>
      </c>
      <c r="AD331" s="440"/>
      <c r="AE331" s="440">
        <f t="shared" si="89"/>
        <v>0.0000000001047128548</v>
      </c>
      <c r="AF331" s="439">
        <v>-9.98</v>
      </c>
      <c r="AG331" s="438"/>
      <c r="AH331" s="459">
        <v>0.15</v>
      </c>
      <c r="AI331" s="436">
        <v>0.1</v>
      </c>
      <c r="AJ331" s="446">
        <f>IF(ISNUMBER(VLOOKUP(B331,'New Masses'!A:C,2, FALSE)),VLOOKUP(B331,'New Masses'!A:C,2, FALSE),"")</f>
        <v>0.058417</v>
      </c>
      <c r="AK331" s="436">
        <f>LOG10(AH331)</f>
        <v>-0.8239087409</v>
      </c>
      <c r="AL331" s="436"/>
      <c r="AM331" s="436">
        <v>-3.27</v>
      </c>
      <c r="AN331" s="438"/>
      <c r="AO331" s="436">
        <v>1.0</v>
      </c>
      <c r="AP331" s="438"/>
      <c r="AQ331" s="438"/>
      <c r="AR331" s="438"/>
      <c r="AS331" s="438"/>
      <c r="AT331" s="448"/>
      <c r="AU331" s="452"/>
      <c r="AV331" s="438"/>
      <c r="AW331" s="438"/>
      <c r="AX331" s="450">
        <v>142.122168215798</v>
      </c>
    </row>
    <row r="332">
      <c r="A332" s="436" t="s">
        <v>1977</v>
      </c>
      <c r="B332" s="436" t="s">
        <v>1977</v>
      </c>
      <c r="C332" s="436"/>
      <c r="D332" s="436" t="s">
        <v>158</v>
      </c>
      <c r="E332" s="436"/>
      <c r="F332" s="436" t="s">
        <v>2567</v>
      </c>
      <c r="G332" s="436" t="s">
        <v>169</v>
      </c>
      <c r="H332" s="436" t="s">
        <v>160</v>
      </c>
      <c r="I332" s="436" t="s">
        <v>1963</v>
      </c>
      <c r="J332" s="436">
        <v>4570.8819</v>
      </c>
      <c r="K332" s="436"/>
      <c r="L332" s="438"/>
      <c r="M332" s="453"/>
      <c r="N332" s="422">
        <v>18.9</v>
      </c>
      <c r="O332" s="422">
        <v>10.971</v>
      </c>
      <c r="P332" s="422"/>
      <c r="Q332" s="436" t="s">
        <v>2183</v>
      </c>
      <c r="R332" s="436" t="s">
        <v>2184</v>
      </c>
      <c r="S332" s="436" t="s">
        <v>1964</v>
      </c>
      <c r="T332" s="419" t="s">
        <v>162</v>
      </c>
      <c r="U332" s="436" t="s">
        <v>2185</v>
      </c>
      <c r="V332" s="451"/>
      <c r="W332" s="458">
        <v>5.1286138399136485</v>
      </c>
      <c r="X332" s="438"/>
      <c r="Y332" s="442">
        <f t="shared" si="79"/>
        <v>3.621226385</v>
      </c>
      <c r="Z332" s="442"/>
      <c r="AA332" s="443"/>
      <c r="AB332" s="443"/>
      <c r="AC332" s="436" t="str">
        <f>IF(ISNUMBER(VLOOKUP(B332,'New Masses'!A:C,3,FALSE)),VLOOKUP(B332,'New Masses'!A:C,3,FALSE),"")</f>
        <v/>
      </c>
      <c r="AD332" s="451"/>
      <c r="AE332" s="451"/>
      <c r="AF332" s="439"/>
      <c r="AG332" s="438"/>
      <c r="AH332" s="459">
        <f>10^AK332</f>
        <v>1.096478196</v>
      </c>
      <c r="AI332" s="436"/>
      <c r="AJ332" s="446" t="str">
        <f>IF(ISNUMBER(VLOOKUP(B332,'New Masses'!A:C,2, FALSE)),VLOOKUP(B332,'New Masses'!A:C,2, FALSE),"")</f>
        <v/>
      </c>
      <c r="AK332" s="436">
        <v>0.04</v>
      </c>
      <c r="AL332" s="436"/>
      <c r="AM332" s="436"/>
      <c r="AN332" s="438"/>
      <c r="AO332" s="436">
        <v>1.0</v>
      </c>
      <c r="AP332" s="438"/>
      <c r="AQ332" s="438"/>
      <c r="AR332" s="438"/>
      <c r="AS332" s="438"/>
      <c r="AT332" s="455">
        <v>11.6</v>
      </c>
      <c r="AU332" s="452" t="s">
        <v>137</v>
      </c>
      <c r="AV332" s="438"/>
      <c r="AW332" s="438"/>
      <c r="AX332" s="450"/>
    </row>
    <row r="333">
      <c r="A333" s="436" t="s">
        <v>1400</v>
      </c>
      <c r="B333" s="436" t="s">
        <v>1400</v>
      </c>
      <c r="C333" s="436"/>
      <c r="D333" s="436" t="s">
        <v>158</v>
      </c>
      <c r="E333" s="436"/>
      <c r="F333" s="436" t="s">
        <v>2568</v>
      </c>
      <c r="G333" s="436" t="s">
        <v>169</v>
      </c>
      <c r="H333" s="436" t="s">
        <v>1309</v>
      </c>
      <c r="I333" s="436" t="s">
        <v>2409</v>
      </c>
      <c r="J333" s="436">
        <v>3900.0</v>
      </c>
      <c r="K333" s="436"/>
      <c r="L333" s="436" t="s">
        <v>1401</v>
      </c>
      <c r="M333" s="457">
        <v>1.0</v>
      </c>
      <c r="N333" s="422">
        <v>12.547</v>
      </c>
      <c r="O333" s="422">
        <v>8.915</v>
      </c>
      <c r="P333" s="422"/>
      <c r="Q333" s="436" t="s">
        <v>2410</v>
      </c>
      <c r="R333" s="436" t="s">
        <v>2508</v>
      </c>
      <c r="S333" s="436" t="s">
        <v>2412</v>
      </c>
      <c r="T333" s="436" t="s">
        <v>596</v>
      </c>
      <c r="U333" s="436" t="s">
        <v>2413</v>
      </c>
      <c r="V333" s="440"/>
      <c r="W333" s="441">
        <v>1.5</v>
      </c>
      <c r="X333" s="454"/>
      <c r="Y333" s="442">
        <f t="shared" si="79"/>
        <v>2.690122719</v>
      </c>
      <c r="Z333" s="442"/>
      <c r="AA333" s="443"/>
      <c r="AB333" s="443"/>
      <c r="AC333" s="436" t="str">
        <f>IF(ISNUMBER(VLOOKUP(B333,'New Masses'!A:C,3,FALSE)),VLOOKUP(B333,'New Masses'!A:C,3,FALSE),"")</f>
        <v/>
      </c>
      <c r="AD333" s="451"/>
      <c r="AE333" s="451">
        <f t="shared" ref="AE333:AE335" si="90">10^(AF333)</f>
        <v>0.000000009332543008</v>
      </c>
      <c r="AF333" s="439">
        <v>-8.03</v>
      </c>
      <c r="AG333" s="438"/>
      <c r="AH333" s="459">
        <v>0.35</v>
      </c>
      <c r="AI333" s="436"/>
      <c r="AJ333" s="446" t="str">
        <f>IF(ISNUMBER(VLOOKUP(B333,'New Masses'!A:C,2, FALSE)),VLOOKUP(B333,'New Masses'!A:C,2, FALSE),"")</f>
        <v/>
      </c>
      <c r="AK333" s="436">
        <f>LOG10(AH333)</f>
        <v>-0.4559319556</v>
      </c>
      <c r="AL333" s="438"/>
      <c r="AM333" s="438"/>
      <c r="AN333" s="436" t="s">
        <v>2407</v>
      </c>
      <c r="AO333" s="436">
        <v>3.0</v>
      </c>
      <c r="AP333" s="438"/>
      <c r="AQ333" s="438"/>
      <c r="AR333" s="438"/>
      <c r="AS333" s="438"/>
      <c r="AT333" s="448"/>
      <c r="AU333" s="449"/>
      <c r="AV333" s="438"/>
      <c r="AW333" s="438"/>
      <c r="AX333" s="450">
        <v>130.698452530322</v>
      </c>
    </row>
    <row r="334">
      <c r="A334" s="436" t="s">
        <v>1400</v>
      </c>
      <c r="B334" s="436" t="s">
        <v>1400</v>
      </c>
      <c r="C334" s="436"/>
      <c r="D334" s="436" t="s">
        <v>158</v>
      </c>
      <c r="E334" s="436"/>
      <c r="F334" s="436" t="s">
        <v>2568</v>
      </c>
      <c r="G334" s="436" t="s">
        <v>169</v>
      </c>
      <c r="H334" s="436" t="s">
        <v>160</v>
      </c>
      <c r="I334" s="436" t="s">
        <v>1963</v>
      </c>
      <c r="J334" s="436">
        <v>3981.07171</v>
      </c>
      <c r="K334" s="436"/>
      <c r="L334" s="438"/>
      <c r="M334" s="453"/>
      <c r="N334" s="422">
        <v>12.547</v>
      </c>
      <c r="O334" s="422">
        <v>8.915</v>
      </c>
      <c r="P334" s="422"/>
      <c r="Q334" s="436" t="s">
        <v>2183</v>
      </c>
      <c r="R334" s="436" t="s">
        <v>2184</v>
      </c>
      <c r="S334" s="436" t="s">
        <v>1964</v>
      </c>
      <c r="T334" s="419" t="s">
        <v>162</v>
      </c>
      <c r="U334" s="436" t="s">
        <v>2185</v>
      </c>
      <c r="V334" s="451">
        <v>5.81056E29</v>
      </c>
      <c r="W334" s="458">
        <v>1.9498445997580451</v>
      </c>
      <c r="X334" s="438"/>
      <c r="Y334" s="442">
        <f t="shared" si="79"/>
        <v>2.94344331</v>
      </c>
      <c r="Z334" s="442"/>
      <c r="AA334" s="443"/>
      <c r="AB334" s="443"/>
      <c r="AC334" s="436" t="str">
        <f>IF(ISNUMBER(VLOOKUP(B334,'New Masses'!A:C,3,FALSE)),VLOOKUP(B334,'New Masses'!A:C,3,FALSE),"")</f>
        <v/>
      </c>
      <c r="AD334" s="451"/>
      <c r="AE334" s="451">
        <f t="shared" si="90"/>
        <v>0.000000008511380382</v>
      </c>
      <c r="AF334" s="439">
        <v>-8.07</v>
      </c>
      <c r="AG334" s="438"/>
      <c r="AH334" s="459">
        <f t="shared" ref="AH334:AH339" si="91">10^AK334</f>
        <v>0.6165950019</v>
      </c>
      <c r="AI334" s="436"/>
      <c r="AJ334" s="446" t="str">
        <f>IF(ISNUMBER(VLOOKUP(B334,'New Masses'!A:C,2, FALSE)),VLOOKUP(B334,'New Masses'!A:C,2, FALSE),"")</f>
        <v/>
      </c>
      <c r="AK334" s="436">
        <v>-0.21</v>
      </c>
      <c r="AL334" s="436"/>
      <c r="AM334" s="436">
        <v>-1.19</v>
      </c>
      <c r="AN334" s="438"/>
      <c r="AO334" s="436">
        <v>1.0</v>
      </c>
      <c r="AP334" s="438"/>
      <c r="AQ334" s="438"/>
      <c r="AR334" s="438"/>
      <c r="AS334" s="438"/>
      <c r="AT334" s="455">
        <v>4.0</v>
      </c>
      <c r="AU334" s="452"/>
      <c r="AV334" s="438"/>
      <c r="AW334" s="438"/>
      <c r="AX334" s="450">
        <v>130.698452530322</v>
      </c>
    </row>
    <row r="335">
      <c r="A335" s="436" t="s">
        <v>1373</v>
      </c>
      <c r="B335" s="436" t="s">
        <v>1373</v>
      </c>
      <c r="C335" s="436"/>
      <c r="D335" s="436" t="s">
        <v>158</v>
      </c>
      <c r="E335" s="436"/>
      <c r="F335" s="436" t="s">
        <v>2569</v>
      </c>
      <c r="G335" s="436" t="s">
        <v>169</v>
      </c>
      <c r="H335" s="436" t="s">
        <v>160</v>
      </c>
      <c r="I335" s="436" t="s">
        <v>1963</v>
      </c>
      <c r="J335" s="436">
        <v>3162.27766</v>
      </c>
      <c r="K335" s="436"/>
      <c r="L335" s="436" t="s">
        <v>1285</v>
      </c>
      <c r="M335" s="439"/>
      <c r="N335" s="422">
        <v>12.41</v>
      </c>
      <c r="O335" s="422">
        <v>9.8</v>
      </c>
      <c r="P335" s="422">
        <v>18.47</v>
      </c>
      <c r="Q335" s="436" t="s">
        <v>2183</v>
      </c>
      <c r="R335" s="436" t="s">
        <v>2184</v>
      </c>
      <c r="S335" s="436" t="s">
        <v>1964</v>
      </c>
      <c r="T335" s="419" t="s">
        <v>162</v>
      </c>
      <c r="U335" s="436" t="s">
        <v>2185</v>
      </c>
      <c r="V335" s="451">
        <v>7.48545E28</v>
      </c>
      <c r="W335" s="458">
        <v>0.36307805477010135</v>
      </c>
      <c r="X335" s="438"/>
      <c r="Y335" s="442">
        <f t="shared" si="79"/>
        <v>2.013055168</v>
      </c>
      <c r="Z335" s="442"/>
      <c r="AA335" s="443"/>
      <c r="AB335" s="443"/>
      <c r="AC335" s="436" t="str">
        <f>IF(ISNUMBER(VLOOKUP(B335,'New Masses'!A:C,3,FALSE)),VLOOKUP(B335,'New Masses'!A:C,3,FALSE),"")</f>
        <v/>
      </c>
      <c r="AD335" s="451"/>
      <c r="AE335" s="451">
        <f t="shared" si="90"/>
        <v>0.000000000977237221</v>
      </c>
      <c r="AF335" s="439">
        <v>-9.01</v>
      </c>
      <c r="AG335" s="438"/>
      <c r="AH335" s="459">
        <f t="shared" si="91"/>
        <v>0.2238721139</v>
      </c>
      <c r="AI335" s="436"/>
      <c r="AJ335" s="446" t="str">
        <f>IF(ISNUMBER(VLOOKUP(B335,'New Masses'!A:C,2, FALSE)),VLOOKUP(B335,'New Masses'!A:C,2, FALSE),"")</f>
        <v/>
      </c>
      <c r="AK335" s="436">
        <v>-0.65</v>
      </c>
      <c r="AL335" s="436"/>
      <c r="AM335" s="436">
        <v>-2.4</v>
      </c>
      <c r="AN335" s="438"/>
      <c r="AO335" s="436">
        <v>1.0</v>
      </c>
      <c r="AP335" s="438"/>
      <c r="AQ335" s="436"/>
      <c r="AR335" s="436"/>
      <c r="AS335" s="438"/>
      <c r="AT335" s="455">
        <v>2.3</v>
      </c>
      <c r="AU335" s="449" t="s">
        <v>137</v>
      </c>
      <c r="AV335" s="438" t="s">
        <v>1332</v>
      </c>
      <c r="AW335" s="438"/>
      <c r="AX335" s="450">
        <v>141.268877053696</v>
      </c>
    </row>
    <row r="336">
      <c r="A336" s="436" t="s">
        <v>1978</v>
      </c>
      <c r="B336" s="436" t="s">
        <v>1978</v>
      </c>
      <c r="C336" s="436"/>
      <c r="D336" s="436" t="s">
        <v>158</v>
      </c>
      <c r="E336" s="436"/>
      <c r="F336" s="436" t="s">
        <v>2570</v>
      </c>
      <c r="G336" s="436" t="s">
        <v>169</v>
      </c>
      <c r="H336" s="436" t="s">
        <v>160</v>
      </c>
      <c r="I336" s="436" t="s">
        <v>1963</v>
      </c>
      <c r="J336" s="436">
        <v>3311.31121</v>
      </c>
      <c r="K336" s="436"/>
      <c r="L336" s="438"/>
      <c r="M336" s="453"/>
      <c r="N336" s="422">
        <v>17.41</v>
      </c>
      <c r="O336" s="422">
        <v>11.302</v>
      </c>
      <c r="P336" s="422"/>
      <c r="Q336" s="436" t="s">
        <v>2183</v>
      </c>
      <c r="R336" s="436" t="s">
        <v>2184</v>
      </c>
      <c r="S336" s="436" t="s">
        <v>1964</v>
      </c>
      <c r="T336" s="419" t="s">
        <v>162</v>
      </c>
      <c r="U336" s="436" t="s">
        <v>2185</v>
      </c>
      <c r="V336" s="451"/>
      <c r="W336" s="458">
        <v>0.5011872336272722</v>
      </c>
      <c r="X336" s="438"/>
      <c r="Y336" s="442">
        <f t="shared" si="79"/>
        <v>2.157027481</v>
      </c>
      <c r="Z336" s="442"/>
      <c r="AA336" s="443"/>
      <c r="AB336" s="443"/>
      <c r="AC336" s="436" t="str">
        <f>IF(ISNUMBER(VLOOKUP(B336,'New Masses'!A:C,3,FALSE)),VLOOKUP(B336,'New Masses'!A:C,3,FALSE),"")</f>
        <v/>
      </c>
      <c r="AD336" s="451"/>
      <c r="AE336" s="451"/>
      <c r="AF336" s="439"/>
      <c r="AG336" s="438"/>
      <c r="AH336" s="459">
        <f t="shared" si="91"/>
        <v>0.2754228703</v>
      </c>
      <c r="AI336" s="436"/>
      <c r="AJ336" s="446" t="str">
        <f>IF(ISNUMBER(VLOOKUP(B336,'New Masses'!A:C,2, FALSE)),VLOOKUP(B336,'New Masses'!A:C,2, FALSE),"")</f>
        <v/>
      </c>
      <c r="AK336" s="436">
        <v>-0.56</v>
      </c>
      <c r="AL336" s="436"/>
      <c r="AM336" s="436"/>
      <c r="AN336" s="438"/>
      <c r="AO336" s="436">
        <v>1.0</v>
      </c>
      <c r="AP336" s="438"/>
      <c r="AQ336" s="438"/>
      <c r="AR336" s="438"/>
      <c r="AS336" s="438"/>
      <c r="AT336" s="455">
        <v>7.0</v>
      </c>
      <c r="AU336" s="452" t="s">
        <v>137</v>
      </c>
      <c r="AV336" s="438"/>
      <c r="AW336" s="438"/>
      <c r="AX336" s="450"/>
    </row>
    <row r="337">
      <c r="A337" s="436" t="s">
        <v>184</v>
      </c>
      <c r="B337" s="436" t="s">
        <v>184</v>
      </c>
      <c r="C337" s="436"/>
      <c r="D337" s="436" t="s">
        <v>158</v>
      </c>
      <c r="E337" s="436"/>
      <c r="F337" s="436" t="s">
        <v>2571</v>
      </c>
      <c r="G337" s="436" t="s">
        <v>169</v>
      </c>
      <c r="H337" s="436" t="s">
        <v>160</v>
      </c>
      <c r="I337" s="436" t="s">
        <v>1963</v>
      </c>
      <c r="J337" s="436">
        <v>5754.39937</v>
      </c>
      <c r="K337" s="436"/>
      <c r="L337" s="438"/>
      <c r="M337" s="453"/>
      <c r="N337" s="422">
        <v>16.788</v>
      </c>
      <c r="O337" s="422">
        <v>7.14</v>
      </c>
      <c r="P337" s="422"/>
      <c r="Q337" s="436" t="s">
        <v>2183</v>
      </c>
      <c r="R337" s="436" t="s">
        <v>2184</v>
      </c>
      <c r="S337" s="436" t="s">
        <v>1964</v>
      </c>
      <c r="T337" s="419" t="s">
        <v>162</v>
      </c>
      <c r="U337" s="436" t="s">
        <v>2185</v>
      </c>
      <c r="V337" s="451">
        <v>3.34363E29</v>
      </c>
      <c r="W337" s="458"/>
      <c r="X337" s="438"/>
      <c r="Y337" s="442" t="str">
        <f t="shared" si="79"/>
        <v/>
      </c>
      <c r="Z337" s="442"/>
      <c r="AA337" s="443"/>
      <c r="AB337" s="443"/>
      <c r="AC337" s="436" t="str">
        <f>IF(ISNUMBER(VLOOKUP(B337,'New Masses'!A:C,3,FALSE)),VLOOKUP(B337,'New Masses'!A:C,3,FALSE),"")</f>
        <v/>
      </c>
      <c r="AD337" s="451"/>
      <c r="AE337" s="451">
        <f t="shared" ref="AE337:AE338" si="92">10^(AF337)</f>
        <v>0.000001445439771</v>
      </c>
      <c r="AF337" s="439">
        <v>-5.84</v>
      </c>
      <c r="AG337" s="438"/>
      <c r="AH337" s="459">
        <f t="shared" si="91"/>
        <v>3.01995172</v>
      </c>
      <c r="AI337" s="436"/>
      <c r="AJ337" s="446" t="str">
        <f>IF(ISNUMBER(VLOOKUP(B337,'New Masses'!A:C,2, FALSE)),VLOOKUP(B337,'New Masses'!A:C,2, FALSE),"")</f>
        <v/>
      </c>
      <c r="AK337" s="436">
        <v>0.48</v>
      </c>
      <c r="AL337" s="436"/>
      <c r="AM337" s="436">
        <v>1.46</v>
      </c>
      <c r="AN337" s="438"/>
      <c r="AO337" s="436">
        <v>1.0</v>
      </c>
      <c r="AP337" s="438"/>
      <c r="AQ337" s="436"/>
      <c r="AR337" s="438"/>
      <c r="AS337" s="438"/>
      <c r="AT337" s="455">
        <v>10.5</v>
      </c>
      <c r="AU337" s="449"/>
      <c r="AV337" s="438"/>
      <c r="AW337" s="438"/>
      <c r="AX337" s="450"/>
    </row>
    <row r="338">
      <c r="A338" s="436" t="s">
        <v>1468</v>
      </c>
      <c r="B338" s="436" t="s">
        <v>1468</v>
      </c>
      <c r="C338" s="436"/>
      <c r="D338" s="436" t="s">
        <v>158</v>
      </c>
      <c r="E338" s="436"/>
      <c r="F338" s="436" t="s">
        <v>2572</v>
      </c>
      <c r="G338" s="436" t="s">
        <v>169</v>
      </c>
      <c r="H338" s="436" t="s">
        <v>160</v>
      </c>
      <c r="I338" s="436" t="s">
        <v>1963</v>
      </c>
      <c r="J338" s="436">
        <v>4365.15832</v>
      </c>
      <c r="K338" s="436"/>
      <c r="L338" s="436" t="s">
        <v>1469</v>
      </c>
      <c r="M338" s="439"/>
      <c r="N338" s="422">
        <v>8.745</v>
      </c>
      <c r="O338" s="422">
        <v>6.719</v>
      </c>
      <c r="P338" s="422"/>
      <c r="Q338" s="436" t="s">
        <v>2183</v>
      </c>
      <c r="R338" s="436" t="s">
        <v>2184</v>
      </c>
      <c r="S338" s="436" t="s">
        <v>1964</v>
      </c>
      <c r="T338" s="419" t="s">
        <v>162</v>
      </c>
      <c r="U338" s="436" t="s">
        <v>2185</v>
      </c>
      <c r="V338" s="451">
        <v>1.92406E29</v>
      </c>
      <c r="W338" s="458">
        <v>3.8018939632056115</v>
      </c>
      <c r="X338" s="438"/>
      <c r="Y338" s="442">
        <f t="shared" si="79"/>
        <v>3.418658164</v>
      </c>
      <c r="Z338" s="442"/>
      <c r="AA338" s="443"/>
      <c r="AB338" s="443"/>
      <c r="AC338" s="436" t="str">
        <f>IF(ISNUMBER(VLOOKUP(B338,'New Masses'!A:C,3,FALSE)),VLOOKUP(B338,'New Masses'!A:C,3,FALSE),"")</f>
        <v/>
      </c>
      <c r="AD338" s="451"/>
      <c r="AE338" s="451">
        <f t="shared" si="92"/>
        <v>0.000000001445439771</v>
      </c>
      <c r="AF338" s="439">
        <v>-8.84</v>
      </c>
      <c r="AG338" s="438"/>
      <c r="AH338" s="459">
        <f t="shared" si="91"/>
        <v>0.9120108394</v>
      </c>
      <c r="AI338" s="436"/>
      <c r="AJ338" s="446" t="str">
        <f>IF(ISNUMBER(VLOOKUP(B338,'New Masses'!A:C,2, FALSE)),VLOOKUP(B338,'New Masses'!A:C,2, FALSE),"")</f>
        <v/>
      </c>
      <c r="AK338" s="436">
        <v>-0.04</v>
      </c>
      <c r="AL338" s="436"/>
      <c r="AM338" s="436">
        <v>-1.85</v>
      </c>
      <c r="AN338" s="438"/>
      <c r="AO338" s="436">
        <v>1.0</v>
      </c>
      <c r="AP338" s="438"/>
      <c r="AQ338" s="436"/>
      <c r="AR338" s="436"/>
      <c r="AS338" s="438"/>
      <c r="AT338" s="455">
        <v>0.9</v>
      </c>
      <c r="AU338" s="452" t="s">
        <v>137</v>
      </c>
      <c r="AV338" s="438" t="s">
        <v>1470</v>
      </c>
      <c r="AW338" s="438"/>
      <c r="AX338" s="450">
        <v>138.400642178979</v>
      </c>
    </row>
    <row r="339">
      <c r="A339" s="436" t="s">
        <v>1980</v>
      </c>
      <c r="B339" s="436" t="s">
        <v>1980</v>
      </c>
      <c r="C339" s="436"/>
      <c r="D339" s="436" t="s">
        <v>158</v>
      </c>
      <c r="E339" s="436"/>
      <c r="F339" s="436" t="s">
        <v>2573</v>
      </c>
      <c r="G339" s="436" t="s">
        <v>169</v>
      </c>
      <c r="H339" s="436" t="s">
        <v>160</v>
      </c>
      <c r="I339" s="436" t="s">
        <v>1963</v>
      </c>
      <c r="J339" s="436">
        <v>4365.15832</v>
      </c>
      <c r="K339" s="436"/>
      <c r="L339" s="438"/>
      <c r="M339" s="453"/>
      <c r="N339" s="422">
        <v>17.81</v>
      </c>
      <c r="O339" s="422">
        <v>10.196</v>
      </c>
      <c r="P339" s="422"/>
      <c r="Q339" s="436" t="s">
        <v>2183</v>
      </c>
      <c r="R339" s="436" t="s">
        <v>2184</v>
      </c>
      <c r="S339" s="436" t="s">
        <v>1964</v>
      </c>
      <c r="T339" s="419" t="s">
        <v>162</v>
      </c>
      <c r="U339" s="436" t="s">
        <v>2185</v>
      </c>
      <c r="V339" s="451"/>
      <c r="W339" s="458">
        <v>3.715352290971725</v>
      </c>
      <c r="X339" s="438"/>
      <c r="Y339" s="442">
        <f t="shared" si="79"/>
        <v>3.379525108</v>
      </c>
      <c r="Z339" s="442"/>
      <c r="AA339" s="443"/>
      <c r="AB339" s="443"/>
      <c r="AC339" s="436" t="str">
        <f>IF(ISNUMBER(VLOOKUP(B339,'New Masses'!A:C,3,FALSE)),VLOOKUP(B339,'New Masses'!A:C,3,FALSE),"")</f>
        <v/>
      </c>
      <c r="AD339" s="451"/>
      <c r="AE339" s="451"/>
      <c r="AF339" s="439"/>
      <c r="AG339" s="438"/>
      <c r="AH339" s="459">
        <f t="shared" si="91"/>
        <v>0.9120108394</v>
      </c>
      <c r="AI339" s="436"/>
      <c r="AJ339" s="446" t="str">
        <f>IF(ISNUMBER(VLOOKUP(B339,'New Masses'!A:C,2, FALSE)),VLOOKUP(B339,'New Masses'!A:C,2, FALSE),"")</f>
        <v/>
      </c>
      <c r="AK339" s="436">
        <v>-0.04</v>
      </c>
      <c r="AL339" s="436"/>
      <c r="AM339" s="436"/>
      <c r="AN339" s="438"/>
      <c r="AO339" s="436">
        <v>1.0</v>
      </c>
      <c r="AP339" s="438"/>
      <c r="AQ339" s="438"/>
      <c r="AR339" s="438"/>
      <c r="AS339" s="438"/>
      <c r="AT339" s="455">
        <v>8.9</v>
      </c>
      <c r="AU339" s="449"/>
      <c r="AV339" s="438"/>
      <c r="AW339" s="438"/>
      <c r="AX339" s="450"/>
    </row>
    <row r="340">
      <c r="A340" s="436" t="s">
        <v>1981</v>
      </c>
      <c r="B340" s="436" t="s">
        <v>1981</v>
      </c>
      <c r="C340" s="436"/>
      <c r="D340" s="436" t="s">
        <v>158</v>
      </c>
      <c r="E340" s="436"/>
      <c r="F340" s="436" t="s">
        <v>2574</v>
      </c>
      <c r="G340" s="436" t="s">
        <v>159</v>
      </c>
      <c r="H340" s="436" t="s">
        <v>160</v>
      </c>
      <c r="I340" s="436" t="s">
        <v>1963</v>
      </c>
      <c r="J340" s="436"/>
      <c r="K340" s="436"/>
      <c r="L340" s="438"/>
      <c r="M340" s="453"/>
      <c r="N340" s="422">
        <v>14.207</v>
      </c>
      <c r="O340" s="422">
        <v>10.107</v>
      </c>
      <c r="P340" s="422"/>
      <c r="Q340" s="436" t="s">
        <v>2183</v>
      </c>
      <c r="R340" s="436" t="s">
        <v>2184</v>
      </c>
      <c r="S340" s="436" t="s">
        <v>1964</v>
      </c>
      <c r="T340" s="419" t="s">
        <v>162</v>
      </c>
      <c r="U340" s="436" t="s">
        <v>2185</v>
      </c>
      <c r="V340" s="451"/>
      <c r="W340" s="458"/>
      <c r="X340" s="438"/>
      <c r="Y340" s="442"/>
      <c r="Z340" s="442"/>
      <c r="AA340" s="443"/>
      <c r="AB340" s="443"/>
      <c r="AC340" s="436" t="str">
        <f>IF(ISNUMBER(VLOOKUP(B340,'New Masses'!A:C,3,FALSE)),VLOOKUP(B340,'New Masses'!A:C,3,FALSE),"")</f>
        <v/>
      </c>
      <c r="AD340" s="440"/>
      <c r="AE340" s="440"/>
      <c r="AF340" s="439"/>
      <c r="AG340" s="438"/>
      <c r="AH340" s="459"/>
      <c r="AI340" s="436"/>
      <c r="AJ340" s="446" t="str">
        <f>IF(ISNUMBER(VLOOKUP(B340,'New Masses'!A:C,2, FALSE)),VLOOKUP(B340,'New Masses'!A:C,2, FALSE),"")</f>
        <v/>
      </c>
      <c r="AK340" s="436"/>
      <c r="AL340" s="436"/>
      <c r="AM340" s="436"/>
      <c r="AN340" s="438"/>
      <c r="AO340" s="436">
        <v>1.0</v>
      </c>
      <c r="AP340" s="438"/>
      <c r="AQ340" s="436"/>
      <c r="AR340" s="438"/>
      <c r="AS340" s="438"/>
      <c r="AT340" s="448"/>
      <c r="AU340" s="452" t="s">
        <v>137</v>
      </c>
      <c r="AV340" s="438"/>
      <c r="AW340" s="438"/>
      <c r="AX340" s="450"/>
    </row>
    <row r="341">
      <c r="A341" s="436" t="s">
        <v>1982</v>
      </c>
      <c r="B341" s="436" t="s">
        <v>1982</v>
      </c>
      <c r="C341" s="436"/>
      <c r="D341" s="436" t="s">
        <v>158</v>
      </c>
      <c r="E341" s="436"/>
      <c r="F341" s="436" t="s">
        <v>2575</v>
      </c>
      <c r="G341" s="436" t="s">
        <v>159</v>
      </c>
      <c r="H341" s="436" t="s">
        <v>160</v>
      </c>
      <c r="I341" s="436" t="s">
        <v>1963</v>
      </c>
      <c r="J341" s="436">
        <v>6165.95002</v>
      </c>
      <c r="K341" s="436"/>
      <c r="L341" s="438"/>
      <c r="M341" s="453"/>
      <c r="N341" s="422">
        <v>21.1</v>
      </c>
      <c r="O341" s="422">
        <v>11.057</v>
      </c>
      <c r="P341" s="422"/>
      <c r="Q341" s="436" t="s">
        <v>2183</v>
      </c>
      <c r="R341" s="436" t="s">
        <v>2184</v>
      </c>
      <c r="S341" s="436" t="s">
        <v>1964</v>
      </c>
      <c r="T341" s="419" t="s">
        <v>162</v>
      </c>
      <c r="U341" s="436" t="s">
        <v>2185</v>
      </c>
      <c r="V341" s="451"/>
      <c r="W341" s="458">
        <v>51.28613839913648</v>
      </c>
      <c r="X341" s="438"/>
      <c r="Y341" s="442">
        <f t="shared" ref="Y341:Y356" si="93">IF((W341/((J341/5780)^4))^0.5&gt;0,(W341/((J341/5780)^4))^0.5,"")</f>
        <v>6.292970221</v>
      </c>
      <c r="Z341" s="442"/>
      <c r="AA341" s="443"/>
      <c r="AB341" s="443"/>
      <c r="AC341" s="436" t="str">
        <f>IF(ISNUMBER(VLOOKUP(B341,'New Masses'!A:C,3,FALSE)),VLOOKUP(B341,'New Masses'!A:C,3,FALSE),"")</f>
        <v/>
      </c>
      <c r="AD341" s="440"/>
      <c r="AE341" s="440"/>
      <c r="AF341" s="439"/>
      <c r="AG341" s="438"/>
      <c r="AH341" s="459">
        <f t="shared" ref="AH341:AH342" si="94">10^AK341</f>
        <v>4.365158322</v>
      </c>
      <c r="AI341" s="436"/>
      <c r="AJ341" s="446" t="str">
        <f>IF(ISNUMBER(VLOOKUP(B341,'New Masses'!A:C,2, FALSE)),VLOOKUP(B341,'New Masses'!A:C,2, FALSE),"")</f>
        <v/>
      </c>
      <c r="AK341" s="436">
        <v>0.64</v>
      </c>
      <c r="AL341" s="436"/>
      <c r="AM341" s="436"/>
      <c r="AN341" s="438"/>
      <c r="AO341" s="436">
        <v>1.0</v>
      </c>
      <c r="AP341" s="438"/>
      <c r="AQ341" s="436"/>
      <c r="AR341" s="438"/>
      <c r="AS341" s="438"/>
      <c r="AT341" s="455">
        <v>16.2</v>
      </c>
      <c r="AU341" s="449" t="s">
        <v>137</v>
      </c>
      <c r="AV341" s="438"/>
      <c r="AW341" s="438"/>
      <c r="AX341" s="450"/>
    </row>
    <row r="342">
      <c r="A342" s="436" t="s">
        <v>1333</v>
      </c>
      <c r="B342" s="436" t="s">
        <v>1333</v>
      </c>
      <c r="C342" s="419"/>
      <c r="D342" s="436" t="s">
        <v>158</v>
      </c>
      <c r="E342" s="436"/>
      <c r="F342" s="436" t="s">
        <v>2576</v>
      </c>
      <c r="G342" s="436" t="s">
        <v>169</v>
      </c>
      <c r="H342" s="436" t="s">
        <v>160</v>
      </c>
      <c r="I342" s="436" t="s">
        <v>1963</v>
      </c>
      <c r="J342" s="436">
        <v>2818.38293</v>
      </c>
      <c r="K342" s="436"/>
      <c r="L342" s="438"/>
      <c r="M342" s="453"/>
      <c r="N342" s="422">
        <v>15.616</v>
      </c>
      <c r="O342" s="422">
        <v>11.486</v>
      </c>
      <c r="P342" s="422"/>
      <c r="Q342" s="436" t="s">
        <v>2183</v>
      </c>
      <c r="R342" s="436" t="s">
        <v>2184</v>
      </c>
      <c r="S342" s="436" t="s">
        <v>1964</v>
      </c>
      <c r="T342" s="419" t="s">
        <v>162</v>
      </c>
      <c r="U342" s="436" t="s">
        <v>2185</v>
      </c>
      <c r="V342" s="451">
        <v>4.40776E28</v>
      </c>
      <c r="W342" s="458">
        <v>0.06918309709189366</v>
      </c>
      <c r="X342" s="438"/>
      <c r="Y342" s="442">
        <f t="shared" si="93"/>
        <v>1.106256097</v>
      </c>
      <c r="Z342" s="442"/>
      <c r="AA342" s="443"/>
      <c r="AB342" s="443"/>
      <c r="AC342" s="436" t="str">
        <f>IF(ISNUMBER(VLOOKUP(B342,'New Masses'!A:C,3,FALSE)),VLOOKUP(B342,'New Masses'!A:C,3,FALSE),"")</f>
        <v/>
      </c>
      <c r="AD342" s="440"/>
      <c r="AE342" s="440">
        <f>10^AF342</f>
        <v>0.0000000007244359601</v>
      </c>
      <c r="AF342" s="439">
        <v>-9.14</v>
      </c>
      <c r="AG342" s="438"/>
      <c r="AH342" s="459">
        <f t="shared" si="94"/>
        <v>0.08317637711</v>
      </c>
      <c r="AI342" s="436"/>
      <c r="AJ342" s="446" t="str">
        <f>IF(ISNUMBER(VLOOKUP(B342,'New Masses'!A:C,2, FALSE)),VLOOKUP(B342,'New Masses'!A:C,2, FALSE),"")</f>
        <v/>
      </c>
      <c r="AK342" s="436">
        <v>-1.08</v>
      </c>
      <c r="AL342" s="436"/>
      <c r="AM342" s="436">
        <v>-2.71</v>
      </c>
      <c r="AN342" s="438"/>
      <c r="AO342" s="436">
        <v>1.0</v>
      </c>
      <c r="AP342" s="438"/>
      <c r="AQ342" s="438"/>
      <c r="AR342" s="438"/>
      <c r="AS342" s="436"/>
      <c r="AT342" s="455">
        <v>3.7</v>
      </c>
      <c r="AU342" s="452"/>
      <c r="AV342" s="438"/>
      <c r="AW342" s="438" t="s">
        <v>2206</v>
      </c>
      <c r="AX342" s="450"/>
    </row>
    <row r="343">
      <c r="A343" s="436" t="s">
        <v>1333</v>
      </c>
      <c r="B343" s="436" t="s">
        <v>1333</v>
      </c>
      <c r="C343" s="419"/>
      <c r="D343" s="436" t="s">
        <v>158</v>
      </c>
      <c r="E343" s="436"/>
      <c r="F343" s="436" t="s">
        <v>2576</v>
      </c>
      <c r="G343" s="436" t="s">
        <v>169</v>
      </c>
      <c r="H343" s="436" t="s">
        <v>754</v>
      </c>
      <c r="I343" s="436">
        <v>2010.0</v>
      </c>
      <c r="J343" s="436">
        <v>3560.0</v>
      </c>
      <c r="K343" s="436">
        <v>110.0</v>
      </c>
      <c r="L343" s="436" t="s">
        <v>415</v>
      </c>
      <c r="M343" s="439"/>
      <c r="N343" s="422">
        <v>15.616</v>
      </c>
      <c r="O343" s="422">
        <v>11.486</v>
      </c>
      <c r="P343" s="422"/>
      <c r="Q343" s="436" t="s">
        <v>2417</v>
      </c>
      <c r="R343" s="436" t="s">
        <v>2577</v>
      </c>
      <c r="S343" s="436" t="s">
        <v>2419</v>
      </c>
      <c r="T343" s="419" t="s">
        <v>162</v>
      </c>
      <c r="U343" s="436" t="s">
        <v>1754</v>
      </c>
      <c r="V343" s="440"/>
      <c r="W343" s="474">
        <v>0.145</v>
      </c>
      <c r="X343" s="436"/>
      <c r="Y343" s="442">
        <f t="shared" si="93"/>
        <v>1.003782644</v>
      </c>
      <c r="Z343" s="469"/>
      <c r="AA343" s="470">
        <v>1.0</v>
      </c>
      <c r="AB343" s="470">
        <v>0.14</v>
      </c>
      <c r="AC343" s="436" t="str">
        <f>IF(ISNUMBER(VLOOKUP(B343,'New Masses'!A:C,3,FALSE)),VLOOKUP(B343,'New Masses'!A:C,3,FALSE),"")</f>
        <v/>
      </c>
      <c r="AD343" s="451"/>
      <c r="AE343" s="451">
        <f t="shared" ref="AE343:AE344" si="95">10^(AF343)</f>
        <v>0.0000000002041737945</v>
      </c>
      <c r="AF343" s="439">
        <v>-9.69</v>
      </c>
      <c r="AG343" s="438"/>
      <c r="AH343" s="459">
        <v>0.51</v>
      </c>
      <c r="AI343" s="436">
        <v>0.1</v>
      </c>
      <c r="AJ343" s="446" t="str">
        <f>IF(ISNUMBER(VLOOKUP(B343,'New Masses'!A:C,2, FALSE)),VLOOKUP(B343,'New Masses'!A:C,2, FALSE),"")</f>
        <v/>
      </c>
      <c r="AK343" s="436">
        <f t="shared" ref="AK343:AK344" si="96">LOG10(AH343)</f>
        <v>-0.2924298239</v>
      </c>
      <c r="AL343" s="436"/>
      <c r="AM343" s="436">
        <v>-2.58</v>
      </c>
      <c r="AN343" s="438"/>
      <c r="AO343" s="436">
        <v>1.0</v>
      </c>
      <c r="AP343" s="438"/>
      <c r="AQ343" s="438"/>
      <c r="AR343" s="438"/>
      <c r="AS343" s="438"/>
      <c r="AT343" s="448"/>
      <c r="AU343" s="449"/>
      <c r="AV343" s="438"/>
      <c r="AW343" s="438"/>
      <c r="AX343" s="450"/>
    </row>
    <row r="344">
      <c r="A344" s="436" t="s">
        <v>1333</v>
      </c>
      <c r="B344" s="436" t="s">
        <v>1333</v>
      </c>
      <c r="C344" s="419"/>
      <c r="D344" s="436" t="s">
        <v>158</v>
      </c>
      <c r="E344" s="436"/>
      <c r="F344" s="436" t="s">
        <v>2576</v>
      </c>
      <c r="G344" s="436" t="s">
        <v>169</v>
      </c>
      <c r="H344" s="436" t="s">
        <v>1309</v>
      </c>
      <c r="I344" s="436" t="s">
        <v>2409</v>
      </c>
      <c r="J344" s="436">
        <v>3850.0</v>
      </c>
      <c r="K344" s="436"/>
      <c r="L344" s="436" t="s">
        <v>427</v>
      </c>
      <c r="M344" s="457">
        <v>2.0</v>
      </c>
      <c r="N344" s="422">
        <v>15.616</v>
      </c>
      <c r="O344" s="422">
        <v>11.486</v>
      </c>
      <c r="P344" s="422"/>
      <c r="Q344" s="436" t="s">
        <v>2410</v>
      </c>
      <c r="R344" s="436" t="s">
        <v>2411</v>
      </c>
      <c r="S344" s="436" t="s">
        <v>2412</v>
      </c>
      <c r="T344" s="436" t="s">
        <v>596</v>
      </c>
      <c r="U344" s="436" t="s">
        <v>2413</v>
      </c>
      <c r="V344" s="440"/>
      <c r="W344" s="441">
        <v>0.07</v>
      </c>
      <c r="X344" s="454"/>
      <c r="Y344" s="442">
        <f t="shared" si="93"/>
        <v>0.5963253034</v>
      </c>
      <c r="Z344" s="442"/>
      <c r="AA344" s="443"/>
      <c r="AB344" s="443"/>
      <c r="AC344" s="436" t="str">
        <f>IF(ISNUMBER(VLOOKUP(B344,'New Masses'!A:C,3,FALSE)),VLOOKUP(B344,'New Masses'!A:C,3,FALSE),"")</f>
        <v/>
      </c>
      <c r="AD344" s="451"/>
      <c r="AE344" s="451">
        <f t="shared" si="95"/>
        <v>0</v>
      </c>
      <c r="AF344" s="439">
        <v>-10.81</v>
      </c>
      <c r="AG344" s="438"/>
      <c r="AH344" s="459">
        <v>0.6</v>
      </c>
      <c r="AI344" s="436"/>
      <c r="AJ344" s="446" t="str">
        <f>IF(ISNUMBER(VLOOKUP(B344,'New Masses'!A:C,2, FALSE)),VLOOKUP(B344,'New Masses'!A:C,2, FALSE),"")</f>
        <v/>
      </c>
      <c r="AK344" s="436">
        <f t="shared" si="96"/>
        <v>-0.2218487496</v>
      </c>
      <c r="AL344" s="438"/>
      <c r="AM344" s="438"/>
      <c r="AN344" s="436" t="s">
        <v>2407</v>
      </c>
      <c r="AO344" s="436">
        <v>1.0</v>
      </c>
      <c r="AP344" s="438"/>
      <c r="AQ344" s="438"/>
      <c r="AR344" s="438"/>
      <c r="AS344" s="438"/>
      <c r="AT344" s="448"/>
      <c r="AU344" s="452"/>
      <c r="AV344" s="438"/>
      <c r="AW344" s="438"/>
      <c r="AX344" s="450"/>
    </row>
    <row r="345">
      <c r="A345" s="436" t="s">
        <v>1426</v>
      </c>
      <c r="B345" s="436" t="s">
        <v>1426</v>
      </c>
      <c r="C345" s="436"/>
      <c r="D345" s="436" t="s">
        <v>158</v>
      </c>
      <c r="E345" s="436"/>
      <c r="F345" s="436" t="s">
        <v>2578</v>
      </c>
      <c r="G345" s="436" t="s">
        <v>169</v>
      </c>
      <c r="H345" s="436" t="s">
        <v>160</v>
      </c>
      <c r="I345" s="436" t="s">
        <v>1963</v>
      </c>
      <c r="J345" s="436">
        <v>3801.89396</v>
      </c>
      <c r="K345" s="436"/>
      <c r="L345" s="438"/>
      <c r="M345" s="453"/>
      <c r="N345" s="422">
        <v>12.256</v>
      </c>
      <c r="O345" s="422">
        <v>9.287</v>
      </c>
      <c r="P345" s="422"/>
      <c r="Q345" s="436" t="s">
        <v>2183</v>
      </c>
      <c r="R345" s="436" t="s">
        <v>2184</v>
      </c>
      <c r="S345" s="436" t="s">
        <v>1964</v>
      </c>
      <c r="T345" s="419" t="s">
        <v>162</v>
      </c>
      <c r="U345" s="436" t="s">
        <v>2185</v>
      </c>
      <c r="V345" s="451">
        <v>2.5364E29</v>
      </c>
      <c r="W345" s="458">
        <v>1.4125375446227544</v>
      </c>
      <c r="X345" s="438"/>
      <c r="Y345" s="442">
        <f t="shared" si="93"/>
        <v>2.746981139</v>
      </c>
      <c r="Z345" s="442"/>
      <c r="AA345" s="443"/>
      <c r="AB345" s="443"/>
      <c r="AC345" s="436" t="str">
        <f>IF(ISNUMBER(VLOOKUP(B345,'New Masses'!A:C,3,FALSE)),VLOOKUP(B345,'New Masses'!A:C,3,FALSE),"")</f>
        <v/>
      </c>
      <c r="AD345" s="440"/>
      <c r="AE345" s="440">
        <f t="shared" ref="AE345:AE346" si="97">10^AF345</f>
        <v>0.000000003090295433</v>
      </c>
      <c r="AF345" s="439">
        <v>-8.51</v>
      </c>
      <c r="AG345" s="438"/>
      <c r="AH345" s="459">
        <f t="shared" ref="AH345:AH346" si="98">10^AK345</f>
        <v>0.5011872336</v>
      </c>
      <c r="AI345" s="436"/>
      <c r="AJ345" s="446" t="str">
        <f>IF(ISNUMBER(VLOOKUP(B345,'New Masses'!A:C,2, FALSE)),VLOOKUP(B345,'New Masses'!A:C,2, FALSE),"")</f>
        <v/>
      </c>
      <c r="AK345" s="436">
        <v>-0.3</v>
      </c>
      <c r="AL345" s="436"/>
      <c r="AM345" s="436">
        <v>-1.68</v>
      </c>
      <c r="AN345" s="438"/>
      <c r="AO345" s="436">
        <v>1.0</v>
      </c>
      <c r="AP345" s="438"/>
      <c r="AQ345" s="436"/>
      <c r="AR345" s="438"/>
      <c r="AS345" s="438"/>
      <c r="AT345" s="455">
        <v>3.4</v>
      </c>
      <c r="AU345" s="449" t="s">
        <v>137</v>
      </c>
      <c r="AV345" s="438"/>
      <c r="AW345" s="438"/>
      <c r="AX345" s="450">
        <v>136.59149581347</v>
      </c>
    </row>
    <row r="346">
      <c r="A346" s="436" t="s">
        <v>1372</v>
      </c>
      <c r="B346" s="436" t="s">
        <v>1372</v>
      </c>
      <c r="C346" s="419"/>
      <c r="D346" s="436" t="s">
        <v>158</v>
      </c>
      <c r="E346" s="436"/>
      <c r="F346" s="436" t="s">
        <v>2579</v>
      </c>
      <c r="G346" s="436" t="s">
        <v>169</v>
      </c>
      <c r="H346" s="436" t="s">
        <v>160</v>
      </c>
      <c r="I346" s="436" t="s">
        <v>1963</v>
      </c>
      <c r="J346" s="436">
        <v>3162.27766</v>
      </c>
      <c r="K346" s="436"/>
      <c r="L346" s="438"/>
      <c r="M346" s="453"/>
      <c r="N346" s="422">
        <v>13.325</v>
      </c>
      <c r="O346" s="422">
        <v>9.978</v>
      </c>
      <c r="P346" s="422"/>
      <c r="Q346" s="436" t="s">
        <v>2183</v>
      </c>
      <c r="R346" s="436" t="s">
        <v>2184</v>
      </c>
      <c r="S346" s="436" t="s">
        <v>1964</v>
      </c>
      <c r="T346" s="419" t="s">
        <v>162</v>
      </c>
      <c r="U346" s="436" t="s">
        <v>2185</v>
      </c>
      <c r="V346" s="451">
        <v>1.67578E29</v>
      </c>
      <c r="W346" s="458">
        <v>0.33884415613920255</v>
      </c>
      <c r="X346" s="438"/>
      <c r="Y346" s="442">
        <f t="shared" si="93"/>
        <v>1.944713714</v>
      </c>
      <c r="Z346" s="442"/>
      <c r="AA346" s="443"/>
      <c r="AB346" s="443"/>
      <c r="AC346" s="436" t="str">
        <f>IF(ISNUMBER(VLOOKUP(B346,'New Masses'!A:C,3,FALSE)),VLOOKUP(B346,'New Masses'!A:C,3,FALSE),"")</f>
        <v/>
      </c>
      <c r="AD346" s="440"/>
      <c r="AE346" s="440">
        <f t="shared" si="97"/>
        <v>0.00000000301995172</v>
      </c>
      <c r="AF346" s="439">
        <v>-8.52</v>
      </c>
      <c r="AG346" s="438"/>
      <c r="AH346" s="459">
        <f t="shared" si="98"/>
        <v>0.213796209</v>
      </c>
      <c r="AI346" s="436"/>
      <c r="AJ346" s="446" t="str">
        <f>IF(ISNUMBER(VLOOKUP(B346,'New Masses'!A:C,2, FALSE)),VLOOKUP(B346,'New Masses'!A:C,2, FALSE),"")</f>
        <v/>
      </c>
      <c r="AK346" s="436">
        <v>-0.67</v>
      </c>
      <c r="AL346" s="436"/>
      <c r="AM346" s="436">
        <v>-1.92</v>
      </c>
      <c r="AN346" s="438"/>
      <c r="AO346" s="436">
        <v>1.0</v>
      </c>
      <c r="AP346" s="438"/>
      <c r="AQ346" s="438"/>
      <c r="AR346" s="438"/>
      <c r="AS346" s="438"/>
      <c r="AT346" s="455">
        <v>3.1</v>
      </c>
      <c r="AU346" s="452" t="s">
        <v>137</v>
      </c>
      <c r="AV346" s="438"/>
      <c r="AW346" s="438"/>
      <c r="AX346" s="450">
        <v>145.450314172678</v>
      </c>
    </row>
    <row r="347">
      <c r="A347" s="436" t="s">
        <v>1372</v>
      </c>
      <c r="B347" s="436" t="s">
        <v>1372</v>
      </c>
      <c r="C347" s="419"/>
      <c r="D347" s="436" t="s">
        <v>158</v>
      </c>
      <c r="E347" s="436"/>
      <c r="F347" s="436" t="s">
        <v>2579</v>
      </c>
      <c r="G347" s="436" t="s">
        <v>169</v>
      </c>
      <c r="H347" s="436" t="s">
        <v>754</v>
      </c>
      <c r="I347" s="436">
        <v>2010.0</v>
      </c>
      <c r="J347" s="436">
        <v>3340.0</v>
      </c>
      <c r="K347" s="436">
        <v>50.0</v>
      </c>
      <c r="L347" s="436" t="s">
        <v>422</v>
      </c>
      <c r="M347" s="439"/>
      <c r="N347" s="422">
        <v>13.325</v>
      </c>
      <c r="O347" s="422">
        <v>9.978</v>
      </c>
      <c r="P347" s="422"/>
      <c r="Q347" s="436" t="s">
        <v>2417</v>
      </c>
      <c r="R347" s="436" t="s">
        <v>2580</v>
      </c>
      <c r="S347" s="436" t="s">
        <v>2419</v>
      </c>
      <c r="T347" s="419" t="s">
        <v>162</v>
      </c>
      <c r="U347" s="436" t="s">
        <v>1754</v>
      </c>
      <c r="V347" s="440"/>
      <c r="W347" s="474">
        <v>0.221</v>
      </c>
      <c r="X347" s="436"/>
      <c r="Y347" s="442">
        <f t="shared" si="93"/>
        <v>1.407858088</v>
      </c>
      <c r="Z347" s="469"/>
      <c r="AA347" s="470">
        <v>1.41</v>
      </c>
      <c r="AB347" s="470">
        <v>0.04</v>
      </c>
      <c r="AC347" s="436" t="str">
        <f>IF(ISNUMBER(VLOOKUP(B347,'New Masses'!A:C,3,FALSE)),VLOOKUP(B347,'New Masses'!A:C,3,FALSE),"")</f>
        <v/>
      </c>
      <c r="AD347" s="451"/>
      <c r="AE347" s="451">
        <f t="shared" ref="AE347:AE348" si="99">10^(AF347)</f>
        <v>0.0000000002290867653</v>
      </c>
      <c r="AF347" s="439">
        <v>-9.64</v>
      </c>
      <c r="AG347" s="438"/>
      <c r="AH347" s="459">
        <v>0.33</v>
      </c>
      <c r="AI347" s="436">
        <v>0.1</v>
      </c>
      <c r="AJ347" s="446" t="str">
        <f>IF(ISNUMBER(VLOOKUP(B347,'New Masses'!A:C,2, FALSE)),VLOOKUP(B347,'New Masses'!A:C,2, FALSE),"")</f>
        <v/>
      </c>
      <c r="AK347" s="436">
        <f t="shared" ref="AK347:AK348" si="100">LOG10(AH347)</f>
        <v>-0.4814860601</v>
      </c>
      <c r="AL347" s="436"/>
      <c r="AM347" s="436">
        <v>-2.87</v>
      </c>
      <c r="AN347" s="438"/>
      <c r="AO347" s="436">
        <v>1.0</v>
      </c>
      <c r="AP347" s="438"/>
      <c r="AQ347" s="438"/>
      <c r="AR347" s="438"/>
      <c r="AS347" s="438"/>
      <c r="AT347" s="448"/>
      <c r="AU347" s="449"/>
      <c r="AV347" s="438"/>
      <c r="AW347" s="438"/>
      <c r="AX347" s="450">
        <v>145.450314172678</v>
      </c>
    </row>
    <row r="348">
      <c r="A348" s="436" t="s">
        <v>1372</v>
      </c>
      <c r="B348" s="436" t="s">
        <v>1372</v>
      </c>
      <c r="C348" s="419"/>
      <c r="D348" s="436" t="s">
        <v>158</v>
      </c>
      <c r="E348" s="436"/>
      <c r="F348" s="436" t="s">
        <v>2579</v>
      </c>
      <c r="G348" s="436" t="s">
        <v>169</v>
      </c>
      <c r="H348" s="436" t="s">
        <v>1309</v>
      </c>
      <c r="I348" s="436" t="s">
        <v>2409</v>
      </c>
      <c r="J348" s="436">
        <v>3950.0</v>
      </c>
      <c r="K348" s="436"/>
      <c r="L348" s="436" t="s">
        <v>1441</v>
      </c>
      <c r="M348" s="439"/>
      <c r="N348" s="422">
        <v>13.325</v>
      </c>
      <c r="O348" s="422">
        <v>9.978</v>
      </c>
      <c r="P348" s="422"/>
      <c r="Q348" s="436" t="s">
        <v>2410</v>
      </c>
      <c r="R348" s="436" t="s">
        <v>2565</v>
      </c>
      <c r="S348" s="436" t="s">
        <v>2412</v>
      </c>
      <c r="T348" s="436" t="s">
        <v>596</v>
      </c>
      <c r="U348" s="436" t="s">
        <v>2413</v>
      </c>
      <c r="V348" s="440"/>
      <c r="W348" s="474">
        <v>0.35</v>
      </c>
      <c r="X348" s="419"/>
      <c r="Y348" s="442">
        <f t="shared" si="93"/>
        <v>1.266763402</v>
      </c>
      <c r="Z348" s="469"/>
      <c r="AA348" s="470"/>
      <c r="AB348" s="470"/>
      <c r="AC348" s="436" t="str">
        <f>IF(ISNUMBER(VLOOKUP(B348,'New Masses'!A:C,3,FALSE)),VLOOKUP(B348,'New Masses'!A:C,3,FALSE),"")</f>
        <v/>
      </c>
      <c r="AD348" s="451"/>
      <c r="AE348" s="451">
        <f t="shared" si="99"/>
        <v>0.000000002344228815</v>
      </c>
      <c r="AF348" s="439">
        <v>-8.63</v>
      </c>
      <c r="AG348" s="438"/>
      <c r="AH348" s="459">
        <v>0.6</v>
      </c>
      <c r="AI348" s="436"/>
      <c r="AJ348" s="446" t="str">
        <f>IF(ISNUMBER(VLOOKUP(B348,'New Masses'!A:C,2, FALSE)),VLOOKUP(B348,'New Masses'!A:C,2, FALSE),"")</f>
        <v/>
      </c>
      <c r="AK348" s="436">
        <f t="shared" si="100"/>
        <v>-0.2218487496</v>
      </c>
      <c r="AL348" s="438"/>
      <c r="AM348" s="438"/>
      <c r="AN348" s="436" t="s">
        <v>2407</v>
      </c>
      <c r="AO348" s="436">
        <v>1.0</v>
      </c>
      <c r="AP348" s="438"/>
      <c r="AQ348" s="438"/>
      <c r="AR348" s="438"/>
      <c r="AS348" s="438"/>
      <c r="AT348" s="448"/>
      <c r="AU348" s="452"/>
      <c r="AV348" s="438"/>
      <c r="AW348" s="438"/>
      <c r="AX348" s="450">
        <v>145.450314172678</v>
      </c>
    </row>
    <row r="349">
      <c r="A349" s="436" t="s">
        <v>1983</v>
      </c>
      <c r="B349" s="436" t="s">
        <v>1983</v>
      </c>
      <c r="C349" s="436"/>
      <c r="D349" s="436" t="s">
        <v>158</v>
      </c>
      <c r="E349" s="436"/>
      <c r="F349" s="436" t="s">
        <v>2581</v>
      </c>
      <c r="G349" s="436" t="s">
        <v>169</v>
      </c>
      <c r="H349" s="436" t="s">
        <v>160</v>
      </c>
      <c r="I349" s="436" t="s">
        <v>1963</v>
      </c>
      <c r="J349" s="436">
        <v>3548.13389</v>
      </c>
      <c r="K349" s="436"/>
      <c r="L349" s="438"/>
      <c r="M349" s="453"/>
      <c r="N349" s="422">
        <v>20.52</v>
      </c>
      <c r="O349" s="422">
        <v>12.263</v>
      </c>
      <c r="P349" s="422"/>
      <c r="Q349" s="436" t="s">
        <v>2183</v>
      </c>
      <c r="R349" s="436" t="s">
        <v>2184</v>
      </c>
      <c r="S349" s="436" t="s">
        <v>1964</v>
      </c>
      <c r="T349" s="419" t="s">
        <v>162</v>
      </c>
      <c r="U349" s="436" t="s">
        <v>2185</v>
      </c>
      <c r="V349" s="451"/>
      <c r="W349" s="458">
        <v>0.7762471166286917</v>
      </c>
      <c r="X349" s="438"/>
      <c r="Y349" s="442">
        <f t="shared" si="93"/>
        <v>2.338060137</v>
      </c>
      <c r="Z349" s="442"/>
      <c r="AA349" s="443"/>
      <c r="AB349" s="443"/>
      <c r="AC349" s="436" t="str">
        <f>IF(ISNUMBER(VLOOKUP(B349,'New Masses'!A:C,3,FALSE)),VLOOKUP(B349,'New Masses'!A:C,3,FALSE),"")</f>
        <v/>
      </c>
      <c r="AD349" s="451"/>
      <c r="AE349" s="451"/>
      <c r="AF349" s="439"/>
      <c r="AG349" s="438"/>
      <c r="AH349" s="459"/>
      <c r="AI349" s="436"/>
      <c r="AJ349" s="446" t="str">
        <f>IF(ISNUMBER(VLOOKUP(B349,'New Masses'!A:C,2, FALSE)),VLOOKUP(B349,'New Masses'!A:C,2, FALSE),"")</f>
        <v/>
      </c>
      <c r="AK349" s="436"/>
      <c r="AL349" s="436"/>
      <c r="AM349" s="436"/>
      <c r="AN349" s="438"/>
      <c r="AO349" s="436">
        <v>1.0</v>
      </c>
      <c r="AP349" s="438"/>
      <c r="AQ349" s="438"/>
      <c r="AR349" s="438"/>
      <c r="AS349" s="438"/>
      <c r="AT349" s="455">
        <v>10.5</v>
      </c>
      <c r="AU349" s="449" t="s">
        <v>137</v>
      </c>
      <c r="AV349" s="438"/>
      <c r="AW349" s="438"/>
      <c r="AX349" s="450"/>
    </row>
    <row r="350">
      <c r="A350" s="436" t="s">
        <v>1365</v>
      </c>
      <c r="B350" s="436" t="s">
        <v>1365</v>
      </c>
      <c r="C350" s="436"/>
      <c r="D350" s="436" t="s">
        <v>158</v>
      </c>
      <c r="E350" s="436"/>
      <c r="F350" s="436" t="s">
        <v>2582</v>
      </c>
      <c r="G350" s="436" t="s">
        <v>169</v>
      </c>
      <c r="H350" s="436" t="s">
        <v>160</v>
      </c>
      <c r="I350" s="436" t="s">
        <v>1963</v>
      </c>
      <c r="J350" s="436">
        <v>3090.29543</v>
      </c>
      <c r="K350" s="436"/>
      <c r="L350" s="438"/>
      <c r="M350" s="453"/>
      <c r="N350" s="422">
        <v>17.417</v>
      </c>
      <c r="O350" s="422">
        <v>10.794</v>
      </c>
      <c r="P350" s="422"/>
      <c r="Q350" s="436" t="s">
        <v>2183</v>
      </c>
      <c r="R350" s="436" t="s">
        <v>2184</v>
      </c>
      <c r="S350" s="436" t="s">
        <v>1964</v>
      </c>
      <c r="T350" s="419" t="s">
        <v>162</v>
      </c>
      <c r="U350" s="436" t="s">
        <v>2185</v>
      </c>
      <c r="V350" s="451">
        <v>1.42632E29</v>
      </c>
      <c r="W350" s="458">
        <v>0.2691534803926916</v>
      </c>
      <c r="X350" s="438"/>
      <c r="Y350" s="442">
        <f t="shared" si="93"/>
        <v>1.81491244</v>
      </c>
      <c r="Z350" s="442"/>
      <c r="AA350" s="443"/>
      <c r="AB350" s="443"/>
      <c r="AC350" s="436" t="str">
        <f>IF(ISNUMBER(VLOOKUP(B350,'New Masses'!A:C,3,FALSE)),VLOOKUP(B350,'New Masses'!A:C,3,FALSE),"")</f>
        <v/>
      </c>
      <c r="AD350" s="440"/>
      <c r="AE350" s="440">
        <f t="shared" ref="AE350:AE352" si="101">10^AF350</f>
        <v>0.000000002570395783</v>
      </c>
      <c r="AF350" s="439">
        <v>-8.59</v>
      </c>
      <c r="AG350" s="438"/>
      <c r="AH350" s="459">
        <f t="shared" ref="AH350:AH351" si="102">10^AK350</f>
        <v>0.1862087137</v>
      </c>
      <c r="AI350" s="436"/>
      <c r="AJ350" s="446" t="str">
        <f>IF(ISNUMBER(VLOOKUP(B350,'New Masses'!A:C,2, FALSE)),VLOOKUP(B350,'New Masses'!A:C,2, FALSE),"")</f>
        <v/>
      </c>
      <c r="AK350" s="436">
        <v>-0.73</v>
      </c>
      <c r="AL350" s="436"/>
      <c r="AM350" s="436">
        <v>-2.02</v>
      </c>
      <c r="AN350" s="438"/>
      <c r="AO350" s="436">
        <v>1.0</v>
      </c>
      <c r="AP350" s="438"/>
      <c r="AQ350" s="436"/>
      <c r="AR350" s="438"/>
      <c r="AS350" s="438"/>
      <c r="AT350" s="455">
        <v>6.8</v>
      </c>
      <c r="AU350" s="452" t="s">
        <v>137</v>
      </c>
      <c r="AV350" s="438"/>
      <c r="AW350" s="438"/>
      <c r="AX350" s="450"/>
    </row>
    <row r="351">
      <c r="A351" s="436" t="s">
        <v>1331</v>
      </c>
      <c r="B351" s="436" t="s">
        <v>1331</v>
      </c>
      <c r="C351" s="419"/>
      <c r="D351" s="436" t="s">
        <v>158</v>
      </c>
      <c r="E351" s="436"/>
      <c r="F351" s="436" t="s">
        <v>2583</v>
      </c>
      <c r="G351" s="436" t="s">
        <v>169</v>
      </c>
      <c r="H351" s="436" t="s">
        <v>160</v>
      </c>
      <c r="I351" s="436" t="s">
        <v>1963</v>
      </c>
      <c r="J351" s="436">
        <v>2818.38293</v>
      </c>
      <c r="K351" s="436"/>
      <c r="L351" s="436" t="s">
        <v>422</v>
      </c>
      <c r="M351" s="439"/>
      <c r="N351" s="422">
        <v>12.728</v>
      </c>
      <c r="O351" s="422">
        <v>10.727</v>
      </c>
      <c r="P351" s="422">
        <v>17.67</v>
      </c>
      <c r="Q351" s="436" t="s">
        <v>2183</v>
      </c>
      <c r="R351" s="436" t="s">
        <v>2184</v>
      </c>
      <c r="S351" s="436" t="s">
        <v>1964</v>
      </c>
      <c r="T351" s="419" t="s">
        <v>162</v>
      </c>
      <c r="U351" s="436" t="s">
        <v>2185</v>
      </c>
      <c r="V351" s="451">
        <v>3.66622E29</v>
      </c>
      <c r="W351" s="458">
        <v>0.0707945784384138</v>
      </c>
      <c r="X351" s="438"/>
      <c r="Y351" s="442">
        <f t="shared" si="93"/>
        <v>1.119065939</v>
      </c>
      <c r="Z351" s="442"/>
      <c r="AA351" s="443"/>
      <c r="AB351" s="443"/>
      <c r="AC351" s="436" t="str">
        <f>IF(ISNUMBER(VLOOKUP(B351,'New Masses'!A:C,3,FALSE)),VLOOKUP(B351,'New Masses'!A:C,3,FALSE),"")</f>
        <v/>
      </c>
      <c r="AD351" s="440"/>
      <c r="AE351" s="440">
        <f t="shared" si="101"/>
        <v>0.00000001288249552</v>
      </c>
      <c r="AF351" s="439">
        <v>-7.89</v>
      </c>
      <c r="AG351" s="438"/>
      <c r="AH351" s="459">
        <f t="shared" si="102"/>
        <v>0.08317637711</v>
      </c>
      <c r="AI351" s="436"/>
      <c r="AJ351" s="446" t="str">
        <f>IF(ISNUMBER(VLOOKUP(B351,'New Masses'!A:C,2, FALSE)),VLOOKUP(B351,'New Masses'!A:C,2, FALSE),"")</f>
        <v/>
      </c>
      <c r="AK351" s="436">
        <v>-1.08</v>
      </c>
      <c r="AL351" s="436"/>
      <c r="AM351" s="436">
        <v>-1.46</v>
      </c>
      <c r="AN351" s="438"/>
      <c r="AO351" s="436">
        <v>1.0</v>
      </c>
      <c r="AP351" s="438"/>
      <c r="AQ351" s="438"/>
      <c r="AR351" s="436"/>
      <c r="AS351" s="436"/>
      <c r="AT351" s="455">
        <v>1.0</v>
      </c>
      <c r="AU351" s="452"/>
      <c r="AV351" s="438" t="s">
        <v>1332</v>
      </c>
      <c r="AW351" s="438" t="s">
        <v>2206</v>
      </c>
      <c r="AX351" s="450">
        <v>136.584033326504</v>
      </c>
    </row>
    <row r="352">
      <c r="A352" s="436" t="s">
        <v>1331</v>
      </c>
      <c r="B352" s="436" t="s">
        <v>1331</v>
      </c>
      <c r="C352" s="419"/>
      <c r="D352" s="436" t="s">
        <v>158</v>
      </c>
      <c r="E352" s="436"/>
      <c r="F352" s="436" t="s">
        <v>2583</v>
      </c>
      <c r="G352" s="436" t="s">
        <v>169</v>
      </c>
      <c r="H352" s="436" t="s">
        <v>754</v>
      </c>
      <c r="I352" s="436">
        <v>2010.0</v>
      </c>
      <c r="J352" s="436">
        <v>4060.0</v>
      </c>
      <c r="K352" s="436"/>
      <c r="L352" s="436" t="s">
        <v>434</v>
      </c>
      <c r="M352" s="439"/>
      <c r="N352" s="422">
        <v>12.728</v>
      </c>
      <c r="O352" s="422">
        <v>10.727</v>
      </c>
      <c r="P352" s="422">
        <v>17.67</v>
      </c>
      <c r="Q352" s="436" t="s">
        <v>2417</v>
      </c>
      <c r="R352" s="436" t="s">
        <v>2584</v>
      </c>
      <c r="S352" s="436" t="s">
        <v>2419</v>
      </c>
      <c r="T352" s="419" t="s">
        <v>162</v>
      </c>
      <c r="U352" s="436" t="s">
        <v>1754</v>
      </c>
      <c r="V352" s="440"/>
      <c r="W352" s="474">
        <v>0.078</v>
      </c>
      <c r="X352" s="436"/>
      <c r="Y352" s="442">
        <f t="shared" si="93"/>
        <v>0.5660449381</v>
      </c>
      <c r="Z352" s="469"/>
      <c r="AA352" s="470">
        <v>0.56</v>
      </c>
      <c r="AB352" s="470"/>
      <c r="AC352" s="436" t="str">
        <f>IF(ISNUMBER(VLOOKUP(B352,'New Masses'!A:C,3,FALSE)),VLOOKUP(B352,'New Masses'!A:C,3,FALSE),"")</f>
        <v/>
      </c>
      <c r="AD352" s="440"/>
      <c r="AE352" s="440">
        <f t="shared" si="101"/>
        <v>0.0000000002754228703</v>
      </c>
      <c r="AF352" s="439">
        <v>-9.56</v>
      </c>
      <c r="AG352" s="438"/>
      <c r="AH352" s="459">
        <v>0.62</v>
      </c>
      <c r="AI352" s="436">
        <v>0.1</v>
      </c>
      <c r="AJ352" s="446" t="str">
        <f>IF(ISNUMBER(VLOOKUP(B352,'New Masses'!A:C,2, FALSE)),VLOOKUP(B352,'New Masses'!A:C,2, FALSE),"")</f>
        <v/>
      </c>
      <c r="AK352" s="436">
        <f>LOG10(AH352)</f>
        <v>-0.2076083105</v>
      </c>
      <c r="AL352" s="436"/>
      <c r="AM352" s="436">
        <v>-2.12</v>
      </c>
      <c r="AN352" s="438"/>
      <c r="AO352" s="436">
        <v>1.0</v>
      </c>
      <c r="AP352" s="438"/>
      <c r="AQ352" s="438"/>
      <c r="AR352" s="438"/>
      <c r="AS352" s="438"/>
      <c r="AT352" s="448"/>
      <c r="AU352" s="449"/>
      <c r="AV352" s="438"/>
      <c r="AW352" s="438"/>
      <c r="AX352" s="450">
        <v>136.584033326504</v>
      </c>
    </row>
    <row r="353">
      <c r="A353" s="436" t="s">
        <v>1984</v>
      </c>
      <c r="B353" s="436" t="s">
        <v>1984</v>
      </c>
      <c r="C353" s="436"/>
      <c r="D353" s="436" t="s">
        <v>158</v>
      </c>
      <c r="E353" s="436"/>
      <c r="F353" s="436" t="s">
        <v>2585</v>
      </c>
      <c r="G353" s="436" t="s">
        <v>169</v>
      </c>
      <c r="H353" s="436" t="s">
        <v>160</v>
      </c>
      <c r="I353" s="436" t="s">
        <v>1963</v>
      </c>
      <c r="J353" s="436">
        <v>3715.35229</v>
      </c>
      <c r="K353" s="436"/>
      <c r="L353" s="438"/>
      <c r="M353" s="453"/>
      <c r="N353" s="422">
        <v>19.78</v>
      </c>
      <c r="O353" s="422">
        <v>11.584</v>
      </c>
      <c r="P353" s="422"/>
      <c r="Q353" s="436" t="s">
        <v>2183</v>
      </c>
      <c r="R353" s="436" t="s">
        <v>2184</v>
      </c>
      <c r="S353" s="436" t="s">
        <v>1964</v>
      </c>
      <c r="T353" s="419" t="s">
        <v>162</v>
      </c>
      <c r="U353" s="436" t="s">
        <v>2185</v>
      </c>
      <c r="V353" s="451"/>
      <c r="W353" s="458">
        <v>1.0715193052376064</v>
      </c>
      <c r="X353" s="438"/>
      <c r="Y353" s="442">
        <f t="shared" si="93"/>
        <v>2.505276572</v>
      </c>
      <c r="Z353" s="442"/>
      <c r="AA353" s="443"/>
      <c r="AB353" s="443"/>
      <c r="AC353" s="436" t="str">
        <f>IF(ISNUMBER(VLOOKUP(B353,'New Masses'!A:C,3,FALSE)),VLOOKUP(B353,'New Masses'!A:C,3,FALSE),"")</f>
        <v/>
      </c>
      <c r="AD353" s="451"/>
      <c r="AE353" s="451"/>
      <c r="AF353" s="439"/>
      <c r="AG353" s="438"/>
      <c r="AH353" s="459"/>
      <c r="AI353" s="436"/>
      <c r="AJ353" s="446" t="str">
        <f>IF(ISNUMBER(VLOOKUP(B353,'New Masses'!A:C,2, FALSE)),VLOOKUP(B353,'New Masses'!A:C,2, FALSE),"")</f>
        <v/>
      </c>
      <c r="AK353" s="436"/>
      <c r="AL353" s="436"/>
      <c r="AM353" s="436"/>
      <c r="AN353" s="438"/>
      <c r="AO353" s="436">
        <v>1.0</v>
      </c>
      <c r="AP353" s="438"/>
      <c r="AQ353" s="438"/>
      <c r="AR353" s="438"/>
      <c r="AS353" s="438"/>
      <c r="AT353" s="455">
        <v>9.5</v>
      </c>
      <c r="AU353" s="449" t="s">
        <v>137</v>
      </c>
      <c r="AV353" s="438"/>
      <c r="AW353" s="438"/>
      <c r="AX353" s="450"/>
    </row>
    <row r="354">
      <c r="A354" s="436" t="s">
        <v>1420</v>
      </c>
      <c r="B354" s="436" t="s">
        <v>1420</v>
      </c>
      <c r="C354" s="436"/>
      <c r="D354" s="436" t="s">
        <v>158</v>
      </c>
      <c r="E354" s="436"/>
      <c r="F354" s="436" t="s">
        <v>2586</v>
      </c>
      <c r="G354" s="436" t="s">
        <v>169</v>
      </c>
      <c r="H354" s="436" t="s">
        <v>160</v>
      </c>
      <c r="I354" s="436" t="s">
        <v>1963</v>
      </c>
      <c r="J354" s="436">
        <v>3715.35229</v>
      </c>
      <c r="K354" s="436"/>
      <c r="L354" s="438"/>
      <c r="M354" s="453"/>
      <c r="N354" s="422">
        <v>14.611</v>
      </c>
      <c r="O354" s="422">
        <v>9.683</v>
      </c>
      <c r="P354" s="422"/>
      <c r="Q354" s="436" t="s">
        <v>2183</v>
      </c>
      <c r="R354" s="436" t="s">
        <v>2184</v>
      </c>
      <c r="S354" s="436" t="s">
        <v>1964</v>
      </c>
      <c r="T354" s="419" t="s">
        <v>162</v>
      </c>
      <c r="U354" s="436" t="s">
        <v>2185</v>
      </c>
      <c r="V354" s="451">
        <v>8.99949E28</v>
      </c>
      <c r="W354" s="458">
        <v>1.202264434617413</v>
      </c>
      <c r="X354" s="438"/>
      <c r="Y354" s="442">
        <f t="shared" si="93"/>
        <v>2.653723541</v>
      </c>
      <c r="Z354" s="442"/>
      <c r="AA354" s="443"/>
      <c r="AB354" s="443"/>
      <c r="AC354" s="436" t="str">
        <f>IF(ISNUMBER(VLOOKUP(B354,'New Masses'!A:C,3,FALSE)),VLOOKUP(B354,'New Masses'!A:C,3,FALSE),"")</f>
        <v/>
      </c>
      <c r="AD354" s="440"/>
      <c r="AE354" s="440">
        <f>10^AF354</f>
        <v>0.0000000007943282347</v>
      </c>
      <c r="AF354" s="439">
        <v>-9.1</v>
      </c>
      <c r="AG354" s="438"/>
      <c r="AH354" s="459">
        <f>10^AK354</f>
        <v>0.4570881896</v>
      </c>
      <c r="AI354" s="436"/>
      <c r="AJ354" s="446" t="str">
        <f>IF(ISNUMBER(VLOOKUP(B354,'New Masses'!A:C,2, FALSE)),VLOOKUP(B354,'New Masses'!A:C,2, FALSE),"")</f>
        <v/>
      </c>
      <c r="AK354" s="436">
        <v>-0.34</v>
      </c>
      <c r="AL354" s="436"/>
      <c r="AM354" s="436">
        <v>-2.3</v>
      </c>
      <c r="AN354" s="438"/>
      <c r="AO354" s="436">
        <v>1.0</v>
      </c>
      <c r="AP354" s="438"/>
      <c r="AQ354" s="436"/>
      <c r="AR354" s="438"/>
      <c r="AS354" s="438"/>
      <c r="AT354" s="455">
        <v>5.5</v>
      </c>
      <c r="AU354" s="452" t="s">
        <v>137</v>
      </c>
      <c r="AV354" s="438"/>
      <c r="AW354" s="438"/>
      <c r="AX354" s="450"/>
    </row>
    <row r="355">
      <c r="A355" s="436" t="s">
        <v>1986</v>
      </c>
      <c r="B355" s="436" t="s">
        <v>1986</v>
      </c>
      <c r="C355" s="436"/>
      <c r="D355" s="436" t="s">
        <v>158</v>
      </c>
      <c r="E355" s="436"/>
      <c r="F355" s="436" t="s">
        <v>2587</v>
      </c>
      <c r="G355" s="436" t="s">
        <v>169</v>
      </c>
      <c r="H355" s="436" t="s">
        <v>160</v>
      </c>
      <c r="I355" s="436" t="s">
        <v>1963</v>
      </c>
      <c r="J355" s="436">
        <v>4073.80278</v>
      </c>
      <c r="K355" s="436"/>
      <c r="L355" s="436" t="s">
        <v>434</v>
      </c>
      <c r="M355" s="439"/>
      <c r="N355" s="422">
        <v>19.45</v>
      </c>
      <c r="O355" s="422">
        <v>11.493</v>
      </c>
      <c r="P355" s="422"/>
      <c r="Q355" s="436" t="s">
        <v>2183</v>
      </c>
      <c r="R355" s="436" t="s">
        <v>2184</v>
      </c>
      <c r="S355" s="436" t="s">
        <v>1964</v>
      </c>
      <c r="T355" s="419" t="s">
        <v>162</v>
      </c>
      <c r="U355" s="436" t="s">
        <v>2185</v>
      </c>
      <c r="V355" s="451"/>
      <c r="W355" s="458">
        <v>2.137962089502232</v>
      </c>
      <c r="X355" s="438"/>
      <c r="Y355" s="442">
        <f t="shared" si="93"/>
        <v>2.943443314</v>
      </c>
      <c r="Z355" s="442"/>
      <c r="AA355" s="443"/>
      <c r="AB355" s="443"/>
      <c r="AC355" s="436" t="str">
        <f>IF(ISNUMBER(VLOOKUP(B355,'New Masses'!A:C,3,FALSE)),VLOOKUP(B355,'New Masses'!A:C,3,FALSE),"")</f>
        <v/>
      </c>
      <c r="AD355" s="451"/>
      <c r="AE355" s="451"/>
      <c r="AF355" s="439"/>
      <c r="AG355" s="438"/>
      <c r="AH355" s="459"/>
      <c r="AI355" s="436"/>
      <c r="AJ355" s="446" t="str">
        <f>IF(ISNUMBER(VLOOKUP(B355,'New Masses'!A:C,2, FALSE)),VLOOKUP(B355,'New Masses'!A:C,2, FALSE),"")</f>
        <v/>
      </c>
      <c r="AK355" s="436"/>
      <c r="AL355" s="436"/>
      <c r="AM355" s="436"/>
      <c r="AN355" s="438"/>
      <c r="AO355" s="436">
        <v>1.0</v>
      </c>
      <c r="AP355" s="438"/>
      <c r="AQ355" s="438"/>
      <c r="AR355" s="436"/>
      <c r="AS355" s="438"/>
      <c r="AT355" s="455">
        <v>10.9</v>
      </c>
      <c r="AU355" s="449" t="s">
        <v>137</v>
      </c>
      <c r="AV355" s="438" t="s">
        <v>1368</v>
      </c>
      <c r="AW355" s="438"/>
      <c r="AX355" s="450"/>
    </row>
    <row r="356">
      <c r="A356" s="436" t="s">
        <v>1450</v>
      </c>
      <c r="B356" s="436" t="s">
        <v>1450</v>
      </c>
      <c r="C356" s="436"/>
      <c r="D356" s="436" t="s">
        <v>158</v>
      </c>
      <c r="E356" s="436"/>
      <c r="F356" s="436" t="s">
        <v>2588</v>
      </c>
      <c r="G356" s="436" t="s">
        <v>169</v>
      </c>
      <c r="H356" s="436" t="s">
        <v>160</v>
      </c>
      <c r="I356" s="436" t="s">
        <v>1963</v>
      </c>
      <c r="J356" s="436">
        <v>4073.80278</v>
      </c>
      <c r="K356" s="436"/>
      <c r="L356" s="438"/>
      <c r="M356" s="453"/>
      <c r="N356" s="422">
        <v>15.216</v>
      </c>
      <c r="O356" s="422">
        <v>8.483</v>
      </c>
      <c r="P356" s="422"/>
      <c r="Q356" s="436" t="s">
        <v>2183</v>
      </c>
      <c r="R356" s="436" t="s">
        <v>2184</v>
      </c>
      <c r="S356" s="436" t="s">
        <v>1964</v>
      </c>
      <c r="T356" s="419" t="s">
        <v>162</v>
      </c>
      <c r="U356" s="436" t="s">
        <v>2185</v>
      </c>
      <c r="V356" s="451">
        <v>3.34363E29</v>
      </c>
      <c r="W356" s="458">
        <v>2.041737944669529</v>
      </c>
      <c r="X356" s="438"/>
      <c r="Y356" s="442">
        <f t="shared" si="93"/>
        <v>2.876442364</v>
      </c>
      <c r="Z356" s="442"/>
      <c r="AA356" s="443"/>
      <c r="AB356" s="443"/>
      <c r="AC356" s="436" t="str">
        <f>IF(ISNUMBER(VLOOKUP(B356,'New Masses'!A:C,3,FALSE)),VLOOKUP(B356,'New Masses'!A:C,3,FALSE),"")</f>
        <v/>
      </c>
      <c r="AD356" s="440"/>
      <c r="AE356" s="440">
        <f>10^AF356</f>
        <v>0.000000003801893963</v>
      </c>
      <c r="AF356" s="439">
        <v>-8.42</v>
      </c>
      <c r="AG356" s="438"/>
      <c r="AH356" s="459">
        <f>10^AK356</f>
        <v>0.645654229</v>
      </c>
      <c r="AI356" s="436"/>
      <c r="AJ356" s="446" t="str">
        <f>IF(ISNUMBER(VLOOKUP(B356,'New Masses'!A:C,2, FALSE)),VLOOKUP(B356,'New Masses'!A:C,2, FALSE),"")</f>
        <v/>
      </c>
      <c r="AK356" s="436">
        <v>-0.19</v>
      </c>
      <c r="AL356" s="436"/>
      <c r="AM356" s="436">
        <v>-1.52</v>
      </c>
      <c r="AN356" s="438"/>
      <c r="AO356" s="436">
        <v>1.0</v>
      </c>
      <c r="AP356" s="438"/>
      <c r="AQ356" s="436"/>
      <c r="AR356" s="438"/>
      <c r="AS356" s="438"/>
      <c r="AT356" s="455">
        <v>6.6</v>
      </c>
      <c r="AU356" s="452" t="s">
        <v>137</v>
      </c>
      <c r="AV356" s="438"/>
      <c r="AW356" s="438"/>
      <c r="AX356" s="450"/>
    </row>
    <row r="357">
      <c r="A357" s="436" t="s">
        <v>1988</v>
      </c>
      <c r="B357" s="436" t="s">
        <v>1988</v>
      </c>
      <c r="C357" s="436"/>
      <c r="D357" s="436" t="s">
        <v>158</v>
      </c>
      <c r="E357" s="436"/>
      <c r="F357" s="436" t="s">
        <v>2589</v>
      </c>
      <c r="G357" s="436" t="s">
        <v>159</v>
      </c>
      <c r="H357" s="436" t="s">
        <v>160</v>
      </c>
      <c r="I357" s="436" t="s">
        <v>1963</v>
      </c>
      <c r="J357" s="436"/>
      <c r="K357" s="436"/>
      <c r="L357" s="438"/>
      <c r="M357" s="453"/>
      <c r="N357" s="422">
        <v>13.329</v>
      </c>
      <c r="O357" s="422">
        <v>9.454</v>
      </c>
      <c r="P357" s="422"/>
      <c r="Q357" s="436" t="s">
        <v>2183</v>
      </c>
      <c r="R357" s="436" t="s">
        <v>2184</v>
      </c>
      <c r="S357" s="436" t="s">
        <v>1964</v>
      </c>
      <c r="T357" s="419" t="s">
        <v>162</v>
      </c>
      <c r="U357" s="436" t="s">
        <v>2185</v>
      </c>
      <c r="V357" s="451"/>
      <c r="W357" s="458"/>
      <c r="X357" s="438"/>
      <c r="Y357" s="442"/>
      <c r="Z357" s="442"/>
      <c r="AA357" s="443"/>
      <c r="AB357" s="443"/>
      <c r="AC357" s="436" t="str">
        <f>IF(ISNUMBER(VLOOKUP(B357,'New Masses'!A:C,3,FALSE)),VLOOKUP(B357,'New Masses'!A:C,3,FALSE),"")</f>
        <v/>
      </c>
      <c r="AD357" s="440"/>
      <c r="AE357" s="440"/>
      <c r="AF357" s="439"/>
      <c r="AG357" s="438"/>
      <c r="AH357" s="459"/>
      <c r="AI357" s="436"/>
      <c r="AJ357" s="446" t="str">
        <f>IF(ISNUMBER(VLOOKUP(B357,'New Masses'!A:C,2, FALSE)),VLOOKUP(B357,'New Masses'!A:C,2, FALSE),"")</f>
        <v/>
      </c>
      <c r="AK357" s="436"/>
      <c r="AL357" s="436"/>
      <c r="AM357" s="436"/>
      <c r="AN357" s="438"/>
      <c r="AO357" s="436">
        <v>1.0</v>
      </c>
      <c r="AP357" s="438"/>
      <c r="AQ357" s="436"/>
      <c r="AR357" s="438"/>
      <c r="AS357" s="438"/>
      <c r="AT357" s="448"/>
      <c r="AU357" s="449" t="s">
        <v>137</v>
      </c>
      <c r="AV357" s="438"/>
      <c r="AW357" s="438"/>
      <c r="AX357" s="450">
        <v>165.639700523421</v>
      </c>
    </row>
    <row r="358">
      <c r="A358" s="436" t="s">
        <v>663</v>
      </c>
      <c r="B358" s="436" t="s">
        <v>663</v>
      </c>
      <c r="C358" s="436"/>
      <c r="D358" s="436" t="s">
        <v>158</v>
      </c>
      <c r="E358" s="436"/>
      <c r="F358" s="436" t="s">
        <v>2590</v>
      </c>
      <c r="G358" s="436" t="s">
        <v>169</v>
      </c>
      <c r="H358" s="436" t="s">
        <v>160</v>
      </c>
      <c r="I358" s="436" t="s">
        <v>1963</v>
      </c>
      <c r="J358" s="436">
        <v>2630.26799</v>
      </c>
      <c r="K358" s="436"/>
      <c r="L358" s="436" t="s">
        <v>334</v>
      </c>
      <c r="M358" s="439"/>
      <c r="N358" s="422">
        <v>16.398</v>
      </c>
      <c r="O358" s="422">
        <v>12.926</v>
      </c>
      <c r="P358" s="422"/>
      <c r="Q358" s="436" t="s">
        <v>2183</v>
      </c>
      <c r="R358" s="436" t="s">
        <v>2184</v>
      </c>
      <c r="S358" s="436" t="s">
        <v>1964</v>
      </c>
      <c r="T358" s="419" t="s">
        <v>162</v>
      </c>
      <c r="U358" s="436" t="s">
        <v>2185</v>
      </c>
      <c r="V358" s="451">
        <v>4.40776E27</v>
      </c>
      <c r="W358" s="458">
        <v>0.0162181009735893</v>
      </c>
      <c r="X358" s="438"/>
      <c r="Y358" s="442">
        <f t="shared" ref="Y358:Y393" si="103">IF((W358/((J358/5780)^4))^0.5&gt;0,(W358/((J358/5780)^4))^0.5,"")</f>
        <v>0.6149724742</v>
      </c>
      <c r="Z358" s="442"/>
      <c r="AA358" s="443"/>
      <c r="AB358" s="443"/>
      <c r="AC358" s="469">
        <f>IF(ISNUMBER(VLOOKUP(B358,'New Masses'!A:C,3,FALSE)),VLOOKUP(B358,'New Masses'!A:C,3,FALSE),"")</f>
        <v>0.604621</v>
      </c>
      <c r="AD358" s="440"/>
      <c r="AE358" s="440">
        <f t="shared" ref="AE358:AE380" si="104">10^AF358</f>
        <v>0</v>
      </c>
      <c r="AF358" s="439">
        <v>-10.38</v>
      </c>
      <c r="AG358" s="438"/>
      <c r="AH358" s="459">
        <f>10^AK358</f>
        <v>0.03467368505</v>
      </c>
      <c r="AI358" s="436"/>
      <c r="AJ358" s="446">
        <f>IF(ISNUMBER(VLOOKUP(B358,'New Masses'!A:C,2, FALSE)),VLOOKUP(B358,'New Masses'!A:C,2, FALSE),"")</f>
        <v>0.047607</v>
      </c>
      <c r="AK358" s="436">
        <v>-1.46</v>
      </c>
      <c r="AL358" s="436"/>
      <c r="AM358" s="436">
        <v>-4.07</v>
      </c>
      <c r="AN358" s="438"/>
      <c r="AO358" s="436">
        <v>1.0</v>
      </c>
      <c r="AP358" s="438"/>
      <c r="AQ358" s="436"/>
      <c r="AR358" s="436"/>
      <c r="AS358" s="438"/>
      <c r="AT358" s="455">
        <v>3.1</v>
      </c>
      <c r="AU358" s="452" t="s">
        <v>137</v>
      </c>
      <c r="AV358" s="438" t="s">
        <v>1318</v>
      </c>
      <c r="AW358" s="438"/>
      <c r="AX358" s="450"/>
    </row>
    <row r="359">
      <c r="A359" s="436" t="s">
        <v>663</v>
      </c>
      <c r="B359" s="436" t="s">
        <v>663</v>
      </c>
      <c r="C359" s="420"/>
      <c r="D359" s="420" t="s">
        <v>158</v>
      </c>
      <c r="E359" s="420"/>
      <c r="F359" s="420" t="s">
        <v>2590</v>
      </c>
      <c r="G359" s="420" t="s">
        <v>169</v>
      </c>
      <c r="H359" s="420" t="s">
        <v>598</v>
      </c>
      <c r="I359" s="467">
        <v>37985.0</v>
      </c>
      <c r="J359" s="436">
        <v>2935.0</v>
      </c>
      <c r="K359" s="436"/>
      <c r="L359" s="420" t="s">
        <v>217</v>
      </c>
      <c r="M359" s="429"/>
      <c r="N359" s="422">
        <v>16.398</v>
      </c>
      <c r="O359" s="422">
        <v>12.926</v>
      </c>
      <c r="P359" s="422"/>
      <c r="Q359" s="420" t="s">
        <v>2194</v>
      </c>
      <c r="R359" s="420" t="s">
        <v>2195</v>
      </c>
      <c r="S359" s="420" t="s">
        <v>2196</v>
      </c>
      <c r="T359" s="420" t="s">
        <v>596</v>
      </c>
      <c r="U359" s="420" t="s">
        <v>597</v>
      </c>
      <c r="V359" s="440"/>
      <c r="W359" s="468"/>
      <c r="X359" s="436"/>
      <c r="Y359" s="442" t="str">
        <f t="shared" si="103"/>
        <v/>
      </c>
      <c r="Z359" s="469"/>
      <c r="AA359" s="470">
        <v>0.35</v>
      </c>
      <c r="AB359" s="470"/>
      <c r="AC359" s="469">
        <f>IF(ISNUMBER(VLOOKUP(B359,'New Masses'!A:C,3,FALSE)),VLOOKUP(B359,'New Masses'!A:C,3,FALSE),"")</f>
        <v>0.604621</v>
      </c>
      <c r="AD359" s="440"/>
      <c r="AE359" s="440">
        <f t="shared" si="104"/>
        <v>0</v>
      </c>
      <c r="AF359" s="439">
        <v>-12.0</v>
      </c>
      <c r="AG359" s="438"/>
      <c r="AH359" s="459">
        <v>0.065</v>
      </c>
      <c r="AI359" s="436"/>
      <c r="AJ359" s="446">
        <f>IF(ISNUMBER(VLOOKUP(B359,'New Masses'!A:C,2, FALSE)),VLOOKUP(B359,'New Masses'!A:C,2, FALSE),"")</f>
        <v>0.047607</v>
      </c>
      <c r="AK359" s="436"/>
      <c r="AL359" s="438"/>
      <c r="AM359" s="438"/>
      <c r="AN359" s="438"/>
      <c r="AO359" s="436">
        <v>1.0</v>
      </c>
      <c r="AP359" s="438"/>
      <c r="AQ359" s="436">
        <v>10.9</v>
      </c>
      <c r="AR359" s="420"/>
      <c r="AS359" s="420" t="s">
        <v>664</v>
      </c>
      <c r="AT359" s="448"/>
      <c r="AU359" s="452" t="s">
        <v>137</v>
      </c>
      <c r="AV359" s="420"/>
      <c r="AW359" s="438"/>
      <c r="AX359" s="450"/>
    </row>
    <row r="360">
      <c r="A360" s="436" t="s">
        <v>173</v>
      </c>
      <c r="B360" s="436" t="s">
        <v>173</v>
      </c>
      <c r="C360" s="436"/>
      <c r="D360" s="436" t="s">
        <v>158</v>
      </c>
      <c r="E360" s="436"/>
      <c r="F360" s="436" t="s">
        <v>2591</v>
      </c>
      <c r="G360" s="436" t="s">
        <v>169</v>
      </c>
      <c r="H360" s="436" t="s">
        <v>160</v>
      </c>
      <c r="I360" s="436" t="s">
        <v>1963</v>
      </c>
      <c r="J360" s="436">
        <v>2884.0315</v>
      </c>
      <c r="K360" s="436"/>
      <c r="L360" s="438"/>
      <c r="M360" s="453"/>
      <c r="N360" s="422"/>
      <c r="O360" s="422">
        <v>12.659</v>
      </c>
      <c r="P360" s="422"/>
      <c r="Q360" s="436" t="s">
        <v>2183</v>
      </c>
      <c r="R360" s="436" t="s">
        <v>2184</v>
      </c>
      <c r="S360" s="436" t="s">
        <v>1964</v>
      </c>
      <c r="T360" s="419" t="s">
        <v>162</v>
      </c>
      <c r="U360" s="436" t="s">
        <v>2185</v>
      </c>
      <c r="V360" s="451">
        <v>3.34363E29</v>
      </c>
      <c r="W360" s="458">
        <v>0.18620871366628675</v>
      </c>
      <c r="X360" s="438"/>
      <c r="Y360" s="442">
        <f t="shared" si="103"/>
        <v>1.733227926</v>
      </c>
      <c r="Z360" s="442"/>
      <c r="AA360" s="443"/>
      <c r="AB360" s="443"/>
      <c r="AC360" s="436" t="str">
        <f>IF(ISNUMBER(VLOOKUP(B360,'New Masses'!A:C,3,FALSE)),VLOOKUP(B360,'New Masses'!A:C,3,FALSE),"")</f>
        <v/>
      </c>
      <c r="AD360" s="440"/>
      <c r="AE360" s="440">
        <f t="shared" si="104"/>
        <v>0.00000005370317964</v>
      </c>
      <c r="AF360" s="439">
        <v>-7.27</v>
      </c>
      <c r="AG360" s="438"/>
      <c r="AH360" s="459">
        <f t="shared" ref="AH360:AH369" si="105">10^AK360</f>
        <v>0.1513561248</v>
      </c>
      <c r="AI360" s="436"/>
      <c r="AJ360" s="446" t="str">
        <f>IF(ISNUMBER(VLOOKUP(B360,'New Masses'!A:C,2, FALSE)),VLOOKUP(B360,'New Masses'!A:C,2, FALSE),"")</f>
        <v/>
      </c>
      <c r="AK360" s="436">
        <v>-0.82</v>
      </c>
      <c r="AL360" s="436"/>
      <c r="AM360" s="436">
        <v>-0.77</v>
      </c>
      <c r="AN360" s="438"/>
      <c r="AO360" s="436">
        <v>1.0</v>
      </c>
      <c r="AP360" s="438"/>
      <c r="AQ360" s="436"/>
      <c r="AR360" s="438"/>
      <c r="AS360" s="438"/>
      <c r="AT360" s="455">
        <v>8.2</v>
      </c>
      <c r="AU360" s="449" t="s">
        <v>137</v>
      </c>
      <c r="AV360" s="438"/>
      <c r="AW360" s="438"/>
      <c r="AX360" s="450"/>
    </row>
    <row r="361">
      <c r="A361" s="436" t="s">
        <v>1427</v>
      </c>
      <c r="B361" s="436" t="s">
        <v>1427</v>
      </c>
      <c r="C361" s="436"/>
      <c r="D361" s="436" t="s">
        <v>158</v>
      </c>
      <c r="E361" s="436"/>
      <c r="F361" s="436" t="s">
        <v>2592</v>
      </c>
      <c r="G361" s="436" t="s">
        <v>169</v>
      </c>
      <c r="H361" s="436" t="s">
        <v>160</v>
      </c>
      <c r="I361" s="436" t="s">
        <v>1963</v>
      </c>
      <c r="J361" s="436">
        <v>3801.89396</v>
      </c>
      <c r="K361" s="436"/>
      <c r="L361" s="436" t="s">
        <v>419</v>
      </c>
      <c r="M361" s="439"/>
      <c r="N361" s="422">
        <v>15.693</v>
      </c>
      <c r="O361" s="422">
        <v>9.952</v>
      </c>
      <c r="P361" s="422"/>
      <c r="Q361" s="436" t="s">
        <v>2183</v>
      </c>
      <c r="R361" s="436" t="s">
        <v>2184</v>
      </c>
      <c r="S361" s="436" t="s">
        <v>1964</v>
      </c>
      <c r="T361" s="419" t="s">
        <v>162</v>
      </c>
      <c r="U361" s="436" t="s">
        <v>2185</v>
      </c>
      <c r="V361" s="451">
        <v>9.64313E29</v>
      </c>
      <c r="W361" s="458">
        <v>1.4454397707459274</v>
      </c>
      <c r="X361" s="438"/>
      <c r="Y361" s="442">
        <f t="shared" si="103"/>
        <v>2.778789682</v>
      </c>
      <c r="Z361" s="442"/>
      <c r="AA361" s="443"/>
      <c r="AB361" s="443"/>
      <c r="AC361" s="436" t="str">
        <f>IF(ISNUMBER(VLOOKUP(B361,'New Masses'!A:C,3,FALSE)),VLOOKUP(B361,'New Masses'!A:C,3,FALSE),"")</f>
        <v/>
      </c>
      <c r="AD361" s="440"/>
      <c r="AE361" s="440">
        <f t="shared" si="104"/>
        <v>0.00000001905460718</v>
      </c>
      <c r="AF361" s="439">
        <v>-7.72</v>
      </c>
      <c r="AG361" s="438"/>
      <c r="AH361" s="459">
        <f t="shared" si="105"/>
        <v>0.512861384</v>
      </c>
      <c r="AI361" s="436"/>
      <c r="AJ361" s="446" t="str">
        <f>IF(ISNUMBER(VLOOKUP(B361,'New Masses'!A:C,2, FALSE)),VLOOKUP(B361,'New Masses'!A:C,2, FALSE),"")</f>
        <v/>
      </c>
      <c r="AK361" s="436">
        <v>-0.29</v>
      </c>
      <c r="AL361" s="436"/>
      <c r="AM361" s="436">
        <v>-0.89</v>
      </c>
      <c r="AN361" s="438"/>
      <c r="AO361" s="436">
        <v>1.0</v>
      </c>
      <c r="AP361" s="438"/>
      <c r="AQ361" s="438"/>
      <c r="AR361" s="436"/>
      <c r="AS361" s="438"/>
      <c r="AT361" s="455">
        <v>6.7</v>
      </c>
      <c r="AU361" s="452"/>
      <c r="AV361" s="438" t="s">
        <v>1368</v>
      </c>
      <c r="AW361" s="438"/>
      <c r="AX361" s="450"/>
    </row>
    <row r="362">
      <c r="A362" s="436" t="s">
        <v>1406</v>
      </c>
      <c r="B362" s="436" t="s">
        <v>1406</v>
      </c>
      <c r="C362" s="436"/>
      <c r="D362" s="436" t="s">
        <v>158</v>
      </c>
      <c r="E362" s="436"/>
      <c r="F362" s="436" t="s">
        <v>2593</v>
      </c>
      <c r="G362" s="436" t="s">
        <v>169</v>
      </c>
      <c r="H362" s="436" t="s">
        <v>160</v>
      </c>
      <c r="I362" s="436" t="s">
        <v>1963</v>
      </c>
      <c r="J362" s="436">
        <v>3548.13389</v>
      </c>
      <c r="K362" s="436"/>
      <c r="L362" s="438"/>
      <c r="M362" s="453"/>
      <c r="N362" s="422">
        <v>12.353</v>
      </c>
      <c r="O362" s="422">
        <v>9.316</v>
      </c>
      <c r="P362" s="422"/>
      <c r="Q362" s="436" t="s">
        <v>2183</v>
      </c>
      <c r="R362" s="436" t="s">
        <v>2184</v>
      </c>
      <c r="S362" s="436" t="s">
        <v>1964</v>
      </c>
      <c r="T362" s="419" t="s">
        <v>162</v>
      </c>
      <c r="U362" s="436" t="s">
        <v>2185</v>
      </c>
      <c r="V362" s="451">
        <v>8.20764E28</v>
      </c>
      <c r="W362" s="458">
        <v>0.8511380382023764</v>
      </c>
      <c r="X362" s="438"/>
      <c r="Y362" s="442">
        <f t="shared" si="103"/>
        <v>2.448249517</v>
      </c>
      <c r="Z362" s="442"/>
      <c r="AA362" s="443"/>
      <c r="AB362" s="443"/>
      <c r="AC362" s="436" t="str">
        <f>IF(ISNUMBER(VLOOKUP(B362,'New Masses'!A:C,3,FALSE)),VLOOKUP(B362,'New Masses'!A:C,3,FALSE),"")</f>
        <v/>
      </c>
      <c r="AD362" s="440"/>
      <c r="AE362" s="440">
        <f t="shared" si="104"/>
        <v>0.0000000007943282347</v>
      </c>
      <c r="AF362" s="439">
        <v>-9.1</v>
      </c>
      <c r="AG362" s="438"/>
      <c r="AH362" s="459">
        <f t="shared" si="105"/>
        <v>0.3715352291</v>
      </c>
      <c r="AI362" s="436"/>
      <c r="AJ362" s="446" t="str">
        <f>IF(ISNUMBER(VLOOKUP(B362,'New Masses'!A:C,2, FALSE)),VLOOKUP(B362,'New Masses'!A:C,2, FALSE),"")</f>
        <v/>
      </c>
      <c r="AK362" s="436">
        <v>-0.43</v>
      </c>
      <c r="AL362" s="436"/>
      <c r="AM362" s="436">
        <v>-2.35</v>
      </c>
      <c r="AN362" s="438"/>
      <c r="AO362" s="436">
        <v>1.0</v>
      </c>
      <c r="AP362" s="438"/>
      <c r="AQ362" s="436"/>
      <c r="AR362" s="438"/>
      <c r="AS362" s="438"/>
      <c r="AT362" s="455">
        <v>3.0</v>
      </c>
      <c r="AU362" s="449" t="s">
        <v>137</v>
      </c>
      <c r="AV362" s="438"/>
      <c r="AW362" s="438"/>
      <c r="AX362" s="450">
        <v>183.577185027444</v>
      </c>
    </row>
    <row r="363">
      <c r="A363" s="436" t="s">
        <v>1387</v>
      </c>
      <c r="B363" s="436" t="s">
        <v>1387</v>
      </c>
      <c r="C363" s="436"/>
      <c r="D363" s="436" t="s">
        <v>158</v>
      </c>
      <c r="E363" s="436"/>
      <c r="F363" s="436" t="s">
        <v>2594</v>
      </c>
      <c r="G363" s="436" t="s">
        <v>169</v>
      </c>
      <c r="H363" s="436" t="s">
        <v>160</v>
      </c>
      <c r="I363" s="436" t="s">
        <v>1963</v>
      </c>
      <c r="J363" s="436">
        <v>3388.44156</v>
      </c>
      <c r="K363" s="436"/>
      <c r="L363" s="438"/>
      <c r="M363" s="453"/>
      <c r="N363" s="422">
        <v>15.739</v>
      </c>
      <c r="O363" s="422">
        <v>10.101</v>
      </c>
      <c r="P363" s="422"/>
      <c r="Q363" s="436" t="s">
        <v>2183</v>
      </c>
      <c r="R363" s="436" t="s">
        <v>2184</v>
      </c>
      <c r="S363" s="436" t="s">
        <v>1964</v>
      </c>
      <c r="T363" s="419" t="s">
        <v>162</v>
      </c>
      <c r="U363" s="436" t="s">
        <v>2185</v>
      </c>
      <c r="V363" s="451">
        <v>1.52833E29</v>
      </c>
      <c r="W363" s="458">
        <v>0.5495408738576245</v>
      </c>
      <c r="X363" s="438"/>
      <c r="Y363" s="442">
        <f t="shared" si="103"/>
        <v>2.157027476</v>
      </c>
      <c r="Z363" s="442"/>
      <c r="AA363" s="443"/>
      <c r="AB363" s="443"/>
      <c r="AC363" s="436" t="str">
        <f>IF(ISNUMBER(VLOOKUP(B363,'New Masses'!A:C,3,FALSE)),VLOOKUP(B363,'New Masses'!A:C,3,FALSE),"")</f>
        <v/>
      </c>
      <c r="AD363" s="440"/>
      <c r="AE363" s="440">
        <f t="shared" si="104"/>
        <v>0.000000002187761624</v>
      </c>
      <c r="AF363" s="439">
        <v>-8.66</v>
      </c>
      <c r="AG363" s="438"/>
      <c r="AH363" s="459">
        <f t="shared" si="105"/>
        <v>0.2884031503</v>
      </c>
      <c r="AI363" s="436"/>
      <c r="AJ363" s="446" t="str">
        <f>IF(ISNUMBER(VLOOKUP(B363,'New Masses'!A:C,2, FALSE)),VLOOKUP(B363,'New Masses'!A:C,2, FALSE),"")</f>
        <v/>
      </c>
      <c r="AK363" s="436">
        <v>-0.54</v>
      </c>
      <c r="AL363" s="436"/>
      <c r="AM363" s="436">
        <v>-1.98</v>
      </c>
      <c r="AN363" s="438"/>
      <c r="AO363" s="436">
        <v>1.0</v>
      </c>
      <c r="AP363" s="438"/>
      <c r="AQ363" s="436"/>
      <c r="AR363" s="436"/>
      <c r="AS363" s="438"/>
      <c r="AT363" s="455">
        <v>5.8</v>
      </c>
      <c r="AU363" s="452" t="s">
        <v>137</v>
      </c>
      <c r="AV363" s="438" t="s">
        <v>1389</v>
      </c>
      <c r="AW363" s="438"/>
      <c r="AX363" s="450"/>
    </row>
    <row r="364">
      <c r="A364" s="436" t="s">
        <v>1444</v>
      </c>
      <c r="B364" s="436" t="s">
        <v>1444</v>
      </c>
      <c r="C364" s="436"/>
      <c r="D364" s="436" t="s">
        <v>158</v>
      </c>
      <c r="E364" s="436"/>
      <c r="F364" s="436" t="s">
        <v>2595</v>
      </c>
      <c r="G364" s="436" t="s">
        <v>169</v>
      </c>
      <c r="H364" s="436" t="s">
        <v>160</v>
      </c>
      <c r="I364" s="436" t="s">
        <v>1963</v>
      </c>
      <c r="J364" s="436">
        <v>3981.07171</v>
      </c>
      <c r="K364" s="436"/>
      <c r="L364" s="438"/>
      <c r="M364" s="453"/>
      <c r="N364" s="422">
        <v>15.321</v>
      </c>
      <c r="O364" s="422">
        <v>9.024</v>
      </c>
      <c r="P364" s="422"/>
      <c r="Q364" s="436" t="s">
        <v>2183</v>
      </c>
      <c r="R364" s="436" t="s">
        <v>2184</v>
      </c>
      <c r="S364" s="436" t="s">
        <v>1964</v>
      </c>
      <c r="T364" s="419" t="s">
        <v>162</v>
      </c>
      <c r="U364" s="436" t="s">
        <v>2185</v>
      </c>
      <c r="V364" s="451">
        <v>1.67578E29</v>
      </c>
      <c r="W364" s="458">
        <v>1.8620871366628675</v>
      </c>
      <c r="X364" s="438"/>
      <c r="Y364" s="442">
        <f t="shared" si="103"/>
        <v>2.876442361</v>
      </c>
      <c r="Z364" s="442"/>
      <c r="AA364" s="443"/>
      <c r="AB364" s="443"/>
      <c r="AC364" s="436" t="str">
        <f>IF(ISNUMBER(VLOOKUP(B364,'New Masses'!A:C,3,FALSE)),VLOOKUP(B364,'New Masses'!A:C,3,FALSE),"")</f>
        <v/>
      </c>
      <c r="AD364" s="440"/>
      <c r="AE364" s="440">
        <f t="shared" si="104"/>
        <v>0.000000001548816619</v>
      </c>
      <c r="AF364" s="439">
        <v>-8.81</v>
      </c>
      <c r="AG364" s="438"/>
      <c r="AH364" s="459">
        <f t="shared" si="105"/>
        <v>0.6025595861</v>
      </c>
      <c r="AI364" s="436"/>
      <c r="AJ364" s="446" t="str">
        <f>IF(ISNUMBER(VLOOKUP(B364,'New Masses'!A:C,2, FALSE)),VLOOKUP(B364,'New Masses'!A:C,2, FALSE),"")</f>
        <v/>
      </c>
      <c r="AK364" s="436">
        <v>-0.22</v>
      </c>
      <c r="AL364" s="436"/>
      <c r="AM364" s="436">
        <v>-1.93</v>
      </c>
      <c r="AN364" s="438"/>
      <c r="AO364" s="436">
        <v>1.0</v>
      </c>
      <c r="AP364" s="438"/>
      <c r="AQ364" s="436"/>
      <c r="AR364" s="436"/>
      <c r="AS364" s="438"/>
      <c r="AT364" s="455">
        <v>6.6</v>
      </c>
      <c r="AU364" s="449" t="s">
        <v>137</v>
      </c>
      <c r="AV364" s="438" t="s">
        <v>1445</v>
      </c>
      <c r="AW364" s="438"/>
      <c r="AX364" s="450"/>
    </row>
    <row r="365">
      <c r="A365" s="436" t="s">
        <v>1386</v>
      </c>
      <c r="B365" s="436" t="s">
        <v>1386</v>
      </c>
      <c r="C365" s="436"/>
      <c r="D365" s="436" t="s">
        <v>158</v>
      </c>
      <c r="E365" s="436"/>
      <c r="F365" s="436" t="s">
        <v>2596</v>
      </c>
      <c r="G365" s="436" t="s">
        <v>159</v>
      </c>
      <c r="H365" s="436" t="s">
        <v>160</v>
      </c>
      <c r="I365" s="436" t="s">
        <v>1963</v>
      </c>
      <c r="J365" s="436">
        <v>3388.44156</v>
      </c>
      <c r="K365" s="436"/>
      <c r="L365" s="438"/>
      <c r="M365" s="453"/>
      <c r="N365" s="422">
        <v>13.43</v>
      </c>
      <c r="O365" s="422">
        <v>10.389</v>
      </c>
      <c r="P365" s="422"/>
      <c r="Q365" s="436" t="s">
        <v>2183</v>
      </c>
      <c r="R365" s="436" t="s">
        <v>2184</v>
      </c>
      <c r="S365" s="436" t="s">
        <v>1964</v>
      </c>
      <c r="T365" s="419" t="s">
        <v>162</v>
      </c>
      <c r="U365" s="436" t="s">
        <v>2185</v>
      </c>
      <c r="V365" s="451">
        <v>5.2993E28</v>
      </c>
      <c r="W365" s="458">
        <v>0.5370317963702527</v>
      </c>
      <c r="X365" s="438"/>
      <c r="Y365" s="442">
        <f t="shared" si="103"/>
        <v>2.132336187</v>
      </c>
      <c r="Z365" s="442"/>
      <c r="AA365" s="443"/>
      <c r="AB365" s="443"/>
      <c r="AC365" s="436" t="str">
        <f>IF(ISNUMBER(VLOOKUP(B365,'New Masses'!A:C,3,FALSE)),VLOOKUP(B365,'New Masses'!A:C,3,FALSE),"")</f>
        <v/>
      </c>
      <c r="AD365" s="440"/>
      <c r="AE365" s="440">
        <f t="shared" si="104"/>
        <v>0.0000000005248074602</v>
      </c>
      <c r="AF365" s="439">
        <v>-9.28</v>
      </c>
      <c r="AG365" s="438"/>
      <c r="AH365" s="459">
        <f t="shared" si="105"/>
        <v>0.2818382931</v>
      </c>
      <c r="AI365" s="436"/>
      <c r="AJ365" s="446" t="str">
        <f>IF(ISNUMBER(VLOOKUP(B365,'New Masses'!A:C,2, FALSE)),VLOOKUP(B365,'New Masses'!A:C,2, FALSE),"")</f>
        <v/>
      </c>
      <c r="AK365" s="436">
        <v>-0.55</v>
      </c>
      <c r="AL365" s="436"/>
      <c r="AM365" s="436">
        <v>-2.61</v>
      </c>
      <c r="AN365" s="438"/>
      <c r="AO365" s="436">
        <v>1.0</v>
      </c>
      <c r="AP365" s="438"/>
      <c r="AQ365" s="436"/>
      <c r="AR365" s="438"/>
      <c r="AS365" s="438"/>
      <c r="AT365" s="455">
        <v>3.6</v>
      </c>
      <c r="AU365" s="452" t="s">
        <v>137</v>
      </c>
      <c r="AV365" s="438"/>
      <c r="AW365" s="438"/>
      <c r="AX365" s="450">
        <v>146.610368285245</v>
      </c>
    </row>
    <row r="366">
      <c r="A366" s="436" t="s">
        <v>1377</v>
      </c>
      <c r="B366" s="436" t="s">
        <v>1377</v>
      </c>
      <c r="C366" s="436"/>
      <c r="D366" s="436" t="s">
        <v>158</v>
      </c>
      <c r="E366" s="436"/>
      <c r="F366" s="436" t="s">
        <v>2597</v>
      </c>
      <c r="G366" s="436" t="s">
        <v>169</v>
      </c>
      <c r="H366" s="436" t="s">
        <v>160</v>
      </c>
      <c r="I366" s="436" t="s">
        <v>1963</v>
      </c>
      <c r="J366" s="436">
        <v>3235.93657</v>
      </c>
      <c r="K366" s="436"/>
      <c r="L366" s="436" t="s">
        <v>1378</v>
      </c>
      <c r="M366" s="439"/>
      <c r="N366" s="422">
        <v>12.695</v>
      </c>
      <c r="O366" s="422">
        <v>10.07</v>
      </c>
      <c r="P366" s="422">
        <v>18.45</v>
      </c>
      <c r="Q366" s="436" t="s">
        <v>2183</v>
      </c>
      <c r="R366" s="436" t="s">
        <v>2184</v>
      </c>
      <c r="S366" s="436" t="s">
        <v>1964</v>
      </c>
      <c r="T366" s="419" t="s">
        <v>162</v>
      </c>
      <c r="U366" s="436" t="s">
        <v>2185</v>
      </c>
      <c r="V366" s="451">
        <v>4.11356E28</v>
      </c>
      <c r="W366" s="458">
        <v>0.3981071705534972</v>
      </c>
      <c r="X366" s="438"/>
      <c r="Y366" s="442">
        <f t="shared" si="103"/>
        <v>2.013055167</v>
      </c>
      <c r="Z366" s="442"/>
      <c r="AA366" s="443"/>
      <c r="AB366" s="443"/>
      <c r="AC366" s="436" t="str">
        <f>IF(ISNUMBER(VLOOKUP(B366,'New Masses'!A:C,3,FALSE)),VLOOKUP(B366,'New Masses'!A:C,3,FALSE),"")</f>
        <v/>
      </c>
      <c r="AD366" s="440"/>
      <c r="AE366" s="440">
        <f t="shared" si="104"/>
        <v>0.0000000004073802778</v>
      </c>
      <c r="AF366" s="439">
        <v>-9.39</v>
      </c>
      <c r="AG366" s="438"/>
      <c r="AH366" s="459">
        <f t="shared" si="105"/>
        <v>0.2398832919</v>
      </c>
      <c r="AI366" s="436"/>
      <c r="AJ366" s="446" t="str">
        <f>IF(ISNUMBER(VLOOKUP(B366,'New Masses'!A:C,2, FALSE)),VLOOKUP(B366,'New Masses'!A:C,2, FALSE),"")</f>
        <v/>
      </c>
      <c r="AK366" s="436">
        <v>-0.62</v>
      </c>
      <c r="AL366" s="436"/>
      <c r="AM366" s="436">
        <v>-2.76</v>
      </c>
      <c r="AN366" s="438"/>
      <c r="AO366" s="436">
        <v>1.0</v>
      </c>
      <c r="AP366" s="438"/>
      <c r="AQ366" s="436"/>
      <c r="AR366" s="436"/>
      <c r="AS366" s="438"/>
      <c r="AT366" s="455">
        <v>2.6</v>
      </c>
      <c r="AU366" s="449" t="s">
        <v>137</v>
      </c>
      <c r="AV366" s="438" t="s">
        <v>1379</v>
      </c>
      <c r="AW366" s="438"/>
      <c r="AX366" s="450">
        <v>140.940354042169</v>
      </c>
    </row>
    <row r="367">
      <c r="A367" s="436" t="s">
        <v>1402</v>
      </c>
      <c r="B367" s="436" t="s">
        <v>1402</v>
      </c>
      <c r="C367" s="436"/>
      <c r="D367" s="436" t="s">
        <v>158</v>
      </c>
      <c r="E367" s="436"/>
      <c r="F367" s="436" t="s">
        <v>2598</v>
      </c>
      <c r="G367" s="436" t="s">
        <v>169</v>
      </c>
      <c r="H367" s="436" t="s">
        <v>160</v>
      </c>
      <c r="I367" s="436" t="s">
        <v>1963</v>
      </c>
      <c r="J367" s="436">
        <v>3548.13389</v>
      </c>
      <c r="K367" s="436"/>
      <c r="L367" s="438"/>
      <c r="M367" s="453"/>
      <c r="N367" s="422">
        <v>16.146</v>
      </c>
      <c r="O367" s="422">
        <v>10.901</v>
      </c>
      <c r="P367" s="422"/>
      <c r="Q367" s="436" t="s">
        <v>2183</v>
      </c>
      <c r="R367" s="436" t="s">
        <v>2184</v>
      </c>
      <c r="S367" s="436" t="s">
        <v>1964</v>
      </c>
      <c r="T367" s="419" t="s">
        <v>162</v>
      </c>
      <c r="U367" s="436" t="s">
        <v>2185</v>
      </c>
      <c r="V367" s="451">
        <v>3.0494E29</v>
      </c>
      <c r="W367" s="458">
        <v>0.7943282347242815</v>
      </c>
      <c r="X367" s="438"/>
      <c r="Y367" s="442">
        <f t="shared" si="103"/>
        <v>2.365133597</v>
      </c>
      <c r="Z367" s="442"/>
      <c r="AA367" s="443"/>
      <c r="AB367" s="443"/>
      <c r="AC367" s="436" t="str">
        <f>IF(ISNUMBER(VLOOKUP(B367,'New Masses'!A:C,3,FALSE)),VLOOKUP(B367,'New Masses'!A:C,3,FALSE),"")</f>
        <v/>
      </c>
      <c r="AD367" s="440"/>
      <c r="AE367" s="440">
        <f t="shared" si="104"/>
        <v>0.000000004897788194</v>
      </c>
      <c r="AF367" s="439">
        <v>-8.31</v>
      </c>
      <c r="AG367" s="438"/>
      <c r="AH367" s="459">
        <f t="shared" si="105"/>
        <v>0.3548133892</v>
      </c>
      <c r="AI367" s="436"/>
      <c r="AJ367" s="446" t="str">
        <f>IF(ISNUMBER(VLOOKUP(B367,'New Masses'!A:C,2, FALSE)),VLOOKUP(B367,'New Masses'!A:C,2, FALSE),"")</f>
        <v/>
      </c>
      <c r="AK367" s="436">
        <v>-0.45</v>
      </c>
      <c r="AL367" s="436"/>
      <c r="AM367" s="436">
        <v>-1.58</v>
      </c>
      <c r="AN367" s="438"/>
      <c r="AO367" s="436">
        <v>1.0</v>
      </c>
      <c r="AP367" s="438"/>
      <c r="AQ367" s="436"/>
      <c r="AR367" s="438"/>
      <c r="AS367" s="438"/>
      <c r="AT367" s="455">
        <v>6.6</v>
      </c>
      <c r="AU367" s="452" t="s">
        <v>137</v>
      </c>
      <c r="AV367" s="438"/>
      <c r="AW367" s="438"/>
      <c r="AX367" s="450"/>
    </row>
    <row r="368">
      <c r="A368" s="436" t="s">
        <v>1415</v>
      </c>
      <c r="B368" s="436" t="s">
        <v>1415</v>
      </c>
      <c r="C368" s="436"/>
      <c r="D368" s="436" t="s">
        <v>158</v>
      </c>
      <c r="E368" s="436"/>
      <c r="F368" s="436" t="s">
        <v>2599</v>
      </c>
      <c r="G368" s="436" t="s">
        <v>169</v>
      </c>
      <c r="H368" s="436" t="s">
        <v>160</v>
      </c>
      <c r="I368" s="436" t="s">
        <v>1963</v>
      </c>
      <c r="J368" s="436">
        <v>3630.78055</v>
      </c>
      <c r="K368" s="436"/>
      <c r="L368" s="438"/>
      <c r="M368" s="453"/>
      <c r="N368" s="422">
        <v>16.189</v>
      </c>
      <c r="O368" s="422">
        <v>10.962</v>
      </c>
      <c r="P368" s="422"/>
      <c r="Q368" s="436" t="s">
        <v>2183</v>
      </c>
      <c r="R368" s="436" t="s">
        <v>2184</v>
      </c>
      <c r="S368" s="436" t="s">
        <v>1964</v>
      </c>
      <c r="T368" s="419" t="s">
        <v>162</v>
      </c>
      <c r="U368" s="436" t="s">
        <v>2185</v>
      </c>
      <c r="V368" s="451">
        <v>1.83746E29</v>
      </c>
      <c r="W368" s="458">
        <v>0.9772372209558107</v>
      </c>
      <c r="X368" s="438"/>
      <c r="Y368" s="442">
        <f t="shared" si="103"/>
        <v>2.505276567</v>
      </c>
      <c r="Z368" s="442"/>
      <c r="AA368" s="443"/>
      <c r="AB368" s="443"/>
      <c r="AC368" s="436" t="str">
        <f>IF(ISNUMBER(VLOOKUP(B368,'New Masses'!A:C,3,FALSE)),VLOOKUP(B368,'New Masses'!A:C,3,FALSE),"")</f>
        <v/>
      </c>
      <c r="AD368" s="440"/>
      <c r="AE368" s="440">
        <f t="shared" si="104"/>
        <v>0.000000002238721139</v>
      </c>
      <c r="AF368" s="439">
        <v>-8.65</v>
      </c>
      <c r="AG368" s="438"/>
      <c r="AH368" s="459">
        <f t="shared" si="105"/>
        <v>0.4073802778</v>
      </c>
      <c r="AI368" s="436"/>
      <c r="AJ368" s="446" t="str">
        <f>IF(ISNUMBER(VLOOKUP(B368,'New Masses'!A:C,2, FALSE)),VLOOKUP(B368,'New Masses'!A:C,2, FALSE),"")</f>
        <v/>
      </c>
      <c r="AK368" s="436">
        <v>-0.39</v>
      </c>
      <c r="AL368" s="436"/>
      <c r="AM368" s="436">
        <v>-1.88</v>
      </c>
      <c r="AN368" s="438"/>
      <c r="AO368" s="436">
        <v>1.0</v>
      </c>
      <c r="AP368" s="438"/>
      <c r="AQ368" s="436"/>
      <c r="AR368" s="438"/>
      <c r="AS368" s="438"/>
      <c r="AT368" s="455">
        <v>6.9</v>
      </c>
      <c r="AU368" s="449" t="s">
        <v>137</v>
      </c>
      <c r="AV368" s="438"/>
      <c r="AW368" s="438"/>
      <c r="AX368" s="450"/>
    </row>
    <row r="369">
      <c r="A369" s="436" t="s">
        <v>1462</v>
      </c>
      <c r="B369" s="436" t="s">
        <v>1462</v>
      </c>
      <c r="C369" s="419"/>
      <c r="D369" s="436" t="s">
        <v>158</v>
      </c>
      <c r="E369" s="436"/>
      <c r="F369" s="436" t="s">
        <v>2600</v>
      </c>
      <c r="G369" s="436" t="s">
        <v>169</v>
      </c>
      <c r="H369" s="436" t="s">
        <v>160</v>
      </c>
      <c r="I369" s="436" t="s">
        <v>1963</v>
      </c>
      <c r="J369" s="436">
        <v>4265.79519</v>
      </c>
      <c r="K369" s="436"/>
      <c r="L369" s="438"/>
      <c r="M369" s="453"/>
      <c r="N369" s="422">
        <v>11.322</v>
      </c>
      <c r="O369" s="422">
        <v>7.806</v>
      </c>
      <c r="P369" s="422">
        <v>17.66</v>
      </c>
      <c r="Q369" s="436" t="s">
        <v>2183</v>
      </c>
      <c r="R369" s="436" t="s">
        <v>2184</v>
      </c>
      <c r="S369" s="436" t="s">
        <v>1964</v>
      </c>
      <c r="T369" s="419" t="s">
        <v>162</v>
      </c>
      <c r="U369" s="436" t="s">
        <v>2185</v>
      </c>
      <c r="V369" s="451">
        <v>2.10969E30</v>
      </c>
      <c r="W369" s="458">
        <v>3.0902954325135905</v>
      </c>
      <c r="X369" s="438"/>
      <c r="Y369" s="442">
        <f t="shared" si="103"/>
        <v>3.227421416</v>
      </c>
      <c r="Z369" s="442"/>
      <c r="AA369" s="443"/>
      <c r="AB369" s="443"/>
      <c r="AC369" s="436" t="str">
        <f>IF(ISNUMBER(VLOOKUP(B369,'New Masses'!A:C,3,FALSE)),VLOOKUP(B369,'New Masses'!A:C,3,FALSE),"")</f>
        <v/>
      </c>
      <c r="AD369" s="440"/>
      <c r="AE369" s="440">
        <f t="shared" si="104"/>
        <v>0.00000004073802778</v>
      </c>
      <c r="AF369" s="439">
        <v>-7.39</v>
      </c>
      <c r="AG369" s="438"/>
      <c r="AH369" s="459">
        <f t="shared" si="105"/>
        <v>0.8128305162</v>
      </c>
      <c r="AI369" s="436"/>
      <c r="AJ369" s="446" t="str">
        <f>IF(ISNUMBER(VLOOKUP(B369,'New Masses'!A:C,2, FALSE)),VLOOKUP(B369,'New Masses'!A:C,2, FALSE),"")</f>
        <v/>
      </c>
      <c r="AK369" s="436">
        <v>-0.09</v>
      </c>
      <c r="AL369" s="436"/>
      <c r="AM369" s="436">
        <v>-0.43</v>
      </c>
      <c r="AN369" s="438"/>
      <c r="AO369" s="436">
        <v>1.0</v>
      </c>
      <c r="AP369" s="438"/>
      <c r="AQ369" s="438"/>
      <c r="AR369" s="438"/>
      <c r="AS369" s="438"/>
      <c r="AT369" s="455">
        <v>3.2</v>
      </c>
      <c r="AU369" s="449"/>
      <c r="AV369" s="438"/>
      <c r="AW369" s="438"/>
      <c r="AX369" s="450">
        <v>137.854976564653</v>
      </c>
    </row>
    <row r="370">
      <c r="A370" s="436" t="s">
        <v>1462</v>
      </c>
      <c r="B370" s="436" t="s">
        <v>1462</v>
      </c>
      <c r="C370" s="419"/>
      <c r="D370" s="436" t="s">
        <v>158</v>
      </c>
      <c r="E370" s="436"/>
      <c r="F370" s="436" t="s">
        <v>2600</v>
      </c>
      <c r="G370" s="436" t="s">
        <v>169</v>
      </c>
      <c r="H370" s="436" t="s">
        <v>1309</v>
      </c>
      <c r="I370" s="436" t="s">
        <v>2409</v>
      </c>
      <c r="J370" s="436">
        <v>4730.0</v>
      </c>
      <c r="K370" s="436"/>
      <c r="L370" s="436" t="s">
        <v>1471</v>
      </c>
      <c r="M370" s="457">
        <v>2.0</v>
      </c>
      <c r="N370" s="422">
        <v>11.322</v>
      </c>
      <c r="O370" s="422">
        <v>7.806</v>
      </c>
      <c r="P370" s="422">
        <v>17.66</v>
      </c>
      <c r="Q370" s="436" t="s">
        <v>2410</v>
      </c>
      <c r="R370" s="436" t="s">
        <v>2601</v>
      </c>
      <c r="S370" s="436" t="s">
        <v>2412</v>
      </c>
      <c r="T370" s="436" t="s">
        <v>596</v>
      </c>
      <c r="U370" s="436" t="s">
        <v>2413</v>
      </c>
      <c r="V370" s="440"/>
      <c r="W370" s="441">
        <v>3.1</v>
      </c>
      <c r="X370" s="454"/>
      <c r="Y370" s="442">
        <f t="shared" si="103"/>
        <v>2.629143206</v>
      </c>
      <c r="Z370" s="442"/>
      <c r="AA370" s="443"/>
      <c r="AB370" s="443"/>
      <c r="AC370" s="436" t="str">
        <f>IF(ISNUMBER(VLOOKUP(B370,'New Masses'!A:C,3,FALSE)),VLOOKUP(B370,'New Masses'!A:C,3,FALSE),"")</f>
        <v/>
      </c>
      <c r="AD370" s="440"/>
      <c r="AE370" s="440">
        <f t="shared" si="104"/>
        <v>0.000000005248074602</v>
      </c>
      <c r="AF370" s="439">
        <v>-8.28</v>
      </c>
      <c r="AG370" s="438"/>
      <c r="AH370" s="459">
        <v>1.0</v>
      </c>
      <c r="AI370" s="436"/>
      <c r="AJ370" s="446" t="str">
        <f>IF(ISNUMBER(VLOOKUP(B370,'New Masses'!A:C,2, FALSE)),VLOOKUP(B370,'New Masses'!A:C,2, FALSE),"")</f>
        <v/>
      </c>
      <c r="AK370" s="436">
        <f>LOG10(AH370)</f>
        <v>0</v>
      </c>
      <c r="AL370" s="438"/>
      <c r="AM370" s="438"/>
      <c r="AN370" s="436" t="s">
        <v>2407</v>
      </c>
      <c r="AO370" s="436">
        <v>1.0</v>
      </c>
      <c r="AP370" s="438"/>
      <c r="AQ370" s="438"/>
      <c r="AR370" s="438"/>
      <c r="AS370" s="438"/>
      <c r="AT370" s="448"/>
      <c r="AU370" s="452"/>
      <c r="AV370" s="438"/>
      <c r="AW370" s="438"/>
      <c r="AX370" s="450">
        <v>137.854976564653</v>
      </c>
    </row>
    <row r="371">
      <c r="A371" s="436" t="s">
        <v>1362</v>
      </c>
      <c r="B371" s="436" t="s">
        <v>1362</v>
      </c>
      <c r="C371" s="436"/>
      <c r="D371" s="436" t="s">
        <v>158</v>
      </c>
      <c r="E371" s="436"/>
      <c r="F371" s="436" t="s">
        <v>2602</v>
      </c>
      <c r="G371" s="436" t="s">
        <v>159</v>
      </c>
      <c r="H371" s="436" t="s">
        <v>160</v>
      </c>
      <c r="I371" s="436" t="s">
        <v>1963</v>
      </c>
      <c r="J371" s="436">
        <v>3019.95172</v>
      </c>
      <c r="K371" s="436"/>
      <c r="L371" s="436" t="s">
        <v>402</v>
      </c>
      <c r="M371" s="439"/>
      <c r="N371" s="422">
        <v>11.277</v>
      </c>
      <c r="O371" s="422">
        <v>9.668</v>
      </c>
      <c r="P371" s="422">
        <v>16.16</v>
      </c>
      <c r="Q371" s="436" t="s">
        <v>2183</v>
      </c>
      <c r="R371" s="436" t="s">
        <v>2184</v>
      </c>
      <c r="S371" s="436" t="s">
        <v>1964</v>
      </c>
      <c r="T371" s="419" t="s">
        <v>162</v>
      </c>
      <c r="U371" s="436" t="s">
        <v>2185</v>
      </c>
      <c r="V371" s="451">
        <v>2.0617E28</v>
      </c>
      <c r="W371" s="458">
        <v>0.23988329190194904</v>
      </c>
      <c r="X371" s="438"/>
      <c r="Y371" s="442">
        <f t="shared" si="103"/>
        <v>1.794137307</v>
      </c>
      <c r="Z371" s="442"/>
      <c r="AA371" s="443"/>
      <c r="AB371" s="443"/>
      <c r="AC371" s="436" t="str">
        <f>IF(ISNUMBER(VLOOKUP(B371,'New Masses'!A:C,3,FALSE)),VLOOKUP(B371,'New Masses'!A:C,3,FALSE),"")</f>
        <v/>
      </c>
      <c r="AD371" s="440"/>
      <c r="AE371" s="440">
        <f t="shared" si="104"/>
        <v>0.00000000019498446</v>
      </c>
      <c r="AF371" s="439">
        <v>-9.71</v>
      </c>
      <c r="AG371" s="438"/>
      <c r="AH371" s="459">
        <f t="shared" ref="AH371:AH374" si="106">10^AK371</f>
        <v>0.1737800829</v>
      </c>
      <c r="AI371" s="436"/>
      <c r="AJ371" s="446" t="str">
        <f>IF(ISNUMBER(VLOOKUP(B371,'New Masses'!A:C,2, FALSE)),VLOOKUP(B371,'New Masses'!A:C,2, FALSE),"")</f>
        <v/>
      </c>
      <c r="AK371" s="436">
        <v>-0.76</v>
      </c>
      <c r="AL371" s="436"/>
      <c r="AM371" s="436">
        <v>-3.17</v>
      </c>
      <c r="AN371" s="438"/>
      <c r="AO371" s="436">
        <v>1.0</v>
      </c>
      <c r="AP371" s="438"/>
      <c r="AQ371" s="436"/>
      <c r="AR371" s="436"/>
      <c r="AS371" s="438"/>
      <c r="AT371" s="455">
        <v>0.8</v>
      </c>
      <c r="AU371" s="452" t="s">
        <v>137</v>
      </c>
      <c r="AV371" s="438" t="s">
        <v>1363</v>
      </c>
      <c r="AW371" s="438"/>
      <c r="AX371" s="450">
        <v>143.905597927759</v>
      </c>
    </row>
    <row r="372">
      <c r="A372" s="436" t="s">
        <v>167</v>
      </c>
      <c r="B372" s="436" t="s">
        <v>167</v>
      </c>
      <c r="C372" s="436"/>
      <c r="D372" s="436" t="s">
        <v>158</v>
      </c>
      <c r="E372" s="436"/>
      <c r="F372" s="436" t="s">
        <v>2603</v>
      </c>
      <c r="G372" s="436" t="s">
        <v>169</v>
      </c>
      <c r="H372" s="436" t="s">
        <v>160</v>
      </c>
      <c r="I372" s="436" t="s">
        <v>1963</v>
      </c>
      <c r="J372" s="436">
        <v>2884.0315</v>
      </c>
      <c r="K372" s="436"/>
      <c r="L372" s="438"/>
      <c r="M372" s="453"/>
      <c r="N372" s="422">
        <v>12.713</v>
      </c>
      <c r="O372" s="422">
        <v>10.881</v>
      </c>
      <c r="P372" s="422"/>
      <c r="Q372" s="436" t="s">
        <v>2183</v>
      </c>
      <c r="R372" s="436" t="s">
        <v>2184</v>
      </c>
      <c r="S372" s="436" t="s">
        <v>1964</v>
      </c>
      <c r="T372" s="419" t="s">
        <v>162</v>
      </c>
      <c r="U372" s="436" t="s">
        <v>2185</v>
      </c>
      <c r="V372" s="451">
        <v>1.1072E28</v>
      </c>
      <c r="W372" s="458">
        <v>0.11220184543019636</v>
      </c>
      <c r="X372" s="438"/>
      <c r="Y372" s="442">
        <f t="shared" si="103"/>
        <v>1.34541318</v>
      </c>
      <c r="Z372" s="442"/>
      <c r="AA372" s="443"/>
      <c r="AB372" s="443"/>
      <c r="AC372" s="436" t="str">
        <f>IF(ISNUMBER(VLOOKUP(B372,'New Masses'!A:C,3,FALSE)),VLOOKUP(B372,'New Masses'!A:C,3,FALSE),"")</f>
        <v/>
      </c>
      <c r="AD372" s="440"/>
      <c r="AE372" s="440">
        <f t="shared" si="104"/>
        <v>0.000000002884031503</v>
      </c>
      <c r="AF372" s="439">
        <v>-8.54</v>
      </c>
      <c r="AG372" s="438"/>
      <c r="AH372" s="459">
        <f t="shared" si="106"/>
        <v>0.1096478196</v>
      </c>
      <c r="AI372" s="436"/>
      <c r="AJ372" s="446" t="str">
        <f>IF(ISNUMBER(VLOOKUP(B372,'New Masses'!A:C,2, FALSE)),VLOOKUP(B372,'New Masses'!A:C,2, FALSE),"")</f>
        <v/>
      </c>
      <c r="AK372" s="436">
        <v>-0.96</v>
      </c>
      <c r="AL372" s="436"/>
      <c r="AM372" s="436">
        <v>-2.08</v>
      </c>
      <c r="AN372" s="438"/>
      <c r="AO372" s="436">
        <v>1.0</v>
      </c>
      <c r="AP372" s="438"/>
      <c r="AQ372" s="436"/>
      <c r="AR372" s="438"/>
      <c r="AS372" s="438"/>
      <c r="AT372" s="455">
        <v>1.4</v>
      </c>
      <c r="AU372" s="449" t="s">
        <v>137</v>
      </c>
      <c r="AV372" s="438"/>
      <c r="AW372" s="438"/>
      <c r="AX372" s="450">
        <v>143.270580818934</v>
      </c>
    </row>
    <row r="373">
      <c r="A373" s="535" t="s">
        <v>1329</v>
      </c>
      <c r="B373" s="535" t="s">
        <v>1329</v>
      </c>
      <c r="C373" s="420"/>
      <c r="D373" s="420" t="s">
        <v>158</v>
      </c>
      <c r="E373" s="420"/>
      <c r="F373" s="420" t="s">
        <v>2604</v>
      </c>
      <c r="G373" s="420" t="s">
        <v>159</v>
      </c>
      <c r="H373" s="420" t="s">
        <v>160</v>
      </c>
      <c r="I373" s="420" t="s">
        <v>1963</v>
      </c>
      <c r="J373" s="436">
        <v>2754.2287</v>
      </c>
      <c r="K373" s="436"/>
      <c r="L373" s="420" t="s">
        <v>415</v>
      </c>
      <c r="M373" s="429"/>
      <c r="N373" s="422">
        <v>11.994</v>
      </c>
      <c r="O373" s="422">
        <v>11.146</v>
      </c>
      <c r="P373" s="422">
        <v>14.67</v>
      </c>
      <c r="Q373" s="420" t="s">
        <v>2183</v>
      </c>
      <c r="R373" s="438"/>
      <c r="S373" s="438" t="s">
        <v>1964</v>
      </c>
      <c r="T373" s="421" t="s">
        <v>162</v>
      </c>
      <c r="U373" s="420" t="s">
        <v>2185</v>
      </c>
      <c r="V373" s="451"/>
      <c r="W373" s="458"/>
      <c r="X373" s="438"/>
      <c r="Y373" s="442" t="str">
        <f t="shared" si="103"/>
        <v/>
      </c>
      <c r="Z373" s="442"/>
      <c r="AA373" s="443"/>
      <c r="AB373" s="443"/>
      <c r="AC373" s="436" t="str">
        <f>IF(ISNUMBER(VLOOKUP(B373,'New Masses'!A:C,3,FALSE)),VLOOKUP(B373,'New Masses'!A:C,3,FALSE),"")</f>
        <v/>
      </c>
      <c r="AD373" s="440"/>
      <c r="AE373" s="440">
        <f t="shared" si="104"/>
        <v>0.0000000001380384265</v>
      </c>
      <c r="AF373" s="439">
        <v>-9.86</v>
      </c>
      <c r="AG373" s="438"/>
      <c r="AH373" s="459">
        <f t="shared" si="106"/>
        <v>0.06918309709</v>
      </c>
      <c r="AI373" s="438"/>
      <c r="AJ373" s="446" t="str">
        <f>IF(ISNUMBER(VLOOKUP(B373,'New Masses'!A:C,2, FALSE)),VLOOKUP(B373,'New Masses'!A:C,2, FALSE),"")</f>
        <v/>
      </c>
      <c r="AK373" s="436">
        <v>-1.16</v>
      </c>
      <c r="AL373" s="436"/>
      <c r="AM373" s="511">
        <v>-3.46</v>
      </c>
      <c r="AN373" s="436"/>
      <c r="AO373" s="436">
        <v>1.0</v>
      </c>
      <c r="AP373" s="438"/>
      <c r="AQ373" s="436">
        <v>0.0</v>
      </c>
      <c r="AR373" s="438"/>
      <c r="AS373" s="420" t="s">
        <v>664</v>
      </c>
      <c r="AT373" s="455">
        <v>0.0</v>
      </c>
      <c r="AU373" s="452" t="s">
        <v>137</v>
      </c>
      <c r="AV373" s="420" t="s">
        <v>1304</v>
      </c>
      <c r="AW373" s="438"/>
      <c r="AX373" s="450">
        <v>95.8276635299078</v>
      </c>
    </row>
    <row r="374">
      <c r="A374" s="436" t="s">
        <v>1320</v>
      </c>
      <c r="B374" s="436" t="s">
        <v>1320</v>
      </c>
      <c r="C374" s="420"/>
      <c r="D374" s="420" t="s">
        <v>158</v>
      </c>
      <c r="E374" s="420"/>
      <c r="F374" s="420" t="s">
        <v>2605</v>
      </c>
      <c r="G374" s="420" t="s">
        <v>169</v>
      </c>
      <c r="H374" s="420" t="s">
        <v>160</v>
      </c>
      <c r="I374" s="420" t="s">
        <v>1963</v>
      </c>
      <c r="J374" s="436">
        <v>2691.5348</v>
      </c>
      <c r="K374" s="436"/>
      <c r="L374" s="420" t="s">
        <v>232</v>
      </c>
      <c r="M374" s="429"/>
      <c r="N374" s="422">
        <v>14.148</v>
      </c>
      <c r="O374" s="422">
        <v>11.947</v>
      </c>
      <c r="P374" s="422"/>
      <c r="Q374" s="420" t="s">
        <v>2183</v>
      </c>
      <c r="R374" s="438"/>
      <c r="S374" s="438" t="s">
        <v>1964</v>
      </c>
      <c r="T374" s="421" t="s">
        <v>162</v>
      </c>
      <c r="U374" s="420" t="s">
        <v>2185</v>
      </c>
      <c r="V374" s="451"/>
      <c r="W374" s="458">
        <v>0.026915348039269153</v>
      </c>
      <c r="X374" s="438"/>
      <c r="Y374" s="442">
        <f t="shared" si="103"/>
        <v>0.7565814311</v>
      </c>
      <c r="Z374" s="442"/>
      <c r="AA374" s="443"/>
      <c r="AB374" s="443"/>
      <c r="AC374" s="469">
        <f>IF(ISNUMBER(VLOOKUP(B374,'New Masses'!A:C,3,FALSE)),VLOOKUP(B374,'New Masses'!A:C,3,FALSE),"")</f>
        <v>0.690178</v>
      </c>
      <c r="AD374" s="440"/>
      <c r="AE374" s="440">
        <f t="shared" si="104"/>
        <v>0.0000000003630780548</v>
      </c>
      <c r="AF374" s="439">
        <v>-9.44</v>
      </c>
      <c r="AG374" s="438"/>
      <c r="AH374" s="459">
        <f t="shared" si="106"/>
        <v>0.04677351413</v>
      </c>
      <c r="AI374" s="438"/>
      <c r="AJ374" s="446">
        <f>IF(ISNUMBER(VLOOKUP(B374,'New Masses'!A:C,2, FALSE)),VLOOKUP(B374,'New Masses'!A:C,2, FALSE),"")</f>
        <v>0.058417</v>
      </c>
      <c r="AK374" s="436">
        <v>-1.33</v>
      </c>
      <c r="AL374" s="436"/>
      <c r="AM374" s="489">
        <v>-3.09</v>
      </c>
      <c r="AN374" s="436"/>
      <c r="AO374" s="436">
        <v>1.0</v>
      </c>
      <c r="AP374" s="438"/>
      <c r="AQ374" s="436">
        <v>6.73</v>
      </c>
      <c r="AR374" s="438"/>
      <c r="AS374" s="420" t="s">
        <v>2408</v>
      </c>
      <c r="AT374" s="455">
        <v>1.5</v>
      </c>
      <c r="AU374" s="449"/>
      <c r="AV374" s="420" t="s">
        <v>1304</v>
      </c>
      <c r="AW374" s="438"/>
      <c r="AX374" s="450">
        <v>143.0</v>
      </c>
    </row>
    <row r="375">
      <c r="A375" s="470" t="s">
        <v>1320</v>
      </c>
      <c r="B375" s="470" t="s">
        <v>1320</v>
      </c>
      <c r="C375" s="420"/>
      <c r="D375" s="420" t="s">
        <v>158</v>
      </c>
      <c r="E375" s="420"/>
      <c r="F375" s="420" t="s">
        <v>2605</v>
      </c>
      <c r="G375" s="420" t="s">
        <v>169</v>
      </c>
      <c r="H375" s="420" t="s">
        <v>1309</v>
      </c>
      <c r="I375" s="420" t="s">
        <v>2409</v>
      </c>
      <c r="J375" s="436">
        <v>2700.0</v>
      </c>
      <c r="K375" s="419">
        <v>150.0</v>
      </c>
      <c r="L375" s="420" t="s">
        <v>353</v>
      </c>
      <c r="M375" s="422">
        <v>2.0</v>
      </c>
      <c r="N375" s="422">
        <v>14.148</v>
      </c>
      <c r="O375" s="422">
        <v>11.947</v>
      </c>
      <c r="P375" s="422"/>
      <c r="Q375" s="420" t="s">
        <v>2410</v>
      </c>
      <c r="R375" s="420" t="s">
        <v>2548</v>
      </c>
      <c r="S375" s="420" t="s">
        <v>2412</v>
      </c>
      <c r="T375" s="420" t="s">
        <v>596</v>
      </c>
      <c r="U375" s="420" t="s">
        <v>2413</v>
      </c>
      <c r="V375" s="440"/>
      <c r="W375" s="441">
        <v>0.04</v>
      </c>
      <c r="X375" s="454"/>
      <c r="Y375" s="442">
        <f t="shared" si="103"/>
        <v>0.9165541838</v>
      </c>
      <c r="Z375" s="442"/>
      <c r="AA375" s="443"/>
      <c r="AB375" s="443"/>
      <c r="AC375" s="469">
        <f>IF(ISNUMBER(VLOOKUP(B375,'New Masses'!A:C,3,FALSE)),VLOOKUP(B375,'New Masses'!A:C,3,FALSE),"")</f>
        <v>0.690178</v>
      </c>
      <c r="AD375" s="451"/>
      <c r="AE375" s="451">
        <f t="shared" si="104"/>
        <v>0.0000000002238721139</v>
      </c>
      <c r="AF375" s="439">
        <v>-9.65</v>
      </c>
      <c r="AG375" s="438"/>
      <c r="AH375" s="459">
        <v>0.05</v>
      </c>
      <c r="AI375" s="436"/>
      <c r="AJ375" s="446">
        <f>IF(ISNUMBER(VLOOKUP(B375,'New Masses'!A:C,2, FALSE)),VLOOKUP(B375,'New Masses'!A:C,2, FALSE),"")</f>
        <v>0.058417</v>
      </c>
      <c r="AK375" s="436"/>
      <c r="AL375" s="438"/>
      <c r="AM375" s="438"/>
      <c r="AN375" s="420" t="s">
        <v>2407</v>
      </c>
      <c r="AO375" s="505">
        <v>1.0</v>
      </c>
      <c r="AP375" s="506"/>
      <c r="AQ375" s="505">
        <v>6.73</v>
      </c>
      <c r="AR375" s="506"/>
      <c r="AS375" s="507" t="s">
        <v>2408</v>
      </c>
      <c r="AT375" s="448"/>
      <c r="AU375" s="449"/>
      <c r="AV375" s="506"/>
      <c r="AW375" s="506"/>
      <c r="AX375" s="450">
        <v>143.0</v>
      </c>
    </row>
    <row r="376">
      <c r="A376" s="470" t="s">
        <v>1320</v>
      </c>
      <c r="B376" s="470" t="s">
        <v>1320</v>
      </c>
      <c r="C376" s="420"/>
      <c r="D376" s="420" t="s">
        <v>158</v>
      </c>
      <c r="E376" s="420"/>
      <c r="F376" s="420" t="s">
        <v>2605</v>
      </c>
      <c r="G376" s="420" t="s">
        <v>169</v>
      </c>
      <c r="H376" s="420" t="s">
        <v>754</v>
      </c>
      <c r="I376" s="436">
        <v>2010.0</v>
      </c>
      <c r="J376" s="436">
        <v>2800.0</v>
      </c>
      <c r="K376" s="419">
        <v>50.0</v>
      </c>
      <c r="L376" s="420" t="s">
        <v>232</v>
      </c>
      <c r="M376" s="429"/>
      <c r="N376" s="422">
        <v>14.148</v>
      </c>
      <c r="O376" s="422">
        <v>11.947</v>
      </c>
      <c r="P376" s="422"/>
      <c r="Q376" s="420" t="s">
        <v>2417</v>
      </c>
      <c r="R376" s="420" t="s">
        <v>2606</v>
      </c>
      <c r="S376" s="420" t="s">
        <v>2419</v>
      </c>
      <c r="T376" s="421" t="s">
        <v>162</v>
      </c>
      <c r="U376" s="420" t="s">
        <v>1754</v>
      </c>
      <c r="V376" s="440"/>
      <c r="W376" s="474">
        <v>0.03</v>
      </c>
      <c r="X376" s="436"/>
      <c r="Y376" s="442">
        <f t="shared" si="103"/>
        <v>0.7380745689</v>
      </c>
      <c r="Z376" s="469"/>
      <c r="AA376" s="470">
        <v>0.73</v>
      </c>
      <c r="AB376" s="470">
        <v>0.03</v>
      </c>
      <c r="AC376" s="469">
        <f>IF(ISNUMBER(VLOOKUP(B376,'New Masses'!A:C,3,FALSE)),VLOOKUP(B376,'New Masses'!A:C,3,FALSE),"")</f>
        <v>0.690178</v>
      </c>
      <c r="AD376" s="451"/>
      <c r="AE376" s="451">
        <f t="shared" si="104"/>
        <v>0.0000000002754228703</v>
      </c>
      <c r="AF376" s="439">
        <v>-9.56</v>
      </c>
      <c r="AG376" s="438"/>
      <c r="AH376" s="459">
        <v>0.06</v>
      </c>
      <c r="AI376" s="436">
        <v>0.01</v>
      </c>
      <c r="AJ376" s="446">
        <f>IF(ISNUMBER(VLOOKUP(B376,'New Masses'!A:C,2, FALSE)),VLOOKUP(B376,'New Masses'!A:C,2, FALSE),"")</f>
        <v>0.058417</v>
      </c>
      <c r="AK376" s="436"/>
      <c r="AL376" s="436"/>
      <c r="AM376" s="436">
        <v>-3.25</v>
      </c>
      <c r="AN376" s="438"/>
      <c r="AO376" s="436">
        <v>1.0</v>
      </c>
      <c r="AP376" s="438"/>
      <c r="AQ376" s="436">
        <v>6.73</v>
      </c>
      <c r="AR376" s="438"/>
      <c r="AS376" s="420" t="s">
        <v>2408</v>
      </c>
      <c r="AT376" s="448"/>
      <c r="AU376" s="449"/>
      <c r="AV376" s="438"/>
      <c r="AW376" s="438"/>
      <c r="AX376" s="450">
        <v>143.0</v>
      </c>
    </row>
    <row r="377">
      <c r="A377" s="436" t="s">
        <v>182</v>
      </c>
      <c r="B377" s="436" t="s">
        <v>182</v>
      </c>
      <c r="C377" s="436"/>
      <c r="D377" s="436" t="s">
        <v>158</v>
      </c>
      <c r="E377" s="436"/>
      <c r="F377" s="436" t="s">
        <v>2607</v>
      </c>
      <c r="G377" s="436" t="s">
        <v>169</v>
      </c>
      <c r="H377" s="436" t="s">
        <v>160</v>
      </c>
      <c r="I377" s="436" t="s">
        <v>1963</v>
      </c>
      <c r="J377" s="436">
        <v>3981.07171</v>
      </c>
      <c r="K377" s="436"/>
      <c r="L377" s="438"/>
      <c r="M377" s="453"/>
      <c r="N377" s="422"/>
      <c r="O377" s="422">
        <v>11.457</v>
      </c>
      <c r="P377" s="422"/>
      <c r="Q377" s="436" t="s">
        <v>2183</v>
      </c>
      <c r="R377" s="436" t="s">
        <v>2184</v>
      </c>
      <c r="S377" s="436" t="s">
        <v>1964</v>
      </c>
      <c r="T377" s="419" t="s">
        <v>162</v>
      </c>
      <c r="U377" s="436" t="s">
        <v>2185</v>
      </c>
      <c r="V377" s="451">
        <v>3.34363E29</v>
      </c>
      <c r="W377" s="458">
        <v>1.8620871366628675</v>
      </c>
      <c r="X377" s="438"/>
      <c r="Y377" s="442">
        <f t="shared" si="103"/>
        <v>2.876442361</v>
      </c>
      <c r="Z377" s="442"/>
      <c r="AA377" s="443"/>
      <c r="AB377" s="443"/>
      <c r="AC377" s="436" t="str">
        <f>IF(ISNUMBER(VLOOKUP(B377,'New Masses'!A:C,3,FALSE)),VLOOKUP(B377,'New Masses'!A:C,3,FALSE),"")</f>
        <v/>
      </c>
      <c r="AD377" s="440"/>
      <c r="AE377" s="440">
        <f t="shared" si="104"/>
        <v>0.00000006760829754</v>
      </c>
      <c r="AF377" s="439">
        <v>-7.17</v>
      </c>
      <c r="AG377" s="438"/>
      <c r="AH377" s="459">
        <f t="shared" ref="AH377:AH378" si="107">10^AK377</f>
        <v>0.6025595861</v>
      </c>
      <c r="AI377" s="436"/>
      <c r="AJ377" s="446" t="str">
        <f>IF(ISNUMBER(VLOOKUP(B377,'New Masses'!A:C,2, FALSE)),VLOOKUP(B377,'New Masses'!A:C,2, FALSE),"")</f>
        <v/>
      </c>
      <c r="AK377" s="436">
        <v>-0.22</v>
      </c>
      <c r="AL377" s="436"/>
      <c r="AM377" s="436">
        <v>-0.3</v>
      </c>
      <c r="AN377" s="438"/>
      <c r="AO377" s="436">
        <v>1.0</v>
      </c>
      <c r="AP377" s="438"/>
      <c r="AQ377" s="436"/>
      <c r="AR377" s="438"/>
      <c r="AS377" s="438"/>
      <c r="AT377" s="455">
        <v>10.5</v>
      </c>
      <c r="AU377" s="452" t="s">
        <v>137</v>
      </c>
      <c r="AV377" s="438"/>
      <c r="AW377" s="438"/>
      <c r="AX377" s="450"/>
    </row>
    <row r="378">
      <c r="A378" s="436" t="s">
        <v>1440</v>
      </c>
      <c r="B378" s="436" t="s">
        <v>1440</v>
      </c>
      <c r="C378" s="419"/>
      <c r="D378" s="436" t="s">
        <v>158</v>
      </c>
      <c r="E378" s="436"/>
      <c r="F378" s="436" t="s">
        <v>2608</v>
      </c>
      <c r="G378" s="436" t="s">
        <v>169</v>
      </c>
      <c r="H378" s="436" t="s">
        <v>160</v>
      </c>
      <c r="I378" s="436" t="s">
        <v>1963</v>
      </c>
      <c r="J378" s="436">
        <v>3890.45145</v>
      </c>
      <c r="K378" s="436"/>
      <c r="L378" s="438"/>
      <c r="M378" s="453"/>
      <c r="N378" s="422">
        <v>11.378</v>
      </c>
      <c r="O378" s="422">
        <v>8.271</v>
      </c>
      <c r="P378" s="422">
        <v>17.69</v>
      </c>
      <c r="Q378" s="436" t="s">
        <v>2183</v>
      </c>
      <c r="R378" s="436" t="s">
        <v>2184</v>
      </c>
      <c r="S378" s="436" t="s">
        <v>1964</v>
      </c>
      <c r="T378" s="419" t="s">
        <v>162</v>
      </c>
      <c r="U378" s="436" t="s">
        <v>2185</v>
      </c>
      <c r="V378" s="451">
        <v>6.0844E29</v>
      </c>
      <c r="W378" s="458">
        <v>1.6982436524617444</v>
      </c>
      <c r="X378" s="438"/>
      <c r="Y378" s="442">
        <f t="shared" si="103"/>
        <v>2.876442367</v>
      </c>
      <c r="Z378" s="442"/>
      <c r="AA378" s="443"/>
      <c r="AB378" s="443"/>
      <c r="AC378" s="436" t="str">
        <f>IF(ISNUMBER(VLOOKUP(B378,'New Masses'!A:C,3,FALSE)),VLOOKUP(B378,'New Masses'!A:C,3,FALSE),"")</f>
        <v/>
      </c>
      <c r="AD378" s="440"/>
      <c r="AE378" s="440">
        <f t="shared" si="104"/>
        <v>0.00000000954992586</v>
      </c>
      <c r="AF378" s="439">
        <v>-8.02</v>
      </c>
      <c r="AG378" s="438"/>
      <c r="AH378" s="459">
        <f t="shared" si="107"/>
        <v>0.5623413252</v>
      </c>
      <c r="AI378" s="436"/>
      <c r="AJ378" s="446" t="str">
        <f>IF(ISNUMBER(VLOOKUP(B378,'New Masses'!A:C,2, FALSE)),VLOOKUP(B378,'New Masses'!A:C,2, FALSE),"")</f>
        <v/>
      </c>
      <c r="AK378" s="436">
        <v>-0.25</v>
      </c>
      <c r="AL378" s="436"/>
      <c r="AM378" s="436">
        <v>-1.16</v>
      </c>
      <c r="AN378" s="438"/>
      <c r="AO378" s="436">
        <v>1.0</v>
      </c>
      <c r="AP378" s="438"/>
      <c r="AQ378" s="438"/>
      <c r="AR378" s="438"/>
      <c r="AS378" s="438"/>
      <c r="AT378" s="455">
        <v>2.7</v>
      </c>
      <c r="AU378" s="452"/>
      <c r="AV378" s="438"/>
      <c r="AW378" s="438"/>
      <c r="AX378" s="450">
        <v>134.575012111751</v>
      </c>
    </row>
    <row r="379">
      <c r="A379" s="436" t="s">
        <v>1440</v>
      </c>
      <c r="B379" s="436" t="s">
        <v>1440</v>
      </c>
      <c r="C379" s="419"/>
      <c r="D379" s="436" t="s">
        <v>158</v>
      </c>
      <c r="E379" s="436"/>
      <c r="F379" s="436" t="s">
        <v>2608</v>
      </c>
      <c r="G379" s="436" t="s">
        <v>169</v>
      </c>
      <c r="H379" s="436" t="s">
        <v>1309</v>
      </c>
      <c r="I379" s="436" t="s">
        <v>2409</v>
      </c>
      <c r="J379" s="436">
        <v>4350.0</v>
      </c>
      <c r="K379" s="436"/>
      <c r="L379" s="436" t="s">
        <v>459</v>
      </c>
      <c r="M379" s="457">
        <v>3.0</v>
      </c>
      <c r="N379" s="422">
        <v>11.378</v>
      </c>
      <c r="O379" s="422">
        <v>8.271</v>
      </c>
      <c r="P379" s="422">
        <v>17.69</v>
      </c>
      <c r="Q379" s="436" t="s">
        <v>2410</v>
      </c>
      <c r="R379" s="436" t="s">
        <v>2420</v>
      </c>
      <c r="S379" s="436" t="s">
        <v>2412</v>
      </c>
      <c r="T379" s="436" t="s">
        <v>596</v>
      </c>
      <c r="U379" s="436" t="s">
        <v>2413</v>
      </c>
      <c r="V379" s="440"/>
      <c r="W379" s="474">
        <v>1.6</v>
      </c>
      <c r="X379" s="419"/>
      <c r="Y379" s="442">
        <f t="shared" si="103"/>
        <v>2.233249031</v>
      </c>
      <c r="Z379" s="469"/>
      <c r="AA379" s="470"/>
      <c r="AB379" s="470"/>
      <c r="AC379" s="436" t="str">
        <f>IF(ISNUMBER(VLOOKUP(B379,'New Masses'!A:C,3,FALSE)),VLOOKUP(B379,'New Masses'!A:C,3,FALSE),"")</f>
        <v/>
      </c>
      <c r="AD379" s="440"/>
      <c r="AE379" s="440">
        <f t="shared" si="104"/>
        <v>0.00000001288249552</v>
      </c>
      <c r="AF379" s="439">
        <v>-7.89</v>
      </c>
      <c r="AG379" s="438"/>
      <c r="AH379" s="459">
        <v>0.6</v>
      </c>
      <c r="AI379" s="436"/>
      <c r="AJ379" s="446" t="str">
        <f>IF(ISNUMBER(VLOOKUP(B379,'New Masses'!A:C,2, FALSE)),VLOOKUP(B379,'New Masses'!A:C,2, FALSE),"")</f>
        <v/>
      </c>
      <c r="AK379" s="436">
        <f>LOG10(AH379)</f>
        <v>-0.2218487496</v>
      </c>
      <c r="AL379" s="438"/>
      <c r="AM379" s="438"/>
      <c r="AN379" s="436" t="s">
        <v>2407</v>
      </c>
      <c r="AO379" s="436">
        <v>1.0</v>
      </c>
      <c r="AP379" s="438"/>
      <c r="AQ379" s="438"/>
      <c r="AR379" s="438"/>
      <c r="AS379" s="438"/>
      <c r="AT379" s="448"/>
      <c r="AU379" s="449"/>
      <c r="AV379" s="438"/>
      <c r="AW379" s="438"/>
      <c r="AX379" s="450">
        <v>134.575012111751</v>
      </c>
    </row>
    <row r="380">
      <c r="A380" s="436" t="s">
        <v>1326</v>
      </c>
      <c r="B380" s="436" t="s">
        <v>1326</v>
      </c>
      <c r="C380" s="420"/>
      <c r="D380" s="420" t="s">
        <v>158</v>
      </c>
      <c r="E380" s="420"/>
      <c r="F380" s="420" t="s">
        <v>2609</v>
      </c>
      <c r="G380" s="420" t="s">
        <v>257</v>
      </c>
      <c r="H380" s="420" t="s">
        <v>160</v>
      </c>
      <c r="I380" s="420" t="s">
        <v>1963</v>
      </c>
      <c r="J380" s="436">
        <v>2754.2287</v>
      </c>
      <c r="K380" s="436"/>
      <c r="L380" s="420" t="s">
        <v>1285</v>
      </c>
      <c r="M380" s="429"/>
      <c r="N380" s="422">
        <v>16.541</v>
      </c>
      <c r="O380" s="422">
        <v>12.286</v>
      </c>
      <c r="P380" s="422"/>
      <c r="Q380" s="420" t="s">
        <v>2183</v>
      </c>
      <c r="R380" s="438"/>
      <c r="S380" s="438" t="s">
        <v>1964</v>
      </c>
      <c r="T380" s="421" t="s">
        <v>162</v>
      </c>
      <c r="U380" s="420" t="s">
        <v>2185</v>
      </c>
      <c r="V380" s="451"/>
      <c r="W380" s="458">
        <v>0.0446683592150963</v>
      </c>
      <c r="X380" s="438"/>
      <c r="Y380" s="442">
        <f t="shared" si="103"/>
        <v>0.9307985068</v>
      </c>
      <c r="Z380" s="442"/>
      <c r="AA380" s="443"/>
      <c r="AB380" s="443"/>
      <c r="AC380" s="436" t="str">
        <f>IF(ISNUMBER(VLOOKUP(B380,'New Masses'!A:C,3,FALSE)),VLOOKUP(B380,'New Masses'!A:C,3,FALSE),"")</f>
        <v/>
      </c>
      <c r="AD380" s="440"/>
      <c r="AE380" s="440">
        <f t="shared" si="104"/>
        <v>0.000000002630267992</v>
      </c>
      <c r="AF380" s="439">
        <v>-8.58</v>
      </c>
      <c r="AG380" s="438"/>
      <c r="AH380" s="459">
        <f>10^AK380</f>
        <v>0.06309573445</v>
      </c>
      <c r="AI380" s="438"/>
      <c r="AJ380" s="446" t="str">
        <f>IF(ISNUMBER(VLOOKUP(B380,'New Masses'!A:C,2, FALSE)),VLOOKUP(B380,'New Masses'!A:C,2, FALSE),"")</f>
        <v/>
      </c>
      <c r="AK380" s="436">
        <v>-1.2</v>
      </c>
      <c r="AL380" s="436"/>
      <c r="AM380" s="511">
        <v>-2.2</v>
      </c>
      <c r="AN380" s="436"/>
      <c r="AO380" s="436">
        <v>1.0</v>
      </c>
      <c r="AP380" s="438"/>
      <c r="AQ380" s="436">
        <v>14.8</v>
      </c>
      <c r="AR380" s="438"/>
      <c r="AS380" s="420" t="s">
        <v>664</v>
      </c>
      <c r="AT380" s="455">
        <v>4.2</v>
      </c>
      <c r="AU380" s="452"/>
      <c r="AV380" s="420" t="s">
        <v>1304</v>
      </c>
      <c r="AW380" s="438"/>
      <c r="AX380" s="450"/>
    </row>
    <row r="381">
      <c r="A381" s="470" t="s">
        <v>1326</v>
      </c>
      <c r="B381" s="470" t="s">
        <v>1326</v>
      </c>
      <c r="C381" s="420"/>
      <c r="D381" s="436" t="s">
        <v>158</v>
      </c>
      <c r="E381" s="436"/>
      <c r="F381" s="436" t="s">
        <v>2609</v>
      </c>
      <c r="G381" s="436" t="s">
        <v>169</v>
      </c>
      <c r="H381" s="436" t="s">
        <v>754</v>
      </c>
      <c r="I381" s="436">
        <v>2010.0</v>
      </c>
      <c r="J381" s="436">
        <v>3500.0</v>
      </c>
      <c r="K381" s="436">
        <v>150.0</v>
      </c>
      <c r="L381" s="436" t="s">
        <v>1285</v>
      </c>
      <c r="M381" s="439"/>
      <c r="N381" s="422">
        <v>16.541</v>
      </c>
      <c r="O381" s="422">
        <v>12.286</v>
      </c>
      <c r="P381" s="422"/>
      <c r="Q381" s="436" t="s">
        <v>2417</v>
      </c>
      <c r="R381" s="436" t="s">
        <v>2610</v>
      </c>
      <c r="S381" s="436" t="s">
        <v>2419</v>
      </c>
      <c r="T381" s="419" t="s">
        <v>162</v>
      </c>
      <c r="U381" s="436" t="s">
        <v>1754</v>
      </c>
      <c r="V381" s="440"/>
      <c r="W381" s="474">
        <v>0.034</v>
      </c>
      <c r="X381" s="436"/>
      <c r="Y381" s="442">
        <f t="shared" si="103"/>
        <v>0.5028738433</v>
      </c>
      <c r="Z381" s="469"/>
      <c r="AA381" s="470">
        <v>0.5</v>
      </c>
      <c r="AB381" s="470">
        <v>0.1</v>
      </c>
      <c r="AC381" s="436" t="str">
        <f>IF(ISNUMBER(VLOOKUP(B381,'New Masses'!A:C,3,FALSE)),VLOOKUP(B381,'New Masses'!A:C,3,FALSE),"")</f>
        <v/>
      </c>
      <c r="AD381" s="451"/>
      <c r="AE381" s="451">
        <f t="shared" ref="AE381:AE384" si="108">10^(AF381)</f>
        <v>0</v>
      </c>
      <c r="AF381" s="439">
        <v>-10.34</v>
      </c>
      <c r="AG381" s="438"/>
      <c r="AH381" s="459">
        <v>0.4</v>
      </c>
      <c r="AI381" s="436">
        <v>0.1</v>
      </c>
      <c r="AJ381" s="446" t="str">
        <f>IF(ISNUMBER(VLOOKUP(B381,'New Masses'!A:C,2, FALSE)),VLOOKUP(B381,'New Masses'!A:C,2, FALSE),"")</f>
        <v/>
      </c>
      <c r="AK381" s="436">
        <f>LOG10(AH381)</f>
        <v>-0.3979400087</v>
      </c>
      <c r="AL381" s="436"/>
      <c r="AM381" s="436">
        <v>-3.04</v>
      </c>
      <c r="AN381" s="438"/>
      <c r="AO381" s="436">
        <v>1.0</v>
      </c>
      <c r="AP381" s="438"/>
      <c r="AQ381" s="438"/>
      <c r="AR381" s="438"/>
      <c r="AS381" s="438"/>
      <c r="AT381" s="448"/>
      <c r="AU381" s="452"/>
      <c r="AV381" s="438"/>
      <c r="AW381" s="438"/>
      <c r="AX381" s="450"/>
    </row>
    <row r="382">
      <c r="A382" s="436" t="s">
        <v>1438</v>
      </c>
      <c r="B382" s="436" t="s">
        <v>1438</v>
      </c>
      <c r="C382" s="419"/>
      <c r="D382" s="436" t="s">
        <v>158</v>
      </c>
      <c r="E382" s="436"/>
      <c r="F382" s="436" t="s">
        <v>2611</v>
      </c>
      <c r="G382" s="436" t="s">
        <v>169</v>
      </c>
      <c r="H382" s="436" t="s">
        <v>160</v>
      </c>
      <c r="I382" s="436" t="s">
        <v>1963</v>
      </c>
      <c r="J382" s="436">
        <v>3890.45145</v>
      </c>
      <c r="K382" s="436"/>
      <c r="L382" s="438"/>
      <c r="M382" s="453"/>
      <c r="N382" s="422">
        <v>10.754</v>
      </c>
      <c r="O382" s="422">
        <v>8.464</v>
      </c>
      <c r="P382" s="422">
        <v>15.76</v>
      </c>
      <c r="Q382" s="436" t="s">
        <v>2183</v>
      </c>
      <c r="R382" s="436" t="s">
        <v>2184</v>
      </c>
      <c r="S382" s="436" t="s">
        <v>1964</v>
      </c>
      <c r="T382" s="419" t="s">
        <v>162</v>
      </c>
      <c r="U382" s="436" t="s">
        <v>2185</v>
      </c>
      <c r="V382" s="451">
        <v>1.00976E30</v>
      </c>
      <c r="W382" s="458">
        <v>1.7378008287493754</v>
      </c>
      <c r="X382" s="438"/>
      <c r="Y382" s="442">
        <f t="shared" si="103"/>
        <v>2.90975</v>
      </c>
      <c r="Z382" s="442"/>
      <c r="AA382" s="443"/>
      <c r="AB382" s="443"/>
      <c r="AC382" s="436" t="str">
        <f>IF(ISNUMBER(VLOOKUP(B382,'New Masses'!A:C,3,FALSE)),VLOOKUP(B382,'New Masses'!A:C,3,FALSE),"")</f>
        <v/>
      </c>
      <c r="AD382" s="451"/>
      <c r="AE382" s="451">
        <f t="shared" si="108"/>
        <v>0.00000001862087137</v>
      </c>
      <c r="AF382" s="439">
        <v>-7.73</v>
      </c>
      <c r="AG382" s="438"/>
      <c r="AH382" s="459">
        <f>10^AK382</f>
        <v>0.5623413252</v>
      </c>
      <c r="AI382" s="436"/>
      <c r="AJ382" s="446" t="str">
        <f>IF(ISNUMBER(VLOOKUP(B382,'New Masses'!A:C,2, FALSE)),VLOOKUP(B382,'New Masses'!A:C,2, FALSE),"")</f>
        <v/>
      </c>
      <c r="AK382" s="436">
        <v>-0.25</v>
      </c>
      <c r="AL382" s="436"/>
      <c r="AM382" s="436">
        <v>-0.87</v>
      </c>
      <c r="AN382" s="438"/>
      <c r="AO382" s="436">
        <v>1.0</v>
      </c>
      <c r="AP382" s="438"/>
      <c r="AQ382" s="438"/>
      <c r="AR382" s="438"/>
      <c r="AS382" s="438"/>
      <c r="AT382" s="455">
        <v>2.2</v>
      </c>
      <c r="AU382" s="452"/>
      <c r="AV382" s="438"/>
      <c r="AW382" s="438"/>
      <c r="AX382" s="450">
        <v>137.018209720071</v>
      </c>
    </row>
    <row r="383">
      <c r="A383" s="436" t="s">
        <v>1438</v>
      </c>
      <c r="B383" s="436" t="s">
        <v>1438</v>
      </c>
      <c r="C383" s="419"/>
      <c r="D383" s="436" t="s">
        <v>158</v>
      </c>
      <c r="E383" s="436"/>
      <c r="F383" s="436" t="s">
        <v>2611</v>
      </c>
      <c r="G383" s="436" t="s">
        <v>169</v>
      </c>
      <c r="H383" s="436" t="s">
        <v>1309</v>
      </c>
      <c r="I383" s="436" t="s">
        <v>2409</v>
      </c>
      <c r="J383" s="436">
        <v>4350.0</v>
      </c>
      <c r="K383" s="436"/>
      <c r="L383" s="436" t="s">
        <v>459</v>
      </c>
      <c r="M383" s="457">
        <v>3.0</v>
      </c>
      <c r="N383" s="422">
        <v>10.754</v>
      </c>
      <c r="O383" s="422">
        <v>8.464</v>
      </c>
      <c r="P383" s="422">
        <v>15.76</v>
      </c>
      <c r="Q383" s="436" t="s">
        <v>2410</v>
      </c>
      <c r="R383" s="436" t="s">
        <v>2612</v>
      </c>
      <c r="S383" s="436" t="s">
        <v>2412</v>
      </c>
      <c r="T383" s="436" t="s">
        <v>596</v>
      </c>
      <c r="U383" s="436" t="s">
        <v>2413</v>
      </c>
      <c r="V383" s="440"/>
      <c r="W383" s="441">
        <v>1.9</v>
      </c>
      <c r="X383" s="454"/>
      <c r="Y383" s="442">
        <f t="shared" si="103"/>
        <v>2.433626711</v>
      </c>
      <c r="Z383" s="442"/>
      <c r="AA383" s="443"/>
      <c r="AB383" s="443"/>
      <c r="AC383" s="436" t="str">
        <f>IF(ISNUMBER(VLOOKUP(B383,'New Masses'!A:C,3,FALSE)),VLOOKUP(B383,'New Masses'!A:C,3,FALSE),"")</f>
        <v/>
      </c>
      <c r="AD383" s="451"/>
      <c r="AE383" s="451">
        <f t="shared" si="108"/>
        <v>0.00000000645654229</v>
      </c>
      <c r="AF383" s="439">
        <v>-8.19</v>
      </c>
      <c r="AG383" s="438"/>
      <c r="AH383" s="459">
        <v>0.6</v>
      </c>
      <c r="AI383" s="436"/>
      <c r="AJ383" s="446" t="str">
        <f>IF(ISNUMBER(VLOOKUP(B383,'New Masses'!A:C,2, FALSE)),VLOOKUP(B383,'New Masses'!A:C,2, FALSE),"")</f>
        <v/>
      </c>
      <c r="AK383" s="436">
        <f>LOG10(AH383)</f>
        <v>-0.2218487496</v>
      </c>
      <c r="AL383" s="438"/>
      <c r="AM383" s="438"/>
      <c r="AN383" s="436" t="s">
        <v>2407</v>
      </c>
      <c r="AO383" s="436">
        <v>1.0</v>
      </c>
      <c r="AP383" s="438"/>
      <c r="AQ383" s="438"/>
      <c r="AR383" s="438"/>
      <c r="AS383" s="438"/>
      <c r="AT383" s="448"/>
      <c r="AU383" s="449"/>
      <c r="AV383" s="438"/>
      <c r="AW383" s="438"/>
      <c r="AX383" s="450">
        <v>137.018209720071</v>
      </c>
    </row>
    <row r="384">
      <c r="A384" s="436" t="s">
        <v>1442</v>
      </c>
      <c r="B384" s="436" t="s">
        <v>1442</v>
      </c>
      <c r="C384" s="436"/>
      <c r="D384" s="436" t="s">
        <v>158</v>
      </c>
      <c r="E384" s="436"/>
      <c r="F384" s="436" t="s">
        <v>2613</v>
      </c>
      <c r="G384" s="436" t="s">
        <v>169</v>
      </c>
      <c r="H384" s="436" t="s">
        <v>160</v>
      </c>
      <c r="I384" s="436" t="s">
        <v>1963</v>
      </c>
      <c r="J384" s="436">
        <v>3981.07171</v>
      </c>
      <c r="K384" s="436"/>
      <c r="L384" s="436" t="s">
        <v>459</v>
      </c>
      <c r="M384" s="439"/>
      <c r="N384" s="422">
        <v>8.44</v>
      </c>
      <c r="O384" s="422">
        <v>7.207</v>
      </c>
      <c r="P384" s="422">
        <v>11.11</v>
      </c>
      <c r="Q384" s="436" t="s">
        <v>2183</v>
      </c>
      <c r="R384" s="436" t="s">
        <v>2184</v>
      </c>
      <c r="S384" s="436" t="s">
        <v>1964</v>
      </c>
      <c r="T384" s="419" t="s">
        <v>162</v>
      </c>
      <c r="U384" s="436" t="s">
        <v>2185</v>
      </c>
      <c r="V384" s="451">
        <v>4.20938E29</v>
      </c>
      <c r="W384" s="458">
        <v>1.9054607179632472</v>
      </c>
      <c r="X384" s="438"/>
      <c r="Y384" s="442">
        <f t="shared" si="103"/>
        <v>2.909749993</v>
      </c>
      <c r="Z384" s="442"/>
      <c r="AA384" s="443"/>
      <c r="AB384" s="443"/>
      <c r="AC384" s="436" t="str">
        <f>IF(ISNUMBER(VLOOKUP(B384,'New Masses'!A:C,3,FALSE)),VLOOKUP(B384,'New Masses'!A:C,3,FALSE),"")</f>
        <v/>
      </c>
      <c r="AD384" s="451"/>
      <c r="AE384" s="451">
        <f t="shared" si="108"/>
        <v>0.000000005495408739</v>
      </c>
      <c r="AF384" s="439">
        <v>-8.26</v>
      </c>
      <c r="AG384" s="438"/>
      <c r="AH384" s="459">
        <f t="shared" ref="AH384:AH385" si="109">10^AK384</f>
        <v>0.6025595861</v>
      </c>
      <c r="AI384" s="436"/>
      <c r="AJ384" s="446" t="str">
        <f>IF(ISNUMBER(VLOOKUP(B384,'New Masses'!A:C,2, FALSE)),VLOOKUP(B384,'New Masses'!A:C,2, FALSE),"")</f>
        <v/>
      </c>
      <c r="AK384" s="436">
        <v>-0.22</v>
      </c>
      <c r="AL384" s="436"/>
      <c r="AM384" s="436">
        <v>-1.38</v>
      </c>
      <c r="AN384" s="438"/>
      <c r="AO384" s="436">
        <v>1.0</v>
      </c>
      <c r="AP384" s="438"/>
      <c r="AQ384" s="438"/>
      <c r="AR384" s="436"/>
      <c r="AS384" s="438"/>
      <c r="AT384" s="455">
        <v>0.0</v>
      </c>
      <c r="AU384" s="449"/>
      <c r="AV384" s="438" t="s">
        <v>1443</v>
      </c>
      <c r="AW384" s="438"/>
      <c r="AX384" s="450">
        <v>130.456336264252</v>
      </c>
    </row>
    <row r="385">
      <c r="A385" s="436" t="s">
        <v>1301</v>
      </c>
      <c r="B385" s="436" t="s">
        <v>1301</v>
      </c>
      <c r="C385" s="420"/>
      <c r="D385" s="420" t="s">
        <v>158</v>
      </c>
      <c r="E385" s="420"/>
      <c r="F385" s="420" t="s">
        <v>2614</v>
      </c>
      <c r="G385" s="420" t="s">
        <v>169</v>
      </c>
      <c r="H385" s="420" t="s">
        <v>160</v>
      </c>
      <c r="I385" s="420" t="s">
        <v>1963</v>
      </c>
      <c r="J385" s="436">
        <v>2290.86765</v>
      </c>
      <c r="K385" s="436"/>
      <c r="L385" s="420"/>
      <c r="M385" s="429"/>
      <c r="N385" s="422">
        <v>17.203</v>
      </c>
      <c r="O385" s="422">
        <v>13.548</v>
      </c>
      <c r="P385" s="422"/>
      <c r="Q385" s="420" t="s">
        <v>2183</v>
      </c>
      <c r="R385" s="438"/>
      <c r="S385" s="438" t="s">
        <v>1964</v>
      </c>
      <c r="T385" s="421" t="s">
        <v>162</v>
      </c>
      <c r="U385" s="420" t="s">
        <v>2185</v>
      </c>
      <c r="V385" s="451"/>
      <c r="W385" s="458">
        <v>8.511380382023768E-4</v>
      </c>
      <c r="X385" s="438"/>
      <c r="Y385" s="442">
        <f t="shared" si="103"/>
        <v>0.1857187183</v>
      </c>
      <c r="Z385" s="442"/>
      <c r="AA385" s="443"/>
      <c r="AB385" s="443"/>
      <c r="AC385" s="436" t="str">
        <f>IF(ISNUMBER(VLOOKUP(B385,'New Masses'!A:C,3,FALSE)),VLOOKUP(B385,'New Masses'!A:C,3,FALSE),"")</f>
        <v/>
      </c>
      <c r="AD385" s="440"/>
      <c r="AE385" s="440">
        <f>10^AF385</f>
        <v>0</v>
      </c>
      <c r="AF385" s="439">
        <v>-11.07</v>
      </c>
      <c r="AG385" s="438"/>
      <c r="AH385" s="459">
        <f t="shared" si="109"/>
        <v>0.005888436554</v>
      </c>
      <c r="AI385" s="438"/>
      <c r="AJ385" s="446" t="str">
        <f>IF(ISNUMBER(VLOOKUP(B385,'New Masses'!A:C,2, FALSE)),VLOOKUP(B385,'New Masses'!A:C,2, FALSE),"")</f>
        <v/>
      </c>
      <c r="AK385" s="436">
        <v>-2.23</v>
      </c>
      <c r="AL385" s="436"/>
      <c r="AM385" s="489">
        <v>-5.01</v>
      </c>
      <c r="AN385" s="436"/>
      <c r="AO385" s="436">
        <v>1.0</v>
      </c>
      <c r="AP385" s="438"/>
      <c r="AQ385" s="436">
        <v>3.54</v>
      </c>
      <c r="AR385" s="438"/>
      <c r="AS385" s="420" t="s">
        <v>664</v>
      </c>
      <c r="AT385" s="455">
        <v>1.0</v>
      </c>
      <c r="AU385" s="449" t="s">
        <v>137</v>
      </c>
      <c r="AV385" s="438"/>
      <c r="AW385" s="438"/>
      <c r="AX385" s="450"/>
    </row>
    <row r="386">
      <c r="A386" s="436" t="s">
        <v>1991</v>
      </c>
      <c r="B386" s="436" t="s">
        <v>1991</v>
      </c>
      <c r="C386" s="436"/>
      <c r="D386" s="436" t="s">
        <v>158</v>
      </c>
      <c r="E386" s="436"/>
      <c r="F386" s="436" t="s">
        <v>2615</v>
      </c>
      <c r="G386" s="436" t="s">
        <v>169</v>
      </c>
      <c r="H386" s="436" t="s">
        <v>160</v>
      </c>
      <c r="I386" s="436" t="s">
        <v>1963</v>
      </c>
      <c r="J386" s="436">
        <v>3162.27766</v>
      </c>
      <c r="K386" s="436"/>
      <c r="L386" s="438"/>
      <c r="M386" s="453"/>
      <c r="N386" s="422"/>
      <c r="O386" s="422">
        <v>12.286</v>
      </c>
      <c r="P386" s="422"/>
      <c r="Q386" s="436" t="s">
        <v>2183</v>
      </c>
      <c r="R386" s="436" t="s">
        <v>2184</v>
      </c>
      <c r="S386" s="436" t="s">
        <v>1964</v>
      </c>
      <c r="T386" s="419" t="s">
        <v>162</v>
      </c>
      <c r="U386" s="436" t="s">
        <v>2185</v>
      </c>
      <c r="V386" s="451"/>
      <c r="W386" s="458">
        <v>0.31622776601683794</v>
      </c>
      <c r="X386" s="438"/>
      <c r="Y386" s="442">
        <f t="shared" si="103"/>
        <v>1.878692393</v>
      </c>
      <c r="Z386" s="442"/>
      <c r="AA386" s="443"/>
      <c r="AB386" s="443"/>
      <c r="AC386" s="436" t="str">
        <f>IF(ISNUMBER(VLOOKUP(B386,'New Masses'!A:C,3,FALSE)),VLOOKUP(B386,'New Masses'!A:C,3,FALSE),"")</f>
        <v/>
      </c>
      <c r="AD386" s="451"/>
      <c r="AE386" s="451"/>
      <c r="AF386" s="439"/>
      <c r="AG386" s="438"/>
      <c r="AH386" s="459"/>
      <c r="AI386" s="436"/>
      <c r="AJ386" s="446" t="str">
        <f>IF(ISNUMBER(VLOOKUP(B386,'New Masses'!A:C,2, FALSE)),VLOOKUP(B386,'New Masses'!A:C,2, FALSE),"")</f>
        <v/>
      </c>
      <c r="AK386" s="436"/>
      <c r="AL386" s="436"/>
      <c r="AM386" s="436"/>
      <c r="AN386" s="438"/>
      <c r="AO386" s="436">
        <v>1.0</v>
      </c>
      <c r="AP386" s="438"/>
      <c r="AQ386" s="438"/>
      <c r="AR386" s="438"/>
      <c r="AS386" s="438"/>
      <c r="AT386" s="455">
        <v>8.5</v>
      </c>
      <c r="AU386" s="452" t="s">
        <v>137</v>
      </c>
      <c r="AV386" s="438"/>
      <c r="AW386" s="438"/>
      <c r="AX386" s="450"/>
    </row>
    <row r="387">
      <c r="A387" s="436" t="s">
        <v>1369</v>
      </c>
      <c r="B387" s="436" t="s">
        <v>1369</v>
      </c>
      <c r="C387" s="420"/>
      <c r="D387" s="436" t="s">
        <v>158</v>
      </c>
      <c r="E387" s="436"/>
      <c r="F387" s="436" t="s">
        <v>2616</v>
      </c>
      <c r="G387" s="436" t="s">
        <v>169</v>
      </c>
      <c r="H387" s="436" t="s">
        <v>160</v>
      </c>
      <c r="I387" s="436" t="s">
        <v>1963</v>
      </c>
      <c r="J387" s="436">
        <v>3090.29543</v>
      </c>
      <c r="K387" s="436"/>
      <c r="L387" s="436" t="s">
        <v>415</v>
      </c>
      <c r="M387" s="439"/>
      <c r="N387" s="422">
        <v>13.245</v>
      </c>
      <c r="O387" s="422">
        <v>10.537</v>
      </c>
      <c r="P387" s="422"/>
      <c r="Q387" s="436" t="s">
        <v>2183</v>
      </c>
      <c r="R387" s="436" t="s">
        <v>2184</v>
      </c>
      <c r="S387" s="436" t="s">
        <v>1964</v>
      </c>
      <c r="T387" s="419" t="s">
        <v>162</v>
      </c>
      <c r="U387" s="436" t="s">
        <v>2185</v>
      </c>
      <c r="V387" s="451">
        <v>5.81056E28</v>
      </c>
      <c r="W387" s="458">
        <v>0.2754228703338166</v>
      </c>
      <c r="X387" s="438"/>
      <c r="Y387" s="442">
        <f t="shared" si="103"/>
        <v>1.835928136</v>
      </c>
      <c r="Z387" s="442"/>
      <c r="AA387" s="443"/>
      <c r="AB387" s="443"/>
      <c r="AC387" s="436" t="str">
        <f>IF(ISNUMBER(VLOOKUP(B387,'New Masses'!A:C,3,FALSE)),VLOOKUP(B387,'New Masses'!A:C,3,FALSE),"")</f>
        <v/>
      </c>
      <c r="AD387" s="451"/>
      <c r="AE387" s="451">
        <f>10^(AF387)</f>
        <v>0.000000000758577575</v>
      </c>
      <c r="AF387" s="439">
        <v>-9.12</v>
      </c>
      <c r="AG387" s="438"/>
      <c r="AH387" s="459">
        <f t="shared" ref="AH387:AH388" si="110">10^AK387</f>
        <v>0.1905460718</v>
      </c>
      <c r="AI387" s="436"/>
      <c r="AJ387" s="446" t="str">
        <f>IF(ISNUMBER(VLOOKUP(B387,'New Masses'!A:C,2, FALSE)),VLOOKUP(B387,'New Masses'!A:C,2, FALSE),"")</f>
        <v/>
      </c>
      <c r="AK387" s="436">
        <v>-0.72</v>
      </c>
      <c r="AL387" s="436"/>
      <c r="AM387" s="436">
        <v>-2.56</v>
      </c>
      <c r="AN387" s="438"/>
      <c r="AO387" s="436">
        <v>1.0</v>
      </c>
      <c r="AP387" s="438"/>
      <c r="AQ387" s="436"/>
      <c r="AR387" s="436"/>
      <c r="AS387" s="438"/>
      <c r="AT387" s="455">
        <v>2.8</v>
      </c>
      <c r="AU387" s="449" t="s">
        <v>137</v>
      </c>
      <c r="AV387" s="438" t="s">
        <v>1332</v>
      </c>
      <c r="AW387" s="438"/>
      <c r="AX387" s="450">
        <v>151.505969335191</v>
      </c>
    </row>
    <row r="388">
      <c r="A388" s="436" t="s">
        <v>1317</v>
      </c>
      <c r="B388" s="436" t="s">
        <v>1317</v>
      </c>
      <c r="C388" s="420"/>
      <c r="D388" s="420" t="s">
        <v>158</v>
      </c>
      <c r="E388" s="420"/>
      <c r="F388" s="420" t="s">
        <v>2617</v>
      </c>
      <c r="G388" s="420" t="s">
        <v>169</v>
      </c>
      <c r="H388" s="420" t="s">
        <v>160</v>
      </c>
      <c r="I388" s="420" t="s">
        <v>1963</v>
      </c>
      <c r="J388" s="436">
        <v>2630.26799</v>
      </c>
      <c r="K388" s="436"/>
      <c r="L388" s="420"/>
      <c r="M388" s="429"/>
      <c r="N388" s="422">
        <v>17.382</v>
      </c>
      <c r="O388" s="422">
        <v>12.455</v>
      </c>
      <c r="P388" s="422"/>
      <c r="Q388" s="420" t="s">
        <v>2183</v>
      </c>
      <c r="R388" s="438"/>
      <c r="S388" s="438" t="s">
        <v>1964</v>
      </c>
      <c r="T388" s="421" t="s">
        <v>162</v>
      </c>
      <c r="U388" s="420" t="s">
        <v>2185</v>
      </c>
      <c r="V388" s="451"/>
      <c r="W388" s="458">
        <v>0.01513561248436208</v>
      </c>
      <c r="X388" s="438"/>
      <c r="Y388" s="442">
        <f t="shared" si="103"/>
        <v>0.5940946993</v>
      </c>
      <c r="Z388" s="442"/>
      <c r="AA388" s="443"/>
      <c r="AB388" s="443"/>
      <c r="AC388" s="436" t="str">
        <f>IF(ISNUMBER(VLOOKUP(B388,'New Masses'!A:C,3,FALSE)),VLOOKUP(B388,'New Masses'!A:C,3,FALSE),"")</f>
        <v/>
      </c>
      <c r="AD388" s="440"/>
      <c r="AE388" s="440">
        <f t="shared" ref="AE388:AE389" si="111">10^AF388</f>
        <v>0.000000001621810097</v>
      </c>
      <c r="AF388" s="439">
        <v>-8.79</v>
      </c>
      <c r="AG388" s="438"/>
      <c r="AH388" s="459">
        <f t="shared" si="110"/>
        <v>0.03311311215</v>
      </c>
      <c r="AI388" s="438"/>
      <c r="AJ388" s="446" t="str">
        <f>IF(ISNUMBER(VLOOKUP(B388,'New Masses'!A:C,2, FALSE)),VLOOKUP(B388,'New Masses'!A:C,2, FALSE),"")</f>
        <v/>
      </c>
      <c r="AK388" s="436">
        <v>-1.48</v>
      </c>
      <c r="AL388" s="436"/>
      <c r="AM388" s="511">
        <v>-2.49</v>
      </c>
      <c r="AN388" s="436"/>
      <c r="AO388" s="436">
        <v>1.0</v>
      </c>
      <c r="AP388" s="438"/>
      <c r="AQ388" s="436">
        <v>14.18</v>
      </c>
      <c r="AR388" s="438"/>
      <c r="AS388" s="420" t="s">
        <v>664</v>
      </c>
      <c r="AT388" s="448"/>
      <c r="AU388" s="452"/>
      <c r="AV388" s="420"/>
      <c r="AW388" s="438"/>
      <c r="AX388" s="450"/>
    </row>
    <row r="389">
      <c r="A389" s="436" t="s">
        <v>1321</v>
      </c>
      <c r="B389" s="436" t="s">
        <v>1321</v>
      </c>
      <c r="C389" s="421"/>
      <c r="D389" s="420" t="s">
        <v>158</v>
      </c>
      <c r="E389" s="420"/>
      <c r="F389" s="420" t="s">
        <v>2618</v>
      </c>
      <c r="G389" s="420" t="s">
        <v>169</v>
      </c>
      <c r="H389" s="420" t="s">
        <v>754</v>
      </c>
      <c r="I389" s="436">
        <v>2010.0</v>
      </c>
      <c r="J389" s="436">
        <v>2800.0</v>
      </c>
      <c r="K389" s="419">
        <v>50.0</v>
      </c>
      <c r="L389" s="420" t="s">
        <v>232</v>
      </c>
      <c r="M389" s="429"/>
      <c r="N389" s="422">
        <v>13.834</v>
      </c>
      <c r="O389" s="422">
        <v>11.323</v>
      </c>
      <c r="P389" s="422"/>
      <c r="Q389" s="420" t="s">
        <v>2417</v>
      </c>
      <c r="R389" s="420" t="s">
        <v>2619</v>
      </c>
      <c r="S389" s="420" t="s">
        <v>2419</v>
      </c>
      <c r="T389" s="421" t="s">
        <v>162</v>
      </c>
      <c r="U389" s="420" t="s">
        <v>1754</v>
      </c>
      <c r="V389" s="440"/>
      <c r="W389" s="474">
        <v>0.057</v>
      </c>
      <c r="X389" s="436"/>
      <c r="Y389" s="442">
        <f t="shared" si="103"/>
        <v>1.017365584</v>
      </c>
      <c r="Z389" s="469"/>
      <c r="AA389" s="470">
        <v>1.02</v>
      </c>
      <c r="AB389" s="470">
        <v>0.04</v>
      </c>
      <c r="AC389" s="469">
        <f>IF(ISNUMBER(VLOOKUP(B389,'New Masses'!A:C,3,FALSE)),VLOOKUP(B389,'New Masses'!A:C,3,FALSE),"")</f>
        <v>0.473141</v>
      </c>
      <c r="AD389" s="451"/>
      <c r="AE389" s="451">
        <f t="shared" si="111"/>
        <v>0</v>
      </c>
      <c r="AF389" s="439">
        <v>-10.73</v>
      </c>
      <c r="AG389" s="438"/>
      <c r="AH389" s="459">
        <v>0.06</v>
      </c>
      <c r="AI389" s="436">
        <v>0.08</v>
      </c>
      <c r="AJ389" s="446">
        <f>IF(ISNUMBER(VLOOKUP(B389,'New Masses'!A:C,2, FALSE)),VLOOKUP(B389,'New Masses'!A:C,2, FALSE),"")</f>
        <v>0.03139</v>
      </c>
      <c r="AK389" s="436"/>
      <c r="AL389" s="436"/>
      <c r="AM389" s="436">
        <v>-4.6</v>
      </c>
      <c r="AN389" s="438"/>
      <c r="AO389" s="436">
        <v>1.0</v>
      </c>
      <c r="AP389" s="438"/>
      <c r="AQ389" s="436">
        <v>7.0</v>
      </c>
      <c r="AR389" s="438"/>
      <c r="AS389" s="420" t="s">
        <v>2504</v>
      </c>
      <c r="AT389" s="448"/>
      <c r="AU389" s="449"/>
      <c r="AV389" s="438"/>
      <c r="AW389" s="438"/>
      <c r="AX389" s="450">
        <v>138.952575485986</v>
      </c>
    </row>
    <row r="390">
      <c r="A390" s="470" t="s">
        <v>1321</v>
      </c>
      <c r="B390" s="470" t="s">
        <v>1321</v>
      </c>
      <c r="C390" s="421"/>
      <c r="D390" s="436" t="s">
        <v>158</v>
      </c>
      <c r="E390" s="436"/>
      <c r="F390" s="436" t="s">
        <v>2618</v>
      </c>
      <c r="G390" s="436" t="s">
        <v>169</v>
      </c>
      <c r="H390" s="436" t="s">
        <v>160</v>
      </c>
      <c r="I390" s="436" t="s">
        <v>1963</v>
      </c>
      <c r="J390" s="436">
        <v>2818.38293</v>
      </c>
      <c r="K390" s="436"/>
      <c r="L390" s="436" t="s">
        <v>232</v>
      </c>
      <c r="M390" s="439"/>
      <c r="N390" s="422">
        <v>13.834</v>
      </c>
      <c r="O390" s="422">
        <v>11.323</v>
      </c>
      <c r="P390" s="422"/>
      <c r="Q390" s="436" t="s">
        <v>2183</v>
      </c>
      <c r="R390" s="436" t="s">
        <v>2184</v>
      </c>
      <c r="S390" s="436" t="s">
        <v>1964</v>
      </c>
      <c r="T390" s="419" t="s">
        <v>162</v>
      </c>
      <c r="U390" s="436" t="s">
        <v>2185</v>
      </c>
      <c r="V390" s="451">
        <v>9.20912E27</v>
      </c>
      <c r="W390" s="458">
        <v>0.07762471166286916</v>
      </c>
      <c r="X390" s="438"/>
      <c r="Y390" s="442">
        <f t="shared" si="103"/>
        <v>1.171805892</v>
      </c>
      <c r="Z390" s="442"/>
      <c r="AA390" s="443"/>
      <c r="AB390" s="443"/>
      <c r="AC390" s="469">
        <f>IF(ISNUMBER(VLOOKUP(B390,'New Masses'!A:C,3,FALSE)),VLOOKUP(B390,'New Masses'!A:C,3,FALSE),"")</f>
        <v>0.473141</v>
      </c>
      <c r="AD390" s="451"/>
      <c r="AE390" s="451">
        <f t="shared" ref="AE390:AE393" si="112">10^(AF390)</f>
        <v>0</v>
      </c>
      <c r="AF390" s="439">
        <v>-10.08</v>
      </c>
      <c r="AG390" s="438"/>
      <c r="AH390" s="459">
        <f t="shared" ref="AH390:AH393" si="113">10^AK390</f>
        <v>0.08912509381</v>
      </c>
      <c r="AI390" s="436"/>
      <c r="AJ390" s="446">
        <f>IF(ISNUMBER(VLOOKUP(B390,'New Masses'!A:C,2, FALSE)),VLOOKUP(B390,'New Masses'!A:C,2, FALSE),"")</f>
        <v>0.03139</v>
      </c>
      <c r="AK390" s="436">
        <v>-1.05</v>
      </c>
      <c r="AL390" s="436"/>
      <c r="AM390" s="436">
        <v>-3.64</v>
      </c>
      <c r="AN390" s="438"/>
      <c r="AO390" s="436">
        <v>1.0</v>
      </c>
      <c r="AP390" s="438"/>
      <c r="AQ390" s="436"/>
      <c r="AR390" s="436"/>
      <c r="AS390" s="438"/>
      <c r="AT390" s="455">
        <v>2.2</v>
      </c>
      <c r="AU390" s="452" t="s">
        <v>137</v>
      </c>
      <c r="AV390" s="438" t="s">
        <v>1304</v>
      </c>
      <c r="AW390" s="438"/>
      <c r="AX390" s="450">
        <v>138.952575485986</v>
      </c>
    </row>
    <row r="391">
      <c r="A391" s="436" t="s">
        <v>1370</v>
      </c>
      <c r="B391" s="436" t="s">
        <v>1370</v>
      </c>
      <c r="C391" s="436"/>
      <c r="D391" s="436" t="s">
        <v>158</v>
      </c>
      <c r="E391" s="436"/>
      <c r="F391" s="436" t="s">
        <v>2620</v>
      </c>
      <c r="G391" s="436" t="s">
        <v>169</v>
      </c>
      <c r="H391" s="436" t="s">
        <v>160</v>
      </c>
      <c r="I391" s="436" t="s">
        <v>1963</v>
      </c>
      <c r="J391" s="436">
        <v>3090.29543</v>
      </c>
      <c r="K391" s="436"/>
      <c r="L391" s="438"/>
      <c r="M391" s="453"/>
      <c r="N391" s="422">
        <v>15.753</v>
      </c>
      <c r="O391" s="422">
        <v>11.133</v>
      </c>
      <c r="P391" s="422"/>
      <c r="Q391" s="436" t="s">
        <v>2183</v>
      </c>
      <c r="R391" s="436" t="s">
        <v>2184</v>
      </c>
      <c r="S391" s="436" t="s">
        <v>1964</v>
      </c>
      <c r="T391" s="419" t="s">
        <v>162</v>
      </c>
      <c r="U391" s="436" t="s">
        <v>2185</v>
      </c>
      <c r="V391" s="451">
        <v>2.36711E28</v>
      </c>
      <c r="W391" s="458">
        <v>0.28183829312644537</v>
      </c>
      <c r="X391" s="438"/>
      <c r="Y391" s="442">
        <f t="shared" si="103"/>
        <v>1.857187182</v>
      </c>
      <c r="Z391" s="442"/>
      <c r="AA391" s="443"/>
      <c r="AB391" s="443"/>
      <c r="AC391" s="436" t="str">
        <f>IF(ISNUMBER(VLOOKUP(B391,'New Masses'!A:C,3,FALSE)),VLOOKUP(B391,'New Masses'!A:C,3,FALSE),"")</f>
        <v/>
      </c>
      <c r="AD391" s="451"/>
      <c r="AE391" s="451">
        <f t="shared" si="112"/>
        <v>0.0000000002187761624</v>
      </c>
      <c r="AF391" s="439">
        <v>-9.66</v>
      </c>
      <c r="AG391" s="438"/>
      <c r="AH391" s="459">
        <f t="shared" si="113"/>
        <v>0.1905460718</v>
      </c>
      <c r="AI391" s="436"/>
      <c r="AJ391" s="446" t="str">
        <f>IF(ISNUMBER(VLOOKUP(B391,'New Masses'!A:C,2, FALSE)),VLOOKUP(B391,'New Masses'!A:C,2, FALSE),"")</f>
        <v/>
      </c>
      <c r="AK391" s="436">
        <v>-0.72</v>
      </c>
      <c r="AL391" s="436"/>
      <c r="AM391" s="436">
        <v>-3.09</v>
      </c>
      <c r="AN391" s="438"/>
      <c r="AO391" s="436">
        <v>1.0</v>
      </c>
      <c r="AP391" s="438"/>
      <c r="AQ391" s="436"/>
      <c r="AR391" s="438"/>
      <c r="AS391" s="438"/>
      <c r="AT391" s="455">
        <v>5.2</v>
      </c>
      <c r="AU391" s="449" t="s">
        <v>137</v>
      </c>
      <c r="AV391" s="438"/>
      <c r="AW391" s="438"/>
      <c r="AX391" s="450"/>
    </row>
    <row r="392">
      <c r="A392" s="436" t="s">
        <v>1361</v>
      </c>
      <c r="B392" s="436" t="s">
        <v>1361</v>
      </c>
      <c r="C392" s="436"/>
      <c r="D392" s="436" t="s">
        <v>158</v>
      </c>
      <c r="E392" s="436"/>
      <c r="F392" s="436" t="s">
        <v>2621</v>
      </c>
      <c r="G392" s="436" t="s">
        <v>169</v>
      </c>
      <c r="H392" s="436" t="s">
        <v>160</v>
      </c>
      <c r="I392" s="436" t="s">
        <v>1963</v>
      </c>
      <c r="J392" s="436">
        <v>3019.95172</v>
      </c>
      <c r="K392" s="436"/>
      <c r="L392" s="438"/>
      <c r="M392" s="453"/>
      <c r="N392" s="422">
        <v>12.783</v>
      </c>
      <c r="O392" s="422">
        <v>10.161</v>
      </c>
      <c r="P392" s="422"/>
      <c r="Q392" s="436" t="s">
        <v>2183</v>
      </c>
      <c r="R392" s="436" t="s">
        <v>2184</v>
      </c>
      <c r="S392" s="436" t="s">
        <v>1964</v>
      </c>
      <c r="T392" s="419" t="s">
        <v>162</v>
      </c>
      <c r="U392" s="436" t="s">
        <v>2185</v>
      </c>
      <c r="V392" s="451">
        <v>9.64313E28</v>
      </c>
      <c r="W392" s="458">
        <v>0.22387211385683395</v>
      </c>
      <c r="X392" s="438"/>
      <c r="Y392" s="442">
        <f t="shared" si="103"/>
        <v>1.733227923</v>
      </c>
      <c r="Z392" s="442"/>
      <c r="AA392" s="443"/>
      <c r="AB392" s="443"/>
      <c r="AC392" s="436" t="str">
        <f>IF(ISNUMBER(VLOOKUP(B392,'New Masses'!A:C,3,FALSE)),VLOOKUP(B392,'New Masses'!A:C,3,FALSE),"")</f>
        <v/>
      </c>
      <c r="AD392" s="451"/>
      <c r="AE392" s="451">
        <f t="shared" si="112"/>
        <v>0.000000001659586907</v>
      </c>
      <c r="AF392" s="439">
        <v>-8.78</v>
      </c>
      <c r="AG392" s="438"/>
      <c r="AH392" s="459">
        <f t="shared" si="113"/>
        <v>0.1698243652</v>
      </c>
      <c r="AI392" s="436"/>
      <c r="AJ392" s="446" t="str">
        <f>IF(ISNUMBER(VLOOKUP(B392,'New Masses'!A:C,2, FALSE)),VLOOKUP(B392,'New Masses'!A:C,2, FALSE),"")</f>
        <v/>
      </c>
      <c r="AK392" s="436">
        <v>-0.77</v>
      </c>
      <c r="AL392" s="436"/>
      <c r="AM392" s="436">
        <v>-2.25</v>
      </c>
      <c r="AN392" s="438"/>
      <c r="AO392" s="436">
        <v>1.0</v>
      </c>
      <c r="AP392" s="438"/>
      <c r="AQ392" s="438"/>
      <c r="AR392" s="438"/>
      <c r="AS392" s="438"/>
      <c r="AT392" s="455">
        <v>2.2</v>
      </c>
      <c r="AU392" s="452"/>
      <c r="AV392" s="438"/>
      <c r="AW392" s="438"/>
      <c r="AX392" s="450">
        <v>206.011413032282</v>
      </c>
    </row>
    <row r="393">
      <c r="A393" s="436" t="s">
        <v>171</v>
      </c>
      <c r="B393" s="436" t="s">
        <v>171</v>
      </c>
      <c r="C393" s="436"/>
      <c r="D393" s="436" t="s">
        <v>158</v>
      </c>
      <c r="E393" s="436"/>
      <c r="F393" s="436" t="s">
        <v>2622</v>
      </c>
      <c r="G393" s="436" t="s">
        <v>169</v>
      </c>
      <c r="H393" s="436" t="s">
        <v>160</v>
      </c>
      <c r="I393" s="436" t="s">
        <v>1963</v>
      </c>
      <c r="J393" s="436">
        <v>2884.0315</v>
      </c>
      <c r="K393" s="436"/>
      <c r="L393" s="438"/>
      <c r="M393" s="453"/>
      <c r="N393" s="422">
        <v>13.849</v>
      </c>
      <c r="O393" s="422">
        <v>10.936</v>
      </c>
      <c r="P393" s="422"/>
      <c r="Q393" s="436" t="s">
        <v>2183</v>
      </c>
      <c r="R393" s="436" t="s">
        <v>2184</v>
      </c>
      <c r="S393" s="436" t="s">
        <v>1964</v>
      </c>
      <c r="T393" s="419" t="s">
        <v>162</v>
      </c>
      <c r="U393" s="436" t="s">
        <v>2431</v>
      </c>
      <c r="V393" s="451">
        <v>1.6376E28</v>
      </c>
      <c r="W393" s="458">
        <v>0.14454397707459277</v>
      </c>
      <c r="X393" s="438"/>
      <c r="Y393" s="442">
        <f t="shared" si="103"/>
        <v>1.527058511</v>
      </c>
      <c r="Z393" s="442"/>
      <c r="AA393" s="443"/>
      <c r="AB393" s="443"/>
      <c r="AC393" s="436" t="str">
        <f>IF(ISNUMBER(VLOOKUP(B393,'New Masses'!A:C,3,FALSE)),VLOOKUP(B393,'New Masses'!A:C,3,FALSE),"")</f>
        <v/>
      </c>
      <c r="AD393" s="451"/>
      <c r="AE393" s="451">
        <f t="shared" si="112"/>
        <v>0.000000003801893963</v>
      </c>
      <c r="AF393" s="439">
        <v>-8.42</v>
      </c>
      <c r="AG393" s="438"/>
      <c r="AH393" s="459">
        <f t="shared" si="113"/>
        <v>0.1288249552</v>
      </c>
      <c r="AI393" s="436"/>
      <c r="AJ393" s="446" t="str">
        <f>IF(ISNUMBER(VLOOKUP(B393,'New Masses'!A:C,2, FALSE)),VLOOKUP(B393,'New Masses'!A:C,2, FALSE),"")</f>
        <v/>
      </c>
      <c r="AK393" s="436">
        <v>-0.89</v>
      </c>
      <c r="AL393" s="436"/>
      <c r="AM393" s="436">
        <v>-1.94</v>
      </c>
      <c r="AN393" s="438"/>
      <c r="AO393" s="436">
        <v>1.0</v>
      </c>
      <c r="AP393" s="438"/>
      <c r="AQ393" s="436"/>
      <c r="AR393" s="438"/>
      <c r="AS393" s="438"/>
      <c r="AT393" s="455">
        <v>2.8</v>
      </c>
      <c r="AU393" s="449" t="s">
        <v>137</v>
      </c>
      <c r="AV393" s="438"/>
      <c r="AW393" s="438"/>
      <c r="AX393" s="450">
        <v>127.326899080699</v>
      </c>
    </row>
    <row r="394">
      <c r="A394" s="436" t="s">
        <v>1993</v>
      </c>
      <c r="B394" s="436" t="s">
        <v>1993</v>
      </c>
      <c r="C394" s="436"/>
      <c r="D394" s="436" t="s">
        <v>158</v>
      </c>
      <c r="E394" s="436"/>
      <c r="F394" s="436" t="s">
        <v>2623</v>
      </c>
      <c r="G394" s="436" t="s">
        <v>159</v>
      </c>
      <c r="H394" s="436" t="s">
        <v>160</v>
      </c>
      <c r="I394" s="436" t="s">
        <v>1963</v>
      </c>
      <c r="J394" s="436"/>
      <c r="K394" s="436"/>
      <c r="L394" s="436" t="s">
        <v>1994</v>
      </c>
      <c r="M394" s="439"/>
      <c r="N394" s="422">
        <v>9.441</v>
      </c>
      <c r="O394" s="422">
        <v>7.301</v>
      </c>
      <c r="P394" s="422">
        <v>13.69</v>
      </c>
      <c r="Q394" s="436" t="s">
        <v>2183</v>
      </c>
      <c r="R394" s="436" t="s">
        <v>2184</v>
      </c>
      <c r="S394" s="436" t="s">
        <v>1964</v>
      </c>
      <c r="T394" s="419" t="s">
        <v>162</v>
      </c>
      <c r="U394" s="436" t="s">
        <v>2185</v>
      </c>
      <c r="V394" s="451"/>
      <c r="W394" s="458"/>
      <c r="X394" s="438"/>
      <c r="Y394" s="442"/>
      <c r="Z394" s="442"/>
      <c r="AA394" s="443"/>
      <c r="AB394" s="443"/>
      <c r="AC394" s="436" t="str">
        <f>IF(ISNUMBER(VLOOKUP(B394,'New Masses'!A:C,3,FALSE)),VLOOKUP(B394,'New Masses'!A:C,3,FALSE),"")</f>
        <v/>
      </c>
      <c r="AD394" s="451"/>
      <c r="AE394" s="451"/>
      <c r="AF394" s="439"/>
      <c r="AG394" s="438"/>
      <c r="AH394" s="459"/>
      <c r="AI394" s="436"/>
      <c r="AJ394" s="446" t="str">
        <f>IF(ISNUMBER(VLOOKUP(B394,'New Masses'!A:C,2, FALSE)),VLOOKUP(B394,'New Masses'!A:C,2, FALSE),"")</f>
        <v/>
      </c>
      <c r="AK394" s="436"/>
      <c r="AL394" s="436"/>
      <c r="AM394" s="436"/>
      <c r="AN394" s="438"/>
      <c r="AO394" s="436">
        <v>1.0</v>
      </c>
      <c r="AP394" s="438"/>
      <c r="AQ394" s="436"/>
      <c r="AR394" s="436"/>
      <c r="AS394" s="438"/>
      <c r="AT394" s="448"/>
      <c r="AU394" s="452" t="s">
        <v>137</v>
      </c>
      <c r="AV394" s="438" t="s">
        <v>1332</v>
      </c>
      <c r="AW394" s="438"/>
      <c r="AX394" s="450">
        <v>141.997046461433</v>
      </c>
    </row>
    <row r="395">
      <c r="A395" s="436" t="s">
        <v>1995</v>
      </c>
      <c r="B395" s="436" t="s">
        <v>1995</v>
      </c>
      <c r="C395" s="436"/>
      <c r="D395" s="436" t="s">
        <v>158</v>
      </c>
      <c r="E395" s="436"/>
      <c r="F395" s="436" t="s">
        <v>2624</v>
      </c>
      <c r="G395" s="436" t="s">
        <v>159</v>
      </c>
      <c r="H395" s="436" t="s">
        <v>160</v>
      </c>
      <c r="I395" s="436" t="s">
        <v>1963</v>
      </c>
      <c r="J395" s="436"/>
      <c r="K395" s="436"/>
      <c r="L395" s="438"/>
      <c r="M395" s="453"/>
      <c r="N395" s="422">
        <v>14.468</v>
      </c>
      <c r="O395" s="422">
        <v>11.851</v>
      </c>
      <c r="P395" s="422"/>
      <c r="Q395" s="436" t="s">
        <v>2183</v>
      </c>
      <c r="R395" s="436" t="s">
        <v>2184</v>
      </c>
      <c r="S395" s="436" t="s">
        <v>1964</v>
      </c>
      <c r="T395" s="419" t="s">
        <v>162</v>
      </c>
      <c r="U395" s="436" t="s">
        <v>2185</v>
      </c>
      <c r="V395" s="451"/>
      <c r="W395" s="458"/>
      <c r="X395" s="438"/>
      <c r="Y395" s="442"/>
      <c r="Z395" s="442"/>
      <c r="AA395" s="443"/>
      <c r="AB395" s="443"/>
      <c r="AC395" s="436" t="str">
        <f>IF(ISNUMBER(VLOOKUP(B395,'New Masses'!A:C,3,FALSE)),VLOOKUP(B395,'New Masses'!A:C,3,FALSE),"")</f>
        <v/>
      </c>
      <c r="AD395" s="451"/>
      <c r="AE395" s="451"/>
      <c r="AF395" s="439"/>
      <c r="AG395" s="438"/>
      <c r="AH395" s="459"/>
      <c r="AI395" s="436"/>
      <c r="AJ395" s="446" t="str">
        <f>IF(ISNUMBER(VLOOKUP(B395,'New Masses'!A:C,2, FALSE)),VLOOKUP(B395,'New Masses'!A:C,2, FALSE),"")</f>
        <v/>
      </c>
      <c r="AK395" s="436"/>
      <c r="AL395" s="436"/>
      <c r="AM395" s="436"/>
      <c r="AN395" s="438"/>
      <c r="AO395" s="436">
        <v>1.0</v>
      </c>
      <c r="AP395" s="438"/>
      <c r="AQ395" s="436"/>
      <c r="AR395" s="438"/>
      <c r="AS395" s="438"/>
      <c r="AT395" s="448"/>
      <c r="AU395" s="449" t="s">
        <v>137</v>
      </c>
      <c r="AV395" s="438"/>
      <c r="AW395" s="438"/>
      <c r="AX395" s="450">
        <v>496.968492197594</v>
      </c>
    </row>
    <row r="396">
      <c r="A396" s="436" t="s">
        <v>1395</v>
      </c>
      <c r="B396" s="436" t="s">
        <v>1395</v>
      </c>
      <c r="C396" s="436"/>
      <c r="D396" s="436" t="s">
        <v>158</v>
      </c>
      <c r="E396" s="436"/>
      <c r="F396" s="436" t="s">
        <v>2625</v>
      </c>
      <c r="G396" s="436" t="s">
        <v>159</v>
      </c>
      <c r="H396" s="436" t="s">
        <v>160</v>
      </c>
      <c r="I396" s="436" t="s">
        <v>1963</v>
      </c>
      <c r="J396" s="436">
        <v>3388.44156</v>
      </c>
      <c r="K396" s="436"/>
      <c r="L396" s="438"/>
      <c r="M396" s="453"/>
      <c r="N396" s="422">
        <v>14.048</v>
      </c>
      <c r="O396" s="422">
        <v>10.366</v>
      </c>
      <c r="P396" s="422"/>
      <c r="Q396" s="436" t="s">
        <v>2183</v>
      </c>
      <c r="R396" s="436" t="s">
        <v>2184</v>
      </c>
      <c r="S396" s="436" t="s">
        <v>1964</v>
      </c>
      <c r="T396" s="419" t="s">
        <v>162</v>
      </c>
      <c r="U396" s="436" t="s">
        <v>2185</v>
      </c>
      <c r="V396" s="451">
        <v>8.3988E28</v>
      </c>
      <c r="W396" s="458">
        <v>0.6025595860743578</v>
      </c>
      <c r="X396" s="438"/>
      <c r="Y396" s="442">
        <f t="shared" ref="Y396:Y415" si="114">IF((W396/((J396/5780)^4))^0.5&gt;0,(W396/((J396/5780)^4))^0.5,"")</f>
        <v>2.258685049</v>
      </c>
      <c r="Z396" s="442"/>
      <c r="AA396" s="443"/>
      <c r="AB396" s="443"/>
      <c r="AC396" s="436" t="str">
        <f>IF(ISNUMBER(VLOOKUP(B396,'New Masses'!A:C,3,FALSE)),VLOOKUP(B396,'New Masses'!A:C,3,FALSE),"")</f>
        <v/>
      </c>
      <c r="AD396" s="451"/>
      <c r="AE396" s="451">
        <f t="shared" ref="AE396:AE400" si="115">10^(AF396)</f>
        <v>0.0000000009332543008</v>
      </c>
      <c r="AF396" s="439">
        <v>-9.03</v>
      </c>
      <c r="AG396" s="438"/>
      <c r="AH396" s="459">
        <f t="shared" ref="AH396:AH400" si="116">10^AK396</f>
        <v>0.301995172</v>
      </c>
      <c r="AI396" s="436"/>
      <c r="AJ396" s="446" t="str">
        <f>IF(ISNUMBER(VLOOKUP(B396,'New Masses'!A:C,2, FALSE)),VLOOKUP(B396,'New Masses'!A:C,2, FALSE),"")</f>
        <v/>
      </c>
      <c r="AK396" s="436">
        <v>-0.52</v>
      </c>
      <c r="AL396" s="436"/>
      <c r="AM396" s="436">
        <v>-2.34</v>
      </c>
      <c r="AN396" s="438"/>
      <c r="AO396" s="436">
        <v>1.0</v>
      </c>
      <c r="AP396" s="438"/>
      <c r="AQ396" s="436"/>
      <c r="AR396" s="438"/>
      <c r="AS396" s="438"/>
      <c r="AT396" s="455">
        <v>4.3</v>
      </c>
      <c r="AU396" s="452" t="s">
        <v>137</v>
      </c>
      <c r="AV396" s="438"/>
      <c r="AW396" s="438"/>
      <c r="AX396" s="450"/>
    </row>
    <row r="397">
      <c r="A397" s="436" t="s">
        <v>1344</v>
      </c>
      <c r="B397" s="436" t="s">
        <v>1344</v>
      </c>
      <c r="C397" s="436"/>
      <c r="D397" s="436" t="s">
        <v>158</v>
      </c>
      <c r="E397" s="436"/>
      <c r="F397" s="436" t="s">
        <v>2626</v>
      </c>
      <c r="G397" s="436" t="s">
        <v>169</v>
      </c>
      <c r="H397" s="436" t="s">
        <v>160</v>
      </c>
      <c r="I397" s="436" t="s">
        <v>1963</v>
      </c>
      <c r="J397" s="436">
        <v>2818.38293</v>
      </c>
      <c r="K397" s="436"/>
      <c r="L397" s="438"/>
      <c r="M397" s="453"/>
      <c r="N397" s="422">
        <v>13.037</v>
      </c>
      <c r="O397" s="422">
        <v>10.789</v>
      </c>
      <c r="P397" s="422"/>
      <c r="Q397" s="436" t="s">
        <v>2183</v>
      </c>
      <c r="R397" s="436" t="s">
        <v>2184</v>
      </c>
      <c r="S397" s="436" t="s">
        <v>1964</v>
      </c>
      <c r="T397" s="419" t="s">
        <v>162</v>
      </c>
      <c r="U397" s="436" t="s">
        <v>2185</v>
      </c>
      <c r="V397" s="451">
        <v>4.83301E27</v>
      </c>
      <c r="W397" s="458">
        <v>0.10471285480508996</v>
      </c>
      <c r="X397" s="438"/>
      <c r="Y397" s="442">
        <f t="shared" si="114"/>
        <v>1.360992329</v>
      </c>
      <c r="Z397" s="442"/>
      <c r="AA397" s="443"/>
      <c r="AB397" s="443"/>
      <c r="AC397" s="436" t="str">
        <f>IF(ISNUMBER(VLOOKUP(B397,'New Masses'!A:C,3,FALSE)),VLOOKUP(B397,'New Masses'!A:C,3,FALSE),"")</f>
        <v/>
      </c>
      <c r="AD397" s="451"/>
      <c r="AE397" s="451">
        <f t="shared" si="115"/>
        <v>0</v>
      </c>
      <c r="AF397" s="439">
        <v>-10.48</v>
      </c>
      <c r="AG397" s="438"/>
      <c r="AH397" s="459">
        <f t="shared" si="116"/>
        <v>0.1071519305</v>
      </c>
      <c r="AI397" s="436"/>
      <c r="AJ397" s="446" t="str">
        <f>IF(ISNUMBER(VLOOKUP(B397,'New Masses'!A:C,2, FALSE)),VLOOKUP(B397,'New Masses'!A:C,2, FALSE),"")</f>
        <v/>
      </c>
      <c r="AK397" s="436">
        <v>-0.97</v>
      </c>
      <c r="AL397" s="436"/>
      <c r="AM397" s="436">
        <v>-4.03</v>
      </c>
      <c r="AN397" s="438"/>
      <c r="AO397" s="436">
        <v>1.0</v>
      </c>
      <c r="AP397" s="438"/>
      <c r="AQ397" s="436"/>
      <c r="AR397" s="438"/>
      <c r="AS397" s="438"/>
      <c r="AT397" s="455">
        <v>1.7</v>
      </c>
      <c r="AU397" s="449" t="s">
        <v>137</v>
      </c>
      <c r="AV397" s="438"/>
      <c r="AW397" s="438"/>
      <c r="AX397" s="450"/>
    </row>
    <row r="398">
      <c r="A398" s="436" t="s">
        <v>1342</v>
      </c>
      <c r="B398" s="436" t="s">
        <v>1342</v>
      </c>
      <c r="C398" s="436"/>
      <c r="D398" s="436" t="s">
        <v>158</v>
      </c>
      <c r="E398" s="436"/>
      <c r="F398" s="436" t="s">
        <v>2627</v>
      </c>
      <c r="G398" s="436" t="s">
        <v>159</v>
      </c>
      <c r="H398" s="436" t="s">
        <v>160</v>
      </c>
      <c r="I398" s="436" t="s">
        <v>1963</v>
      </c>
      <c r="J398" s="436">
        <v>2818.38293</v>
      </c>
      <c r="K398" s="436"/>
      <c r="L398" s="438"/>
      <c r="M398" s="453"/>
      <c r="N398" s="422">
        <v>12.339</v>
      </c>
      <c r="O398" s="422">
        <v>10.474</v>
      </c>
      <c r="P398" s="422"/>
      <c r="Q398" s="436" t="s">
        <v>2183</v>
      </c>
      <c r="R398" s="436" t="s">
        <v>2184</v>
      </c>
      <c r="S398" s="436" t="s">
        <v>1964</v>
      </c>
      <c r="T398" s="419" t="s">
        <v>162</v>
      </c>
      <c r="U398" s="436" t="s">
        <v>2185</v>
      </c>
      <c r="V398" s="451">
        <v>3.5828E28</v>
      </c>
      <c r="W398" s="458">
        <v>0.10471285480508996</v>
      </c>
      <c r="X398" s="438"/>
      <c r="Y398" s="442">
        <f t="shared" si="114"/>
        <v>1.360992329</v>
      </c>
      <c r="Z398" s="442"/>
      <c r="AA398" s="443"/>
      <c r="AB398" s="443"/>
      <c r="AC398" s="436" t="str">
        <f>IF(ISNUMBER(VLOOKUP(B398,'New Masses'!A:C,3,FALSE)),VLOOKUP(B398,'New Masses'!A:C,3,FALSE),"")</f>
        <v/>
      </c>
      <c r="AD398" s="451"/>
      <c r="AE398" s="451">
        <f t="shared" si="115"/>
        <v>0.000000000512861384</v>
      </c>
      <c r="AF398" s="439">
        <v>-9.29</v>
      </c>
      <c r="AG398" s="438"/>
      <c r="AH398" s="459">
        <f t="shared" si="116"/>
        <v>0.1071519305</v>
      </c>
      <c r="AI398" s="436"/>
      <c r="AJ398" s="446" t="str">
        <f>IF(ISNUMBER(VLOOKUP(B398,'New Masses'!A:C,2, FALSE)),VLOOKUP(B398,'New Masses'!A:C,2, FALSE),"")</f>
        <v/>
      </c>
      <c r="AK398" s="436">
        <v>-0.97</v>
      </c>
      <c r="AL398" s="436"/>
      <c r="AM398" s="436">
        <v>-2.84</v>
      </c>
      <c r="AN398" s="438"/>
      <c r="AO398" s="436">
        <v>1.0</v>
      </c>
      <c r="AP398" s="438"/>
      <c r="AQ398" s="436"/>
      <c r="AR398" s="438"/>
      <c r="AS398" s="438"/>
      <c r="AT398" s="455">
        <v>1.0</v>
      </c>
      <c r="AU398" s="452" t="s">
        <v>137</v>
      </c>
      <c r="AV398" s="438"/>
      <c r="AW398" s="438"/>
      <c r="AX398" s="450">
        <v>164.573836051544</v>
      </c>
    </row>
    <row r="399">
      <c r="A399" s="436" t="s">
        <v>1375</v>
      </c>
      <c r="B399" s="436" t="s">
        <v>1375</v>
      </c>
      <c r="C399" s="436"/>
      <c r="D399" s="436" t="s">
        <v>158</v>
      </c>
      <c r="E399" s="436"/>
      <c r="F399" s="436" t="s">
        <v>2628</v>
      </c>
      <c r="G399" s="436" t="s">
        <v>169</v>
      </c>
      <c r="H399" s="436" t="s">
        <v>160</v>
      </c>
      <c r="I399" s="436" t="s">
        <v>1963</v>
      </c>
      <c r="J399" s="436">
        <v>3235.93657</v>
      </c>
      <c r="K399" s="436"/>
      <c r="L399" s="438"/>
      <c r="M399" s="453"/>
      <c r="N399" s="422">
        <v>10.143</v>
      </c>
      <c r="O399" s="422">
        <v>8.896</v>
      </c>
      <c r="P399" s="422">
        <v>13.91</v>
      </c>
      <c r="Q399" s="436" t="s">
        <v>2183</v>
      </c>
      <c r="R399" s="436" t="s">
        <v>2184</v>
      </c>
      <c r="S399" s="436" t="s">
        <v>1964</v>
      </c>
      <c r="T399" s="419" t="s">
        <v>162</v>
      </c>
      <c r="U399" s="436" t="s">
        <v>2185</v>
      </c>
      <c r="V399" s="451">
        <v>4.723E29</v>
      </c>
      <c r="W399" s="458">
        <v>0.40738027780411273</v>
      </c>
      <c r="X399" s="438"/>
      <c r="Y399" s="442">
        <f t="shared" si="114"/>
        <v>2.036365247</v>
      </c>
      <c r="Z399" s="442"/>
      <c r="AA399" s="443"/>
      <c r="AB399" s="443"/>
      <c r="AC399" s="436" t="str">
        <f>IF(ISNUMBER(VLOOKUP(B399,'New Masses'!A:C,3,FALSE)),VLOOKUP(B399,'New Masses'!A:C,3,FALSE),"")</f>
        <v/>
      </c>
      <c r="AD399" s="451"/>
      <c r="AE399" s="451">
        <f t="shared" si="115"/>
        <v>0.00000001122018454</v>
      </c>
      <c r="AF399" s="439">
        <v>-7.95</v>
      </c>
      <c r="AG399" s="438"/>
      <c r="AH399" s="459">
        <f t="shared" si="116"/>
        <v>0.2398832919</v>
      </c>
      <c r="AI399" s="436"/>
      <c r="AJ399" s="446" t="str">
        <f>IF(ISNUMBER(VLOOKUP(B399,'New Masses'!A:C,2, FALSE)),VLOOKUP(B399,'New Masses'!A:C,2, FALSE),"")</f>
        <v/>
      </c>
      <c r="AK399" s="436">
        <v>-0.62</v>
      </c>
      <c r="AL399" s="436"/>
      <c r="AM399" s="436">
        <v>-1.32</v>
      </c>
      <c r="AN399" s="438"/>
      <c r="AO399" s="436">
        <v>1.0</v>
      </c>
      <c r="AP399" s="438"/>
      <c r="AQ399" s="438"/>
      <c r="AR399" s="436"/>
      <c r="AS399" s="438"/>
      <c r="AT399" s="455">
        <v>0.2</v>
      </c>
      <c r="AU399" s="449"/>
      <c r="AV399" s="438" t="s">
        <v>1376</v>
      </c>
      <c r="AW399" s="438"/>
      <c r="AX399" s="450">
        <v>133.115024692837</v>
      </c>
    </row>
    <row r="400">
      <c r="A400" s="436" t="s">
        <v>1353</v>
      </c>
      <c r="B400" s="436" t="s">
        <v>1353</v>
      </c>
      <c r="C400" s="436"/>
      <c r="D400" s="436" t="s">
        <v>158</v>
      </c>
      <c r="E400" s="436"/>
      <c r="F400" s="436" t="s">
        <v>2629</v>
      </c>
      <c r="G400" s="436" t="s">
        <v>159</v>
      </c>
      <c r="H400" s="436" t="s">
        <v>160</v>
      </c>
      <c r="I400" s="436" t="s">
        <v>1963</v>
      </c>
      <c r="J400" s="436">
        <v>2884.0315</v>
      </c>
      <c r="K400" s="436"/>
      <c r="L400" s="436" t="s">
        <v>558</v>
      </c>
      <c r="M400" s="439"/>
      <c r="N400" s="422">
        <v>15.367</v>
      </c>
      <c r="O400" s="422">
        <v>11.832</v>
      </c>
      <c r="P400" s="422"/>
      <c r="Q400" s="436" t="s">
        <v>2183</v>
      </c>
      <c r="R400" s="436" t="s">
        <v>2184</v>
      </c>
      <c r="S400" s="436" t="s">
        <v>1964</v>
      </c>
      <c r="T400" s="419" t="s">
        <v>162</v>
      </c>
      <c r="U400" s="436" t="s">
        <v>2185</v>
      </c>
      <c r="V400" s="451">
        <v>5.2993E28</v>
      </c>
      <c r="W400" s="458">
        <v>0.162181009735893</v>
      </c>
      <c r="X400" s="438"/>
      <c r="Y400" s="442">
        <f t="shared" si="114"/>
        <v>1.617542416</v>
      </c>
      <c r="Z400" s="442"/>
      <c r="AA400" s="443"/>
      <c r="AB400" s="443"/>
      <c r="AC400" s="436" t="str">
        <f>IF(ISNUMBER(VLOOKUP(B400,'New Masses'!A:C,3,FALSE)),VLOOKUP(B400,'New Masses'!A:C,3,FALSE),"")</f>
        <v/>
      </c>
      <c r="AD400" s="451"/>
      <c r="AE400" s="451">
        <f t="shared" si="115"/>
        <v>0.0000000007943282347</v>
      </c>
      <c r="AF400" s="439">
        <v>-9.1</v>
      </c>
      <c r="AG400" s="438"/>
      <c r="AH400" s="459">
        <f t="shared" si="116"/>
        <v>0.1380384265</v>
      </c>
      <c r="AI400" s="436"/>
      <c r="AJ400" s="446" t="str">
        <f>IF(ISNUMBER(VLOOKUP(B400,'New Masses'!A:C,2, FALSE)),VLOOKUP(B400,'New Masses'!A:C,2, FALSE),"")</f>
        <v/>
      </c>
      <c r="AK400" s="436">
        <v>-0.86</v>
      </c>
      <c r="AL400" s="436"/>
      <c r="AM400" s="436">
        <v>-2.61</v>
      </c>
      <c r="AN400" s="438"/>
      <c r="AO400" s="436">
        <v>1.0</v>
      </c>
      <c r="AP400" s="438"/>
      <c r="AQ400" s="436"/>
      <c r="AR400" s="438"/>
      <c r="AS400" s="438"/>
      <c r="AT400" s="455">
        <v>4.4</v>
      </c>
      <c r="AU400" s="452" t="s">
        <v>137</v>
      </c>
      <c r="AV400" s="438"/>
      <c r="AW400" s="438"/>
      <c r="AX400" s="450"/>
    </row>
    <row r="401">
      <c r="A401" s="436" t="s">
        <v>1996</v>
      </c>
      <c r="B401" s="436" t="s">
        <v>1996</v>
      </c>
      <c r="C401" s="436"/>
      <c r="D401" s="436" t="s">
        <v>158</v>
      </c>
      <c r="E401" s="436"/>
      <c r="F401" s="436" t="s">
        <v>2630</v>
      </c>
      <c r="G401" s="436" t="s">
        <v>169</v>
      </c>
      <c r="H401" s="436" t="s">
        <v>160</v>
      </c>
      <c r="I401" s="436" t="s">
        <v>1963</v>
      </c>
      <c r="J401" s="436">
        <v>2754.2287</v>
      </c>
      <c r="K401" s="436"/>
      <c r="L401" s="438"/>
      <c r="M401" s="453"/>
      <c r="N401" s="422">
        <v>19.17</v>
      </c>
      <c r="O401" s="422">
        <v>13.203</v>
      </c>
      <c r="P401" s="422"/>
      <c r="Q401" s="436" t="s">
        <v>2183</v>
      </c>
      <c r="R401" s="436" t="s">
        <v>2184</v>
      </c>
      <c r="S401" s="436" t="s">
        <v>1964</v>
      </c>
      <c r="T401" s="419" t="s">
        <v>162</v>
      </c>
      <c r="U401" s="436" t="s">
        <v>2185</v>
      </c>
      <c r="V401" s="451"/>
      <c r="W401" s="458">
        <v>0.04265795188015926</v>
      </c>
      <c r="X401" s="438"/>
      <c r="Y401" s="442">
        <f t="shared" si="114"/>
        <v>0.909610946</v>
      </c>
      <c r="Z401" s="442"/>
      <c r="AA401" s="443"/>
      <c r="AB401" s="443"/>
      <c r="AC401" s="436" t="str">
        <f>IF(ISNUMBER(VLOOKUP(B401,'New Masses'!A:C,3,FALSE)),VLOOKUP(B401,'New Masses'!A:C,3,FALSE),"")</f>
        <v/>
      </c>
      <c r="AD401" s="451"/>
      <c r="AE401" s="451"/>
      <c r="AF401" s="439"/>
      <c r="AG401" s="438"/>
      <c r="AH401" s="459"/>
      <c r="AI401" s="436"/>
      <c r="AJ401" s="446" t="str">
        <f>IF(ISNUMBER(VLOOKUP(B401,'New Masses'!A:C,2, FALSE)),VLOOKUP(B401,'New Masses'!A:C,2, FALSE),"")</f>
        <v/>
      </c>
      <c r="AK401" s="436"/>
      <c r="AL401" s="436"/>
      <c r="AM401" s="436"/>
      <c r="AN401" s="438"/>
      <c r="AO401" s="436">
        <v>1.0</v>
      </c>
      <c r="AP401" s="438"/>
      <c r="AQ401" s="438"/>
      <c r="AR401" s="438"/>
      <c r="AS401" s="438"/>
      <c r="AT401" s="455">
        <v>6.1</v>
      </c>
      <c r="AU401" s="449" t="s">
        <v>137</v>
      </c>
      <c r="AV401" s="438"/>
      <c r="AW401" s="438"/>
      <c r="AX401" s="450"/>
    </row>
    <row r="402">
      <c r="A402" s="436" t="s">
        <v>1335</v>
      </c>
      <c r="B402" s="436" t="s">
        <v>1335</v>
      </c>
      <c r="C402" s="436"/>
      <c r="D402" s="436" t="s">
        <v>158</v>
      </c>
      <c r="E402" s="436"/>
      <c r="F402" s="436" t="s">
        <v>2631</v>
      </c>
      <c r="G402" s="436" t="s">
        <v>159</v>
      </c>
      <c r="H402" s="436" t="s">
        <v>160</v>
      </c>
      <c r="I402" s="436" t="s">
        <v>1963</v>
      </c>
      <c r="J402" s="436">
        <v>2818.38293</v>
      </c>
      <c r="K402" s="436"/>
      <c r="L402" s="438"/>
      <c r="M402" s="453"/>
      <c r="N402" s="422">
        <v>16.755</v>
      </c>
      <c r="O402" s="422">
        <v>12.558</v>
      </c>
      <c r="P402" s="422"/>
      <c r="Q402" s="436" t="s">
        <v>2183</v>
      </c>
      <c r="R402" s="436" t="s">
        <v>2184</v>
      </c>
      <c r="S402" s="436" t="s">
        <v>1964</v>
      </c>
      <c r="T402" s="419" t="s">
        <v>162</v>
      </c>
      <c r="U402" s="436" t="s">
        <v>2185</v>
      </c>
      <c r="V402" s="451">
        <v>3.9284E28</v>
      </c>
      <c r="W402" s="458">
        <v>0.08317637711026708</v>
      </c>
      <c r="X402" s="438"/>
      <c r="Y402" s="442">
        <f t="shared" si="114"/>
        <v>1.21298569</v>
      </c>
      <c r="Z402" s="442"/>
      <c r="AA402" s="443"/>
      <c r="AB402" s="443"/>
      <c r="AC402" s="436" t="str">
        <f>IF(ISNUMBER(VLOOKUP(B402,'New Masses'!A:C,3,FALSE)),VLOOKUP(B402,'New Masses'!A:C,3,FALSE),"")</f>
        <v/>
      </c>
      <c r="AD402" s="440"/>
      <c r="AE402" s="440">
        <f t="shared" ref="AE402:AE415" si="117">10^AF402</f>
        <v>0.0000000005888436554</v>
      </c>
      <c r="AF402" s="439">
        <v>-9.23</v>
      </c>
      <c r="AG402" s="438"/>
      <c r="AH402" s="459">
        <f>10^AK402</f>
        <v>0.09120108394</v>
      </c>
      <c r="AI402" s="436"/>
      <c r="AJ402" s="446" t="str">
        <f>IF(ISNUMBER(VLOOKUP(B402,'New Masses'!A:C,2, FALSE)),VLOOKUP(B402,'New Masses'!A:C,2, FALSE),"")</f>
        <v/>
      </c>
      <c r="AK402" s="436">
        <v>-1.04</v>
      </c>
      <c r="AL402" s="436"/>
      <c r="AM402" s="436">
        <v>-2.79</v>
      </c>
      <c r="AN402" s="438"/>
      <c r="AO402" s="436">
        <v>1.0</v>
      </c>
      <c r="AP402" s="438"/>
      <c r="AQ402" s="436"/>
      <c r="AR402" s="438"/>
      <c r="AS402" s="438"/>
      <c r="AT402" s="455">
        <v>5.1</v>
      </c>
      <c r="AU402" s="452" t="s">
        <v>137</v>
      </c>
      <c r="AV402" s="438"/>
      <c r="AW402" s="438"/>
      <c r="AX402" s="450"/>
    </row>
    <row r="403">
      <c r="A403" s="436" t="s">
        <v>1324</v>
      </c>
      <c r="B403" s="436" t="s">
        <v>1324</v>
      </c>
      <c r="C403" s="420"/>
      <c r="D403" s="420" t="s">
        <v>158</v>
      </c>
      <c r="E403" s="420"/>
      <c r="F403" s="420" t="s">
        <v>2632</v>
      </c>
      <c r="G403" s="420" t="s">
        <v>169</v>
      </c>
      <c r="H403" s="420" t="s">
        <v>1309</v>
      </c>
      <c r="I403" s="420" t="s">
        <v>2409</v>
      </c>
      <c r="J403" s="436">
        <v>2650.0</v>
      </c>
      <c r="K403" s="419">
        <v>150.0</v>
      </c>
      <c r="L403" s="420" t="s">
        <v>353</v>
      </c>
      <c r="M403" s="429"/>
      <c r="N403" s="422">
        <v>13.611</v>
      </c>
      <c r="O403" s="422">
        <v>11.086</v>
      </c>
      <c r="P403" s="422"/>
      <c r="Q403" s="420" t="s">
        <v>2410</v>
      </c>
      <c r="R403" s="420" t="s">
        <v>2612</v>
      </c>
      <c r="S403" s="420" t="s">
        <v>2412</v>
      </c>
      <c r="T403" s="420" t="s">
        <v>596</v>
      </c>
      <c r="U403" s="420" t="s">
        <v>2413</v>
      </c>
      <c r="V403" s="440"/>
      <c r="W403" s="458"/>
      <c r="X403" s="438"/>
      <c r="Y403" s="442" t="str">
        <f t="shared" si="114"/>
        <v/>
      </c>
      <c r="Z403" s="442"/>
      <c r="AA403" s="443"/>
      <c r="AB403" s="443"/>
      <c r="AC403" s="469">
        <f>IF(ISNUMBER(VLOOKUP(B403,'New Masses'!A:C,3,FALSE)),VLOOKUP(B403,'New Masses'!A:C,3,FALSE),"")</f>
        <v>0.690178</v>
      </c>
      <c r="AD403" s="451"/>
      <c r="AE403" s="451">
        <f t="shared" si="117"/>
        <v>0.000000001318256739</v>
      </c>
      <c r="AF403" s="439">
        <v>-8.88</v>
      </c>
      <c r="AG403" s="438"/>
      <c r="AH403" s="459">
        <v>0.06</v>
      </c>
      <c r="AI403" s="436"/>
      <c r="AJ403" s="446">
        <f>IF(ISNUMBER(VLOOKUP(B403,'New Masses'!A:C,2, FALSE)),VLOOKUP(B403,'New Masses'!A:C,2, FALSE),"")</f>
        <v>0.058417</v>
      </c>
      <c r="AK403" s="436"/>
      <c r="AL403" s="460" t="str">
        <f>(6.67*10^(-11))*((2*10^(33))^2)*AE403*AH403/(3*10^7*AA403*7*10^10)</f>
        <v>#DIV/0!</v>
      </c>
      <c r="AM403" s="437" t="str">
        <f>log10(AL403/(4*10^33))</f>
        <v>#DIV/0!</v>
      </c>
      <c r="AN403" s="420" t="s">
        <v>2407</v>
      </c>
      <c r="AO403" s="505">
        <v>1.0</v>
      </c>
      <c r="AP403" s="506"/>
      <c r="AQ403" s="505">
        <v>8.15</v>
      </c>
      <c r="AR403" s="506"/>
      <c r="AS403" s="507" t="s">
        <v>2408</v>
      </c>
      <c r="AT403" s="448"/>
      <c r="AU403" s="449"/>
      <c r="AV403" s="506"/>
      <c r="AW403" s="506"/>
      <c r="AX403" s="450">
        <v>151.742765663647</v>
      </c>
    </row>
    <row r="404">
      <c r="A404" s="436" t="s">
        <v>1324</v>
      </c>
      <c r="B404" s="436" t="s">
        <v>1324</v>
      </c>
      <c r="C404" s="421"/>
      <c r="D404" s="436" t="s">
        <v>158</v>
      </c>
      <c r="E404" s="436"/>
      <c r="F404" s="436" t="s">
        <v>2632</v>
      </c>
      <c r="G404" s="436" t="s">
        <v>169</v>
      </c>
      <c r="H404" s="436" t="s">
        <v>160</v>
      </c>
      <c r="I404" s="436" t="s">
        <v>1963</v>
      </c>
      <c r="J404" s="436">
        <v>2818.38293</v>
      </c>
      <c r="K404" s="436"/>
      <c r="L404" s="438"/>
      <c r="M404" s="453"/>
      <c r="N404" s="422">
        <v>13.611</v>
      </c>
      <c r="O404" s="422">
        <v>11.086</v>
      </c>
      <c r="P404" s="422"/>
      <c r="Q404" s="436" t="s">
        <v>2183</v>
      </c>
      <c r="R404" s="436" t="s">
        <v>2184</v>
      </c>
      <c r="S404" s="436" t="s">
        <v>1964</v>
      </c>
      <c r="T404" s="419" t="s">
        <v>162</v>
      </c>
      <c r="U404" s="436" t="s">
        <v>2185</v>
      </c>
      <c r="V404" s="451">
        <v>3.26752E28</v>
      </c>
      <c r="W404" s="458">
        <v>0.07762471166286916</v>
      </c>
      <c r="X404" s="438"/>
      <c r="Y404" s="442">
        <f t="shared" si="114"/>
        <v>1.171805892</v>
      </c>
      <c r="Z404" s="442"/>
      <c r="AA404" s="443"/>
      <c r="AB404" s="443"/>
      <c r="AC404" s="469">
        <f>IF(ISNUMBER(VLOOKUP(B404,'New Masses'!A:C,3,FALSE)),VLOOKUP(B404,'New Masses'!A:C,3,FALSE),"")</f>
        <v>0.690178</v>
      </c>
      <c r="AD404" s="440"/>
      <c r="AE404" s="440">
        <f t="shared" si="117"/>
        <v>0.0000000004786300923</v>
      </c>
      <c r="AF404" s="439">
        <v>-9.32</v>
      </c>
      <c r="AG404" s="438"/>
      <c r="AH404" s="459">
        <f>10^AK404</f>
        <v>0.08912509381</v>
      </c>
      <c r="AI404" s="436"/>
      <c r="AJ404" s="446">
        <f>IF(ISNUMBER(VLOOKUP(B404,'New Masses'!A:C,2, FALSE)),VLOOKUP(B404,'New Masses'!A:C,2, FALSE),"")</f>
        <v>0.058417</v>
      </c>
      <c r="AK404" s="436">
        <v>-1.05</v>
      </c>
      <c r="AL404" s="436"/>
      <c r="AM404" s="436">
        <v>-2.89</v>
      </c>
      <c r="AN404" s="438"/>
      <c r="AO404" s="436">
        <v>1.0</v>
      </c>
      <c r="AP404" s="438"/>
      <c r="AQ404" s="438"/>
      <c r="AR404" s="438"/>
      <c r="AS404" s="438"/>
      <c r="AT404" s="455">
        <v>1.9</v>
      </c>
      <c r="AU404" s="452"/>
      <c r="AV404" s="438"/>
      <c r="AW404" s="438"/>
      <c r="AX404" s="450">
        <v>151.742765663647</v>
      </c>
    </row>
    <row r="405">
      <c r="A405" s="436" t="s">
        <v>1324</v>
      </c>
      <c r="B405" s="436" t="s">
        <v>1324</v>
      </c>
      <c r="C405" s="421"/>
      <c r="D405" s="436" t="s">
        <v>158</v>
      </c>
      <c r="E405" s="436"/>
      <c r="F405" s="436" t="s">
        <v>2632</v>
      </c>
      <c r="G405" s="436" t="s">
        <v>169</v>
      </c>
      <c r="H405" s="436" t="s">
        <v>754</v>
      </c>
      <c r="I405" s="436">
        <v>2010.0</v>
      </c>
      <c r="J405" s="436">
        <v>3000.0</v>
      </c>
      <c r="K405" s="436">
        <v>50.0</v>
      </c>
      <c r="L405" s="436" t="s">
        <v>353</v>
      </c>
      <c r="M405" s="439"/>
      <c r="N405" s="422">
        <v>13.611</v>
      </c>
      <c r="O405" s="422">
        <v>11.086</v>
      </c>
      <c r="P405" s="422"/>
      <c r="Q405" s="436" t="s">
        <v>2417</v>
      </c>
      <c r="R405" s="436" t="s">
        <v>2633</v>
      </c>
      <c r="S405" s="436" t="s">
        <v>2419</v>
      </c>
      <c r="T405" s="419" t="s">
        <v>162</v>
      </c>
      <c r="U405" s="436" t="s">
        <v>1754</v>
      </c>
      <c r="V405" s="440"/>
      <c r="W405" s="474">
        <v>0.072</v>
      </c>
      <c r="X405" s="436"/>
      <c r="Y405" s="442">
        <f t="shared" si="114"/>
        <v>0.9960460456</v>
      </c>
      <c r="Z405" s="469"/>
      <c r="AA405" s="470">
        <v>1.0</v>
      </c>
      <c r="AB405" s="470">
        <v>0.07</v>
      </c>
      <c r="AC405" s="469">
        <f>IF(ISNUMBER(VLOOKUP(B405,'New Masses'!A:C,3,FALSE)),VLOOKUP(B405,'New Masses'!A:C,3,FALSE),"")</f>
        <v>0.690178</v>
      </c>
      <c r="AD405" s="440"/>
      <c r="AE405" s="440">
        <f t="shared" si="117"/>
        <v>0.0000000005011872336</v>
      </c>
      <c r="AF405" s="439">
        <v>-9.3</v>
      </c>
      <c r="AG405" s="438"/>
      <c r="AH405" s="459">
        <v>0.11</v>
      </c>
      <c r="AI405" s="436"/>
      <c r="AJ405" s="446">
        <f>IF(ISNUMBER(VLOOKUP(B405,'New Masses'!A:C,2, FALSE)),VLOOKUP(B405,'New Masses'!A:C,2, FALSE),"")</f>
        <v>0.058417</v>
      </c>
      <c r="AK405" s="436">
        <f>LOG10(AH405)</f>
        <v>-0.9586073148</v>
      </c>
      <c r="AL405" s="436"/>
      <c r="AM405" s="436">
        <v>-2.86</v>
      </c>
      <c r="AN405" s="438"/>
      <c r="AO405" s="436">
        <v>1.0</v>
      </c>
      <c r="AP405" s="438"/>
      <c r="AQ405" s="438"/>
      <c r="AR405" s="438"/>
      <c r="AS405" s="438"/>
      <c r="AT405" s="448"/>
      <c r="AU405" s="449"/>
      <c r="AV405" s="438"/>
      <c r="AW405" s="438"/>
      <c r="AX405" s="450">
        <v>151.742765663647</v>
      </c>
    </row>
    <row r="406">
      <c r="A406" s="436" t="s">
        <v>1359</v>
      </c>
      <c r="B406" s="436" t="s">
        <v>1359</v>
      </c>
      <c r="C406" s="436"/>
      <c r="D406" s="436" t="s">
        <v>158</v>
      </c>
      <c r="E406" s="436"/>
      <c r="F406" s="436" t="s">
        <v>2634</v>
      </c>
      <c r="G406" s="436" t="s">
        <v>169</v>
      </c>
      <c r="H406" s="436" t="s">
        <v>160</v>
      </c>
      <c r="I406" s="436" t="s">
        <v>1963</v>
      </c>
      <c r="J406" s="436">
        <v>3019.95172</v>
      </c>
      <c r="K406" s="436"/>
      <c r="L406" s="438"/>
      <c r="M406" s="453"/>
      <c r="N406" s="422">
        <v>12.345</v>
      </c>
      <c r="O406" s="422">
        <v>10.096</v>
      </c>
      <c r="P406" s="422">
        <v>18.08</v>
      </c>
      <c r="Q406" s="436" t="s">
        <v>2183</v>
      </c>
      <c r="R406" s="436" t="s">
        <v>2184</v>
      </c>
      <c r="S406" s="436" t="s">
        <v>1964</v>
      </c>
      <c r="T406" s="419" t="s">
        <v>162</v>
      </c>
      <c r="U406" s="436" t="s">
        <v>2185</v>
      </c>
      <c r="V406" s="451">
        <v>2.47867E28</v>
      </c>
      <c r="W406" s="458">
        <v>0.2290867652767773</v>
      </c>
      <c r="X406" s="438"/>
      <c r="Y406" s="442">
        <f t="shared" si="114"/>
        <v>1.753297756</v>
      </c>
      <c r="Z406" s="442"/>
      <c r="AA406" s="443"/>
      <c r="AB406" s="443"/>
      <c r="AC406" s="436" t="str">
        <f>IF(ISNUMBER(VLOOKUP(B406,'New Masses'!A:C,3,FALSE)),VLOOKUP(B406,'New Masses'!A:C,3,FALSE),"")</f>
        <v/>
      </c>
      <c r="AD406" s="440"/>
      <c r="AE406" s="440">
        <f t="shared" si="117"/>
        <v>0.0000000002511886432</v>
      </c>
      <c r="AF406" s="439">
        <v>-9.6</v>
      </c>
      <c r="AG406" s="438"/>
      <c r="AH406" s="459">
        <f t="shared" ref="AH406:AH411" si="118">10^AK406</f>
        <v>0.1698243652</v>
      </c>
      <c r="AI406" s="436"/>
      <c r="AJ406" s="446" t="str">
        <f>IF(ISNUMBER(VLOOKUP(B406,'New Masses'!A:C,2, FALSE)),VLOOKUP(B406,'New Masses'!A:C,2, FALSE),"")</f>
        <v/>
      </c>
      <c r="AK406" s="436">
        <v>-0.77</v>
      </c>
      <c r="AL406" s="436"/>
      <c r="AM406" s="436">
        <v>-3.06</v>
      </c>
      <c r="AN406" s="438"/>
      <c r="AO406" s="436">
        <v>1.0</v>
      </c>
      <c r="AP406" s="438"/>
      <c r="AQ406" s="436"/>
      <c r="AR406" s="438"/>
      <c r="AS406" s="438"/>
      <c r="AT406" s="455">
        <v>1.8</v>
      </c>
      <c r="AU406" s="449" t="s">
        <v>137</v>
      </c>
      <c r="AV406" s="438"/>
      <c r="AW406" s="438"/>
      <c r="AX406" s="450">
        <v>142.126208072768</v>
      </c>
    </row>
    <row r="407">
      <c r="A407" s="436" t="s">
        <v>1409</v>
      </c>
      <c r="B407" s="436" t="s">
        <v>1409</v>
      </c>
      <c r="C407" s="436"/>
      <c r="D407" s="436" t="s">
        <v>158</v>
      </c>
      <c r="E407" s="436"/>
      <c r="F407" s="436" t="s">
        <v>2635</v>
      </c>
      <c r="G407" s="436" t="s">
        <v>169</v>
      </c>
      <c r="H407" s="436" t="s">
        <v>160</v>
      </c>
      <c r="I407" s="436" t="s">
        <v>1963</v>
      </c>
      <c r="J407" s="436">
        <v>3630.78055</v>
      </c>
      <c r="K407" s="436"/>
      <c r="L407" s="438"/>
      <c r="M407" s="453"/>
      <c r="N407" s="422">
        <v>10.984</v>
      </c>
      <c r="O407" s="422">
        <v>8.86</v>
      </c>
      <c r="P407" s="422">
        <v>15.59</v>
      </c>
      <c r="Q407" s="436" t="s">
        <v>2183</v>
      </c>
      <c r="R407" s="436" t="s">
        <v>2184</v>
      </c>
      <c r="S407" s="436" t="s">
        <v>1964</v>
      </c>
      <c r="T407" s="419" t="s">
        <v>162</v>
      </c>
      <c r="U407" s="436" t="s">
        <v>2185</v>
      </c>
      <c r="V407" s="451">
        <v>1.39386E29</v>
      </c>
      <c r="W407" s="458">
        <v>0.9120108393559098</v>
      </c>
      <c r="X407" s="438"/>
      <c r="Y407" s="442">
        <f t="shared" si="114"/>
        <v>2.42022463</v>
      </c>
      <c r="Z407" s="442"/>
      <c r="AA407" s="443"/>
      <c r="AB407" s="443"/>
      <c r="AC407" s="436" t="str">
        <f>IF(ISNUMBER(VLOOKUP(B407,'New Masses'!A:C,3,FALSE)),VLOOKUP(B407,'New Masses'!A:C,3,FALSE),"")</f>
        <v/>
      </c>
      <c r="AD407" s="440"/>
      <c r="AE407" s="440">
        <f t="shared" si="117"/>
        <v>0.000000001621810097</v>
      </c>
      <c r="AF407" s="439">
        <v>-8.79</v>
      </c>
      <c r="AG407" s="438"/>
      <c r="AH407" s="459">
        <f t="shared" si="118"/>
        <v>0.389045145</v>
      </c>
      <c r="AI407" s="436"/>
      <c r="AJ407" s="446" t="str">
        <f>IF(ISNUMBER(VLOOKUP(B407,'New Masses'!A:C,2, FALSE)),VLOOKUP(B407,'New Masses'!A:C,2, FALSE),"")</f>
        <v/>
      </c>
      <c r="AK407" s="436">
        <v>-0.41</v>
      </c>
      <c r="AL407" s="436"/>
      <c r="AM407" s="436">
        <v>-2.03</v>
      </c>
      <c r="AN407" s="438"/>
      <c r="AO407" s="436">
        <v>1.0</v>
      </c>
      <c r="AP407" s="438"/>
      <c r="AQ407" s="438"/>
      <c r="AR407" s="438"/>
      <c r="AS407" s="438"/>
      <c r="AT407" s="455">
        <v>1.8</v>
      </c>
      <c r="AU407" s="452"/>
      <c r="AV407" s="438"/>
      <c r="AW407" s="438"/>
      <c r="AX407" s="450">
        <v>138.494564088359</v>
      </c>
    </row>
    <row r="408">
      <c r="A408" s="436" t="s">
        <v>1367</v>
      </c>
      <c r="B408" s="436" t="s">
        <v>1367</v>
      </c>
      <c r="C408" s="436"/>
      <c r="D408" s="436" t="s">
        <v>158</v>
      </c>
      <c r="E408" s="436"/>
      <c r="F408" s="436" t="s">
        <v>2636</v>
      </c>
      <c r="G408" s="436" t="s">
        <v>169</v>
      </c>
      <c r="H408" s="436" t="s">
        <v>160</v>
      </c>
      <c r="I408" s="436" t="s">
        <v>1963</v>
      </c>
      <c r="J408" s="436">
        <v>3090.29543</v>
      </c>
      <c r="K408" s="436"/>
      <c r="L408" s="436" t="s">
        <v>395</v>
      </c>
      <c r="M408" s="439"/>
      <c r="N408" s="422">
        <v>11.307</v>
      </c>
      <c r="O408" s="422">
        <v>9.316</v>
      </c>
      <c r="P408" s="422">
        <v>16.55</v>
      </c>
      <c r="Q408" s="436" t="s">
        <v>2183</v>
      </c>
      <c r="R408" s="436" t="s">
        <v>2184</v>
      </c>
      <c r="S408" s="436" t="s">
        <v>1964</v>
      </c>
      <c r="T408" s="419" t="s">
        <v>162</v>
      </c>
      <c r="U408" s="436" t="s">
        <v>2185</v>
      </c>
      <c r="V408" s="451">
        <v>1.88026E29</v>
      </c>
      <c r="W408" s="458">
        <v>0.28183829312644537</v>
      </c>
      <c r="X408" s="438"/>
      <c r="Y408" s="442">
        <f t="shared" si="114"/>
        <v>1.857187182</v>
      </c>
      <c r="Z408" s="442"/>
      <c r="AA408" s="443"/>
      <c r="AB408" s="443"/>
      <c r="AC408" s="436" t="str">
        <f>IF(ISNUMBER(VLOOKUP(B408,'New Masses'!A:C,3,FALSE)),VLOOKUP(B408,'New Masses'!A:C,3,FALSE),"")</f>
        <v/>
      </c>
      <c r="AD408" s="440"/>
      <c r="AE408" s="440">
        <f t="shared" si="117"/>
        <v>0.000000003715352291</v>
      </c>
      <c r="AF408" s="439">
        <v>-8.43</v>
      </c>
      <c r="AG408" s="438"/>
      <c r="AH408" s="459">
        <f t="shared" si="118"/>
        <v>0.1905460718</v>
      </c>
      <c r="AI408" s="436"/>
      <c r="AJ408" s="446" t="str">
        <f>IF(ISNUMBER(VLOOKUP(B408,'New Masses'!A:C,2, FALSE)),VLOOKUP(B408,'New Masses'!A:C,2, FALSE),"")</f>
        <v/>
      </c>
      <c r="AK408" s="436">
        <v>-0.72</v>
      </c>
      <c r="AL408" s="436"/>
      <c r="AM408" s="436">
        <v>-1.86</v>
      </c>
      <c r="AN408" s="438"/>
      <c r="AO408" s="436">
        <v>1.0</v>
      </c>
      <c r="AP408" s="438"/>
      <c r="AQ408" s="438"/>
      <c r="AR408" s="436"/>
      <c r="AS408" s="438"/>
      <c r="AT408" s="455">
        <v>0.9</v>
      </c>
      <c r="AU408" s="449"/>
      <c r="AV408" s="438" t="s">
        <v>1368</v>
      </c>
      <c r="AW408" s="438"/>
      <c r="AX408" s="450">
        <v>137.083950211109</v>
      </c>
    </row>
    <row r="409">
      <c r="A409" s="436" t="s">
        <v>1330</v>
      </c>
      <c r="B409" s="436" t="s">
        <v>1330</v>
      </c>
      <c r="C409" s="436"/>
      <c r="D409" s="436" t="s">
        <v>158</v>
      </c>
      <c r="E409" s="436"/>
      <c r="F409" s="436" t="s">
        <v>2637</v>
      </c>
      <c r="G409" s="436" t="s">
        <v>159</v>
      </c>
      <c r="H409" s="436" t="s">
        <v>160</v>
      </c>
      <c r="I409" s="436" t="s">
        <v>1963</v>
      </c>
      <c r="J409" s="436">
        <v>2818.38293</v>
      </c>
      <c r="K409" s="436"/>
      <c r="L409" s="438"/>
      <c r="M409" s="453"/>
      <c r="N409" s="422">
        <v>16.828</v>
      </c>
      <c r="O409" s="422">
        <v>12.442</v>
      </c>
      <c r="P409" s="422"/>
      <c r="Q409" s="436" t="s">
        <v>2183</v>
      </c>
      <c r="R409" s="436" t="s">
        <v>2184</v>
      </c>
      <c r="S409" s="436" t="s">
        <v>1964</v>
      </c>
      <c r="T409" s="419" t="s">
        <v>162</v>
      </c>
      <c r="U409" s="436" t="s">
        <v>2185</v>
      </c>
      <c r="V409" s="451">
        <v>1.5639E28</v>
      </c>
      <c r="W409" s="458">
        <v>0.06606934480075961</v>
      </c>
      <c r="X409" s="438"/>
      <c r="Y409" s="442">
        <f t="shared" si="114"/>
        <v>1.081074634</v>
      </c>
      <c r="Z409" s="442"/>
      <c r="AA409" s="443"/>
      <c r="AB409" s="443"/>
      <c r="AC409" s="436" t="str">
        <f>IF(ISNUMBER(VLOOKUP(B409,'New Masses'!A:C,3,FALSE)),VLOOKUP(B409,'New Masses'!A:C,3,FALSE),"")</f>
        <v/>
      </c>
      <c r="AD409" s="440"/>
      <c r="AE409" s="440">
        <f t="shared" si="117"/>
        <v>0.0000000001819700859</v>
      </c>
      <c r="AF409" s="439">
        <v>-9.74</v>
      </c>
      <c r="AG409" s="438"/>
      <c r="AH409" s="459">
        <f t="shared" si="118"/>
        <v>0.07943282347</v>
      </c>
      <c r="AI409" s="436"/>
      <c r="AJ409" s="446" t="str">
        <f>IF(ISNUMBER(VLOOKUP(B409,'New Masses'!A:C,2, FALSE)),VLOOKUP(B409,'New Masses'!A:C,2, FALSE),"")</f>
        <v/>
      </c>
      <c r="AK409" s="436">
        <v>-1.1</v>
      </c>
      <c r="AL409" s="436"/>
      <c r="AM409" s="436">
        <v>-3.32</v>
      </c>
      <c r="AN409" s="438"/>
      <c r="AO409" s="436">
        <v>1.0</v>
      </c>
      <c r="AP409" s="438"/>
      <c r="AQ409" s="436"/>
      <c r="AR409" s="438"/>
      <c r="AS409" s="438"/>
      <c r="AT409" s="455">
        <v>4.9</v>
      </c>
      <c r="AU409" s="452" t="s">
        <v>137</v>
      </c>
      <c r="AV409" s="438"/>
      <c r="AW409" s="438"/>
      <c r="AX409" s="450"/>
    </row>
    <row r="410">
      <c r="A410" s="436" t="s">
        <v>1476</v>
      </c>
      <c r="B410" s="436" t="s">
        <v>1476</v>
      </c>
      <c r="C410" s="436"/>
      <c r="D410" s="436" t="s">
        <v>158</v>
      </c>
      <c r="E410" s="436"/>
      <c r="F410" s="436" t="s">
        <v>2638</v>
      </c>
      <c r="G410" s="436" t="s">
        <v>159</v>
      </c>
      <c r="H410" s="436" t="s">
        <v>160</v>
      </c>
      <c r="I410" s="436" t="s">
        <v>1963</v>
      </c>
      <c r="J410" s="436">
        <v>4677.35141</v>
      </c>
      <c r="K410" s="436"/>
      <c r="L410" s="436" t="s">
        <v>1477</v>
      </c>
      <c r="M410" s="439"/>
      <c r="N410" s="422">
        <v>8.731</v>
      </c>
      <c r="O410" s="422">
        <v>6.85</v>
      </c>
      <c r="P410" s="422">
        <v>12.59</v>
      </c>
      <c r="Q410" s="436" t="s">
        <v>2183</v>
      </c>
      <c r="R410" s="436" t="s">
        <v>2184</v>
      </c>
      <c r="S410" s="436" t="s">
        <v>1964</v>
      </c>
      <c r="T410" s="419" t="s">
        <v>162</v>
      </c>
      <c r="U410" s="436" t="s">
        <v>2185</v>
      </c>
      <c r="V410" s="451">
        <v>3.6662E29</v>
      </c>
      <c r="W410" s="458">
        <v>0.17378008287493754</v>
      </c>
      <c r="X410" s="438"/>
      <c r="Y410" s="442">
        <f t="shared" si="114"/>
        <v>0.6365839393</v>
      </c>
      <c r="Z410" s="442"/>
      <c r="AA410" s="443"/>
      <c r="AB410" s="443"/>
      <c r="AC410" s="436" t="str">
        <f>IF(ISNUMBER(VLOOKUP(B410,'New Masses'!A:C,3,FALSE)),VLOOKUP(B410,'New Masses'!A:C,3,FALSE),"")</f>
        <v/>
      </c>
      <c r="AD410" s="440"/>
      <c r="AE410" s="440">
        <f t="shared" si="117"/>
        <v>0.00000000301995172</v>
      </c>
      <c r="AF410" s="439">
        <v>-8.52</v>
      </c>
      <c r="AG410" s="438"/>
      <c r="AH410" s="459">
        <f t="shared" si="118"/>
        <v>1.174897555</v>
      </c>
      <c r="AI410" s="436"/>
      <c r="AJ410" s="446" t="str">
        <f>IF(ISNUMBER(VLOOKUP(B410,'New Masses'!A:C,2, FALSE)),VLOOKUP(B410,'New Masses'!A:C,2, FALSE),"")</f>
        <v/>
      </c>
      <c r="AK410" s="436">
        <v>0.07</v>
      </c>
      <c r="AL410" s="436"/>
      <c r="AM410" s="436">
        <v>-1.47</v>
      </c>
      <c r="AN410" s="438"/>
      <c r="AO410" s="436">
        <v>1.0</v>
      </c>
      <c r="AP410" s="438"/>
      <c r="AQ410" s="436"/>
      <c r="AR410" s="436"/>
      <c r="AS410" s="438"/>
      <c r="AT410" s="455">
        <v>1.3</v>
      </c>
      <c r="AU410" s="449" t="s">
        <v>137</v>
      </c>
      <c r="AV410" s="438" t="s">
        <v>1332</v>
      </c>
      <c r="AW410" s="438"/>
      <c r="AX410" s="450">
        <v>136.004460946319</v>
      </c>
    </row>
    <row r="411">
      <c r="A411" s="436" t="s">
        <v>1416</v>
      </c>
      <c r="B411" s="436" t="s">
        <v>1416</v>
      </c>
      <c r="C411" s="436"/>
      <c r="D411" s="436" t="s">
        <v>158</v>
      </c>
      <c r="E411" s="436"/>
      <c r="F411" s="436" t="s">
        <v>2639</v>
      </c>
      <c r="G411" s="436" t="s">
        <v>169</v>
      </c>
      <c r="H411" s="436" t="s">
        <v>160</v>
      </c>
      <c r="I411" s="436" t="s">
        <v>1963</v>
      </c>
      <c r="J411" s="436">
        <v>3715.35229</v>
      </c>
      <c r="K411" s="436"/>
      <c r="L411" s="438"/>
      <c r="M411" s="453"/>
      <c r="N411" s="422">
        <v>9.21</v>
      </c>
      <c r="O411" s="422">
        <v>7.997</v>
      </c>
      <c r="P411" s="422">
        <v>12.4</v>
      </c>
      <c r="Q411" s="436" t="s">
        <v>2183</v>
      </c>
      <c r="R411" s="436" t="s">
        <v>2184</v>
      </c>
      <c r="S411" s="436" t="s">
        <v>1964</v>
      </c>
      <c r="T411" s="419" t="s">
        <v>162</v>
      </c>
      <c r="U411" s="436" t="s">
        <v>2185</v>
      </c>
      <c r="V411" s="451">
        <v>3.34363E29</v>
      </c>
      <c r="W411" s="458">
        <v>1.0471285480508996</v>
      </c>
      <c r="X411" s="438"/>
      <c r="Y411" s="442">
        <f t="shared" si="114"/>
        <v>2.476598908</v>
      </c>
      <c r="Z411" s="442"/>
      <c r="AA411" s="443"/>
      <c r="AB411" s="443"/>
      <c r="AC411" s="436" t="str">
        <f>IF(ISNUMBER(VLOOKUP(B411,'New Masses'!A:C,3,FALSE)),VLOOKUP(B411,'New Masses'!A:C,3,FALSE),"")</f>
        <v/>
      </c>
      <c r="AD411" s="440"/>
      <c r="AE411" s="440">
        <f t="shared" si="117"/>
        <v>0.000000004897788194</v>
      </c>
      <c r="AF411" s="439">
        <v>-8.31</v>
      </c>
      <c r="AG411" s="438"/>
      <c r="AH411" s="459">
        <f t="shared" si="118"/>
        <v>0.4168693835</v>
      </c>
      <c r="AI411" s="436"/>
      <c r="AJ411" s="446" t="str">
        <f>IF(ISNUMBER(VLOOKUP(B411,'New Masses'!A:C,2, FALSE)),VLOOKUP(B411,'New Masses'!A:C,2, FALSE),"")</f>
        <v/>
      </c>
      <c r="AK411" s="436">
        <v>-0.38</v>
      </c>
      <c r="AL411" s="436"/>
      <c r="AM411" s="436">
        <v>-1.53</v>
      </c>
      <c r="AN411" s="438"/>
      <c r="AO411" s="436">
        <v>1.0</v>
      </c>
      <c r="AP411" s="438"/>
      <c r="AQ411" s="438"/>
      <c r="AR411" s="438"/>
      <c r="AS411" s="438"/>
      <c r="AT411" s="455">
        <v>0.2</v>
      </c>
      <c r="AU411" s="452"/>
      <c r="AV411" s="438"/>
      <c r="AW411" s="438"/>
      <c r="AX411" s="450">
        <v>81.9934241273849</v>
      </c>
    </row>
    <row r="412">
      <c r="A412" s="435" t="s">
        <v>1735</v>
      </c>
      <c r="B412" s="436" t="s">
        <v>1736</v>
      </c>
      <c r="C412" s="436"/>
      <c r="D412" s="436" t="s">
        <v>350</v>
      </c>
      <c r="E412" s="436"/>
      <c r="F412" s="436" t="s">
        <v>2640</v>
      </c>
      <c r="G412" s="437" t="s">
        <v>169</v>
      </c>
      <c r="H412" s="437" t="s">
        <v>702</v>
      </c>
      <c r="I412" s="437" t="s">
        <v>1999</v>
      </c>
      <c r="J412" s="437">
        <v>3600.0</v>
      </c>
      <c r="K412" s="438"/>
      <c r="L412" s="438"/>
      <c r="M412" s="453"/>
      <c r="N412" s="422">
        <v>11.764</v>
      </c>
      <c r="O412" s="422">
        <v>10.544</v>
      </c>
      <c r="P412" s="422">
        <v>14.08</v>
      </c>
      <c r="Q412" s="436" t="s">
        <v>1632</v>
      </c>
      <c r="R412" s="438"/>
      <c r="S412" s="436" t="s">
        <v>2000</v>
      </c>
      <c r="T412" s="436" t="s">
        <v>1632</v>
      </c>
      <c r="U412" s="436" t="s">
        <v>1633</v>
      </c>
      <c r="V412" s="440"/>
      <c r="W412" s="441">
        <v>0.39</v>
      </c>
      <c r="X412" s="438"/>
      <c r="Y412" s="442">
        <f t="shared" si="114"/>
        <v>1.609840981</v>
      </c>
      <c r="Z412" s="442"/>
      <c r="AA412" s="443"/>
      <c r="AB412" s="443"/>
      <c r="AC412" s="436" t="str">
        <f>IF(ISNUMBER(VLOOKUP(B412,'New Masses'!A:C,3,FALSE)),VLOOKUP(B412,'New Masses'!A:C,3,FALSE),"")</f>
        <v/>
      </c>
      <c r="AD412" s="440"/>
      <c r="AE412" s="440">
        <f t="shared" si="117"/>
        <v>0.0000000004786300923</v>
      </c>
      <c r="AF412" s="444">
        <v>-9.32</v>
      </c>
      <c r="AG412" s="438"/>
      <c r="AH412" s="445">
        <v>0.6</v>
      </c>
      <c r="AI412" s="438"/>
      <c r="AJ412" s="446" t="str">
        <f>IF(ISNUMBER(VLOOKUP(B412,'New Masses'!A:C,2, FALSE)),VLOOKUP(B412,'New Masses'!A:C,2, FALSE),"")</f>
        <v/>
      </c>
      <c r="AK412" s="438"/>
      <c r="AL412" s="437"/>
      <c r="AM412" s="447">
        <v>-2.26</v>
      </c>
      <c r="AN412" s="438"/>
      <c r="AO412" s="436">
        <v>3.0</v>
      </c>
      <c r="AP412" s="438"/>
      <c r="AQ412" s="436"/>
      <c r="AR412" s="438"/>
      <c r="AS412" s="438"/>
      <c r="AT412" s="448"/>
      <c r="AU412" s="449" t="s">
        <v>137</v>
      </c>
      <c r="AV412" s="438"/>
      <c r="AW412" s="438"/>
      <c r="AX412" s="450">
        <v>424.826883045159</v>
      </c>
    </row>
    <row r="413">
      <c r="A413" s="435" t="s">
        <v>1709</v>
      </c>
      <c r="B413" s="436" t="s">
        <v>1710</v>
      </c>
      <c r="C413" s="436"/>
      <c r="D413" s="436" t="s">
        <v>350</v>
      </c>
      <c r="E413" s="436"/>
      <c r="F413" s="436" t="s">
        <v>2641</v>
      </c>
      <c r="G413" s="437" t="s">
        <v>169</v>
      </c>
      <c r="H413" s="437" t="s">
        <v>702</v>
      </c>
      <c r="I413" s="437" t="s">
        <v>1999</v>
      </c>
      <c r="J413" s="437">
        <v>3300.0</v>
      </c>
      <c r="K413" s="438"/>
      <c r="L413" s="436" t="s">
        <v>422</v>
      </c>
      <c r="M413" s="439"/>
      <c r="N413" s="422">
        <v>12.826</v>
      </c>
      <c r="O413" s="422">
        <v>11.86</v>
      </c>
      <c r="P413" s="422">
        <v>15.92</v>
      </c>
      <c r="Q413" s="436" t="s">
        <v>1632</v>
      </c>
      <c r="R413" s="438"/>
      <c r="S413" s="436" t="s">
        <v>2000</v>
      </c>
      <c r="T413" s="436" t="s">
        <v>1632</v>
      </c>
      <c r="U413" s="436" t="s">
        <v>1633</v>
      </c>
      <c r="V413" s="440"/>
      <c r="W413" s="441">
        <v>0.15</v>
      </c>
      <c r="X413" s="438"/>
      <c r="Y413" s="442">
        <f t="shared" si="114"/>
        <v>1.188155894</v>
      </c>
      <c r="Z413" s="442"/>
      <c r="AA413" s="443"/>
      <c r="AB413" s="443"/>
      <c r="AC413" s="436" t="str">
        <f>IF(ISNUMBER(VLOOKUP(B413,'New Masses'!A:C,3,FALSE)),VLOOKUP(B413,'New Masses'!A:C,3,FALSE),"")</f>
        <v/>
      </c>
      <c r="AD413" s="440"/>
      <c r="AE413" s="440">
        <f t="shared" si="117"/>
        <v>0.0000000001513561248</v>
      </c>
      <c r="AF413" s="444">
        <v>-9.82</v>
      </c>
      <c r="AG413" s="438"/>
      <c r="AH413" s="445">
        <v>0.3</v>
      </c>
      <c r="AI413" s="438"/>
      <c r="AJ413" s="446" t="str">
        <f>IF(ISNUMBER(VLOOKUP(B413,'New Masses'!A:C,2, FALSE)),VLOOKUP(B413,'New Masses'!A:C,2, FALSE),"")</f>
        <v/>
      </c>
      <c r="AK413" s="438"/>
      <c r="AL413" s="437"/>
      <c r="AM413" s="447">
        <v>-3.02</v>
      </c>
      <c r="AN413" s="438"/>
      <c r="AO413" s="436">
        <v>3.0</v>
      </c>
      <c r="AP413" s="438"/>
      <c r="AQ413" s="436"/>
      <c r="AR413" s="436"/>
      <c r="AS413" s="438"/>
      <c r="AT413" s="448"/>
      <c r="AU413" s="449" t="s">
        <v>137</v>
      </c>
      <c r="AV413" s="438" t="s">
        <v>1676</v>
      </c>
      <c r="AW413" s="438"/>
      <c r="AX413" s="450">
        <v>403.437285673942</v>
      </c>
    </row>
    <row r="414">
      <c r="A414" s="435" t="s">
        <v>1648</v>
      </c>
      <c r="B414" s="436" t="s">
        <v>1649</v>
      </c>
      <c r="C414" s="436"/>
      <c r="D414" s="436" t="s">
        <v>350</v>
      </c>
      <c r="E414" s="436"/>
      <c r="F414" s="436" t="s">
        <v>2642</v>
      </c>
      <c r="G414" s="437" t="s">
        <v>712</v>
      </c>
      <c r="H414" s="437" t="s">
        <v>702</v>
      </c>
      <c r="I414" s="437" t="s">
        <v>1999</v>
      </c>
      <c r="J414" s="437">
        <v>2900.0</v>
      </c>
      <c r="K414" s="438"/>
      <c r="L414" s="436" t="s">
        <v>402</v>
      </c>
      <c r="M414" s="439"/>
      <c r="N414" s="422">
        <v>14.75</v>
      </c>
      <c r="O414" s="422">
        <v>13.8</v>
      </c>
      <c r="P414" s="422">
        <v>19.05</v>
      </c>
      <c r="Q414" s="436" t="s">
        <v>1632</v>
      </c>
      <c r="R414" s="438"/>
      <c r="S414" s="436" t="s">
        <v>2000</v>
      </c>
      <c r="T414" s="436" t="s">
        <v>1632</v>
      </c>
      <c r="U414" s="436" t="s">
        <v>1633</v>
      </c>
      <c r="V414" s="451"/>
      <c r="W414" s="441">
        <v>0.02</v>
      </c>
      <c r="X414" s="438"/>
      <c r="Y414" s="442">
        <f t="shared" si="114"/>
        <v>0.5617908725</v>
      </c>
      <c r="Z414" s="442"/>
      <c r="AA414" s="443"/>
      <c r="AB414" s="443"/>
      <c r="AC414" s="436" t="str">
        <f>IF(ISNUMBER(VLOOKUP(B414,'New Masses'!A:C,3,FALSE)),VLOOKUP(B414,'New Masses'!A:C,3,FALSE),"")</f>
        <v/>
      </c>
      <c r="AD414" s="440"/>
      <c r="AE414" s="440">
        <f t="shared" si="117"/>
        <v>0</v>
      </c>
      <c r="AF414" s="444">
        <v>-11.06</v>
      </c>
      <c r="AG414" s="438"/>
      <c r="AH414" s="445">
        <v>0.09</v>
      </c>
      <c r="AI414" s="438"/>
      <c r="AJ414" s="446" t="str">
        <f>IF(ISNUMBER(VLOOKUP(B414,'New Masses'!A:C,2, FALSE)),VLOOKUP(B414,'New Masses'!A:C,2, FALSE),"")</f>
        <v/>
      </c>
      <c r="AK414" s="438"/>
      <c r="AL414" s="437"/>
      <c r="AM414" s="447">
        <v>-4.49</v>
      </c>
      <c r="AN414" s="438"/>
      <c r="AO414" s="436">
        <v>3.0</v>
      </c>
      <c r="AP414" s="438"/>
      <c r="AQ414" s="436"/>
      <c r="AR414" s="436"/>
      <c r="AS414" s="438"/>
      <c r="AT414" s="448"/>
      <c r="AU414" s="452" t="s">
        <v>137</v>
      </c>
      <c r="AV414" s="438" t="s">
        <v>705</v>
      </c>
      <c r="AW414" s="438"/>
      <c r="AX414" s="450">
        <v>434.763705925829</v>
      </c>
    </row>
    <row r="415">
      <c r="A415" s="435" t="s">
        <v>1637</v>
      </c>
      <c r="B415" s="436" t="s">
        <v>1638</v>
      </c>
      <c r="C415" s="436"/>
      <c r="D415" s="436" t="s">
        <v>350</v>
      </c>
      <c r="E415" s="436"/>
      <c r="F415" s="436" t="s">
        <v>2643</v>
      </c>
      <c r="G415" s="437" t="s">
        <v>169</v>
      </c>
      <c r="H415" s="437" t="s">
        <v>702</v>
      </c>
      <c r="I415" s="437" t="s">
        <v>1999</v>
      </c>
      <c r="J415" s="437">
        <v>3000.0</v>
      </c>
      <c r="K415" s="438"/>
      <c r="L415" s="438"/>
      <c r="M415" s="453"/>
      <c r="N415" s="422">
        <v>14.82</v>
      </c>
      <c r="O415" s="422">
        <v>13.88</v>
      </c>
      <c r="P415" s="422"/>
      <c r="Q415" s="436" t="s">
        <v>1632</v>
      </c>
      <c r="R415" s="438"/>
      <c r="S415" s="436" t="s">
        <v>2000</v>
      </c>
      <c r="T415" s="436" t="s">
        <v>1632</v>
      </c>
      <c r="U415" s="436" t="s">
        <v>1633</v>
      </c>
      <c r="V415" s="451"/>
      <c r="W415" s="441">
        <v>0.02</v>
      </c>
      <c r="X415" s="438"/>
      <c r="Y415" s="442">
        <f t="shared" si="114"/>
        <v>0.5249623597</v>
      </c>
      <c r="Z415" s="442"/>
      <c r="AA415" s="443"/>
      <c r="AB415" s="443"/>
      <c r="AC415" s="436" t="str">
        <f>IF(ISNUMBER(VLOOKUP(B415,'New Masses'!A:C,3,FALSE)),VLOOKUP(B415,'New Masses'!A:C,3,FALSE),"")</f>
        <v/>
      </c>
      <c r="AD415" s="440"/>
      <c r="AE415" s="440">
        <f t="shared" si="117"/>
        <v>0</v>
      </c>
      <c r="AF415" s="444">
        <v>-10.83</v>
      </c>
      <c r="AG415" s="438"/>
      <c r="AH415" s="445">
        <v>0.07</v>
      </c>
      <c r="AI415" s="438"/>
      <c r="AJ415" s="446" t="str">
        <f>IF(ISNUMBER(VLOOKUP(B415,'New Masses'!A:C,2, FALSE)),VLOOKUP(B415,'New Masses'!A:C,2, FALSE),"")</f>
        <v/>
      </c>
      <c r="AK415" s="438"/>
      <c r="AL415" s="437"/>
      <c r="AM415" s="447">
        <v>-4.32</v>
      </c>
      <c r="AN415" s="438"/>
      <c r="AO415" s="436">
        <v>3.0</v>
      </c>
      <c r="AP415" s="438"/>
      <c r="AQ415" s="436"/>
      <c r="AR415" s="436"/>
      <c r="AS415" s="438"/>
      <c r="AT415" s="448"/>
      <c r="AU415" s="452" t="s">
        <v>137</v>
      </c>
      <c r="AV415" s="438" t="s">
        <v>1639</v>
      </c>
      <c r="AW415" s="438"/>
      <c r="AX415" s="450"/>
    </row>
    <row r="416">
      <c r="A416" s="436" t="s">
        <v>260</v>
      </c>
      <c r="B416" s="436" t="s">
        <v>260</v>
      </c>
      <c r="C416" s="420"/>
      <c r="D416" s="420" t="s">
        <v>199</v>
      </c>
      <c r="E416" s="420"/>
      <c r="F416" s="420" t="s">
        <v>2644</v>
      </c>
      <c r="G416" s="420" t="s">
        <v>169</v>
      </c>
      <c r="H416" s="420" t="s">
        <v>248</v>
      </c>
      <c r="I416" s="420" t="s">
        <v>2231</v>
      </c>
      <c r="J416" s="420"/>
      <c r="K416" s="420"/>
      <c r="L416" s="420" t="s">
        <v>353</v>
      </c>
      <c r="M416" s="429"/>
      <c r="N416" s="422">
        <v>11.07</v>
      </c>
      <c r="O416" s="422">
        <v>10.063</v>
      </c>
      <c r="P416" s="422"/>
      <c r="Q416" s="420" t="s">
        <v>2232</v>
      </c>
      <c r="R416" s="420" t="s">
        <v>2645</v>
      </c>
      <c r="S416" s="420" t="s">
        <v>2234</v>
      </c>
      <c r="T416" s="420" t="s">
        <v>596</v>
      </c>
      <c r="U416" s="420" t="s">
        <v>597</v>
      </c>
      <c r="V416" s="440"/>
      <c r="W416" s="468">
        <v>0.06606934480075961</v>
      </c>
      <c r="X416" s="436"/>
      <c r="Y416" s="442"/>
      <c r="Z416" s="469"/>
      <c r="AA416" s="470">
        <v>0.5</v>
      </c>
      <c r="AB416" s="426"/>
      <c r="AC416" s="469">
        <f>IF(ISNUMBER(VLOOKUP(B416,'New Masses'!A:C,3,FALSE)),VLOOKUP(B416,'New Masses'!A:C,3,FALSE),"")</f>
        <v>0.637798</v>
      </c>
      <c r="AD416" s="451"/>
      <c r="AE416" s="451">
        <f>10^(AF416)</f>
        <v>0</v>
      </c>
      <c r="AF416" s="439">
        <v>-10.8</v>
      </c>
      <c r="AG416" s="436">
        <v>0.09</v>
      </c>
      <c r="AH416" s="459">
        <v>0.09</v>
      </c>
      <c r="AI416" s="420"/>
      <c r="AJ416" s="446">
        <f>IF(ISNUMBER(VLOOKUP(B416,'New Masses'!A:C,2, FALSE)),VLOOKUP(B416,'New Masses'!A:C,2, FALSE),"")</f>
        <v>0.057198</v>
      </c>
      <c r="AK416" s="420"/>
      <c r="AL416" s="460">
        <f>(6.67*10^(-11))*((2*10^(33))^2)*AE416*AH416/(3*10^7*AA416*7*10^10)</f>
        <v>3.62442E+26</v>
      </c>
      <c r="AM416" s="451">
        <f>log10(AL416/(4*10^33))</f>
        <v>-7.042820956</v>
      </c>
      <c r="AN416" s="438"/>
      <c r="AO416" s="436">
        <f>10^5.1/10^6</f>
        <v>0.1258925412</v>
      </c>
      <c r="AP416" s="438"/>
      <c r="AQ416" s="436">
        <v>0.3</v>
      </c>
      <c r="AR416" s="438"/>
      <c r="AS416" s="420" t="s">
        <v>2241</v>
      </c>
      <c r="AT416" s="448"/>
      <c r="AU416" s="449"/>
      <c r="AV416" s="420" t="s">
        <v>599</v>
      </c>
      <c r="AW416" s="454">
        <v>0.11</v>
      </c>
      <c r="AX416" s="450">
        <v>144.62152546785</v>
      </c>
    </row>
    <row r="417">
      <c r="A417" s="436" t="s">
        <v>260</v>
      </c>
      <c r="B417" s="436" t="s">
        <v>260</v>
      </c>
      <c r="C417" s="436"/>
      <c r="D417" s="436" t="s">
        <v>199</v>
      </c>
      <c r="E417" s="436"/>
      <c r="F417" s="436" t="s">
        <v>2644</v>
      </c>
      <c r="G417" s="436" t="s">
        <v>169</v>
      </c>
      <c r="H417" s="420" t="s">
        <v>201</v>
      </c>
      <c r="I417" s="438" t="s">
        <v>2207</v>
      </c>
      <c r="J417" s="436">
        <v>3000.0</v>
      </c>
      <c r="K417" s="438"/>
      <c r="L417" s="420" t="s">
        <v>253</v>
      </c>
      <c r="M417" s="429"/>
      <c r="N417" s="422">
        <v>11.07</v>
      </c>
      <c r="O417" s="422">
        <v>10.063</v>
      </c>
      <c r="P417" s="422"/>
      <c r="Q417" s="438" t="s">
        <v>2208</v>
      </c>
      <c r="R417" s="438" t="s">
        <v>2209</v>
      </c>
      <c r="S417" s="438" t="s">
        <v>2229</v>
      </c>
      <c r="T417" s="454" t="s">
        <v>162</v>
      </c>
      <c r="U417" s="438" t="s">
        <v>2210</v>
      </c>
      <c r="V417" s="423">
        <v>4.48</v>
      </c>
      <c r="W417" s="458"/>
      <c r="X417" s="438"/>
      <c r="Y417" s="442" t="str">
        <f t="shared" ref="Y417:Y418" si="119">IF((W417/((J417/5780)^4))^0.5&gt;0,(W417/((J417/5780)^4))^0.5,"")</f>
        <v/>
      </c>
      <c r="Z417" s="442"/>
      <c r="AA417" s="443"/>
      <c r="AB417" s="443"/>
      <c r="AC417" s="469">
        <f>IF(ISNUMBER(VLOOKUP(B417,'New Masses'!A:C,3,FALSE)),VLOOKUP(B417,'New Masses'!A:C,3,FALSE),"")</f>
        <v>0.637798</v>
      </c>
      <c r="AD417" s="423"/>
      <c r="AE417" s="423">
        <f t="shared" ref="AE417:AE418" si="120">10^AF417</f>
        <v>0</v>
      </c>
      <c r="AF417" s="429">
        <v>-10.7</v>
      </c>
      <c r="AG417" s="438"/>
      <c r="AH417" s="459">
        <v>0.1</v>
      </c>
      <c r="AI417" s="438"/>
      <c r="AJ417" s="446">
        <f>IF(ISNUMBER(VLOOKUP(B417,'New Masses'!A:C,2, FALSE)),VLOOKUP(B417,'New Masses'!A:C,2, FALSE),"")</f>
        <v>0.057198</v>
      </c>
      <c r="AK417" s="438"/>
      <c r="AL417" s="438"/>
      <c r="AM417" s="438"/>
      <c r="AN417" s="438"/>
      <c r="AO417" s="436">
        <v>1.0</v>
      </c>
      <c r="AP417" s="438"/>
      <c r="AQ417" s="436">
        <v>0.3</v>
      </c>
      <c r="AR417" s="438"/>
      <c r="AS417" s="420" t="s">
        <v>2241</v>
      </c>
      <c r="AT417" s="448"/>
      <c r="AU417" s="449"/>
      <c r="AV417" s="438" t="s">
        <v>207</v>
      </c>
      <c r="AW417" s="438"/>
      <c r="AX417" s="450">
        <v>144.62152546785</v>
      </c>
    </row>
    <row r="418">
      <c r="A418" s="436" t="s">
        <v>260</v>
      </c>
      <c r="B418" s="436" t="s">
        <v>260</v>
      </c>
      <c r="C418" s="436"/>
      <c r="D418" s="436" t="s">
        <v>199</v>
      </c>
      <c r="E418" s="436"/>
      <c r="F418" s="436" t="s">
        <v>2644</v>
      </c>
      <c r="G418" s="436" t="s">
        <v>169</v>
      </c>
      <c r="H418" s="420" t="s">
        <v>201</v>
      </c>
      <c r="I418" s="438" t="s">
        <v>2207</v>
      </c>
      <c r="J418" s="436">
        <v>3000.0</v>
      </c>
      <c r="K418" s="438"/>
      <c r="L418" s="420" t="s">
        <v>253</v>
      </c>
      <c r="M418" s="429"/>
      <c r="N418" s="422">
        <v>11.07</v>
      </c>
      <c r="O418" s="422">
        <v>10.063</v>
      </c>
      <c r="P418" s="422"/>
      <c r="Q418" s="438" t="s">
        <v>2208</v>
      </c>
      <c r="R418" s="438" t="s">
        <v>2209</v>
      </c>
      <c r="S418" s="438" t="s">
        <v>2229</v>
      </c>
      <c r="T418" s="454" t="s">
        <v>162</v>
      </c>
      <c r="U418" s="438" t="s">
        <v>2210</v>
      </c>
      <c r="V418" s="423">
        <v>4.48</v>
      </c>
      <c r="W418" s="458"/>
      <c r="X418" s="438"/>
      <c r="Y418" s="442" t="str">
        <f t="shared" si="119"/>
        <v/>
      </c>
      <c r="Z418" s="442"/>
      <c r="AA418" s="443"/>
      <c r="AB418" s="443"/>
      <c r="AC418" s="469">
        <f>IF(ISNUMBER(VLOOKUP(B418,'New Masses'!A:C,3,FALSE)),VLOOKUP(B418,'New Masses'!A:C,3,FALSE),"")</f>
        <v>0.637798</v>
      </c>
      <c r="AD418" s="423"/>
      <c r="AE418" s="423">
        <f t="shared" si="120"/>
        <v>0</v>
      </c>
      <c r="AF418" s="453">
        <v>-10.9</v>
      </c>
      <c r="AG418" s="438"/>
      <c r="AH418" s="459">
        <v>0.1</v>
      </c>
      <c r="AI418" s="438"/>
      <c r="AJ418" s="446">
        <f>IF(ISNUMBER(VLOOKUP(B418,'New Masses'!A:C,2, FALSE)),VLOOKUP(B418,'New Masses'!A:C,2, FALSE),"")</f>
        <v>0.057198</v>
      </c>
      <c r="AK418" s="438"/>
      <c r="AL418" s="438"/>
      <c r="AM418" s="438"/>
      <c r="AN418" s="438"/>
      <c r="AO418" s="436">
        <v>1.0</v>
      </c>
      <c r="AP418" s="438"/>
      <c r="AQ418" s="436">
        <v>0.3</v>
      </c>
      <c r="AR418" s="438"/>
      <c r="AS418" s="420" t="s">
        <v>2241</v>
      </c>
      <c r="AT418" s="448"/>
      <c r="AU418" s="452"/>
      <c r="AV418" s="438" t="s">
        <v>206</v>
      </c>
      <c r="AW418" s="438"/>
      <c r="AX418" s="450">
        <v>144.62152546785</v>
      </c>
    </row>
    <row r="419">
      <c r="A419" s="419" t="s">
        <v>392</v>
      </c>
      <c r="B419" s="419" t="s">
        <v>392</v>
      </c>
      <c r="C419" s="436"/>
      <c r="D419" s="436" t="s">
        <v>199</v>
      </c>
      <c r="E419" s="436"/>
      <c r="F419" s="436" t="s">
        <v>2646</v>
      </c>
      <c r="G419" s="436" t="s">
        <v>169</v>
      </c>
      <c r="H419" s="436" t="s">
        <v>248</v>
      </c>
      <c r="I419" s="436" t="s">
        <v>2231</v>
      </c>
      <c r="J419" s="436"/>
      <c r="K419" s="436"/>
      <c r="L419" s="436" t="s">
        <v>398</v>
      </c>
      <c r="M419" s="439"/>
      <c r="N419" s="422">
        <v>11.711</v>
      </c>
      <c r="O419" s="422">
        <v>10.649</v>
      </c>
      <c r="P419" s="422"/>
      <c r="Q419" s="436" t="s">
        <v>2232</v>
      </c>
      <c r="R419" s="436" t="s">
        <v>2647</v>
      </c>
      <c r="S419" s="436" t="s">
        <v>2234</v>
      </c>
      <c r="T419" s="436" t="s">
        <v>596</v>
      </c>
      <c r="U419" s="436" t="s">
        <v>597</v>
      </c>
      <c r="V419" s="451"/>
      <c r="W419" s="468">
        <v>0.06918309709189366</v>
      </c>
      <c r="X419" s="436"/>
      <c r="Y419" s="442"/>
      <c r="Z419" s="469"/>
      <c r="AA419" s="470">
        <v>1.0</v>
      </c>
      <c r="AB419" s="470"/>
      <c r="AC419" s="436" t="str">
        <f>IF(ISNUMBER(VLOOKUP(B419,'New Masses'!A:C,3,FALSE)),VLOOKUP(B419,'New Masses'!A:C,3,FALSE),"")</f>
        <v/>
      </c>
      <c r="AD419" s="451"/>
      <c r="AE419" s="451">
        <f>10^(AF419)</f>
        <v>0</v>
      </c>
      <c r="AF419" s="439">
        <v>-10.3</v>
      </c>
      <c r="AG419" s="436">
        <v>0.13</v>
      </c>
      <c r="AH419" s="459">
        <v>0.13</v>
      </c>
      <c r="AI419" s="436"/>
      <c r="AJ419" s="446" t="str">
        <f>IF(ISNUMBER(VLOOKUP(B419,'New Masses'!A:C,2, FALSE)),VLOOKUP(B419,'New Masses'!A:C,2, FALSE),"")</f>
        <v/>
      </c>
      <c r="AK419" s="436">
        <f t="shared" ref="AK419:AK420" si="121">LOG10(AH419)</f>
        <v>-0.8860566477</v>
      </c>
      <c r="AL419" s="460">
        <f>(6.67*10^(-11))*((2*10^(33))^2)*AE419*AH419/(3*10^7*AA419*7*10^10)</f>
        <v>8.2777E+26</v>
      </c>
      <c r="AM419" s="451">
        <f>log10(AL419/(4*10^33))</f>
        <v>-6.684150109</v>
      </c>
      <c r="AN419" s="436"/>
      <c r="AO419" s="436">
        <v>0.43</v>
      </c>
      <c r="AP419" s="436"/>
      <c r="AQ419" s="419">
        <v>0.86</v>
      </c>
      <c r="AR419" s="436"/>
      <c r="AS419" s="438"/>
      <c r="AT419" s="448"/>
      <c r="AU419" s="449"/>
      <c r="AV419" s="438" t="s">
        <v>599</v>
      </c>
      <c r="AW419" s="438"/>
      <c r="AX419" s="450">
        <v>141.918453656528</v>
      </c>
    </row>
    <row r="420">
      <c r="A420" s="435" t="s">
        <v>583</v>
      </c>
      <c r="B420" s="435" t="s">
        <v>583</v>
      </c>
      <c r="C420" s="440"/>
      <c r="D420" s="440" t="s">
        <v>314</v>
      </c>
      <c r="E420" s="440"/>
      <c r="F420" s="451" t="s">
        <v>2648</v>
      </c>
      <c r="G420" s="440" t="s">
        <v>159</v>
      </c>
      <c r="H420" s="440" t="s">
        <v>476</v>
      </c>
      <c r="I420" s="436">
        <v>2015.0</v>
      </c>
      <c r="J420" s="460">
        <v>5100.0</v>
      </c>
      <c r="K420" s="460">
        <v>235.0</v>
      </c>
      <c r="L420" s="460" t="s">
        <v>584</v>
      </c>
      <c r="M420" s="461">
        <v>1.0</v>
      </c>
      <c r="N420" s="422">
        <v>9.457</v>
      </c>
      <c r="O420" s="422">
        <v>8.348</v>
      </c>
      <c r="P420" s="422">
        <v>11.06</v>
      </c>
      <c r="Q420" s="440" t="s">
        <v>2189</v>
      </c>
      <c r="R420" s="451" t="s">
        <v>2190</v>
      </c>
      <c r="S420" s="451" t="s">
        <v>2191</v>
      </c>
      <c r="T420" s="462" t="s">
        <v>162</v>
      </c>
      <c r="U420" s="451" t="s">
        <v>2192</v>
      </c>
      <c r="V420" s="440"/>
      <c r="W420" s="463"/>
      <c r="X420" s="437"/>
      <c r="Y420" s="442" t="str">
        <f t="shared" ref="Y420:Y429" si="122">IF((W420/((J420/5780)^4))^0.5&gt;0,(W420/((J420/5780)^4))^0.5,"")</f>
        <v/>
      </c>
      <c r="Z420" s="464"/>
      <c r="AA420" s="465">
        <v>1.13</v>
      </c>
      <c r="AB420" s="465">
        <v>0.24</v>
      </c>
      <c r="AC420" s="436" t="str">
        <f>IF(ISNUMBER(VLOOKUP(B420,'New Masses'!A:C,3,FALSE)),VLOOKUP(B420,'New Masses'!A:C,3,FALSE),"")</f>
        <v/>
      </c>
      <c r="AD420" s="440"/>
      <c r="AE420" s="440">
        <f>10^AF420</f>
        <v>0.0000000002238721139</v>
      </c>
      <c r="AF420" s="439">
        <v>-9.65</v>
      </c>
      <c r="AG420" s="440"/>
      <c r="AH420" s="445">
        <v>1.02</v>
      </c>
      <c r="AI420" s="460">
        <v>0.13</v>
      </c>
      <c r="AJ420" s="446" t="str">
        <f>IF(ISNUMBER(VLOOKUP(B420,'New Masses'!A:C,2, FALSE)),VLOOKUP(B420,'New Masses'!A:C,2, FALSE),"")</f>
        <v/>
      </c>
      <c r="AK420" s="440">
        <f t="shared" si="121"/>
        <v>0.008600171762</v>
      </c>
      <c r="AL420" s="460"/>
      <c r="AM420" s="460">
        <v>-2.3</v>
      </c>
      <c r="AN420" s="466">
        <v>43900.0</v>
      </c>
      <c r="AO420" s="436">
        <v>3.0</v>
      </c>
      <c r="AP420" s="440"/>
      <c r="AQ420" s="440"/>
      <c r="AR420" s="440"/>
      <c r="AS420" s="440"/>
      <c r="AT420" s="448"/>
      <c r="AU420" s="449" t="s">
        <v>137</v>
      </c>
      <c r="AV420" s="440"/>
      <c r="AW420" s="440"/>
      <c r="AX420" s="450">
        <v>156.585190172713</v>
      </c>
    </row>
    <row r="421">
      <c r="A421" s="419" t="s">
        <v>299</v>
      </c>
      <c r="B421" s="436" t="s">
        <v>300</v>
      </c>
      <c r="C421" s="438"/>
      <c r="D421" s="420" t="s">
        <v>301</v>
      </c>
      <c r="E421" s="420"/>
      <c r="F421" s="420" t="s">
        <v>2649</v>
      </c>
      <c r="G421" s="420" t="s">
        <v>189</v>
      </c>
      <c r="H421" s="420" t="s">
        <v>291</v>
      </c>
      <c r="I421" s="516">
        <v>40961.0</v>
      </c>
      <c r="J421" s="419">
        <v>2200.0</v>
      </c>
      <c r="K421" s="436"/>
      <c r="L421" s="420"/>
      <c r="M421" s="429"/>
      <c r="N421" s="422"/>
      <c r="O421" s="422"/>
      <c r="P421" s="422"/>
      <c r="Q421" s="420" t="s">
        <v>2439</v>
      </c>
      <c r="R421" s="420" t="s">
        <v>2176</v>
      </c>
      <c r="S421" s="420" t="s">
        <v>292</v>
      </c>
      <c r="T421" s="420" t="s">
        <v>293</v>
      </c>
      <c r="U421" s="420" t="s">
        <v>294</v>
      </c>
      <c r="V421" s="440">
        <v>7.98E-17</v>
      </c>
      <c r="W421" s="468"/>
      <c r="X421" s="436"/>
      <c r="Y421" s="442" t="str">
        <f t="shared" si="122"/>
        <v/>
      </c>
      <c r="Z421" s="469"/>
      <c r="AA421" s="470">
        <f>0.10049*1.8</f>
        <v>0.180882</v>
      </c>
      <c r="AB421" s="470">
        <f>0.5*0.10049</f>
        <v>0.050245</v>
      </c>
      <c r="AC421" s="436" t="str">
        <f>IF(ISNUMBER(VLOOKUP(B421,'New Masses'!A:C,3,FALSE)),VLOOKUP(B421,'New Masses'!A:C,3,FALSE),"")</f>
        <v/>
      </c>
      <c r="AD421" s="451"/>
      <c r="AE421" s="451">
        <f>10^(AF421)</f>
        <v>0</v>
      </c>
      <c r="AF421" s="439">
        <v>-10.8</v>
      </c>
      <c r="AG421" s="438"/>
      <c r="AH421" s="459">
        <f>0.0009543*15</f>
        <v>0.0143145</v>
      </c>
      <c r="AI421" s="436">
        <f>3/1048</f>
        <v>0.00286259542</v>
      </c>
      <c r="AJ421" s="446" t="str">
        <f>IF(ISNUMBER(VLOOKUP(B421,'New Masses'!A:C,2, FALSE)),VLOOKUP(B421,'New Masses'!A:C,2, FALSE),"")</f>
        <v/>
      </c>
      <c r="AK421" s="438"/>
      <c r="AL421" s="438"/>
      <c r="AM421" s="436">
        <v>-4.7</v>
      </c>
      <c r="AN421" s="466">
        <v>43963.0</v>
      </c>
      <c r="AO421" s="436">
        <v>11.0</v>
      </c>
      <c r="AP421" s="421" t="s">
        <v>156</v>
      </c>
      <c r="AQ421" s="517">
        <v>0.2</v>
      </c>
      <c r="AR421" s="518"/>
      <c r="AS421" s="518" t="s">
        <v>302</v>
      </c>
      <c r="AT421" s="448"/>
      <c r="AU421" s="452"/>
      <c r="AV421" s="536" t="s">
        <v>2445</v>
      </c>
      <c r="AW421" s="438"/>
      <c r="AX421" s="515">
        <v>145.0</v>
      </c>
    </row>
    <row r="422">
      <c r="A422" s="435" t="s">
        <v>524</v>
      </c>
      <c r="B422" s="451" t="s">
        <v>525</v>
      </c>
      <c r="C422" s="440"/>
      <c r="D422" s="440" t="s">
        <v>314</v>
      </c>
      <c r="E422" s="440"/>
      <c r="F422" s="451" t="s">
        <v>2650</v>
      </c>
      <c r="G422" s="440" t="s">
        <v>169</v>
      </c>
      <c r="H422" s="440" t="s">
        <v>476</v>
      </c>
      <c r="I422" s="436">
        <v>2015.0</v>
      </c>
      <c r="J422" s="460">
        <v>3125.0</v>
      </c>
      <c r="K422" s="460">
        <v>72.0</v>
      </c>
      <c r="L422" s="460" t="s">
        <v>371</v>
      </c>
      <c r="M422" s="461">
        <v>0.5</v>
      </c>
      <c r="N422" s="422"/>
      <c r="O422" s="422"/>
      <c r="P422" s="422">
        <v>17.71</v>
      </c>
      <c r="Q422" s="440" t="s">
        <v>2189</v>
      </c>
      <c r="R422" s="451" t="s">
        <v>2190</v>
      </c>
      <c r="S422" s="451" t="s">
        <v>2191</v>
      </c>
      <c r="T422" s="462" t="s">
        <v>162</v>
      </c>
      <c r="U422" s="451" t="s">
        <v>2192</v>
      </c>
      <c r="V422" s="440"/>
      <c r="W422" s="463"/>
      <c r="X422" s="437"/>
      <c r="Y422" s="442" t="str">
        <f t="shared" si="122"/>
        <v/>
      </c>
      <c r="Z422" s="464"/>
      <c r="AA422" s="465">
        <v>1.33</v>
      </c>
      <c r="AB422" s="465">
        <v>0.36</v>
      </c>
      <c r="AC422" s="436" t="str">
        <f>IF(ISNUMBER(VLOOKUP(B422,'New Masses'!A:C,3,FALSE)),VLOOKUP(B422,'New Masses'!A:C,3,FALSE),"")</f>
        <v/>
      </c>
      <c r="AD422" s="440"/>
      <c r="AE422" s="440">
        <f t="shared" ref="AE422:AE425" si="123">10^AF422</f>
        <v>0.0000000003548133892</v>
      </c>
      <c r="AF422" s="444">
        <v>-9.45</v>
      </c>
      <c r="AG422" s="440"/>
      <c r="AH422" s="445">
        <v>0.19</v>
      </c>
      <c r="AI422" s="460">
        <v>0.03</v>
      </c>
      <c r="AJ422" s="446" t="str">
        <f>IF(ISNUMBER(VLOOKUP(B422,'New Masses'!A:C,2, FALSE)),VLOOKUP(B422,'New Masses'!A:C,2, FALSE),"")</f>
        <v/>
      </c>
      <c r="AK422" s="440">
        <f t="shared" ref="AK422:AK426" si="124">LOG10(AH422)</f>
        <v>-0.721246399</v>
      </c>
      <c r="AL422" s="460"/>
      <c r="AM422" s="460">
        <v>-2.9</v>
      </c>
      <c r="AN422" s="466">
        <v>43900.0</v>
      </c>
      <c r="AO422" s="436">
        <v>3.0</v>
      </c>
      <c r="AP422" s="440"/>
      <c r="AQ422" s="440"/>
      <c r="AR422" s="440"/>
      <c r="AS422" s="440"/>
      <c r="AT422" s="448"/>
      <c r="AU422" s="449"/>
      <c r="AV422" s="440"/>
      <c r="AW422" s="440"/>
      <c r="AX422" s="450">
        <v>168.918919</v>
      </c>
    </row>
    <row r="423">
      <c r="A423" s="435" t="s">
        <v>535</v>
      </c>
      <c r="B423" s="435" t="s">
        <v>536</v>
      </c>
      <c r="C423" s="440"/>
      <c r="D423" s="440" t="s">
        <v>314</v>
      </c>
      <c r="E423" s="440"/>
      <c r="F423" s="435" t="s">
        <v>2651</v>
      </c>
      <c r="G423" s="440" t="s">
        <v>169</v>
      </c>
      <c r="H423" s="440" t="s">
        <v>476</v>
      </c>
      <c r="I423" s="436">
        <v>2015.0</v>
      </c>
      <c r="J423" s="460">
        <v>3200.0</v>
      </c>
      <c r="K423" s="460">
        <v>74.0</v>
      </c>
      <c r="L423" s="460" t="s">
        <v>402</v>
      </c>
      <c r="M423" s="461">
        <v>0.5</v>
      </c>
      <c r="N423" s="422"/>
      <c r="O423" s="422"/>
      <c r="P423" s="422"/>
      <c r="Q423" s="440" t="s">
        <v>2189</v>
      </c>
      <c r="R423" s="451" t="s">
        <v>2190</v>
      </c>
      <c r="S423" s="451" t="s">
        <v>2191</v>
      </c>
      <c r="T423" s="462" t="s">
        <v>162</v>
      </c>
      <c r="U423" s="451" t="s">
        <v>2192</v>
      </c>
      <c r="V423" s="440"/>
      <c r="W423" s="514">
        <v>0.2239</v>
      </c>
      <c r="X423" s="447">
        <v>0.1103</v>
      </c>
      <c r="Y423" s="442">
        <f t="shared" si="122"/>
        <v>1.543770604</v>
      </c>
      <c r="Z423" s="464" t="str">
        <f t="shared" ref="Z423:Z424" si="125">0.5*((X419/W419)^2 + 16*(K419/J419)^2)^0.5</f>
        <v>#DIV/0!</v>
      </c>
      <c r="AA423" s="465">
        <v>1.54</v>
      </c>
      <c r="AB423" s="465">
        <v>0.38</v>
      </c>
      <c r="AC423" s="436" t="str">
        <f>IF(ISNUMBER(VLOOKUP(B423,'New Masses'!A:C,3,FALSE)),VLOOKUP(B423,'New Masses'!A:C,3,FALSE),"")</f>
        <v/>
      </c>
      <c r="AD423" s="440"/>
      <c r="AE423" s="440">
        <f t="shared" si="123"/>
        <v>0.0000000008511380382</v>
      </c>
      <c r="AF423" s="444">
        <v>-9.07</v>
      </c>
      <c r="AG423" s="440"/>
      <c r="AH423" s="445">
        <v>0.23</v>
      </c>
      <c r="AI423" s="460">
        <v>0.03</v>
      </c>
      <c r="AJ423" s="446" t="str">
        <f>IF(ISNUMBER(VLOOKUP(B423,'New Masses'!A:C,2, FALSE)),VLOOKUP(B423,'New Masses'!A:C,2, FALSE),"")</f>
        <v/>
      </c>
      <c r="AK423" s="440">
        <f t="shared" si="124"/>
        <v>-0.638272164</v>
      </c>
      <c r="AL423" s="460"/>
      <c r="AM423" s="460">
        <v>-2.5</v>
      </c>
      <c r="AN423" s="466">
        <v>43900.0</v>
      </c>
      <c r="AO423" s="436">
        <v>3.0</v>
      </c>
      <c r="AP423" s="440"/>
      <c r="AQ423" s="440"/>
      <c r="AR423" s="440"/>
      <c r="AS423" s="440"/>
      <c r="AT423" s="448"/>
      <c r="AU423" s="452"/>
      <c r="AV423" s="440"/>
      <c r="AW423" s="440"/>
      <c r="AX423" s="450">
        <v>159.744409</v>
      </c>
    </row>
    <row r="424">
      <c r="A424" s="435" t="s">
        <v>509</v>
      </c>
      <c r="B424" s="435" t="s">
        <v>510</v>
      </c>
      <c r="C424" s="440"/>
      <c r="D424" s="440" t="s">
        <v>314</v>
      </c>
      <c r="E424" s="440"/>
      <c r="F424" s="435" t="s">
        <v>2652</v>
      </c>
      <c r="G424" s="440" t="s">
        <v>169</v>
      </c>
      <c r="H424" s="440" t="s">
        <v>476</v>
      </c>
      <c r="I424" s="436">
        <v>2015.0</v>
      </c>
      <c r="J424" s="460">
        <v>3060.0</v>
      </c>
      <c r="K424" s="460">
        <v>71.0</v>
      </c>
      <c r="L424" s="460" t="s">
        <v>264</v>
      </c>
      <c r="M424" s="461">
        <v>0.5</v>
      </c>
      <c r="N424" s="422"/>
      <c r="O424" s="422"/>
      <c r="P424" s="422"/>
      <c r="Q424" s="440" t="s">
        <v>2189</v>
      </c>
      <c r="R424" s="451" t="s">
        <v>2190</v>
      </c>
      <c r="S424" s="451" t="s">
        <v>2191</v>
      </c>
      <c r="T424" s="462" t="s">
        <v>162</v>
      </c>
      <c r="U424" s="451" t="s">
        <v>2192</v>
      </c>
      <c r="V424" s="440"/>
      <c r="W424" s="514">
        <v>0.1096</v>
      </c>
      <c r="X424" s="447">
        <v>0.0638</v>
      </c>
      <c r="Y424" s="442">
        <f t="shared" si="122"/>
        <v>1.181185484</v>
      </c>
      <c r="Z424" s="464" t="str">
        <f t="shared" si="125"/>
        <v>#DIV/0!</v>
      </c>
      <c r="AA424" s="465">
        <v>1.18</v>
      </c>
      <c r="AB424" s="465">
        <v>0.34</v>
      </c>
      <c r="AC424" s="436" t="str">
        <f>IF(ISNUMBER(VLOOKUP(B424,'New Masses'!A:C,3,FALSE)),VLOOKUP(B424,'New Masses'!A:C,3,FALSE),"")</f>
        <v/>
      </c>
      <c r="AD424" s="440"/>
      <c r="AE424" s="440">
        <f t="shared" si="123"/>
        <v>0.0000000001995262315</v>
      </c>
      <c r="AF424" s="444">
        <v>-9.7</v>
      </c>
      <c r="AG424" s="440"/>
      <c r="AH424" s="445">
        <v>0.15</v>
      </c>
      <c r="AI424" s="460">
        <v>0.03</v>
      </c>
      <c r="AJ424" s="446" t="str">
        <f>IF(ISNUMBER(VLOOKUP(B424,'New Masses'!A:C,2, FALSE)),VLOOKUP(B424,'New Masses'!A:C,2, FALSE),"")</f>
        <v/>
      </c>
      <c r="AK424" s="440">
        <f t="shared" si="124"/>
        <v>-0.8239087409</v>
      </c>
      <c r="AL424" s="460"/>
      <c r="AM424" s="460">
        <v>-3.2</v>
      </c>
      <c r="AN424" s="466">
        <v>43900.0</v>
      </c>
      <c r="AO424" s="436">
        <v>3.0</v>
      </c>
      <c r="AP424" s="440"/>
      <c r="AQ424" s="440"/>
      <c r="AR424" s="440"/>
      <c r="AS424" s="440"/>
      <c r="AT424" s="448"/>
      <c r="AU424" s="449"/>
      <c r="AV424" s="440"/>
      <c r="AW424" s="440"/>
      <c r="AX424" s="450">
        <v>160.0</v>
      </c>
    </row>
    <row r="425">
      <c r="A425" s="435" t="s">
        <v>553</v>
      </c>
      <c r="B425" s="451" t="s">
        <v>554</v>
      </c>
      <c r="C425" s="440"/>
      <c r="D425" s="440" t="s">
        <v>314</v>
      </c>
      <c r="E425" s="440"/>
      <c r="F425" s="451" t="s">
        <v>2653</v>
      </c>
      <c r="G425" s="440" t="s">
        <v>169</v>
      </c>
      <c r="H425" s="440" t="s">
        <v>476</v>
      </c>
      <c r="I425" s="438"/>
      <c r="J425" s="460">
        <v>3560.0</v>
      </c>
      <c r="K425" s="460">
        <v>164.0</v>
      </c>
      <c r="L425" s="460" t="s">
        <v>415</v>
      </c>
      <c r="M425" s="461">
        <v>0.5</v>
      </c>
      <c r="N425" s="422"/>
      <c r="O425" s="422"/>
      <c r="P425" s="422"/>
      <c r="Q425" s="440" t="s">
        <v>2189</v>
      </c>
      <c r="R425" s="451" t="s">
        <v>2190</v>
      </c>
      <c r="S425" s="451" t="s">
        <v>2191</v>
      </c>
      <c r="T425" s="462" t="s">
        <v>162</v>
      </c>
      <c r="U425" s="451" t="s">
        <v>2192</v>
      </c>
      <c r="V425" s="440"/>
      <c r="W425" s="463"/>
      <c r="X425" s="437"/>
      <c r="Y425" s="442" t="str">
        <f t="shared" si="122"/>
        <v/>
      </c>
      <c r="Z425" s="464"/>
      <c r="AA425" s="465">
        <v>0.58</v>
      </c>
      <c r="AB425" s="465">
        <v>0.13</v>
      </c>
      <c r="AC425" s="436" t="str">
        <f>IF(ISNUMBER(VLOOKUP(B425,'New Masses'!A:C,3,FALSE)),VLOOKUP(B425,'New Masses'!A:C,3,FALSE),"")</f>
        <v/>
      </c>
      <c r="AD425" s="440"/>
      <c r="AE425" s="440">
        <f t="shared" si="123"/>
        <v>0.0000000001380384265</v>
      </c>
      <c r="AF425" s="444">
        <v>-9.86</v>
      </c>
      <c r="AG425" s="440"/>
      <c r="AH425" s="445">
        <v>0.34</v>
      </c>
      <c r="AI425" s="460">
        <v>0.09</v>
      </c>
      <c r="AJ425" s="446" t="str">
        <f>IF(ISNUMBER(VLOOKUP(B425,'New Masses'!A:C,2, FALSE)),VLOOKUP(B425,'New Masses'!A:C,2, FALSE),"")</f>
        <v/>
      </c>
      <c r="AK425" s="440">
        <f t="shared" si="124"/>
        <v>-0.468521083</v>
      </c>
      <c r="AL425" s="460"/>
      <c r="AM425" s="460">
        <v>-2.7</v>
      </c>
      <c r="AN425" s="466">
        <v>43900.0</v>
      </c>
      <c r="AO425" s="436">
        <v>3.0</v>
      </c>
      <c r="AP425" s="440"/>
      <c r="AQ425" s="440"/>
      <c r="AR425" s="440"/>
      <c r="AS425" s="440"/>
      <c r="AT425" s="448"/>
      <c r="AU425" s="449"/>
      <c r="AV425" s="440"/>
      <c r="AW425" s="440"/>
      <c r="AX425" s="450">
        <v>162.81606668946</v>
      </c>
    </row>
    <row r="426">
      <c r="A426" s="435" t="s">
        <v>456</v>
      </c>
      <c r="B426" s="419" t="s">
        <v>455</v>
      </c>
      <c r="C426" s="436"/>
      <c r="D426" s="436" t="s">
        <v>224</v>
      </c>
      <c r="E426" s="436"/>
      <c r="F426" s="436" t="s">
        <v>2654</v>
      </c>
      <c r="G426" s="436" t="s">
        <v>169</v>
      </c>
      <c r="H426" s="436" t="s">
        <v>306</v>
      </c>
      <c r="I426" s="467">
        <v>39596.0</v>
      </c>
      <c r="J426" s="436">
        <v>4060.0</v>
      </c>
      <c r="K426" s="436"/>
      <c r="L426" s="436" t="s">
        <v>434</v>
      </c>
      <c r="M426" s="439"/>
      <c r="N426" s="422"/>
      <c r="O426" s="422"/>
      <c r="P426" s="422"/>
      <c r="Q426" s="436" t="s">
        <v>2239</v>
      </c>
      <c r="R426" s="436" t="s">
        <v>2240</v>
      </c>
      <c r="S426" s="436" t="s">
        <v>307</v>
      </c>
      <c r="T426" s="436" t="s">
        <v>293</v>
      </c>
      <c r="U426" s="436" t="s">
        <v>294</v>
      </c>
      <c r="V426" s="440"/>
      <c r="W426" s="468"/>
      <c r="X426" s="436"/>
      <c r="Y426" s="442" t="str">
        <f t="shared" si="122"/>
        <v/>
      </c>
      <c r="Z426" s="537"/>
      <c r="AA426" s="470">
        <v>0.83</v>
      </c>
      <c r="AB426" s="470"/>
      <c r="AC426" s="436" t="str">
        <f>IF(ISNUMBER(VLOOKUP(B426,'New Masses'!A:C,3,FALSE)),VLOOKUP(B426,'New Masses'!A:C,3,FALSE),"")</f>
        <v/>
      </c>
      <c r="AD426" s="451"/>
      <c r="AE426" s="451">
        <f>10^(AF426)</f>
        <v>0.0000000007943282347</v>
      </c>
      <c r="AF426" s="439">
        <v>-9.1</v>
      </c>
      <c r="AG426" s="438"/>
      <c r="AH426" s="459">
        <v>0.77</v>
      </c>
      <c r="AI426" s="436"/>
      <c r="AJ426" s="446" t="str">
        <f>IF(ISNUMBER(VLOOKUP(B426,'New Masses'!A:C,2, FALSE)),VLOOKUP(B426,'New Masses'!A:C,2, FALSE),"")</f>
        <v/>
      </c>
      <c r="AK426" s="436">
        <f t="shared" si="124"/>
        <v>-0.1135092748</v>
      </c>
      <c r="AL426" s="436"/>
      <c r="AM426" s="436">
        <v>-1.7</v>
      </c>
      <c r="AN426" s="438"/>
      <c r="AO426" s="436">
        <v>8.0</v>
      </c>
      <c r="AP426" s="438"/>
      <c r="AQ426" s="438"/>
      <c r="AR426" s="438"/>
      <c r="AS426" s="438"/>
      <c r="AT426" s="448"/>
      <c r="AU426" s="449"/>
      <c r="AV426" s="438"/>
      <c r="AW426" s="438"/>
      <c r="AX426" s="450">
        <v>60.0860432138822</v>
      </c>
    </row>
    <row r="427">
      <c r="A427" s="419" t="s">
        <v>1390</v>
      </c>
      <c r="B427" s="436" t="s">
        <v>1391</v>
      </c>
      <c r="C427" s="419"/>
      <c r="D427" s="436" t="s">
        <v>158</v>
      </c>
      <c r="E427" s="436"/>
      <c r="F427" s="419" t="s">
        <v>2655</v>
      </c>
      <c r="G427" s="436" t="s">
        <v>169</v>
      </c>
      <c r="H427" s="436" t="s">
        <v>160</v>
      </c>
      <c r="I427" s="436" t="s">
        <v>1963</v>
      </c>
      <c r="J427" s="436">
        <v>3388.44156</v>
      </c>
      <c r="K427" s="436"/>
      <c r="L427" s="438"/>
      <c r="M427" s="453"/>
      <c r="N427" s="422">
        <v>13.894</v>
      </c>
      <c r="O427" s="422">
        <v>9.59</v>
      </c>
      <c r="P427" s="422"/>
      <c r="Q427" s="436" t="s">
        <v>2183</v>
      </c>
      <c r="R427" s="436" t="s">
        <v>2184</v>
      </c>
      <c r="S427" s="436" t="s">
        <v>1964</v>
      </c>
      <c r="T427" s="419" t="s">
        <v>162</v>
      </c>
      <c r="U427" s="436" t="s">
        <v>2185</v>
      </c>
      <c r="V427" s="451">
        <v>6.67142E28</v>
      </c>
      <c r="W427" s="458">
        <v>0.5623413251903491</v>
      </c>
      <c r="X427" s="438"/>
      <c r="Y427" s="442">
        <f t="shared" si="122"/>
        <v>2.182004677</v>
      </c>
      <c r="Z427" s="442"/>
      <c r="AA427" s="443"/>
      <c r="AB427" s="443"/>
      <c r="AC427" s="436" t="str">
        <f>IF(ISNUMBER(VLOOKUP(B427,'New Masses'!A:C,3,FALSE)),VLOOKUP(B427,'New Masses'!A:C,3,FALSE),"")</f>
        <v/>
      </c>
      <c r="AD427" s="440"/>
      <c r="AE427" s="440">
        <f>10^AF427</f>
        <v>0.0000000007079457844</v>
      </c>
      <c r="AF427" s="439">
        <v>-9.15</v>
      </c>
      <c r="AG427" s="438"/>
      <c r="AH427" s="459">
        <f>10^AK427</f>
        <v>0.2951209227</v>
      </c>
      <c r="AI427" s="436"/>
      <c r="AJ427" s="446" t="str">
        <f>IF(ISNUMBER(VLOOKUP(B427,'New Masses'!A:C,2, FALSE)),VLOOKUP(B427,'New Masses'!A:C,2, FALSE),"")</f>
        <v/>
      </c>
      <c r="AK427" s="436">
        <v>-0.53</v>
      </c>
      <c r="AL427" s="436"/>
      <c r="AM427" s="436">
        <v>-2.47</v>
      </c>
      <c r="AN427" s="438"/>
      <c r="AO427" s="436">
        <v>1.0</v>
      </c>
      <c r="AP427" s="419" t="s">
        <v>156</v>
      </c>
      <c r="AQ427" s="436"/>
      <c r="AR427" s="438"/>
      <c r="AS427" s="438"/>
      <c r="AT427" s="455">
        <v>4.1</v>
      </c>
      <c r="AU427" s="449" t="s">
        <v>137</v>
      </c>
      <c r="AV427" s="438"/>
      <c r="AW427" s="438"/>
      <c r="AX427" s="450"/>
    </row>
    <row r="428">
      <c r="A428" s="419" t="s">
        <v>2656</v>
      </c>
      <c r="B428" s="436" t="s">
        <v>339</v>
      </c>
      <c r="C428" s="454" t="s">
        <v>2657</v>
      </c>
      <c r="D428" s="420" t="s">
        <v>305</v>
      </c>
      <c r="E428" s="420"/>
      <c r="F428" s="420" t="s">
        <v>2658</v>
      </c>
      <c r="G428" s="420" t="s">
        <v>169</v>
      </c>
      <c r="H428" s="420" t="s">
        <v>306</v>
      </c>
      <c r="I428" s="467">
        <v>39596.0</v>
      </c>
      <c r="J428" s="436">
        <v>2838.0</v>
      </c>
      <c r="K428" s="420"/>
      <c r="L428" s="420" t="s">
        <v>237</v>
      </c>
      <c r="M428" s="429"/>
      <c r="N428" s="422">
        <v>14.53</v>
      </c>
      <c r="O428" s="422">
        <v>13.55</v>
      </c>
      <c r="P428" s="422"/>
      <c r="Q428" s="420" t="s">
        <v>2239</v>
      </c>
      <c r="R428" s="420" t="s">
        <v>2240</v>
      </c>
      <c r="S428" s="420" t="s">
        <v>307</v>
      </c>
      <c r="T428" s="420" t="s">
        <v>293</v>
      </c>
      <c r="U428" s="420" t="s">
        <v>294</v>
      </c>
      <c r="V428" s="440"/>
      <c r="W428" s="468"/>
      <c r="X428" s="436"/>
      <c r="Y428" s="442" t="str">
        <f t="shared" si="122"/>
        <v/>
      </c>
      <c r="Z428" s="469"/>
      <c r="AA428" s="470">
        <v>0.25</v>
      </c>
      <c r="AB428" s="426"/>
      <c r="AC428" s="469">
        <f>IF(ISNUMBER(VLOOKUP(B428,'New Masses'!A:C,3,FALSE)),VLOOKUP(B428,'New Masses'!A:C,3,FALSE),"")</f>
        <v>0.291525</v>
      </c>
      <c r="AD428" s="451"/>
      <c r="AE428" s="451">
        <f t="shared" ref="AE428:AE429" si="126">10^(AF428)</f>
        <v>0</v>
      </c>
      <c r="AF428" s="439">
        <v>-13.3</v>
      </c>
      <c r="AG428" s="438"/>
      <c r="AH428" s="459">
        <v>0.054</v>
      </c>
      <c r="AI428" s="420"/>
      <c r="AJ428" s="446">
        <f>IF(ISNUMBER(VLOOKUP(B428,'New Masses'!A:C,2, FALSE)),VLOOKUP(B428,'New Masses'!A:C,2, FALSE),"")</f>
        <v>0.03689</v>
      </c>
      <c r="AK428" s="420"/>
      <c r="AL428" s="420"/>
      <c r="AM428" s="436">
        <v>-6.6</v>
      </c>
      <c r="AN428" s="438"/>
      <c r="AO428" s="436">
        <v>11.0</v>
      </c>
      <c r="AP428" s="438"/>
      <c r="AQ428" s="436">
        <v>0.0</v>
      </c>
      <c r="AR428" s="420"/>
      <c r="AS428" s="420" t="s">
        <v>2349</v>
      </c>
      <c r="AT428" s="448"/>
      <c r="AU428" s="538" t="s">
        <v>137</v>
      </c>
      <c r="AV428" s="438"/>
      <c r="AW428" s="438"/>
      <c r="AX428" s="450">
        <v>136.0</v>
      </c>
    </row>
    <row r="429">
      <c r="A429" s="419" t="s">
        <v>2659</v>
      </c>
      <c r="B429" s="419" t="s">
        <v>2660</v>
      </c>
      <c r="C429" s="454" t="s">
        <v>2661</v>
      </c>
      <c r="D429" s="420" t="s">
        <v>305</v>
      </c>
      <c r="E429" s="420"/>
      <c r="F429" s="420" t="s">
        <v>2662</v>
      </c>
      <c r="G429" s="420" t="s">
        <v>169</v>
      </c>
      <c r="H429" s="420" t="s">
        <v>306</v>
      </c>
      <c r="I429" s="467">
        <v>39596.0</v>
      </c>
      <c r="J429" s="436">
        <v>2478.0</v>
      </c>
      <c r="K429" s="420"/>
      <c r="L429" s="420" t="s">
        <v>308</v>
      </c>
      <c r="M429" s="429"/>
      <c r="N429" s="422">
        <v>15.24</v>
      </c>
      <c r="O429" s="422">
        <v>14.03</v>
      </c>
      <c r="P429" s="422"/>
      <c r="Q429" s="420" t="s">
        <v>2239</v>
      </c>
      <c r="R429" s="420" t="s">
        <v>2240</v>
      </c>
      <c r="S429" s="420" t="s">
        <v>307</v>
      </c>
      <c r="T429" s="420" t="s">
        <v>293</v>
      </c>
      <c r="U429" s="420" t="s">
        <v>294</v>
      </c>
      <c r="V429" s="440"/>
      <c r="W429" s="468"/>
      <c r="X429" s="436"/>
      <c r="Y429" s="442" t="str">
        <f t="shared" si="122"/>
        <v/>
      </c>
      <c r="Z429" s="469"/>
      <c r="AA429" s="470">
        <v>0.23</v>
      </c>
      <c r="AB429" s="426"/>
      <c r="AC429" s="469">
        <f>IF(ISNUMBER(VLOOKUP(B429,'New Masses'!A:C,3,FALSE)),VLOOKUP(B429,'New Masses'!A:C,3,FALSE),"")</f>
        <v>0.26492</v>
      </c>
      <c r="AD429" s="451"/>
      <c r="AE429" s="451">
        <f t="shared" si="126"/>
        <v>0</v>
      </c>
      <c r="AF429" s="439">
        <v>-12.6</v>
      </c>
      <c r="AG429" s="438"/>
      <c r="AH429" s="459">
        <v>0.021</v>
      </c>
      <c r="AI429" s="420"/>
      <c r="AJ429" s="446">
        <f>IF(ISNUMBER(VLOOKUP(B429,'New Masses'!A:C,2, FALSE)),VLOOKUP(B429,'New Masses'!A:C,2, FALSE),"")</f>
        <v>0.023689</v>
      </c>
      <c r="AK429" s="420"/>
      <c r="AL429" s="420"/>
      <c r="AM429" s="436">
        <v>-6.2</v>
      </c>
      <c r="AN429" s="438"/>
      <c r="AO429" s="436">
        <v>11.0</v>
      </c>
      <c r="AP429" s="438"/>
      <c r="AQ429" s="436">
        <v>0.0</v>
      </c>
      <c r="AR429" s="438"/>
      <c r="AS429" s="420" t="s">
        <v>2349</v>
      </c>
      <c r="AT429" s="448"/>
      <c r="AU429" s="452"/>
      <c r="AV429" s="438"/>
      <c r="AW429" s="438"/>
      <c r="AX429" s="450">
        <v>136.0</v>
      </c>
    </row>
    <row r="430">
      <c r="A430" s="485" t="s">
        <v>600</v>
      </c>
      <c r="B430" s="485" t="s">
        <v>600</v>
      </c>
      <c r="C430" s="486"/>
      <c r="D430" s="486" t="s">
        <v>593</v>
      </c>
      <c r="E430" s="486"/>
      <c r="F430" s="528" t="s">
        <v>2663</v>
      </c>
      <c r="G430" s="486" t="s">
        <v>169</v>
      </c>
      <c r="H430" s="486" t="s">
        <v>816</v>
      </c>
      <c r="I430" s="486"/>
      <c r="J430" s="486"/>
      <c r="K430" s="486"/>
      <c r="L430" s="486" t="s">
        <v>434</v>
      </c>
      <c r="M430" s="491"/>
      <c r="N430" s="422"/>
      <c r="O430" s="422"/>
      <c r="P430" s="422"/>
      <c r="Q430" s="491"/>
      <c r="R430" s="486" t="s">
        <v>2664</v>
      </c>
      <c r="S430" s="486" t="s">
        <v>2665</v>
      </c>
      <c r="T430" s="486" t="s">
        <v>162</v>
      </c>
      <c r="U430" s="486" t="s">
        <v>2178</v>
      </c>
      <c r="V430" s="486"/>
      <c r="W430" s="529"/>
      <c r="X430" s="495"/>
      <c r="Y430" s="442"/>
      <c r="Z430" s="495"/>
      <c r="AA430" s="494">
        <f>0.10049</f>
        <v>0.10049</v>
      </c>
      <c r="AB430" s="539"/>
      <c r="AC430" s="436" t="str">
        <f>IF(ISNUMBER(VLOOKUP(B430,'New Masses'!A:C,3,FALSE)),VLOOKUP(B430,'New Masses'!A:C,3,FALSE),"")</f>
        <v/>
      </c>
      <c r="AD430" s="495"/>
      <c r="AE430" s="496">
        <f>10^(-8.7)/1048</f>
        <v>0</v>
      </c>
      <c r="AF430" s="540"/>
      <c r="AG430" s="495"/>
      <c r="AH430" s="541">
        <f>7/1048</f>
        <v>0.006679389313</v>
      </c>
      <c r="AI430" s="542"/>
      <c r="AJ430" s="446" t="str">
        <f>IF(ISNUMBER(VLOOKUP(B430,'New Masses'!A:C,2, FALSE)),VLOOKUP(B430,'New Masses'!A:C,2, FALSE),"")</f>
        <v/>
      </c>
      <c r="AK430" s="486"/>
      <c r="AL430" s="543"/>
      <c r="AM430" s="436"/>
      <c r="AN430" s="438"/>
      <c r="AO430" s="544">
        <v>5.0</v>
      </c>
      <c r="AP430" s="486" t="s">
        <v>156</v>
      </c>
      <c r="AQ430" s="454">
        <v>3.0</v>
      </c>
      <c r="AR430" s="438"/>
      <c r="AS430" s="438"/>
      <c r="AT430" s="448"/>
      <c r="AU430" s="449"/>
      <c r="AV430" s="438"/>
      <c r="AW430" s="438"/>
      <c r="AX430" s="450"/>
    </row>
    <row r="431">
      <c r="A431" s="485" t="s">
        <v>600</v>
      </c>
      <c r="B431" s="485" t="s">
        <v>600</v>
      </c>
      <c r="C431" s="486"/>
      <c r="D431" s="486" t="s">
        <v>593</v>
      </c>
      <c r="E431" s="486"/>
      <c r="F431" s="528" t="s">
        <v>2663</v>
      </c>
      <c r="G431" s="486" t="s">
        <v>169</v>
      </c>
      <c r="H431" s="486" t="s">
        <v>594</v>
      </c>
      <c r="I431" s="545"/>
      <c r="J431" s="545"/>
      <c r="K431" s="545"/>
      <c r="L431" s="491"/>
      <c r="M431" s="486"/>
      <c r="N431" s="422"/>
      <c r="O431" s="422"/>
      <c r="P431" s="422"/>
      <c r="Q431" s="486" t="s">
        <v>2666</v>
      </c>
      <c r="R431" s="486" t="s">
        <v>2667</v>
      </c>
      <c r="S431" s="486" t="s">
        <v>2668</v>
      </c>
      <c r="T431" s="486" t="s">
        <v>596</v>
      </c>
      <c r="U431" s="486" t="s">
        <v>2669</v>
      </c>
      <c r="V431" s="486"/>
      <c r="W431" s="493"/>
      <c r="X431" s="495"/>
      <c r="Y431" s="442"/>
      <c r="Z431" s="495"/>
      <c r="AA431" s="524"/>
      <c r="AB431" s="546"/>
      <c r="AC431" s="436" t="str">
        <f>IF(ISNUMBER(VLOOKUP(B431,'New Masses'!A:C,3,FALSE)),VLOOKUP(B431,'New Masses'!A:C,3,FALSE),"")</f>
        <v/>
      </c>
      <c r="AD431" s="495"/>
      <c r="AE431" s="496">
        <f>2*10^(-8)/1048</f>
        <v>0</v>
      </c>
      <c r="AF431" s="540"/>
      <c r="AG431" s="547"/>
      <c r="AH431" s="548">
        <f>10.5/1048</f>
        <v>0.01001908397</v>
      </c>
      <c r="AI431" s="545"/>
      <c r="AJ431" s="446" t="str">
        <f>IF(ISNUMBER(VLOOKUP(B431,'New Masses'!A:C,2, FALSE)),VLOOKUP(B431,'New Masses'!A:C,2, FALSE),"")</f>
        <v/>
      </c>
      <c r="AK431" s="486"/>
      <c r="AL431" s="486"/>
      <c r="AM431" s="436"/>
      <c r="AN431" s="438"/>
      <c r="AO431" s="549">
        <v>5.4</v>
      </c>
      <c r="AP431" s="486" t="s">
        <v>156</v>
      </c>
      <c r="AQ431" s="438"/>
      <c r="AR431" s="438"/>
      <c r="AS431" s="438"/>
      <c r="AT431" s="448"/>
      <c r="AU431" s="449"/>
      <c r="AV431" s="438"/>
      <c r="AW431" s="438"/>
      <c r="AX431" s="450"/>
    </row>
    <row r="432">
      <c r="A432" s="485" t="s">
        <v>2670</v>
      </c>
      <c r="B432" s="485" t="s">
        <v>600</v>
      </c>
      <c r="C432" s="486"/>
      <c r="D432" s="486" t="s">
        <v>593</v>
      </c>
      <c r="E432" s="486"/>
      <c r="F432" s="528" t="s">
        <v>2663</v>
      </c>
      <c r="G432" s="486" t="s">
        <v>169</v>
      </c>
      <c r="H432" s="486" t="s">
        <v>807</v>
      </c>
      <c r="I432" s="491"/>
      <c r="J432" s="491"/>
      <c r="K432" s="491"/>
      <c r="L432" s="491"/>
      <c r="M432" s="486"/>
      <c r="N432" s="422"/>
      <c r="O432" s="422"/>
      <c r="P432" s="422"/>
      <c r="Q432" s="486" t="s">
        <v>2671</v>
      </c>
      <c r="R432" s="491"/>
      <c r="S432" s="491"/>
      <c r="T432" s="491"/>
      <c r="U432" s="491"/>
      <c r="V432" s="491"/>
      <c r="W432" s="493"/>
      <c r="X432" s="486"/>
      <c r="Y432" s="442"/>
      <c r="Z432" s="491"/>
      <c r="AA432" s="524"/>
      <c r="AB432" s="494"/>
      <c r="AC432" s="436" t="str">
        <f>IF(ISNUMBER(VLOOKUP(B432,'New Masses'!A:C,3,FALSE)),VLOOKUP(B432,'New Masses'!A:C,3,FALSE),"")</f>
        <v/>
      </c>
      <c r="AD432" s="486"/>
      <c r="AE432" s="530">
        <f>4*(10^-8)/1048</f>
        <v>0</v>
      </c>
      <c r="AF432" s="531"/>
      <c r="AG432" s="491"/>
      <c r="AH432" s="525">
        <f>12/1048</f>
        <v>0.01145038168</v>
      </c>
      <c r="AI432" s="491"/>
      <c r="AJ432" s="446" t="str">
        <f>IF(ISNUMBER(VLOOKUP(B432,'New Masses'!A:C,2, FALSE)),VLOOKUP(B432,'New Masses'!A:C,2, FALSE),"")</f>
        <v/>
      </c>
      <c r="AK432" s="491"/>
      <c r="AL432" s="500"/>
      <c r="AM432" s="436"/>
      <c r="AN432" s="438"/>
      <c r="AO432" s="497">
        <v>5.4</v>
      </c>
      <c r="AP432" s="486" t="s">
        <v>156</v>
      </c>
      <c r="AQ432" s="438"/>
      <c r="AR432" s="438"/>
      <c r="AS432" s="438"/>
      <c r="AT432" s="448"/>
      <c r="AU432" s="452"/>
      <c r="AV432" s="438"/>
      <c r="AW432" s="438"/>
      <c r="AX432" s="450"/>
    </row>
    <row r="433">
      <c r="A433" s="485" t="s">
        <v>592</v>
      </c>
      <c r="B433" s="485" t="s">
        <v>592</v>
      </c>
      <c r="C433" s="486"/>
      <c r="D433" s="486" t="s">
        <v>593</v>
      </c>
      <c r="E433" s="486"/>
      <c r="F433" s="528" t="s">
        <v>2663</v>
      </c>
      <c r="G433" s="486" t="s">
        <v>169</v>
      </c>
      <c r="H433" s="486" t="s">
        <v>594</v>
      </c>
      <c r="I433" s="545"/>
      <c r="J433" s="545"/>
      <c r="K433" s="545"/>
      <c r="L433" s="491"/>
      <c r="M433" s="486"/>
      <c r="N433" s="422"/>
      <c r="O433" s="422"/>
      <c r="P433" s="422"/>
      <c r="Q433" s="486" t="s">
        <v>2666</v>
      </c>
      <c r="R433" s="486" t="s">
        <v>2667</v>
      </c>
      <c r="S433" s="486" t="s">
        <v>2668</v>
      </c>
      <c r="T433" s="486" t="s">
        <v>596</v>
      </c>
      <c r="U433" s="486" t="s">
        <v>2669</v>
      </c>
      <c r="V433" s="486"/>
      <c r="W433" s="493"/>
      <c r="X433" s="495"/>
      <c r="Y433" s="442"/>
      <c r="Z433" s="495"/>
      <c r="AA433" s="524"/>
      <c r="AB433" s="546"/>
      <c r="AC433" s="436" t="str">
        <f>IF(ISNUMBER(VLOOKUP(B433,'New Masses'!A:C,3,FALSE)),VLOOKUP(B433,'New Masses'!A:C,3,FALSE),"")</f>
        <v/>
      </c>
      <c r="AD433" s="495"/>
      <c r="AE433" s="496">
        <f> 1* 10^(-8)/1048</f>
        <v>0</v>
      </c>
      <c r="AF433" s="540"/>
      <c r="AG433" s="550"/>
      <c r="AH433" s="548">
        <f>4.4/1048</f>
        <v>0.004198473282</v>
      </c>
      <c r="AI433" s="545"/>
      <c r="AJ433" s="446" t="str">
        <f>IF(ISNUMBER(VLOOKUP(B433,'New Masses'!A:C,2, FALSE)),VLOOKUP(B433,'New Masses'!A:C,2, FALSE),"")</f>
        <v/>
      </c>
      <c r="AK433" s="486"/>
      <c r="AL433" s="500"/>
      <c r="AM433" s="436"/>
      <c r="AN433" s="438"/>
      <c r="AO433" s="549">
        <v>5.4</v>
      </c>
      <c r="AP433" s="486" t="s">
        <v>156</v>
      </c>
      <c r="AQ433" s="438"/>
      <c r="AR433" s="438"/>
      <c r="AS433" s="438"/>
      <c r="AT433" s="448"/>
      <c r="AU433" s="452"/>
      <c r="AV433" s="438"/>
      <c r="AW433" s="438"/>
      <c r="AX433" s="450"/>
    </row>
    <row r="434">
      <c r="A434" s="485" t="s">
        <v>592</v>
      </c>
      <c r="B434" s="485" t="s">
        <v>592</v>
      </c>
      <c r="C434" s="486"/>
      <c r="D434" s="486" t="s">
        <v>593</v>
      </c>
      <c r="E434" s="486"/>
      <c r="F434" s="528" t="s">
        <v>2663</v>
      </c>
      <c r="G434" s="486" t="s">
        <v>169</v>
      </c>
      <c r="H434" s="486" t="s">
        <v>807</v>
      </c>
      <c r="I434" s="491"/>
      <c r="J434" s="491"/>
      <c r="K434" s="491"/>
      <c r="L434" s="491"/>
      <c r="M434" s="486"/>
      <c r="N434" s="422"/>
      <c r="O434" s="422"/>
      <c r="P434" s="422"/>
      <c r="Q434" s="486" t="s">
        <v>2671</v>
      </c>
      <c r="R434" s="491"/>
      <c r="S434" s="491"/>
      <c r="T434" s="491"/>
      <c r="U434" s="491"/>
      <c r="V434" s="491"/>
      <c r="W434" s="493"/>
      <c r="X434" s="486"/>
      <c r="Y434" s="442"/>
      <c r="Z434" s="491"/>
      <c r="AA434" s="524"/>
      <c r="AB434" s="494"/>
      <c r="AC434" s="436" t="str">
        <f>IF(ISNUMBER(VLOOKUP(B434,'New Masses'!A:C,3,FALSE)),VLOOKUP(B434,'New Masses'!A:C,3,FALSE),"")</f>
        <v/>
      </c>
      <c r="AD434" s="495"/>
      <c r="AE434" s="496">
        <f>10^(-8)/1048</f>
        <v>0</v>
      </c>
      <c r="AF434" s="531"/>
      <c r="AG434" s="491"/>
      <c r="AH434" s="525">
        <f>10/1048</f>
        <v>0.009541984733</v>
      </c>
      <c r="AI434" s="491"/>
      <c r="AJ434" s="446" t="str">
        <f>IF(ISNUMBER(VLOOKUP(B434,'New Masses'!A:C,2, FALSE)),VLOOKUP(B434,'New Masses'!A:C,2, FALSE),"")</f>
        <v/>
      </c>
      <c r="AK434" s="491"/>
      <c r="AL434" s="500"/>
      <c r="AM434" s="436"/>
      <c r="AN434" s="438"/>
      <c r="AO434" s="497">
        <v>5.4</v>
      </c>
      <c r="AP434" s="486" t="s">
        <v>156</v>
      </c>
      <c r="AQ434" s="438"/>
      <c r="AR434" s="438"/>
      <c r="AS434" s="438"/>
      <c r="AT434" s="448"/>
      <c r="AU434" s="449"/>
      <c r="AV434" s="438"/>
      <c r="AW434" s="438"/>
      <c r="AX434" s="450"/>
    </row>
    <row r="435">
      <c r="A435" s="451" t="s">
        <v>560</v>
      </c>
      <c r="B435" s="451" t="s">
        <v>560</v>
      </c>
      <c r="C435" s="440"/>
      <c r="D435" s="440" t="s">
        <v>314</v>
      </c>
      <c r="E435" s="440"/>
      <c r="F435" s="451" t="s">
        <v>2672</v>
      </c>
      <c r="G435" s="440" t="s">
        <v>169</v>
      </c>
      <c r="H435" s="440" t="s">
        <v>476</v>
      </c>
      <c r="I435" s="436">
        <v>2010.0</v>
      </c>
      <c r="J435" s="460">
        <v>3705.0</v>
      </c>
      <c r="K435" s="460">
        <v>171.0</v>
      </c>
      <c r="L435" s="460" t="s">
        <v>419</v>
      </c>
      <c r="M435" s="461">
        <v>0.5</v>
      </c>
      <c r="N435" s="422">
        <v>10.396</v>
      </c>
      <c r="O435" s="422">
        <v>9.303</v>
      </c>
      <c r="P435" s="422">
        <v>12.91</v>
      </c>
      <c r="Q435" s="440" t="s">
        <v>2189</v>
      </c>
      <c r="R435" s="451" t="s">
        <v>2190</v>
      </c>
      <c r="S435" s="451" t="s">
        <v>2191</v>
      </c>
      <c r="T435" s="462" t="s">
        <v>162</v>
      </c>
      <c r="U435" s="451" t="s">
        <v>2192</v>
      </c>
      <c r="V435" s="440"/>
      <c r="W435" s="463"/>
      <c r="X435" s="437"/>
      <c r="Y435" s="442" t="str">
        <f t="shared" ref="Y435:Y490" si="127">IF((W435/((J435/5780)^4))^0.5&gt;0,(W435/((J435/5780)^4))^0.5,"")</f>
        <v/>
      </c>
      <c r="Z435" s="464"/>
      <c r="AA435" s="465">
        <v>1.17</v>
      </c>
      <c r="AB435" s="465">
        <v>0.27</v>
      </c>
      <c r="AC435" s="436" t="str">
        <f>IF(ISNUMBER(VLOOKUP(B435,'New Masses'!A:C,3,FALSE)),VLOOKUP(B435,'New Masses'!A:C,3,FALSE),"")</f>
        <v/>
      </c>
      <c r="AD435" s="440"/>
      <c r="AE435" s="440">
        <f t="shared" ref="AE435:AE487" si="128">10^AF435</f>
        <v>0.00000001288249552</v>
      </c>
      <c r="AF435" s="444">
        <v>-7.89</v>
      </c>
      <c r="AG435" s="440"/>
      <c r="AH435" s="445">
        <v>0.46</v>
      </c>
      <c r="AI435" s="460">
        <v>0.12</v>
      </c>
      <c r="AJ435" s="446" t="str">
        <f>IF(ISNUMBER(VLOOKUP(B435,'New Masses'!A:C,2, FALSE)),VLOOKUP(B435,'New Masses'!A:C,2, FALSE),"")</f>
        <v/>
      </c>
      <c r="AK435" s="440">
        <f t="shared" ref="AK435:AK490" si="129">LOG10(AH435)</f>
        <v>-0.3372421683</v>
      </c>
      <c r="AL435" s="460"/>
      <c r="AM435" s="460">
        <v>-0.9</v>
      </c>
      <c r="AN435" s="466">
        <v>43900.0</v>
      </c>
      <c r="AO435" s="436">
        <v>3.0</v>
      </c>
      <c r="AP435" s="440"/>
      <c r="AQ435" s="440"/>
      <c r="AR435" s="440"/>
      <c r="AS435" s="440"/>
      <c r="AT435" s="448"/>
      <c r="AU435" s="452"/>
      <c r="AV435" s="440"/>
      <c r="AW435" s="440"/>
      <c r="AX435" s="450">
        <v>158.010333875835</v>
      </c>
    </row>
    <row r="436">
      <c r="A436" s="435" t="s">
        <v>588</v>
      </c>
      <c r="B436" s="435" t="s">
        <v>588</v>
      </c>
      <c r="C436" s="440"/>
      <c r="D436" s="440" t="s">
        <v>314</v>
      </c>
      <c r="E436" s="440"/>
      <c r="F436" s="451" t="s">
        <v>2673</v>
      </c>
      <c r="G436" s="440" t="s">
        <v>159</v>
      </c>
      <c r="H436" s="440" t="s">
        <v>476</v>
      </c>
      <c r="I436" s="436">
        <v>2015.0</v>
      </c>
      <c r="J436" s="460">
        <v>4900.0</v>
      </c>
      <c r="K436" s="460">
        <v>226.0</v>
      </c>
      <c r="L436" s="460" t="s">
        <v>589</v>
      </c>
      <c r="M436" s="461">
        <v>1.0</v>
      </c>
      <c r="N436" s="422">
        <v>8.546</v>
      </c>
      <c r="O436" s="422">
        <v>6.976</v>
      </c>
      <c r="P436" s="422"/>
      <c r="Q436" s="440" t="s">
        <v>2189</v>
      </c>
      <c r="R436" s="451" t="s">
        <v>2190</v>
      </c>
      <c r="S436" s="451" t="s">
        <v>2191</v>
      </c>
      <c r="T436" s="462" t="s">
        <v>162</v>
      </c>
      <c r="U436" s="451" t="s">
        <v>2192</v>
      </c>
      <c r="V436" s="440"/>
      <c r="W436" s="463"/>
      <c r="X436" s="437"/>
      <c r="Y436" s="442" t="str">
        <f t="shared" si="127"/>
        <v/>
      </c>
      <c r="Z436" s="464"/>
      <c r="AA436" s="465">
        <v>1.79</v>
      </c>
      <c r="AB436" s="465">
        <v>0.38</v>
      </c>
      <c r="AC436" s="436" t="str">
        <f>IF(ISNUMBER(VLOOKUP(B436,'New Masses'!A:C,3,FALSE)),VLOOKUP(B436,'New Masses'!A:C,3,FALSE),"")</f>
        <v/>
      </c>
      <c r="AD436" s="440"/>
      <c r="AE436" s="440">
        <f t="shared" si="128"/>
        <v>0.000000006165950019</v>
      </c>
      <c r="AF436" s="444">
        <v>-8.21</v>
      </c>
      <c r="AG436" s="440"/>
      <c r="AH436" s="445">
        <v>1.47</v>
      </c>
      <c r="AI436" s="460">
        <v>0.22</v>
      </c>
      <c r="AJ436" s="446" t="str">
        <f>IF(ISNUMBER(VLOOKUP(B436,'New Masses'!A:C,2, FALSE)),VLOOKUP(B436,'New Masses'!A:C,2, FALSE),"")</f>
        <v/>
      </c>
      <c r="AK436" s="440">
        <f t="shared" si="129"/>
        <v>0.1673173347</v>
      </c>
      <c r="AL436" s="460"/>
      <c r="AM436" s="460">
        <v>-0.9</v>
      </c>
      <c r="AN436" s="466">
        <v>43900.0</v>
      </c>
      <c r="AO436" s="436">
        <v>3.0</v>
      </c>
      <c r="AP436" s="440"/>
      <c r="AQ436" s="440"/>
      <c r="AR436" s="440"/>
      <c r="AS436" s="440"/>
      <c r="AT436" s="448"/>
      <c r="AU436" s="449"/>
      <c r="AV436" s="440"/>
      <c r="AW436" s="440"/>
      <c r="AX436" s="450">
        <v>159.09886403411</v>
      </c>
    </row>
    <row r="437">
      <c r="A437" s="451" t="s">
        <v>487</v>
      </c>
      <c r="B437" s="451" t="s">
        <v>487</v>
      </c>
      <c r="C437" s="451"/>
      <c r="D437" s="440" t="s">
        <v>314</v>
      </c>
      <c r="E437" s="440"/>
      <c r="F437" s="451" t="s">
        <v>2674</v>
      </c>
      <c r="G437" s="440" t="s">
        <v>169</v>
      </c>
      <c r="H437" s="440" t="s">
        <v>476</v>
      </c>
      <c r="I437" s="436">
        <v>2015.0</v>
      </c>
      <c r="J437" s="460">
        <v>2935.0</v>
      </c>
      <c r="K437" s="460">
        <v>68.0</v>
      </c>
      <c r="L437" s="460" t="s">
        <v>217</v>
      </c>
      <c r="M437" s="461">
        <v>0.5</v>
      </c>
      <c r="N437" s="422">
        <v>11.644</v>
      </c>
      <c r="O437" s="422">
        <v>10.482</v>
      </c>
      <c r="P437" s="422">
        <v>17.35</v>
      </c>
      <c r="Q437" s="440" t="s">
        <v>2189</v>
      </c>
      <c r="R437" s="451" t="s">
        <v>2190</v>
      </c>
      <c r="S437" s="451" t="s">
        <v>2191</v>
      </c>
      <c r="T437" s="462" t="s">
        <v>162</v>
      </c>
      <c r="U437" s="451" t="s">
        <v>2192</v>
      </c>
      <c r="V437" s="440"/>
      <c r="W437" s="463"/>
      <c r="X437" s="437"/>
      <c r="Y437" s="442" t="str">
        <f t="shared" si="127"/>
        <v/>
      </c>
      <c r="Z437" s="464"/>
      <c r="AA437" s="465">
        <v>0.78</v>
      </c>
      <c r="AB437" s="465">
        <v>0.17</v>
      </c>
      <c r="AC437" s="436" t="str">
        <f>IF(ISNUMBER(VLOOKUP(B437,'New Masses'!A:C,3,FALSE)),VLOOKUP(B437,'New Masses'!A:C,3,FALSE),"")</f>
        <v/>
      </c>
      <c r="AD437" s="440"/>
      <c r="AE437" s="440">
        <f t="shared" si="128"/>
        <v>0</v>
      </c>
      <c r="AF437" s="444">
        <v>-10.8</v>
      </c>
      <c r="AG437" s="440"/>
      <c r="AH437" s="445">
        <v>0.1</v>
      </c>
      <c r="AI437" s="460">
        <v>0.01</v>
      </c>
      <c r="AJ437" s="446" t="str">
        <f>IF(ISNUMBER(VLOOKUP(B437,'New Masses'!A:C,2, FALSE)),VLOOKUP(B437,'New Masses'!A:C,2, FALSE),"")</f>
        <v/>
      </c>
      <c r="AK437" s="440">
        <f t="shared" si="129"/>
        <v>-1</v>
      </c>
      <c r="AL437" s="460"/>
      <c r="AM437" s="460">
        <v>-4.3</v>
      </c>
      <c r="AN437" s="466">
        <v>43900.0</v>
      </c>
      <c r="AO437" s="436">
        <v>3.0</v>
      </c>
      <c r="AP437" s="440"/>
      <c r="AQ437" s="440"/>
      <c r="AR437" s="440"/>
      <c r="AS437" s="440"/>
      <c r="AT437" s="448"/>
      <c r="AU437" s="449"/>
      <c r="AV437" s="440"/>
      <c r="AW437" s="440"/>
      <c r="AX437" s="450">
        <v>151.765795025117</v>
      </c>
    </row>
    <row r="438">
      <c r="A438" s="451" t="s">
        <v>499</v>
      </c>
      <c r="B438" s="451" t="s">
        <v>499</v>
      </c>
      <c r="C438" s="451"/>
      <c r="D438" s="440" t="s">
        <v>314</v>
      </c>
      <c r="E438" s="440"/>
      <c r="F438" s="451" t="s">
        <v>2675</v>
      </c>
      <c r="G438" s="440" t="s">
        <v>169</v>
      </c>
      <c r="H438" s="440" t="s">
        <v>476</v>
      </c>
      <c r="I438" s="436">
        <v>2015.0</v>
      </c>
      <c r="J438" s="460">
        <v>3125.0</v>
      </c>
      <c r="K438" s="460">
        <v>72.0</v>
      </c>
      <c r="L438" s="460" t="s">
        <v>371</v>
      </c>
      <c r="M438" s="461">
        <v>0.5</v>
      </c>
      <c r="N438" s="422">
        <v>13.175</v>
      </c>
      <c r="O438" s="422">
        <v>12.26</v>
      </c>
      <c r="P438" s="422"/>
      <c r="Q438" s="440" t="s">
        <v>2189</v>
      </c>
      <c r="R438" s="451" t="s">
        <v>2190</v>
      </c>
      <c r="S438" s="451" t="s">
        <v>2191</v>
      </c>
      <c r="T438" s="462" t="s">
        <v>162</v>
      </c>
      <c r="U438" s="451" t="s">
        <v>2192</v>
      </c>
      <c r="V438" s="440"/>
      <c r="W438" s="463"/>
      <c r="X438" s="437"/>
      <c r="Y438" s="442" t="str">
        <f t="shared" si="127"/>
        <v/>
      </c>
      <c r="Z438" s="464"/>
      <c r="AA438" s="465">
        <v>0.48</v>
      </c>
      <c r="AB438" s="465">
        <v>0.11</v>
      </c>
      <c r="AC438" s="436" t="str">
        <f>IF(ISNUMBER(VLOOKUP(B438,'New Masses'!A:C,3,FALSE)),VLOOKUP(B438,'New Masses'!A:C,3,FALSE),"")</f>
        <v/>
      </c>
      <c r="AD438" s="440"/>
      <c r="AE438" s="440">
        <f t="shared" si="128"/>
        <v>0</v>
      </c>
      <c r="AF438" s="444">
        <v>-11.2</v>
      </c>
      <c r="AG438" s="440"/>
      <c r="AH438" s="445">
        <v>0.12</v>
      </c>
      <c r="AI438" s="460">
        <v>0.02</v>
      </c>
      <c r="AJ438" s="446" t="str">
        <f>IF(ISNUMBER(VLOOKUP(B438,'New Masses'!A:C,2, FALSE)),VLOOKUP(B438,'New Masses'!A:C,2, FALSE),"")</f>
        <v/>
      </c>
      <c r="AK438" s="440">
        <f t="shared" si="129"/>
        <v>-0.920818754</v>
      </c>
      <c r="AL438" s="460"/>
      <c r="AM438" s="460">
        <v>-4.4</v>
      </c>
      <c r="AN438" s="466">
        <v>43900.0</v>
      </c>
      <c r="AO438" s="436">
        <v>3.0</v>
      </c>
      <c r="AP438" s="440"/>
      <c r="AQ438" s="440"/>
      <c r="AR438" s="440"/>
      <c r="AS438" s="440"/>
      <c r="AT438" s="448"/>
      <c r="AU438" s="452"/>
      <c r="AV438" s="440"/>
      <c r="AW438" s="440"/>
      <c r="AX438" s="450">
        <v>147.219032476518</v>
      </c>
    </row>
    <row r="439">
      <c r="A439" s="451" t="s">
        <v>522</v>
      </c>
      <c r="B439" s="451" t="s">
        <v>522</v>
      </c>
      <c r="C439" s="451"/>
      <c r="D439" s="440" t="s">
        <v>314</v>
      </c>
      <c r="E439" s="440"/>
      <c r="F439" s="451" t="s">
        <v>2676</v>
      </c>
      <c r="G439" s="440" t="s">
        <v>169</v>
      </c>
      <c r="H439" s="440" t="s">
        <v>476</v>
      </c>
      <c r="I439" s="436">
        <v>2015.0</v>
      </c>
      <c r="J439" s="460">
        <v>3200.0</v>
      </c>
      <c r="K439" s="460">
        <v>74.0</v>
      </c>
      <c r="L439" s="460" t="s">
        <v>402</v>
      </c>
      <c r="M439" s="461">
        <v>0.5</v>
      </c>
      <c r="N439" s="422">
        <v>11.631</v>
      </c>
      <c r="O439" s="422">
        <v>10.656</v>
      </c>
      <c r="P439" s="422">
        <v>15.25</v>
      </c>
      <c r="Q439" s="440" t="s">
        <v>2189</v>
      </c>
      <c r="R439" s="451" t="s">
        <v>2190</v>
      </c>
      <c r="S439" s="451" t="s">
        <v>2191</v>
      </c>
      <c r="T439" s="462" t="s">
        <v>162</v>
      </c>
      <c r="U439" s="451" t="s">
        <v>2192</v>
      </c>
      <c r="V439" s="440"/>
      <c r="W439" s="463"/>
      <c r="X439" s="437"/>
      <c r="Y439" s="442" t="str">
        <f t="shared" si="127"/>
        <v/>
      </c>
      <c r="Z439" s="464"/>
      <c r="AA439" s="465">
        <v>0.96</v>
      </c>
      <c r="AB439" s="465">
        <v>0.23</v>
      </c>
      <c r="AC439" s="436" t="str">
        <f>IF(ISNUMBER(VLOOKUP(B439,'New Masses'!A:C,3,FALSE)),VLOOKUP(B439,'New Masses'!A:C,3,FALSE),"")</f>
        <v/>
      </c>
      <c r="AD439" s="440"/>
      <c r="AE439" s="440">
        <f t="shared" si="128"/>
        <v>0.0000000001621810097</v>
      </c>
      <c r="AF439" s="444">
        <v>-9.79</v>
      </c>
      <c r="AG439" s="440"/>
      <c r="AH439" s="445">
        <v>0.19</v>
      </c>
      <c r="AI439" s="460">
        <v>0.03</v>
      </c>
      <c r="AJ439" s="446" t="str">
        <f>IF(ISNUMBER(VLOOKUP(B439,'New Masses'!A:C,2, FALSE)),VLOOKUP(B439,'New Masses'!A:C,2, FALSE),"")</f>
        <v/>
      </c>
      <c r="AK439" s="440">
        <f t="shared" si="129"/>
        <v>-0.721246399</v>
      </c>
      <c r="AL439" s="460"/>
      <c r="AM439" s="460">
        <v>-3.1</v>
      </c>
      <c r="AN439" s="466">
        <v>43900.0</v>
      </c>
      <c r="AO439" s="436">
        <v>3.0</v>
      </c>
      <c r="AP439" s="440"/>
      <c r="AQ439" s="440"/>
      <c r="AR439" s="440"/>
      <c r="AS439" s="440"/>
      <c r="AT439" s="448"/>
      <c r="AU439" s="449"/>
      <c r="AV439" s="440"/>
      <c r="AW439" s="440"/>
      <c r="AX439" s="450">
        <v>161.204520174745</v>
      </c>
    </row>
    <row r="440">
      <c r="A440" s="451" t="s">
        <v>537</v>
      </c>
      <c r="B440" s="451" t="s">
        <v>537</v>
      </c>
      <c r="C440" s="451"/>
      <c r="D440" s="440" t="s">
        <v>314</v>
      </c>
      <c r="E440" s="440"/>
      <c r="F440" s="451" t="s">
        <v>2677</v>
      </c>
      <c r="G440" s="440" t="s">
        <v>169</v>
      </c>
      <c r="H440" s="440" t="s">
        <v>476</v>
      </c>
      <c r="I440" s="436">
        <v>2015.0</v>
      </c>
      <c r="J440" s="460">
        <v>3270.0</v>
      </c>
      <c r="K440" s="460">
        <v>75.0</v>
      </c>
      <c r="L440" s="460" t="s">
        <v>395</v>
      </c>
      <c r="M440" s="461">
        <v>0.5</v>
      </c>
      <c r="N440" s="422">
        <v>11.449</v>
      </c>
      <c r="O440" s="422">
        <v>10.142</v>
      </c>
      <c r="P440" s="422">
        <v>14.98</v>
      </c>
      <c r="Q440" s="440" t="s">
        <v>2189</v>
      </c>
      <c r="R440" s="451" t="s">
        <v>2190</v>
      </c>
      <c r="S440" s="451" t="s">
        <v>2191</v>
      </c>
      <c r="T440" s="462" t="s">
        <v>162</v>
      </c>
      <c r="U440" s="451" t="s">
        <v>2192</v>
      </c>
      <c r="V440" s="440"/>
      <c r="W440" s="463"/>
      <c r="X440" s="437"/>
      <c r="Y440" s="442" t="str">
        <f t="shared" si="127"/>
        <v/>
      </c>
      <c r="Z440" s="464"/>
      <c r="AA440" s="465">
        <v>1.2</v>
      </c>
      <c r="AB440" s="465">
        <v>0.27</v>
      </c>
      <c r="AC440" s="436" t="str">
        <f>IF(ISNUMBER(VLOOKUP(B440,'New Masses'!A:C,3,FALSE)),VLOOKUP(B440,'New Masses'!A:C,3,FALSE),"")</f>
        <v/>
      </c>
      <c r="AD440" s="440"/>
      <c r="AE440" s="440">
        <f t="shared" si="128"/>
        <v>0.0000000002041737945</v>
      </c>
      <c r="AF440" s="444">
        <v>-9.69</v>
      </c>
      <c r="AG440" s="440"/>
      <c r="AH440" s="445">
        <v>0.24</v>
      </c>
      <c r="AI440" s="460">
        <v>0.04</v>
      </c>
      <c r="AJ440" s="446" t="str">
        <f>IF(ISNUMBER(VLOOKUP(B440,'New Masses'!A:C,2, FALSE)),VLOOKUP(B440,'New Masses'!A:C,2, FALSE),"")</f>
        <v/>
      </c>
      <c r="AK440" s="440">
        <f t="shared" si="129"/>
        <v>-0.6197887583</v>
      </c>
      <c r="AL440" s="460"/>
      <c r="AM440" s="460">
        <v>-3.0</v>
      </c>
      <c r="AN440" s="466">
        <v>43900.0</v>
      </c>
      <c r="AO440" s="436">
        <v>3.0</v>
      </c>
      <c r="AP440" s="440"/>
      <c r="AQ440" s="440"/>
      <c r="AR440" s="440"/>
      <c r="AS440" s="440"/>
      <c r="AT440" s="448"/>
      <c r="AU440" s="452"/>
      <c r="AV440" s="503"/>
      <c r="AW440" s="440"/>
      <c r="AX440" s="450">
        <v>164.171263462043</v>
      </c>
    </row>
    <row r="441">
      <c r="A441" s="451" t="s">
        <v>502</v>
      </c>
      <c r="B441" s="451" t="s">
        <v>502</v>
      </c>
      <c r="C441" s="451"/>
      <c r="D441" s="440" t="s">
        <v>314</v>
      </c>
      <c r="E441" s="440"/>
      <c r="F441" s="451" t="s">
        <v>2678</v>
      </c>
      <c r="G441" s="440" t="s">
        <v>169</v>
      </c>
      <c r="H441" s="440" t="s">
        <v>476</v>
      </c>
      <c r="I441" s="436">
        <v>2015.0</v>
      </c>
      <c r="J441" s="460">
        <v>3060.0</v>
      </c>
      <c r="K441" s="460">
        <v>71.0</v>
      </c>
      <c r="L441" s="460" t="s">
        <v>264</v>
      </c>
      <c r="M441" s="461">
        <v>0.5</v>
      </c>
      <c r="N441" s="422">
        <v>11.824</v>
      </c>
      <c r="O441" s="422">
        <v>10.779</v>
      </c>
      <c r="P441" s="422">
        <v>15.7</v>
      </c>
      <c r="Q441" s="440" t="s">
        <v>2189</v>
      </c>
      <c r="R441" s="451" t="s">
        <v>2190</v>
      </c>
      <c r="S441" s="451" t="s">
        <v>2191</v>
      </c>
      <c r="T441" s="462" t="s">
        <v>162</v>
      </c>
      <c r="U441" s="451" t="s">
        <v>2192</v>
      </c>
      <c r="V441" s="440"/>
      <c r="W441" s="463"/>
      <c r="X441" s="437"/>
      <c r="Y441" s="442" t="str">
        <f t="shared" si="127"/>
        <v/>
      </c>
      <c r="Z441" s="464"/>
      <c r="AA441" s="465">
        <v>0.91</v>
      </c>
      <c r="AB441" s="465">
        <v>0.27</v>
      </c>
      <c r="AC441" s="436" t="str">
        <f>IF(ISNUMBER(VLOOKUP(B441,'New Masses'!A:C,3,FALSE)),VLOOKUP(B441,'New Masses'!A:C,3,FALSE),"")</f>
        <v/>
      </c>
      <c r="AD441" s="440"/>
      <c r="AE441" s="440">
        <f t="shared" si="128"/>
        <v>0.0000000001318256739</v>
      </c>
      <c r="AF441" s="444">
        <v>-9.88</v>
      </c>
      <c r="AG441" s="440"/>
      <c r="AH441" s="445">
        <v>0.14</v>
      </c>
      <c r="AI441" s="460">
        <v>0.03</v>
      </c>
      <c r="AJ441" s="446" t="str">
        <f>IF(ISNUMBER(VLOOKUP(B441,'New Masses'!A:C,2, FALSE)),VLOOKUP(B441,'New Masses'!A:C,2, FALSE),"")</f>
        <v/>
      </c>
      <c r="AK441" s="440">
        <f t="shared" si="129"/>
        <v>-0.8538719643</v>
      </c>
      <c r="AL441" s="460"/>
      <c r="AM441" s="460">
        <v>-3.3</v>
      </c>
      <c r="AN441" s="466">
        <v>43900.0</v>
      </c>
      <c r="AO441" s="436">
        <v>3.0</v>
      </c>
      <c r="AP441" s="440"/>
      <c r="AQ441" s="440"/>
      <c r="AR441" s="440"/>
      <c r="AS441" s="440"/>
      <c r="AT441" s="448"/>
      <c r="AU441" s="449"/>
      <c r="AV441" s="503"/>
      <c r="AW441" s="440"/>
      <c r="AX441" s="450">
        <v>164.333136133569</v>
      </c>
    </row>
    <row r="442">
      <c r="A442" s="451" t="s">
        <v>514</v>
      </c>
      <c r="B442" s="451" t="s">
        <v>514</v>
      </c>
      <c r="C442" s="451"/>
      <c r="D442" s="440" t="s">
        <v>314</v>
      </c>
      <c r="E442" s="440"/>
      <c r="F442" s="451" t="s">
        <v>2679</v>
      </c>
      <c r="G442" s="451" t="s">
        <v>515</v>
      </c>
      <c r="H442" s="440" t="s">
        <v>476</v>
      </c>
      <c r="I442" s="436">
        <v>2015.0</v>
      </c>
      <c r="J442" s="460">
        <v>3200.0</v>
      </c>
      <c r="K442" s="460">
        <v>74.0</v>
      </c>
      <c r="L442" s="460" t="s">
        <v>402</v>
      </c>
      <c r="M442" s="461">
        <v>0.5</v>
      </c>
      <c r="N442" s="422">
        <v>14.68</v>
      </c>
      <c r="O442" s="422">
        <v>13.113</v>
      </c>
      <c r="P442" s="422">
        <v>18.79</v>
      </c>
      <c r="Q442" s="440" t="s">
        <v>2189</v>
      </c>
      <c r="R442" s="451" t="s">
        <v>2190</v>
      </c>
      <c r="S442" s="451" t="s">
        <v>2191</v>
      </c>
      <c r="T442" s="462" t="s">
        <v>162</v>
      </c>
      <c r="U442" s="451" t="s">
        <v>2192</v>
      </c>
      <c r="V442" s="440"/>
      <c r="W442" s="463"/>
      <c r="X442" s="437"/>
      <c r="Y442" s="442" t="str">
        <f t="shared" si="127"/>
        <v/>
      </c>
      <c r="Z442" s="464"/>
      <c r="AA442" s="465">
        <v>0.23</v>
      </c>
      <c r="AB442" s="465">
        <v>0.06</v>
      </c>
      <c r="AC442" s="436" t="str">
        <f>IF(ISNUMBER(VLOOKUP(B442,'New Masses'!A:C,3,FALSE)),VLOOKUP(B442,'New Masses'!A:C,3,FALSE),"")</f>
        <v/>
      </c>
      <c r="AD442" s="440"/>
      <c r="AE442" s="440">
        <f t="shared" si="128"/>
        <v>0</v>
      </c>
      <c r="AF442" s="444">
        <v>-12.5</v>
      </c>
      <c r="AG442" s="440"/>
      <c r="AH442" s="445">
        <v>0.17</v>
      </c>
      <c r="AI442" s="460">
        <v>0.03</v>
      </c>
      <c r="AJ442" s="446" t="str">
        <f>IF(ISNUMBER(VLOOKUP(B442,'New Masses'!A:C,2, FALSE)),VLOOKUP(B442,'New Masses'!A:C,2, FALSE),"")</f>
        <v/>
      </c>
      <c r="AK442" s="440">
        <f t="shared" si="129"/>
        <v>-0.7695510786</v>
      </c>
      <c r="AL442" s="460"/>
      <c r="AM442" s="460">
        <v>-5.2</v>
      </c>
      <c r="AN442" s="466">
        <v>43900.0</v>
      </c>
      <c r="AO442" s="436">
        <v>3.0</v>
      </c>
      <c r="AP442" s="440"/>
      <c r="AQ442" s="440"/>
      <c r="AR442" s="440"/>
      <c r="AS442" s="440"/>
      <c r="AT442" s="448"/>
      <c r="AU442" s="452"/>
      <c r="AV442" s="440"/>
      <c r="AW442" s="440"/>
      <c r="AX442" s="450"/>
    </row>
    <row r="443">
      <c r="A443" s="451" t="s">
        <v>590</v>
      </c>
      <c r="B443" s="451" t="s">
        <v>590</v>
      </c>
      <c r="C443" s="440"/>
      <c r="D443" s="440" t="s">
        <v>314</v>
      </c>
      <c r="E443" s="440"/>
      <c r="F443" s="451" t="s">
        <v>2680</v>
      </c>
      <c r="G443" s="440" t="s">
        <v>159</v>
      </c>
      <c r="H443" s="440" t="s">
        <v>476</v>
      </c>
      <c r="I443" s="436">
        <v>2015.0</v>
      </c>
      <c r="J443" s="460">
        <v>4900.0</v>
      </c>
      <c r="K443" s="460">
        <v>226.0</v>
      </c>
      <c r="L443" s="460" t="s">
        <v>589</v>
      </c>
      <c r="M443" s="461">
        <v>1.0</v>
      </c>
      <c r="N443" s="422">
        <v>8.974</v>
      </c>
      <c r="O443" s="422">
        <v>8.225</v>
      </c>
      <c r="P443" s="422">
        <v>10.67</v>
      </c>
      <c r="Q443" s="440" t="s">
        <v>2189</v>
      </c>
      <c r="R443" s="451" t="s">
        <v>2190</v>
      </c>
      <c r="S443" s="451" t="s">
        <v>2191</v>
      </c>
      <c r="T443" s="462" t="s">
        <v>162</v>
      </c>
      <c r="U443" s="451" t="s">
        <v>2192</v>
      </c>
      <c r="V443" s="440"/>
      <c r="W443" s="463"/>
      <c r="X443" s="437"/>
      <c r="Y443" s="442" t="str">
        <f t="shared" si="127"/>
        <v/>
      </c>
      <c r="Z443" s="464"/>
      <c r="AA443" s="465">
        <v>2.41</v>
      </c>
      <c r="AB443" s="465">
        <v>0.52</v>
      </c>
      <c r="AC443" s="436" t="str">
        <f>IF(ISNUMBER(VLOOKUP(B443,'New Masses'!A:C,3,FALSE)),VLOOKUP(B443,'New Masses'!A:C,3,FALSE),"")</f>
        <v/>
      </c>
      <c r="AD443" s="440"/>
      <c r="AE443" s="440">
        <f t="shared" si="128"/>
        <v>0.0000000008511380382</v>
      </c>
      <c r="AF443" s="439">
        <v>-9.07</v>
      </c>
      <c r="AG443" s="440"/>
      <c r="AH443" s="445">
        <v>1.81</v>
      </c>
      <c r="AI443" s="460">
        <v>0.28</v>
      </c>
      <c r="AJ443" s="446" t="str">
        <f>IF(ISNUMBER(VLOOKUP(B443,'New Masses'!A:C,2, FALSE)),VLOOKUP(B443,'New Masses'!A:C,2, FALSE),"")</f>
        <v/>
      </c>
      <c r="AK443" s="440">
        <f t="shared" si="129"/>
        <v>0.2576785749</v>
      </c>
      <c r="AL443" s="460"/>
      <c r="AM443" s="460">
        <v>-1.8</v>
      </c>
      <c r="AN443" s="466">
        <v>43900.0</v>
      </c>
      <c r="AO443" s="436">
        <v>3.0</v>
      </c>
      <c r="AP443" s="440"/>
      <c r="AQ443" s="440"/>
      <c r="AR443" s="440"/>
      <c r="AS443" s="440"/>
      <c r="AT443" s="448"/>
      <c r="AU443" s="449" t="s">
        <v>137</v>
      </c>
      <c r="AV443" s="440"/>
      <c r="AW443" s="440"/>
      <c r="AX443" s="450">
        <v>156.11583795176</v>
      </c>
    </row>
    <row r="444">
      <c r="A444" s="451" t="s">
        <v>564</v>
      </c>
      <c r="B444" s="451" t="s">
        <v>564</v>
      </c>
      <c r="C444" s="440"/>
      <c r="D444" s="440" t="s">
        <v>314</v>
      </c>
      <c r="E444" s="440"/>
      <c r="F444" s="451" t="s">
        <v>2681</v>
      </c>
      <c r="G444" s="451" t="s">
        <v>515</v>
      </c>
      <c r="H444" s="440" t="s">
        <v>476</v>
      </c>
      <c r="I444" s="436">
        <v>2015.0</v>
      </c>
      <c r="J444" s="460">
        <v>4205.0</v>
      </c>
      <c r="K444" s="460">
        <v>193.0</v>
      </c>
      <c r="L444" s="460" t="s">
        <v>453</v>
      </c>
      <c r="M444" s="461">
        <v>1.0</v>
      </c>
      <c r="N444" s="422">
        <v>9.884</v>
      </c>
      <c r="O444" s="422">
        <v>8.658</v>
      </c>
      <c r="P444" s="422">
        <v>12.47</v>
      </c>
      <c r="Q444" s="440" t="s">
        <v>2189</v>
      </c>
      <c r="R444" s="451" t="s">
        <v>2190</v>
      </c>
      <c r="S444" s="451" t="s">
        <v>2191</v>
      </c>
      <c r="T444" s="462" t="s">
        <v>162</v>
      </c>
      <c r="U444" s="451" t="s">
        <v>2192</v>
      </c>
      <c r="V444" s="440"/>
      <c r="W444" s="463"/>
      <c r="X444" s="437"/>
      <c r="Y444" s="442" t="str">
        <f t="shared" si="127"/>
        <v/>
      </c>
      <c r="Z444" s="464"/>
      <c r="AA444" s="465">
        <v>2.63</v>
      </c>
      <c r="AB444" s="465">
        <v>0.63</v>
      </c>
      <c r="AC444" s="436" t="str">
        <f>IF(ISNUMBER(VLOOKUP(B444,'New Masses'!A:C,3,FALSE)),VLOOKUP(B444,'New Masses'!A:C,3,FALSE),"")</f>
        <v/>
      </c>
      <c r="AD444" s="440"/>
      <c r="AE444" s="440">
        <f t="shared" si="128"/>
        <v>0.00000001905460718</v>
      </c>
      <c r="AF444" s="444">
        <v>-7.72</v>
      </c>
      <c r="AG444" s="440"/>
      <c r="AH444" s="445">
        <v>0.47</v>
      </c>
      <c r="AI444" s="460">
        <v>0.14</v>
      </c>
      <c r="AJ444" s="446" t="str">
        <f>IF(ISNUMBER(VLOOKUP(B444,'New Masses'!A:C,2, FALSE)),VLOOKUP(B444,'New Masses'!A:C,2, FALSE),"")</f>
        <v/>
      </c>
      <c r="AK444" s="440">
        <f t="shared" si="129"/>
        <v>-0.3279021421</v>
      </c>
      <c r="AL444" s="460"/>
      <c r="AM444" s="460">
        <v>-0.8</v>
      </c>
      <c r="AN444" s="466">
        <v>43900.0</v>
      </c>
      <c r="AO444" s="436">
        <v>3.0</v>
      </c>
      <c r="AP444" s="440"/>
      <c r="AQ444" s="440"/>
      <c r="AR444" s="440"/>
      <c r="AS444" s="440"/>
      <c r="AT444" s="448"/>
      <c r="AU444" s="452"/>
      <c r="AV444" s="440"/>
      <c r="AW444" s="440"/>
      <c r="AX444" s="450">
        <v>153.642872507144</v>
      </c>
    </row>
    <row r="445">
      <c r="A445" s="451" t="s">
        <v>527</v>
      </c>
      <c r="B445" s="451" t="s">
        <v>527</v>
      </c>
      <c r="C445" s="440"/>
      <c r="D445" s="440" t="s">
        <v>314</v>
      </c>
      <c r="E445" s="440"/>
      <c r="F445" s="451" t="s">
        <v>2682</v>
      </c>
      <c r="G445" s="440" t="s">
        <v>169</v>
      </c>
      <c r="H445" s="440" t="s">
        <v>476</v>
      </c>
      <c r="I445" s="436">
        <v>2015.0</v>
      </c>
      <c r="J445" s="460">
        <v>3200.0</v>
      </c>
      <c r="K445" s="460">
        <v>74.0</v>
      </c>
      <c r="L445" s="460" t="s">
        <v>402</v>
      </c>
      <c r="M445" s="461">
        <v>0.5</v>
      </c>
      <c r="N445" s="422">
        <v>12.552</v>
      </c>
      <c r="O445" s="422">
        <v>10.947</v>
      </c>
      <c r="P445" s="422">
        <v>16.31</v>
      </c>
      <c r="Q445" s="440" t="s">
        <v>2189</v>
      </c>
      <c r="R445" s="451" t="s">
        <v>2190</v>
      </c>
      <c r="S445" s="451" t="s">
        <v>2191</v>
      </c>
      <c r="T445" s="462" t="s">
        <v>162</v>
      </c>
      <c r="U445" s="451" t="s">
        <v>2192</v>
      </c>
      <c r="V445" s="440"/>
      <c r="W445" s="463"/>
      <c r="X445" s="437"/>
      <c r="Y445" s="442" t="str">
        <f t="shared" si="127"/>
        <v/>
      </c>
      <c r="Z445" s="464"/>
      <c r="AA445" s="465">
        <v>1.1</v>
      </c>
      <c r="AB445" s="465">
        <v>0.24</v>
      </c>
      <c r="AC445" s="436" t="str">
        <f>IF(ISNUMBER(VLOOKUP(B445,'New Masses'!A:C,3,FALSE)),VLOOKUP(B445,'New Masses'!A:C,3,FALSE),"")</f>
        <v/>
      </c>
      <c r="AD445" s="440"/>
      <c r="AE445" s="440">
        <f t="shared" si="128"/>
        <v>0.00000001122018454</v>
      </c>
      <c r="AF445" s="444">
        <v>-7.95</v>
      </c>
      <c r="AG445" s="440"/>
      <c r="AH445" s="445">
        <v>0.2</v>
      </c>
      <c r="AI445" s="460">
        <v>0.03</v>
      </c>
      <c r="AJ445" s="446" t="str">
        <f>IF(ISNUMBER(VLOOKUP(B445,'New Masses'!A:C,2, FALSE)),VLOOKUP(B445,'New Masses'!A:C,2, FALSE),"")</f>
        <v/>
      </c>
      <c r="AK445" s="440">
        <f t="shared" si="129"/>
        <v>-0.6989700043</v>
      </c>
      <c r="AL445" s="460"/>
      <c r="AM445" s="460">
        <v>-1.3</v>
      </c>
      <c r="AN445" s="466">
        <v>43900.0</v>
      </c>
      <c r="AO445" s="436">
        <v>3.0</v>
      </c>
      <c r="AP445" s="440"/>
      <c r="AQ445" s="440"/>
      <c r="AR445" s="440"/>
      <c r="AS445" s="440"/>
      <c r="AT445" s="448"/>
      <c r="AU445" s="449"/>
      <c r="AV445" s="440"/>
      <c r="AW445" s="440"/>
      <c r="AX445" s="450">
        <v>159.354931238347</v>
      </c>
    </row>
    <row r="446">
      <c r="A446" s="451" t="s">
        <v>508</v>
      </c>
      <c r="B446" s="451" t="s">
        <v>508</v>
      </c>
      <c r="C446" s="440"/>
      <c r="D446" s="440" t="s">
        <v>314</v>
      </c>
      <c r="E446" s="440"/>
      <c r="F446" s="451" t="s">
        <v>2683</v>
      </c>
      <c r="G446" s="440" t="s">
        <v>169</v>
      </c>
      <c r="H446" s="440" t="s">
        <v>476</v>
      </c>
      <c r="I446" s="436">
        <v>2015.0</v>
      </c>
      <c r="J446" s="460">
        <v>3125.0</v>
      </c>
      <c r="K446" s="460">
        <v>72.0</v>
      </c>
      <c r="L446" s="460" t="s">
        <v>371</v>
      </c>
      <c r="M446" s="461">
        <v>0.5</v>
      </c>
      <c r="N446" s="422">
        <v>12.655</v>
      </c>
      <c r="O446" s="422">
        <v>11.761</v>
      </c>
      <c r="P446" s="422">
        <v>16.67</v>
      </c>
      <c r="Q446" s="440" t="s">
        <v>2189</v>
      </c>
      <c r="R446" s="451" t="s">
        <v>2190</v>
      </c>
      <c r="S446" s="451" t="s">
        <v>2191</v>
      </c>
      <c r="T446" s="462" t="s">
        <v>162</v>
      </c>
      <c r="U446" s="451" t="s">
        <v>2192</v>
      </c>
      <c r="V446" s="440"/>
      <c r="W446" s="463"/>
      <c r="X446" s="437"/>
      <c r="Y446" s="442" t="str">
        <f t="shared" si="127"/>
        <v/>
      </c>
      <c r="Z446" s="464"/>
      <c r="AA446" s="465">
        <v>0.84</v>
      </c>
      <c r="AB446" s="465">
        <v>0.22</v>
      </c>
      <c r="AC446" s="436" t="str">
        <f>IF(ISNUMBER(VLOOKUP(B446,'New Masses'!A:C,3,FALSE)),VLOOKUP(B446,'New Masses'!A:C,3,FALSE),"")</f>
        <v/>
      </c>
      <c r="AD446" s="440"/>
      <c r="AE446" s="440">
        <f t="shared" si="128"/>
        <v>0</v>
      </c>
      <c r="AF446" s="444">
        <v>-10.4</v>
      </c>
      <c r="AG446" s="440"/>
      <c r="AH446" s="445">
        <v>0.15</v>
      </c>
      <c r="AI446" s="460">
        <v>0.03</v>
      </c>
      <c r="AJ446" s="446" t="str">
        <f>IF(ISNUMBER(VLOOKUP(B446,'New Masses'!A:C,2, FALSE)),VLOOKUP(B446,'New Masses'!A:C,2, FALSE),"")</f>
        <v/>
      </c>
      <c r="AK446" s="440">
        <f t="shared" si="129"/>
        <v>-0.8239087409</v>
      </c>
      <c r="AL446" s="460"/>
      <c r="AM446" s="460">
        <v>-3.8</v>
      </c>
      <c r="AN446" s="466">
        <v>43900.0</v>
      </c>
      <c r="AO446" s="436">
        <v>3.0</v>
      </c>
      <c r="AP446" s="440"/>
      <c r="AQ446" s="440"/>
      <c r="AR446" s="440"/>
      <c r="AS446" s="440"/>
      <c r="AT446" s="448"/>
      <c r="AU446" s="452"/>
      <c r="AV446" s="440"/>
      <c r="AW446" s="440"/>
      <c r="AX446" s="450">
        <v>158.800736835418</v>
      </c>
    </row>
    <row r="447">
      <c r="A447" s="451" t="s">
        <v>489</v>
      </c>
      <c r="B447" s="451" t="s">
        <v>489</v>
      </c>
      <c r="C447" s="440"/>
      <c r="D447" s="440" t="s">
        <v>314</v>
      </c>
      <c r="E447" s="440"/>
      <c r="F447" s="451" t="s">
        <v>2684</v>
      </c>
      <c r="G447" s="440" t="s">
        <v>169</v>
      </c>
      <c r="H447" s="440" t="s">
        <v>476</v>
      </c>
      <c r="I447" s="436">
        <v>2015.0</v>
      </c>
      <c r="J447" s="460">
        <v>2935.0</v>
      </c>
      <c r="K447" s="460">
        <v>68.0</v>
      </c>
      <c r="L447" s="460" t="s">
        <v>217</v>
      </c>
      <c r="M447" s="461">
        <v>0.5</v>
      </c>
      <c r="N447" s="422">
        <v>13.28</v>
      </c>
      <c r="O447" s="422">
        <v>12.317</v>
      </c>
      <c r="P447" s="422">
        <v>16.76</v>
      </c>
      <c r="Q447" s="440" t="s">
        <v>2189</v>
      </c>
      <c r="R447" s="451" t="s">
        <v>2190</v>
      </c>
      <c r="S447" s="451" t="s">
        <v>2191</v>
      </c>
      <c r="T447" s="462" t="s">
        <v>162</v>
      </c>
      <c r="U447" s="451" t="s">
        <v>2192</v>
      </c>
      <c r="V447" s="440"/>
      <c r="W447" s="463"/>
      <c r="X447" s="437"/>
      <c r="Y447" s="442" t="str">
        <f t="shared" si="127"/>
        <v/>
      </c>
      <c r="Z447" s="464"/>
      <c r="AA447" s="465">
        <v>1.03</v>
      </c>
      <c r="AB447" s="465">
        <v>0.27</v>
      </c>
      <c r="AC447" s="436" t="str">
        <f>IF(ISNUMBER(VLOOKUP(B447,'New Masses'!A:C,3,FALSE)),VLOOKUP(B447,'New Masses'!A:C,3,FALSE),"")</f>
        <v/>
      </c>
      <c r="AD447" s="440"/>
      <c r="AE447" s="440">
        <f t="shared" si="128"/>
        <v>0</v>
      </c>
      <c r="AF447" s="444">
        <v>-10.3</v>
      </c>
      <c r="AG447" s="440"/>
      <c r="AH447" s="445">
        <v>0.1</v>
      </c>
      <c r="AI447" s="460">
        <v>0.02</v>
      </c>
      <c r="AJ447" s="446" t="str">
        <f>IF(ISNUMBER(VLOOKUP(B447,'New Masses'!A:C,2, FALSE)),VLOOKUP(B447,'New Masses'!A:C,2, FALSE),"")</f>
        <v/>
      </c>
      <c r="AK447" s="440">
        <f t="shared" si="129"/>
        <v>-1</v>
      </c>
      <c r="AL447" s="460"/>
      <c r="AM447" s="460">
        <v>-3.9</v>
      </c>
      <c r="AN447" s="466">
        <v>43900.0</v>
      </c>
      <c r="AO447" s="436">
        <v>3.0</v>
      </c>
      <c r="AP447" s="440"/>
      <c r="AQ447" s="440"/>
      <c r="AR447" s="440"/>
      <c r="AS447" s="440"/>
      <c r="AT447" s="448"/>
      <c r="AU447" s="449"/>
      <c r="AV447" s="440"/>
      <c r="AW447" s="440"/>
      <c r="AX447" s="450">
        <v>158.576616292161</v>
      </c>
    </row>
    <row r="448">
      <c r="A448" s="451" t="s">
        <v>532</v>
      </c>
      <c r="B448" s="451" t="s">
        <v>532</v>
      </c>
      <c r="C448" s="440"/>
      <c r="D448" s="440" t="s">
        <v>314</v>
      </c>
      <c r="E448" s="440"/>
      <c r="F448" s="451" t="s">
        <v>2685</v>
      </c>
      <c r="G448" s="440" t="s">
        <v>159</v>
      </c>
      <c r="H448" s="440" t="s">
        <v>476</v>
      </c>
      <c r="I448" s="436">
        <v>2015.0</v>
      </c>
      <c r="J448" s="460">
        <v>3200.0</v>
      </c>
      <c r="K448" s="460">
        <v>74.0</v>
      </c>
      <c r="L448" s="460" t="s">
        <v>402</v>
      </c>
      <c r="M448" s="461">
        <v>0.5</v>
      </c>
      <c r="N448" s="422">
        <v>11.946</v>
      </c>
      <c r="O448" s="422">
        <v>10.913</v>
      </c>
      <c r="P448" s="422">
        <v>15.79</v>
      </c>
      <c r="Q448" s="440" t="s">
        <v>2189</v>
      </c>
      <c r="R448" s="451" t="s">
        <v>2190</v>
      </c>
      <c r="S448" s="451" t="s">
        <v>2191</v>
      </c>
      <c r="T448" s="462" t="s">
        <v>162</v>
      </c>
      <c r="U448" s="451" t="s">
        <v>2192</v>
      </c>
      <c r="V448" s="440"/>
      <c r="W448" s="463"/>
      <c r="X448" s="437"/>
      <c r="Y448" s="442" t="str">
        <f t="shared" si="127"/>
        <v/>
      </c>
      <c r="Z448" s="464"/>
      <c r="AA448" s="465">
        <v>1.29</v>
      </c>
      <c r="AB448" s="465">
        <v>0.29</v>
      </c>
      <c r="AC448" s="436" t="str">
        <f>IF(ISNUMBER(VLOOKUP(B448,'New Masses'!A:C,3,FALSE)),VLOOKUP(B448,'New Masses'!A:C,3,FALSE),"")</f>
        <v/>
      </c>
      <c r="AD448" s="440"/>
      <c r="AE448" s="440">
        <f t="shared" si="128"/>
        <v>0.0000000001513561248</v>
      </c>
      <c r="AF448" s="444">
        <v>-9.82</v>
      </c>
      <c r="AG448" s="440"/>
      <c r="AH448" s="445">
        <v>0.22</v>
      </c>
      <c r="AI448" s="460">
        <v>0.03</v>
      </c>
      <c r="AJ448" s="446" t="str">
        <f>IF(ISNUMBER(VLOOKUP(B448,'New Masses'!A:C,2, FALSE)),VLOOKUP(B448,'New Masses'!A:C,2, FALSE),"")</f>
        <v/>
      </c>
      <c r="AK448" s="440">
        <f t="shared" si="129"/>
        <v>-0.6575773192</v>
      </c>
      <c r="AL448" s="460"/>
      <c r="AM448" s="460">
        <v>-3.2</v>
      </c>
      <c r="AN448" s="466">
        <v>43900.0</v>
      </c>
      <c r="AO448" s="436">
        <v>3.0</v>
      </c>
      <c r="AP448" s="440"/>
      <c r="AQ448" s="440"/>
      <c r="AR448" s="440"/>
      <c r="AS448" s="440"/>
      <c r="AT448" s="448"/>
      <c r="AU448" s="452"/>
      <c r="AV448" s="440"/>
      <c r="AW448" s="440"/>
      <c r="AX448" s="450">
        <v>163.233325715778</v>
      </c>
    </row>
    <row r="449">
      <c r="A449" s="451" t="s">
        <v>565</v>
      </c>
      <c r="B449" s="451" t="s">
        <v>565</v>
      </c>
      <c r="C449" s="440"/>
      <c r="D449" s="440" t="s">
        <v>314</v>
      </c>
      <c r="E449" s="440"/>
      <c r="F449" s="451" t="s">
        <v>2686</v>
      </c>
      <c r="G449" s="440" t="s">
        <v>169</v>
      </c>
      <c r="H449" s="440" t="s">
        <v>476</v>
      </c>
      <c r="I449" s="436">
        <v>2015.0</v>
      </c>
      <c r="J449" s="460">
        <v>3705.0</v>
      </c>
      <c r="K449" s="460">
        <v>171.0</v>
      </c>
      <c r="L449" s="460" t="s">
        <v>419</v>
      </c>
      <c r="M449" s="461">
        <v>0.5</v>
      </c>
      <c r="N449" s="422">
        <v>10.544</v>
      </c>
      <c r="O449" s="422">
        <v>9.539</v>
      </c>
      <c r="P449" s="422">
        <v>13.39</v>
      </c>
      <c r="Q449" s="440" t="s">
        <v>2189</v>
      </c>
      <c r="R449" s="451" t="s">
        <v>2190</v>
      </c>
      <c r="S449" s="451" t="s">
        <v>2191</v>
      </c>
      <c r="T449" s="462" t="s">
        <v>162</v>
      </c>
      <c r="U449" s="451" t="s">
        <v>2192</v>
      </c>
      <c r="V449" s="440"/>
      <c r="W449" s="463"/>
      <c r="X449" s="437"/>
      <c r="Y449" s="442" t="str">
        <f t="shared" si="127"/>
        <v/>
      </c>
      <c r="Z449" s="464"/>
      <c r="AA449" s="465">
        <v>1.91</v>
      </c>
      <c r="AB449" s="465">
        <v>0.42</v>
      </c>
      <c r="AC449" s="436" t="str">
        <f>IF(ISNUMBER(VLOOKUP(B449,'New Masses'!A:C,3,FALSE)),VLOOKUP(B449,'New Masses'!A:C,3,FALSE),"")</f>
        <v/>
      </c>
      <c r="AD449" s="440"/>
      <c r="AE449" s="440">
        <f t="shared" si="128"/>
        <v>0.000000001659586907</v>
      </c>
      <c r="AF449" s="444">
        <v>-8.78</v>
      </c>
      <c r="AG449" s="440"/>
      <c r="AH449" s="445">
        <v>0.47</v>
      </c>
      <c r="AI449" s="460">
        <v>0.11</v>
      </c>
      <c r="AJ449" s="446" t="str">
        <f>IF(ISNUMBER(VLOOKUP(B449,'New Masses'!A:C,2, FALSE)),VLOOKUP(B449,'New Masses'!A:C,2, FALSE),"")</f>
        <v/>
      </c>
      <c r="AK449" s="440">
        <f t="shared" si="129"/>
        <v>-0.3279021421</v>
      </c>
      <c r="AL449" s="460"/>
      <c r="AM449" s="460">
        <v>-2.0</v>
      </c>
      <c r="AN449" s="466">
        <v>43900.0</v>
      </c>
      <c r="AO449" s="436">
        <v>3.0</v>
      </c>
      <c r="AP449" s="440"/>
      <c r="AQ449" s="440"/>
      <c r="AR449" s="440"/>
      <c r="AS449" s="440"/>
      <c r="AT449" s="448"/>
      <c r="AU449" s="449"/>
      <c r="AV449" s="440"/>
      <c r="AW449" s="440"/>
      <c r="AX449" s="450">
        <v>159.813338021191</v>
      </c>
    </row>
    <row r="450">
      <c r="A450" s="451" t="s">
        <v>513</v>
      </c>
      <c r="B450" s="451" t="s">
        <v>513</v>
      </c>
      <c r="C450" s="440"/>
      <c r="D450" s="440" t="s">
        <v>314</v>
      </c>
      <c r="E450" s="440"/>
      <c r="F450" s="451" t="s">
        <v>2687</v>
      </c>
      <c r="G450" s="440" t="s">
        <v>169</v>
      </c>
      <c r="H450" s="440" t="s">
        <v>476</v>
      </c>
      <c r="I450" s="436">
        <v>2015.0</v>
      </c>
      <c r="J450" s="460">
        <v>3125.0</v>
      </c>
      <c r="K450" s="460">
        <v>72.0</v>
      </c>
      <c r="L450" s="460" t="s">
        <v>371</v>
      </c>
      <c r="M450" s="461">
        <v>0.5</v>
      </c>
      <c r="N450" s="422">
        <v>12.76</v>
      </c>
      <c r="O450" s="422">
        <v>11.613</v>
      </c>
      <c r="P450" s="422">
        <v>16.37</v>
      </c>
      <c r="Q450" s="440" t="s">
        <v>2189</v>
      </c>
      <c r="R450" s="451" t="s">
        <v>2190</v>
      </c>
      <c r="S450" s="451" t="s">
        <v>2191</v>
      </c>
      <c r="T450" s="462" t="s">
        <v>162</v>
      </c>
      <c r="U450" s="451" t="s">
        <v>2192</v>
      </c>
      <c r="V450" s="440"/>
      <c r="W450" s="463"/>
      <c r="X450" s="437"/>
      <c r="Y450" s="442" t="str">
        <f t="shared" si="127"/>
        <v/>
      </c>
      <c r="Z450" s="464"/>
      <c r="AA450" s="465">
        <v>0.9</v>
      </c>
      <c r="AB450" s="465">
        <v>0.2</v>
      </c>
      <c r="AC450" s="436" t="str">
        <f>IF(ISNUMBER(VLOOKUP(B450,'New Masses'!A:C,3,FALSE)),VLOOKUP(B450,'New Masses'!A:C,3,FALSE),"")</f>
        <v/>
      </c>
      <c r="AD450" s="440"/>
      <c r="AE450" s="440">
        <f t="shared" si="128"/>
        <v>0.000000001148153621</v>
      </c>
      <c r="AF450" s="444">
        <v>-8.94</v>
      </c>
      <c r="AG450" s="440"/>
      <c r="AH450" s="445">
        <v>0.16</v>
      </c>
      <c r="AI450" s="460">
        <v>0.03</v>
      </c>
      <c r="AJ450" s="446" t="str">
        <f>IF(ISNUMBER(VLOOKUP(B450,'New Masses'!A:C,2, FALSE)),VLOOKUP(B450,'New Masses'!A:C,2, FALSE),"")</f>
        <v/>
      </c>
      <c r="AK450" s="440">
        <f t="shared" si="129"/>
        <v>-0.7958800173</v>
      </c>
      <c r="AL450" s="460"/>
      <c r="AM450" s="460">
        <v>-2.3</v>
      </c>
      <c r="AN450" s="466">
        <v>43900.0</v>
      </c>
      <c r="AO450" s="436">
        <v>3.0</v>
      </c>
      <c r="AP450" s="440"/>
      <c r="AQ450" s="440"/>
      <c r="AR450" s="440"/>
      <c r="AS450" s="440"/>
      <c r="AT450" s="448"/>
      <c r="AU450" s="452"/>
      <c r="AV450" s="440"/>
      <c r="AW450" s="440"/>
      <c r="AX450" s="450">
        <v>160.0</v>
      </c>
    </row>
    <row r="451">
      <c r="A451" s="435" t="s">
        <v>517</v>
      </c>
      <c r="B451" s="451" t="s">
        <v>518</v>
      </c>
      <c r="C451" s="440"/>
      <c r="D451" s="440" t="s">
        <v>314</v>
      </c>
      <c r="E451" s="440"/>
      <c r="F451" s="451" t="s">
        <v>2688</v>
      </c>
      <c r="G451" s="440" t="s">
        <v>159</v>
      </c>
      <c r="H451" s="440" t="s">
        <v>476</v>
      </c>
      <c r="I451" s="438"/>
      <c r="J451" s="460">
        <v>3057.0</v>
      </c>
      <c r="K451" s="460">
        <v>70.0</v>
      </c>
      <c r="L451" s="460" t="s">
        <v>264</v>
      </c>
      <c r="M451" s="461">
        <v>0.5</v>
      </c>
      <c r="N451" s="422">
        <v>10.982</v>
      </c>
      <c r="O451" s="422">
        <v>9.908</v>
      </c>
      <c r="P451" s="422">
        <v>14.97</v>
      </c>
      <c r="Q451" s="440" t="s">
        <v>2189</v>
      </c>
      <c r="R451" s="451" t="s">
        <v>2190</v>
      </c>
      <c r="S451" s="451" t="s">
        <v>2191</v>
      </c>
      <c r="T451" s="462" t="s">
        <v>162</v>
      </c>
      <c r="U451" s="451" t="s">
        <v>2192</v>
      </c>
      <c r="V451" s="440"/>
      <c r="W451" s="463"/>
      <c r="X451" s="437"/>
      <c r="Y451" s="442" t="str">
        <f t="shared" si="127"/>
        <v/>
      </c>
      <c r="Z451" s="464"/>
      <c r="AA451" s="465">
        <v>1.43</v>
      </c>
      <c r="AB451" s="465">
        <v>0.33</v>
      </c>
      <c r="AC451" s="436" t="str">
        <f>IF(ISNUMBER(VLOOKUP(B451,'New Masses'!A:C,3,FALSE)),VLOOKUP(B451,'New Masses'!A:C,3,FALSE),"")</f>
        <v/>
      </c>
      <c r="AD451" s="440"/>
      <c r="AE451" s="440">
        <f t="shared" si="128"/>
        <v>0.0000000003235936569</v>
      </c>
      <c r="AF451" s="444">
        <v>-9.49</v>
      </c>
      <c r="AG451" s="440"/>
      <c r="AH451" s="445">
        <v>0.18</v>
      </c>
      <c r="AI451" s="460">
        <v>0.03</v>
      </c>
      <c r="AJ451" s="446" t="str">
        <f>IF(ISNUMBER(VLOOKUP(B451,'New Masses'!A:C,2, FALSE)),VLOOKUP(B451,'New Masses'!A:C,2, FALSE),"")</f>
        <v/>
      </c>
      <c r="AK451" s="440">
        <f t="shared" si="129"/>
        <v>-0.7447274949</v>
      </c>
      <c r="AL451" s="460"/>
      <c r="AM451" s="460">
        <v>-3.0</v>
      </c>
      <c r="AN451" s="466">
        <v>43900.0</v>
      </c>
      <c r="AO451" s="436">
        <v>3.0</v>
      </c>
      <c r="AP451" s="440"/>
      <c r="AQ451" s="440"/>
      <c r="AR451" s="440"/>
      <c r="AS451" s="440"/>
      <c r="AT451" s="448"/>
      <c r="AU451" s="449"/>
      <c r="AV451" s="440"/>
      <c r="AW451" s="440"/>
      <c r="AX451" s="450">
        <v>136.939404313591</v>
      </c>
    </row>
    <row r="452">
      <c r="A452" s="435" t="s">
        <v>542</v>
      </c>
      <c r="B452" s="451" t="s">
        <v>543</v>
      </c>
      <c r="C452" s="440"/>
      <c r="D452" s="440" t="s">
        <v>314</v>
      </c>
      <c r="E452" s="440"/>
      <c r="F452" s="451" t="s">
        <v>2689</v>
      </c>
      <c r="G452" s="440" t="s">
        <v>169</v>
      </c>
      <c r="H452" s="440" t="s">
        <v>476</v>
      </c>
      <c r="I452" s="438"/>
      <c r="J452" s="460">
        <v>3270.0</v>
      </c>
      <c r="K452" s="460">
        <v>75.0</v>
      </c>
      <c r="L452" s="460" t="s">
        <v>395</v>
      </c>
      <c r="M452" s="461">
        <v>0.5</v>
      </c>
      <c r="N452" s="422">
        <v>11.383</v>
      </c>
      <c r="O452" s="422">
        <v>10.23</v>
      </c>
      <c r="P452" s="422">
        <v>15.18</v>
      </c>
      <c r="Q452" s="440" t="s">
        <v>2189</v>
      </c>
      <c r="R452" s="451" t="s">
        <v>2190</v>
      </c>
      <c r="S452" s="451" t="s">
        <v>2191</v>
      </c>
      <c r="T452" s="462" t="s">
        <v>162</v>
      </c>
      <c r="U452" s="451" t="s">
        <v>2192</v>
      </c>
      <c r="V452" s="440"/>
      <c r="W452" s="463"/>
      <c r="X452" s="437"/>
      <c r="Y452" s="442" t="str">
        <f t="shared" si="127"/>
        <v/>
      </c>
      <c r="Z452" s="464"/>
      <c r="AA452" s="465">
        <v>1.41</v>
      </c>
      <c r="AB452" s="465">
        <v>0.3</v>
      </c>
      <c r="AC452" s="436" t="str">
        <f>IF(ISNUMBER(VLOOKUP(B452,'New Masses'!A:C,3,FALSE)),VLOOKUP(B452,'New Masses'!A:C,3,FALSE),"")</f>
        <v/>
      </c>
      <c r="AD452" s="440"/>
      <c r="AE452" s="440">
        <f t="shared" si="128"/>
        <v>0.0000000009120108394</v>
      </c>
      <c r="AF452" s="444">
        <v>-9.04</v>
      </c>
      <c r="AG452" s="440"/>
      <c r="AH452" s="445">
        <v>0.25</v>
      </c>
      <c r="AI452" s="460">
        <v>0.03</v>
      </c>
      <c r="AJ452" s="446" t="str">
        <f>IF(ISNUMBER(VLOOKUP(B452,'New Masses'!A:C,2, FALSE)),VLOOKUP(B452,'New Masses'!A:C,2, FALSE),"")</f>
        <v/>
      </c>
      <c r="AK452" s="440">
        <f t="shared" si="129"/>
        <v>-0.6020599913</v>
      </c>
      <c r="AL452" s="460"/>
      <c r="AM452" s="460">
        <v>-2.4</v>
      </c>
      <c r="AN452" s="466">
        <v>43900.0</v>
      </c>
      <c r="AO452" s="436">
        <v>3.0</v>
      </c>
      <c r="AP452" s="440"/>
      <c r="AQ452" s="440"/>
      <c r="AR452" s="440"/>
      <c r="AS452" s="440"/>
      <c r="AT452" s="448"/>
      <c r="AU452" s="452"/>
      <c r="AV452" s="440"/>
      <c r="AW452" s="440"/>
      <c r="AX452" s="450">
        <v>159.499808600229</v>
      </c>
    </row>
    <row r="453">
      <c r="A453" s="435" t="s">
        <v>519</v>
      </c>
      <c r="B453" s="451" t="s">
        <v>520</v>
      </c>
      <c r="C453" s="440"/>
      <c r="D453" s="440" t="s">
        <v>314</v>
      </c>
      <c r="E453" s="440"/>
      <c r="F453" s="451" t="s">
        <v>2690</v>
      </c>
      <c r="G453" s="440" t="s">
        <v>169</v>
      </c>
      <c r="H453" s="440" t="s">
        <v>476</v>
      </c>
      <c r="I453" s="438"/>
      <c r="J453" s="460">
        <v>3125.0</v>
      </c>
      <c r="K453" s="460">
        <v>72.0</v>
      </c>
      <c r="L453" s="460" t="s">
        <v>371</v>
      </c>
      <c r="M453" s="461">
        <v>0.5</v>
      </c>
      <c r="N453" s="422">
        <v>11.665</v>
      </c>
      <c r="O453" s="422">
        <v>10.654</v>
      </c>
      <c r="P453" s="422">
        <v>13.96</v>
      </c>
      <c r="Q453" s="440" t="s">
        <v>2189</v>
      </c>
      <c r="R453" s="451" t="s">
        <v>2190</v>
      </c>
      <c r="S453" s="451" t="s">
        <v>2191</v>
      </c>
      <c r="T453" s="462" t="s">
        <v>162</v>
      </c>
      <c r="U453" s="451" t="s">
        <v>2192</v>
      </c>
      <c r="V453" s="440"/>
      <c r="W453" s="463"/>
      <c r="X453" s="437"/>
      <c r="Y453" s="442" t="str">
        <f t="shared" si="127"/>
        <v/>
      </c>
      <c r="Z453" s="464"/>
      <c r="AA453" s="465">
        <v>1.11</v>
      </c>
      <c r="AB453" s="465">
        <v>0.26</v>
      </c>
      <c r="AC453" s="436" t="str">
        <f>IF(ISNUMBER(VLOOKUP(B453,'New Masses'!A:C,3,FALSE)),VLOOKUP(B453,'New Masses'!A:C,3,FALSE),"")</f>
        <v/>
      </c>
      <c r="AD453" s="440"/>
      <c r="AE453" s="440">
        <f t="shared" si="128"/>
        <v>0.0000000001584893192</v>
      </c>
      <c r="AF453" s="444">
        <v>-9.8</v>
      </c>
      <c r="AG453" s="440"/>
      <c r="AH453" s="445">
        <v>0.18</v>
      </c>
      <c r="AI453" s="460">
        <v>0.03</v>
      </c>
      <c r="AJ453" s="446" t="str">
        <f>IF(ISNUMBER(VLOOKUP(B453,'New Masses'!A:C,2, FALSE)),VLOOKUP(B453,'New Masses'!A:C,2, FALSE),"")</f>
        <v/>
      </c>
      <c r="AK453" s="440">
        <f t="shared" si="129"/>
        <v>-0.7447274949</v>
      </c>
      <c r="AL453" s="460"/>
      <c r="AM453" s="460">
        <v>-3.2</v>
      </c>
      <c r="AN453" s="466">
        <v>43900.0</v>
      </c>
      <c r="AO453" s="436">
        <v>3.0</v>
      </c>
      <c r="AP453" s="440"/>
      <c r="AQ453" s="440"/>
      <c r="AR453" s="440"/>
      <c r="AS453" s="440"/>
      <c r="AT453" s="448"/>
      <c r="AU453" s="449"/>
      <c r="AV453" s="440"/>
      <c r="AW453" s="440"/>
      <c r="AX453" s="450">
        <v>165.461555007693</v>
      </c>
    </row>
    <row r="454">
      <c r="A454" s="435" t="s">
        <v>569</v>
      </c>
      <c r="B454" s="451" t="s">
        <v>570</v>
      </c>
      <c r="C454" s="440"/>
      <c r="D454" s="440" t="s">
        <v>314</v>
      </c>
      <c r="E454" s="440"/>
      <c r="F454" s="451" t="s">
        <v>2691</v>
      </c>
      <c r="G454" s="440" t="s">
        <v>169</v>
      </c>
      <c r="H454" s="440" t="s">
        <v>476</v>
      </c>
      <c r="I454" s="438"/>
      <c r="J454" s="460">
        <v>3777.0</v>
      </c>
      <c r="K454" s="460">
        <v>174.0</v>
      </c>
      <c r="L454" s="460" t="s">
        <v>571</v>
      </c>
      <c r="M454" s="461">
        <v>0.5</v>
      </c>
      <c r="N454" s="422">
        <v>11.65</v>
      </c>
      <c r="O454" s="422">
        <v>10.149</v>
      </c>
      <c r="P454" s="422">
        <v>15.0</v>
      </c>
      <c r="Q454" s="440" t="s">
        <v>2189</v>
      </c>
      <c r="R454" s="451" t="s">
        <v>2190</v>
      </c>
      <c r="S454" s="451" t="s">
        <v>2191</v>
      </c>
      <c r="T454" s="462" t="s">
        <v>162</v>
      </c>
      <c r="U454" s="451" t="s">
        <v>2192</v>
      </c>
      <c r="V454" s="440"/>
      <c r="W454" s="463"/>
      <c r="X454" s="437"/>
      <c r="Y454" s="442" t="str">
        <f t="shared" si="127"/>
        <v/>
      </c>
      <c r="Z454" s="464"/>
      <c r="AA454" s="465">
        <v>0.72</v>
      </c>
      <c r="AB454" s="465">
        <v>0.17</v>
      </c>
      <c r="AC454" s="436" t="str">
        <f>IF(ISNUMBER(VLOOKUP(B454,'New Masses'!A:C,3,FALSE)),VLOOKUP(B454,'New Masses'!A:C,3,FALSE),"")</f>
        <v/>
      </c>
      <c r="AD454" s="440"/>
      <c r="AE454" s="440">
        <f t="shared" si="128"/>
        <v>0.0000000001819700859</v>
      </c>
      <c r="AF454" s="444">
        <v>-9.74</v>
      </c>
      <c r="AG454" s="440"/>
      <c r="AH454" s="445">
        <v>0.51</v>
      </c>
      <c r="AI454" s="460">
        <v>0.11</v>
      </c>
      <c r="AJ454" s="446" t="str">
        <f>IF(ISNUMBER(VLOOKUP(B454,'New Masses'!A:C,2, FALSE)),VLOOKUP(B454,'New Masses'!A:C,2, FALSE),"")</f>
        <v/>
      </c>
      <c r="AK454" s="440">
        <f t="shared" si="129"/>
        <v>-0.2924298239</v>
      </c>
      <c r="AL454" s="460"/>
      <c r="AM454" s="460">
        <v>-2.5</v>
      </c>
      <c r="AN454" s="466">
        <v>43900.0</v>
      </c>
      <c r="AO454" s="436">
        <v>3.0</v>
      </c>
      <c r="AP454" s="440"/>
      <c r="AQ454" s="440"/>
      <c r="AR454" s="440"/>
      <c r="AS454" s="440"/>
      <c r="AT454" s="448"/>
      <c r="AU454" s="452"/>
      <c r="AV454" s="440"/>
      <c r="AW454" s="440"/>
      <c r="AX454" s="450">
        <v>161.668418074529</v>
      </c>
    </row>
    <row r="455">
      <c r="A455" s="451" t="s">
        <v>544</v>
      </c>
      <c r="B455" s="451" t="s">
        <v>544</v>
      </c>
      <c r="C455" s="440"/>
      <c r="D455" s="440" t="s">
        <v>314</v>
      </c>
      <c r="E455" s="440"/>
      <c r="F455" s="451" t="s">
        <v>2692</v>
      </c>
      <c r="G455" s="440" t="s">
        <v>169</v>
      </c>
      <c r="H455" s="440" t="s">
        <v>476</v>
      </c>
      <c r="I455" s="438"/>
      <c r="J455" s="460">
        <v>3270.0</v>
      </c>
      <c r="K455" s="460">
        <v>75.0</v>
      </c>
      <c r="L455" s="460" t="s">
        <v>395</v>
      </c>
      <c r="M455" s="461">
        <v>0.5</v>
      </c>
      <c r="N455" s="422">
        <v>10.967</v>
      </c>
      <c r="O455" s="422">
        <v>9.746</v>
      </c>
      <c r="P455" s="422">
        <v>13.72</v>
      </c>
      <c r="Q455" s="440" t="s">
        <v>2189</v>
      </c>
      <c r="R455" s="451" t="s">
        <v>2190</v>
      </c>
      <c r="S455" s="451" t="s">
        <v>2191</v>
      </c>
      <c r="T455" s="462" t="s">
        <v>162</v>
      </c>
      <c r="U455" s="451" t="s">
        <v>2192</v>
      </c>
      <c r="V455" s="440"/>
      <c r="W455" s="463"/>
      <c r="X455" s="437"/>
      <c r="Y455" s="442" t="str">
        <f t="shared" si="127"/>
        <v/>
      </c>
      <c r="Z455" s="464"/>
      <c r="AA455" s="465">
        <v>1.61</v>
      </c>
      <c r="AB455" s="465">
        <v>0.37</v>
      </c>
      <c r="AC455" s="436" t="str">
        <f>IF(ISNUMBER(VLOOKUP(B455,'New Masses'!A:C,3,FALSE)),VLOOKUP(B455,'New Masses'!A:C,3,FALSE),"")</f>
        <v/>
      </c>
      <c r="AD455" s="440"/>
      <c r="AE455" s="440">
        <f t="shared" si="128"/>
        <v>0.000000002511886432</v>
      </c>
      <c r="AF455" s="444">
        <v>-8.6</v>
      </c>
      <c r="AG455" s="440"/>
      <c r="AH455" s="445">
        <v>0.26</v>
      </c>
      <c r="AI455" s="460">
        <v>0.03</v>
      </c>
      <c r="AJ455" s="446" t="str">
        <f>IF(ISNUMBER(VLOOKUP(B455,'New Masses'!A:C,2, FALSE)),VLOOKUP(B455,'New Masses'!A:C,2, FALSE),"")</f>
        <v/>
      </c>
      <c r="AK455" s="440">
        <f t="shared" si="129"/>
        <v>-0.585026652</v>
      </c>
      <c r="AL455" s="460"/>
      <c r="AM455" s="460">
        <v>-2.0</v>
      </c>
      <c r="AN455" s="466">
        <v>43900.0</v>
      </c>
      <c r="AO455" s="436">
        <v>3.0</v>
      </c>
      <c r="AP455" s="440"/>
      <c r="AQ455" s="440"/>
      <c r="AR455" s="440"/>
      <c r="AS455" s="440"/>
      <c r="AT455" s="448"/>
      <c r="AU455" s="452"/>
      <c r="AV455" s="440"/>
      <c r="AW455" s="440"/>
      <c r="AX455" s="450">
        <v>159.507441022123</v>
      </c>
    </row>
    <row r="456">
      <c r="A456" s="451" t="s">
        <v>561</v>
      </c>
      <c r="B456" s="451" t="s">
        <v>561</v>
      </c>
      <c r="C456" s="440"/>
      <c r="D456" s="440" t="s">
        <v>314</v>
      </c>
      <c r="E456" s="440"/>
      <c r="F456" s="451" t="s">
        <v>2693</v>
      </c>
      <c r="G456" s="440" t="s">
        <v>169</v>
      </c>
      <c r="H456" s="440" t="s">
        <v>476</v>
      </c>
      <c r="I456" s="438"/>
      <c r="J456" s="460">
        <v>3705.0</v>
      </c>
      <c r="K456" s="460">
        <v>171.0</v>
      </c>
      <c r="L456" s="460" t="s">
        <v>419</v>
      </c>
      <c r="M456" s="461">
        <v>0.5</v>
      </c>
      <c r="N456" s="422">
        <v>10.62</v>
      </c>
      <c r="O456" s="422">
        <v>9.539</v>
      </c>
      <c r="P456" s="422">
        <v>13.29</v>
      </c>
      <c r="Q456" s="440" t="s">
        <v>2189</v>
      </c>
      <c r="R456" s="451" t="s">
        <v>2190</v>
      </c>
      <c r="S456" s="451" t="s">
        <v>2191</v>
      </c>
      <c r="T456" s="462" t="s">
        <v>162</v>
      </c>
      <c r="U456" s="451" t="s">
        <v>2192</v>
      </c>
      <c r="V456" s="440"/>
      <c r="W456" s="463"/>
      <c r="X456" s="437"/>
      <c r="Y456" s="442" t="str">
        <f t="shared" si="127"/>
        <v/>
      </c>
      <c r="Z456" s="464"/>
      <c r="AA456" s="465">
        <v>1.4</v>
      </c>
      <c r="AB456" s="465">
        <v>0.32</v>
      </c>
      <c r="AC456" s="436" t="str">
        <f>IF(ISNUMBER(VLOOKUP(B456,'New Masses'!A:C,3,FALSE)),VLOOKUP(B456,'New Masses'!A:C,3,FALSE),"")</f>
        <v/>
      </c>
      <c r="AD456" s="440"/>
      <c r="AE456" s="440">
        <f t="shared" si="128"/>
        <v>0.0000000007762471166</v>
      </c>
      <c r="AF456" s="444">
        <v>-9.11</v>
      </c>
      <c r="AG456" s="440"/>
      <c r="AH456" s="445">
        <v>0.46</v>
      </c>
      <c r="AI456" s="460">
        <v>0.12</v>
      </c>
      <c r="AJ456" s="446" t="str">
        <f>IF(ISNUMBER(VLOOKUP(B456,'New Masses'!A:C,2, FALSE)),VLOOKUP(B456,'New Masses'!A:C,2, FALSE),"")</f>
        <v/>
      </c>
      <c r="AK456" s="440">
        <f t="shared" si="129"/>
        <v>-0.3372421683</v>
      </c>
      <c r="AL456" s="460"/>
      <c r="AM456" s="460">
        <v>-2.2</v>
      </c>
      <c r="AN456" s="466">
        <v>43900.0</v>
      </c>
      <c r="AO456" s="436">
        <v>3.0</v>
      </c>
      <c r="AP456" s="440"/>
      <c r="AQ456" s="440"/>
      <c r="AR456" s="440"/>
      <c r="AS456" s="440"/>
      <c r="AT456" s="448"/>
      <c r="AU456" s="449"/>
      <c r="AV456" s="440"/>
      <c r="AW456" s="440"/>
      <c r="AX456" s="450">
        <v>158.330562548488</v>
      </c>
    </row>
    <row r="457">
      <c r="A457" s="451" t="s">
        <v>526</v>
      </c>
      <c r="B457" s="451" t="s">
        <v>526</v>
      </c>
      <c r="C457" s="440"/>
      <c r="D457" s="440" t="s">
        <v>314</v>
      </c>
      <c r="E457" s="440"/>
      <c r="F457" s="451" t="s">
        <v>2694</v>
      </c>
      <c r="G457" s="440" t="s">
        <v>169</v>
      </c>
      <c r="H457" s="440" t="s">
        <v>476</v>
      </c>
      <c r="I457" s="438"/>
      <c r="J457" s="460">
        <v>3125.0</v>
      </c>
      <c r="K457" s="460">
        <v>72.0</v>
      </c>
      <c r="L457" s="460" t="s">
        <v>371</v>
      </c>
      <c r="M457" s="461">
        <v>0.5</v>
      </c>
      <c r="N457" s="422">
        <v>11.004</v>
      </c>
      <c r="O457" s="422">
        <v>9.962</v>
      </c>
      <c r="P457" s="422">
        <v>14.78</v>
      </c>
      <c r="Q457" s="440" t="s">
        <v>2189</v>
      </c>
      <c r="R457" s="451" t="s">
        <v>2190</v>
      </c>
      <c r="S457" s="451" t="s">
        <v>2191</v>
      </c>
      <c r="T457" s="462" t="s">
        <v>162</v>
      </c>
      <c r="U457" s="451" t="s">
        <v>2192</v>
      </c>
      <c r="V457" s="440"/>
      <c r="W457" s="463"/>
      <c r="X457" s="437"/>
      <c r="Y457" s="442" t="str">
        <f t="shared" si="127"/>
        <v/>
      </c>
      <c r="Z457" s="464"/>
      <c r="AA457" s="465">
        <v>1.52</v>
      </c>
      <c r="AB457" s="465">
        <v>0.35</v>
      </c>
      <c r="AC457" s="436" t="str">
        <f>IF(ISNUMBER(VLOOKUP(B457,'New Masses'!A:C,3,FALSE)),VLOOKUP(B457,'New Masses'!A:C,3,FALSE),"")</f>
        <v/>
      </c>
      <c r="AD457" s="440"/>
      <c r="AE457" s="440">
        <f t="shared" si="128"/>
        <v>0.00000000019498446</v>
      </c>
      <c r="AF457" s="444">
        <v>-9.71</v>
      </c>
      <c r="AG457" s="440"/>
      <c r="AH457" s="445">
        <v>0.2</v>
      </c>
      <c r="AI457" s="460">
        <v>0.03</v>
      </c>
      <c r="AJ457" s="446" t="str">
        <f>IF(ISNUMBER(VLOOKUP(B457,'New Masses'!A:C,2, FALSE)),VLOOKUP(B457,'New Masses'!A:C,2, FALSE),"")</f>
        <v/>
      </c>
      <c r="AK457" s="440">
        <f t="shared" si="129"/>
        <v>-0.6989700043</v>
      </c>
      <c r="AL457" s="460"/>
      <c r="AM457" s="460">
        <v>-3.2</v>
      </c>
      <c r="AN457" s="466">
        <v>43900.0</v>
      </c>
      <c r="AO457" s="436">
        <v>3.0</v>
      </c>
      <c r="AP457" s="440"/>
      <c r="AQ457" s="440"/>
      <c r="AR457" s="440"/>
      <c r="AS457" s="440"/>
      <c r="AT457" s="448"/>
      <c r="AU457" s="452"/>
      <c r="AV457" s="440"/>
      <c r="AW457" s="440"/>
      <c r="AX457" s="450">
        <v>160.274389755261</v>
      </c>
    </row>
    <row r="458">
      <c r="A458" s="451" t="s">
        <v>523</v>
      </c>
      <c r="B458" s="451" t="s">
        <v>523</v>
      </c>
      <c r="C458" s="440"/>
      <c r="D458" s="440" t="s">
        <v>314</v>
      </c>
      <c r="E458" s="440"/>
      <c r="F458" s="451" t="s">
        <v>2695</v>
      </c>
      <c r="G458" s="440" t="s">
        <v>169</v>
      </c>
      <c r="H458" s="440" t="s">
        <v>476</v>
      </c>
      <c r="I458" s="438"/>
      <c r="J458" s="460">
        <v>3197.0</v>
      </c>
      <c r="K458" s="460">
        <v>74.0</v>
      </c>
      <c r="L458" s="460" t="s">
        <v>402</v>
      </c>
      <c r="M458" s="461">
        <v>0.5</v>
      </c>
      <c r="N458" s="422">
        <v>12.465</v>
      </c>
      <c r="O458" s="422">
        <v>11.257</v>
      </c>
      <c r="P458" s="422">
        <v>16.64</v>
      </c>
      <c r="Q458" s="440" t="s">
        <v>2189</v>
      </c>
      <c r="R458" s="451" t="s">
        <v>2190</v>
      </c>
      <c r="S458" s="451" t="s">
        <v>2191</v>
      </c>
      <c r="T458" s="462" t="s">
        <v>162</v>
      </c>
      <c r="U458" s="451" t="s">
        <v>2192</v>
      </c>
      <c r="V458" s="440"/>
      <c r="W458" s="463"/>
      <c r="X458" s="437"/>
      <c r="Y458" s="442" t="str">
        <f t="shared" si="127"/>
        <v/>
      </c>
      <c r="Z458" s="464"/>
      <c r="AA458" s="465">
        <v>0.83</v>
      </c>
      <c r="AB458" s="465">
        <v>0.19</v>
      </c>
      <c r="AC458" s="436" t="str">
        <f>IF(ISNUMBER(VLOOKUP(B458,'New Masses'!A:C,3,FALSE)),VLOOKUP(B458,'New Masses'!A:C,3,FALSE),"")</f>
        <v/>
      </c>
      <c r="AD458" s="440"/>
      <c r="AE458" s="440">
        <f t="shared" si="128"/>
        <v>0.000000001412537545</v>
      </c>
      <c r="AF458" s="444">
        <v>-8.85</v>
      </c>
      <c r="AG458" s="440"/>
      <c r="AH458" s="445">
        <v>0.19</v>
      </c>
      <c r="AI458" s="460">
        <v>0.03</v>
      </c>
      <c r="AJ458" s="446" t="str">
        <f>IF(ISNUMBER(VLOOKUP(B458,'New Masses'!A:C,2, FALSE)),VLOOKUP(B458,'New Masses'!A:C,2, FALSE),"")</f>
        <v/>
      </c>
      <c r="AK458" s="440">
        <f t="shared" si="129"/>
        <v>-0.721246399</v>
      </c>
      <c r="AL458" s="460"/>
      <c r="AM458" s="460">
        <v>-2.1</v>
      </c>
      <c r="AN458" s="466">
        <v>43900.0</v>
      </c>
      <c r="AO458" s="436">
        <v>3.0</v>
      </c>
      <c r="AP458" s="440"/>
      <c r="AQ458" s="440"/>
      <c r="AR458" s="440"/>
      <c r="AS458" s="440"/>
      <c r="AT458" s="448"/>
      <c r="AU458" s="449"/>
      <c r="AV458" s="440"/>
      <c r="AW458" s="440"/>
      <c r="AX458" s="450">
        <v>163.235990271134</v>
      </c>
    </row>
    <row r="459">
      <c r="A459" s="451" t="s">
        <v>533</v>
      </c>
      <c r="B459" s="451" t="s">
        <v>533</v>
      </c>
      <c r="C459" s="440"/>
      <c r="D459" s="440" t="s">
        <v>314</v>
      </c>
      <c r="E459" s="440"/>
      <c r="F459" s="451" t="s">
        <v>2696</v>
      </c>
      <c r="G459" s="440" t="s">
        <v>169</v>
      </c>
      <c r="H459" s="440" t="s">
        <v>476</v>
      </c>
      <c r="I459" s="438"/>
      <c r="J459" s="460">
        <v>3175.0</v>
      </c>
      <c r="K459" s="460">
        <v>73.0</v>
      </c>
      <c r="L459" s="460" t="s">
        <v>534</v>
      </c>
      <c r="M459" s="461">
        <v>0.5</v>
      </c>
      <c r="N459" s="422">
        <v>10.414</v>
      </c>
      <c r="O459" s="422">
        <v>9.319</v>
      </c>
      <c r="P459" s="422">
        <v>14.35</v>
      </c>
      <c r="Q459" s="440" t="s">
        <v>2189</v>
      </c>
      <c r="R459" s="451" t="s">
        <v>2190</v>
      </c>
      <c r="S459" s="451" t="s">
        <v>2191</v>
      </c>
      <c r="T459" s="462" t="s">
        <v>162</v>
      </c>
      <c r="U459" s="451" t="s">
        <v>2192</v>
      </c>
      <c r="V459" s="440"/>
      <c r="W459" s="463"/>
      <c r="X459" s="437"/>
      <c r="Y459" s="442" t="str">
        <f t="shared" si="127"/>
        <v/>
      </c>
      <c r="Z459" s="464"/>
      <c r="AA459" s="465">
        <v>1.82</v>
      </c>
      <c r="AB459" s="465">
        <v>0.42</v>
      </c>
      <c r="AC459" s="436" t="str">
        <f>IF(ISNUMBER(VLOOKUP(B459,'New Masses'!A:C,3,FALSE)),VLOOKUP(B459,'New Masses'!A:C,3,FALSE),"")</f>
        <v/>
      </c>
      <c r="AD459" s="440"/>
      <c r="AE459" s="440">
        <f t="shared" si="128"/>
        <v>0.000000001023292992</v>
      </c>
      <c r="AF459" s="444">
        <v>-8.99</v>
      </c>
      <c r="AG459" s="440"/>
      <c r="AH459" s="445">
        <v>0.23</v>
      </c>
      <c r="AI459" s="460">
        <v>0.03</v>
      </c>
      <c r="AJ459" s="446" t="str">
        <f>IF(ISNUMBER(VLOOKUP(B459,'New Masses'!A:C,2, FALSE)),VLOOKUP(B459,'New Masses'!A:C,2, FALSE),"")</f>
        <v/>
      </c>
      <c r="AK459" s="440">
        <f t="shared" si="129"/>
        <v>-0.638272164</v>
      </c>
      <c r="AL459" s="460"/>
      <c r="AM459" s="460">
        <v>-2.5</v>
      </c>
      <c r="AN459" s="466">
        <v>43900.0</v>
      </c>
      <c r="AO459" s="436">
        <v>3.0</v>
      </c>
      <c r="AP459" s="440"/>
      <c r="AQ459" s="440"/>
      <c r="AR459" s="440"/>
      <c r="AS459" s="440"/>
      <c r="AT459" s="448"/>
      <c r="AU459" s="452"/>
      <c r="AV459" s="440"/>
      <c r="AW459" s="440"/>
      <c r="AX459" s="450">
        <v>162.250742297146</v>
      </c>
    </row>
    <row r="460">
      <c r="A460" s="451" t="s">
        <v>530</v>
      </c>
      <c r="B460" s="451" t="s">
        <v>530</v>
      </c>
      <c r="C460" s="448"/>
      <c r="D460" s="440" t="s">
        <v>314</v>
      </c>
      <c r="E460" s="440"/>
      <c r="F460" s="451" t="s">
        <v>2697</v>
      </c>
      <c r="G460" s="440" t="s">
        <v>169</v>
      </c>
      <c r="H460" s="440" t="s">
        <v>476</v>
      </c>
      <c r="I460" s="438"/>
      <c r="J460" s="460">
        <v>3197.0</v>
      </c>
      <c r="K460" s="460">
        <v>74.0</v>
      </c>
      <c r="L460" s="460" t="s">
        <v>402</v>
      </c>
      <c r="M460" s="461">
        <v>0.5</v>
      </c>
      <c r="N460" s="422">
        <v>11.334</v>
      </c>
      <c r="O460" s="422">
        <v>10.447</v>
      </c>
      <c r="P460" s="422">
        <v>15.09</v>
      </c>
      <c r="Q460" s="440" t="s">
        <v>2189</v>
      </c>
      <c r="R460" s="451" t="s">
        <v>2190</v>
      </c>
      <c r="S460" s="451" t="s">
        <v>2191</v>
      </c>
      <c r="T460" s="462" t="s">
        <v>162</v>
      </c>
      <c r="U460" s="451" t="s">
        <v>2192</v>
      </c>
      <c r="V460" s="440"/>
      <c r="W460" s="463"/>
      <c r="X460" s="437"/>
      <c r="Y460" s="442" t="str">
        <f t="shared" si="127"/>
        <v/>
      </c>
      <c r="Z460" s="464"/>
      <c r="AA460" s="465">
        <v>1.36</v>
      </c>
      <c r="AB460" s="465">
        <v>0.31</v>
      </c>
      <c r="AC460" s="436" t="str">
        <f>IF(ISNUMBER(VLOOKUP(B460,'New Masses'!A:C,3,FALSE)),VLOOKUP(B460,'New Masses'!A:C,3,FALSE),"")</f>
        <v/>
      </c>
      <c r="AD460" s="440"/>
      <c r="AE460" s="440">
        <f t="shared" si="128"/>
        <v>0.0000000005011872336</v>
      </c>
      <c r="AF460" s="444">
        <v>-9.3</v>
      </c>
      <c r="AG460" s="440"/>
      <c r="AH460" s="445">
        <v>0.22</v>
      </c>
      <c r="AI460" s="460">
        <v>0.03</v>
      </c>
      <c r="AJ460" s="446" t="str">
        <f>IF(ISNUMBER(VLOOKUP(B460,'New Masses'!A:C,2, FALSE)),VLOOKUP(B460,'New Masses'!A:C,2, FALSE),"")</f>
        <v/>
      </c>
      <c r="AK460" s="440">
        <f t="shared" si="129"/>
        <v>-0.6575773192</v>
      </c>
      <c r="AL460" s="460"/>
      <c r="AM460" s="460">
        <v>-2.7</v>
      </c>
      <c r="AN460" s="466">
        <v>43900.0</v>
      </c>
      <c r="AO460" s="436">
        <v>3.0</v>
      </c>
      <c r="AP460" s="440"/>
      <c r="AQ460" s="440"/>
      <c r="AR460" s="440"/>
      <c r="AS460" s="440"/>
      <c r="AT460" s="448"/>
      <c r="AU460" s="449"/>
      <c r="AV460" s="440"/>
      <c r="AW460" s="440"/>
      <c r="AX460" s="450">
        <v>157.90554090543</v>
      </c>
    </row>
    <row r="461">
      <c r="A461" s="451" t="s">
        <v>548</v>
      </c>
      <c r="B461" s="451" t="s">
        <v>548</v>
      </c>
      <c r="C461" s="440"/>
      <c r="D461" s="440" t="s">
        <v>314</v>
      </c>
      <c r="E461" s="440"/>
      <c r="F461" s="451" t="s">
        <v>2698</v>
      </c>
      <c r="G461" s="440" t="s">
        <v>169</v>
      </c>
      <c r="H461" s="440" t="s">
        <v>476</v>
      </c>
      <c r="I461" s="436">
        <v>2015.0</v>
      </c>
      <c r="J461" s="460">
        <v>3340.0</v>
      </c>
      <c r="K461" s="460">
        <v>77.0</v>
      </c>
      <c r="L461" s="460" t="s">
        <v>422</v>
      </c>
      <c r="M461" s="461">
        <v>0.5</v>
      </c>
      <c r="N461" s="422">
        <v>10.675</v>
      </c>
      <c r="O461" s="422">
        <v>9.423</v>
      </c>
      <c r="P461" s="422">
        <v>14.2</v>
      </c>
      <c r="Q461" s="440" t="s">
        <v>2189</v>
      </c>
      <c r="R461" s="451" t="s">
        <v>2190</v>
      </c>
      <c r="S461" s="451" t="s">
        <v>2191</v>
      </c>
      <c r="T461" s="462" t="s">
        <v>162</v>
      </c>
      <c r="U461" s="451" t="s">
        <v>2192</v>
      </c>
      <c r="V461" s="440"/>
      <c r="W461" s="463"/>
      <c r="X461" s="437"/>
      <c r="Y461" s="442" t="str">
        <f t="shared" si="127"/>
        <v/>
      </c>
      <c r="Z461" s="464"/>
      <c r="AA461" s="465">
        <v>2.0</v>
      </c>
      <c r="AB461" s="465">
        <v>0.43</v>
      </c>
      <c r="AC461" s="436" t="str">
        <f>IF(ISNUMBER(VLOOKUP(B461,'New Masses'!A:C,3,FALSE)),VLOOKUP(B461,'New Masses'!A:C,3,FALSE),"")</f>
        <v/>
      </c>
      <c r="AD461" s="440"/>
      <c r="AE461" s="440">
        <f t="shared" si="128"/>
        <v>0.000000002238721139</v>
      </c>
      <c r="AF461" s="444">
        <v>-8.65</v>
      </c>
      <c r="AG461" s="440"/>
      <c r="AH461" s="445">
        <v>0.29</v>
      </c>
      <c r="AI461" s="460">
        <v>0.03</v>
      </c>
      <c r="AJ461" s="446" t="str">
        <f>IF(ISNUMBER(VLOOKUP(B461,'New Masses'!A:C,2, FALSE)),VLOOKUP(B461,'New Masses'!A:C,2, FALSE),"")</f>
        <v/>
      </c>
      <c r="AK461" s="440">
        <f t="shared" si="129"/>
        <v>-0.5376020021</v>
      </c>
      <c r="AL461" s="460"/>
      <c r="AM461" s="460">
        <v>-2.1</v>
      </c>
      <c r="AN461" s="466">
        <v>43900.0</v>
      </c>
      <c r="AO461" s="436">
        <v>3.0</v>
      </c>
      <c r="AP461" s="440"/>
      <c r="AQ461" s="440"/>
      <c r="AR461" s="440"/>
      <c r="AS461" s="440"/>
      <c r="AT461" s="448"/>
      <c r="AU461" s="452"/>
      <c r="AV461" s="440"/>
      <c r="AW461" s="440"/>
      <c r="AX461" s="450">
        <v>158.561529801639</v>
      </c>
    </row>
    <row r="462">
      <c r="A462" s="451" t="s">
        <v>585</v>
      </c>
      <c r="B462" s="451" t="s">
        <v>585</v>
      </c>
      <c r="C462" s="440"/>
      <c r="D462" s="440" t="s">
        <v>314</v>
      </c>
      <c r="E462" s="440"/>
      <c r="F462" s="451" t="s">
        <v>2699</v>
      </c>
      <c r="G462" s="440" t="s">
        <v>169</v>
      </c>
      <c r="H462" s="440" t="s">
        <v>476</v>
      </c>
      <c r="I462" s="436">
        <v>2015.0</v>
      </c>
      <c r="J462" s="460">
        <v>4350.0</v>
      </c>
      <c r="K462" s="460">
        <v>200.0</v>
      </c>
      <c r="L462" s="460" t="s">
        <v>459</v>
      </c>
      <c r="M462" s="461">
        <v>1.0</v>
      </c>
      <c r="N462" s="422">
        <v>10.456</v>
      </c>
      <c r="O462" s="422">
        <v>8.685</v>
      </c>
      <c r="P462" s="422">
        <v>16.61</v>
      </c>
      <c r="Q462" s="440" t="s">
        <v>2189</v>
      </c>
      <c r="R462" s="451" t="s">
        <v>2190</v>
      </c>
      <c r="S462" s="451" t="s">
        <v>2191</v>
      </c>
      <c r="T462" s="462" t="s">
        <v>162</v>
      </c>
      <c r="U462" s="451" t="s">
        <v>2192</v>
      </c>
      <c r="V462" s="440"/>
      <c r="W462" s="463"/>
      <c r="X462" s="437"/>
      <c r="Y462" s="442" t="str">
        <f t="shared" si="127"/>
        <v/>
      </c>
      <c r="Z462" s="464"/>
      <c r="AA462" s="465">
        <v>1.82</v>
      </c>
      <c r="AB462" s="465">
        <v>0.4</v>
      </c>
      <c r="AC462" s="436" t="str">
        <f>IF(ISNUMBER(VLOOKUP(B462,'New Masses'!A:C,3,FALSE)),VLOOKUP(B462,'New Masses'!A:C,3,FALSE),"")</f>
        <v/>
      </c>
      <c r="AD462" s="440"/>
      <c r="AE462" s="440">
        <f t="shared" si="128"/>
        <v>0.000000001071519305</v>
      </c>
      <c r="AF462" s="444">
        <v>-8.97</v>
      </c>
      <c r="AG462" s="440"/>
      <c r="AH462" s="445">
        <v>1.09</v>
      </c>
      <c r="AI462" s="460">
        <v>0.2</v>
      </c>
      <c r="AJ462" s="446" t="str">
        <f>IF(ISNUMBER(VLOOKUP(B462,'New Masses'!A:C,2, FALSE)),VLOOKUP(B462,'New Masses'!A:C,2, FALSE),"")</f>
        <v/>
      </c>
      <c r="AK462" s="440">
        <f t="shared" si="129"/>
        <v>0.03742649794</v>
      </c>
      <c r="AL462" s="460"/>
      <c r="AM462" s="460">
        <v>-1.8</v>
      </c>
      <c r="AN462" s="466">
        <v>43900.0</v>
      </c>
      <c r="AO462" s="436">
        <v>3.0</v>
      </c>
      <c r="AP462" s="440"/>
      <c r="AQ462" s="440"/>
      <c r="AR462" s="440"/>
      <c r="AS462" s="440"/>
      <c r="AT462" s="448"/>
      <c r="AU462" s="449"/>
      <c r="AV462" s="440"/>
      <c r="AW462" s="440"/>
      <c r="AX462" s="450">
        <v>163.904869613676</v>
      </c>
    </row>
    <row r="463">
      <c r="A463" s="451" t="s">
        <v>581</v>
      </c>
      <c r="B463" s="451" t="s">
        <v>581</v>
      </c>
      <c r="C463" s="440"/>
      <c r="D463" s="440" t="s">
        <v>314</v>
      </c>
      <c r="E463" s="440"/>
      <c r="F463" s="451" t="s">
        <v>2700</v>
      </c>
      <c r="G463" s="440" t="s">
        <v>169</v>
      </c>
      <c r="H463" s="440" t="s">
        <v>476</v>
      </c>
      <c r="I463" s="436">
        <v>2015.0</v>
      </c>
      <c r="J463" s="460">
        <v>4060.0</v>
      </c>
      <c r="K463" s="460">
        <v>187.0</v>
      </c>
      <c r="L463" s="460" t="s">
        <v>434</v>
      </c>
      <c r="M463" s="461">
        <v>1.0</v>
      </c>
      <c r="N463" s="422">
        <v>9.933</v>
      </c>
      <c r="O463" s="422">
        <v>8.608</v>
      </c>
      <c r="P463" s="422"/>
      <c r="Q463" s="440" t="s">
        <v>2189</v>
      </c>
      <c r="R463" s="451" t="s">
        <v>2190</v>
      </c>
      <c r="S463" s="451" t="s">
        <v>2191</v>
      </c>
      <c r="T463" s="462" t="s">
        <v>162</v>
      </c>
      <c r="U463" s="451" t="s">
        <v>2192</v>
      </c>
      <c r="V463" s="440"/>
      <c r="W463" s="463"/>
      <c r="X463" s="437"/>
      <c r="Y463" s="442" t="str">
        <f t="shared" si="127"/>
        <v/>
      </c>
      <c r="Z463" s="464"/>
      <c r="AA463" s="465">
        <v>1.23</v>
      </c>
      <c r="AB463" s="465">
        <v>0.27</v>
      </c>
      <c r="AC463" s="436" t="str">
        <f>IF(ISNUMBER(VLOOKUP(B463,'New Masses'!A:C,3,FALSE)),VLOOKUP(B463,'New Masses'!A:C,3,FALSE),"")</f>
        <v/>
      </c>
      <c r="AD463" s="440"/>
      <c r="AE463" s="440">
        <f t="shared" si="128"/>
        <v>0.00000000389045145</v>
      </c>
      <c r="AF463" s="444">
        <v>-8.41</v>
      </c>
      <c r="AG463" s="440"/>
      <c r="AH463" s="445">
        <v>0.8</v>
      </c>
      <c r="AI463" s="460">
        <v>0.16</v>
      </c>
      <c r="AJ463" s="446" t="str">
        <f>IF(ISNUMBER(VLOOKUP(B463,'New Masses'!A:C,2, FALSE)),VLOOKUP(B463,'New Masses'!A:C,2, FALSE),"")</f>
        <v/>
      </c>
      <c r="AK463" s="440">
        <f t="shared" si="129"/>
        <v>-0.09691001301</v>
      </c>
      <c r="AL463" s="460"/>
      <c r="AM463" s="460">
        <v>-1.2</v>
      </c>
      <c r="AN463" s="466">
        <v>43900.0</v>
      </c>
      <c r="AO463" s="436">
        <v>3.0</v>
      </c>
      <c r="AP463" s="440"/>
      <c r="AQ463" s="440"/>
      <c r="AR463" s="440"/>
      <c r="AS463" s="440"/>
      <c r="AT463" s="448"/>
      <c r="AU463" s="452"/>
      <c r="AV463" s="440"/>
      <c r="AW463" s="440"/>
      <c r="AX463" s="450">
        <v>161.681487469684</v>
      </c>
    </row>
    <row r="464">
      <c r="A464" s="451" t="s">
        <v>555</v>
      </c>
      <c r="B464" s="451" t="s">
        <v>555</v>
      </c>
      <c r="C464" s="440"/>
      <c r="D464" s="440" t="s">
        <v>314</v>
      </c>
      <c r="E464" s="440"/>
      <c r="F464" s="451" t="s">
        <v>2701</v>
      </c>
      <c r="G464" s="440" t="s">
        <v>169</v>
      </c>
      <c r="H464" s="440" t="s">
        <v>476</v>
      </c>
      <c r="I464" s="438"/>
      <c r="J464" s="460">
        <v>3560.0</v>
      </c>
      <c r="K464" s="460">
        <v>164.0</v>
      </c>
      <c r="L464" s="460" t="s">
        <v>415</v>
      </c>
      <c r="M464" s="461">
        <v>0.5</v>
      </c>
      <c r="N464" s="422">
        <v>10.73</v>
      </c>
      <c r="O464" s="422">
        <v>9.617</v>
      </c>
      <c r="P464" s="422">
        <v>13.56</v>
      </c>
      <c r="Q464" s="440" t="s">
        <v>2189</v>
      </c>
      <c r="R464" s="451" t="s">
        <v>2190</v>
      </c>
      <c r="S464" s="451" t="s">
        <v>2191</v>
      </c>
      <c r="T464" s="462" t="s">
        <v>162</v>
      </c>
      <c r="U464" s="451" t="s">
        <v>2192</v>
      </c>
      <c r="V464" s="440"/>
      <c r="W464" s="463"/>
      <c r="X464" s="437"/>
      <c r="Y464" s="442" t="str">
        <f t="shared" si="127"/>
        <v/>
      </c>
      <c r="Z464" s="464"/>
      <c r="AA464" s="465">
        <v>1.03</v>
      </c>
      <c r="AB464" s="465">
        <v>0.24</v>
      </c>
      <c r="AC464" s="436" t="str">
        <f>IF(ISNUMBER(VLOOKUP(B464,'New Masses'!A:C,3,FALSE)),VLOOKUP(B464,'New Masses'!A:C,3,FALSE),"")</f>
        <v/>
      </c>
      <c r="AD464" s="440"/>
      <c r="AE464" s="440">
        <f t="shared" si="128"/>
        <v>0.0000000007079457844</v>
      </c>
      <c r="AF464" s="444">
        <v>-9.15</v>
      </c>
      <c r="AG464" s="440"/>
      <c r="AH464" s="445">
        <v>0.37</v>
      </c>
      <c r="AI464" s="460">
        <v>0.09</v>
      </c>
      <c r="AJ464" s="446" t="str">
        <f>IF(ISNUMBER(VLOOKUP(B464,'New Masses'!A:C,2, FALSE)),VLOOKUP(B464,'New Masses'!A:C,2, FALSE),"")</f>
        <v/>
      </c>
      <c r="AK464" s="440">
        <f t="shared" si="129"/>
        <v>-0.4317982759</v>
      </c>
      <c r="AL464" s="460"/>
      <c r="AM464" s="460">
        <v>-2.2</v>
      </c>
      <c r="AN464" s="466">
        <v>43900.0</v>
      </c>
      <c r="AO464" s="436">
        <v>3.0</v>
      </c>
      <c r="AP464" s="440"/>
      <c r="AQ464" s="440"/>
      <c r="AR464" s="440"/>
      <c r="AS464" s="440"/>
      <c r="AT464" s="448"/>
      <c r="AU464" s="449"/>
      <c r="AV464" s="440"/>
      <c r="AW464" s="440"/>
      <c r="AX464" s="450">
        <v>160.269252343937</v>
      </c>
    </row>
    <row r="465">
      <c r="A465" s="451" t="s">
        <v>549</v>
      </c>
      <c r="B465" s="451" t="s">
        <v>549</v>
      </c>
      <c r="C465" s="440"/>
      <c r="D465" s="440" t="s">
        <v>314</v>
      </c>
      <c r="E465" s="440"/>
      <c r="F465" s="451" t="s">
        <v>2702</v>
      </c>
      <c r="G465" s="440" t="s">
        <v>169</v>
      </c>
      <c r="H465" s="440" t="s">
        <v>476</v>
      </c>
      <c r="I465" s="436">
        <v>2015.0</v>
      </c>
      <c r="J465" s="460">
        <v>3415.0</v>
      </c>
      <c r="K465" s="460">
        <v>79.0</v>
      </c>
      <c r="L465" s="460" t="s">
        <v>430</v>
      </c>
      <c r="M465" s="461">
        <v>0.5</v>
      </c>
      <c r="N465" s="422">
        <v>11.466</v>
      </c>
      <c r="O465" s="422">
        <v>10.1</v>
      </c>
      <c r="P465" s="422">
        <v>14.6</v>
      </c>
      <c r="Q465" s="440" t="s">
        <v>2189</v>
      </c>
      <c r="R465" s="451" t="s">
        <v>2190</v>
      </c>
      <c r="S465" s="451" t="s">
        <v>2191</v>
      </c>
      <c r="T465" s="462" t="s">
        <v>162</v>
      </c>
      <c r="U465" s="451" t="s">
        <v>2192</v>
      </c>
      <c r="V465" s="440"/>
      <c r="W465" s="463"/>
      <c r="X465" s="437"/>
      <c r="Y465" s="442" t="str">
        <f t="shared" si="127"/>
        <v/>
      </c>
      <c r="Z465" s="464"/>
      <c r="AA465" s="465">
        <v>1.04</v>
      </c>
      <c r="AB465" s="465">
        <v>0.23</v>
      </c>
      <c r="AC465" s="436" t="str">
        <f>IF(ISNUMBER(VLOOKUP(B465,'New Masses'!A:C,3,FALSE)),VLOOKUP(B465,'New Masses'!A:C,3,FALSE),"")</f>
        <v/>
      </c>
      <c r="AD465" s="440"/>
      <c r="AE465" s="440">
        <f t="shared" si="128"/>
        <v>0.0000000005623413252</v>
      </c>
      <c r="AF465" s="444">
        <v>-9.25</v>
      </c>
      <c r="AG465" s="440"/>
      <c r="AH465" s="445">
        <v>0.3</v>
      </c>
      <c r="AI465" s="460">
        <v>0.04</v>
      </c>
      <c r="AJ465" s="446" t="str">
        <f>IF(ISNUMBER(VLOOKUP(B465,'New Masses'!A:C,2, FALSE)),VLOOKUP(B465,'New Masses'!A:C,2, FALSE),"")</f>
        <v/>
      </c>
      <c r="AK465" s="440">
        <f t="shared" si="129"/>
        <v>-0.5228787453</v>
      </c>
      <c r="AL465" s="460"/>
      <c r="AM465" s="460">
        <v>-2.4</v>
      </c>
      <c r="AN465" s="466">
        <v>43900.0</v>
      </c>
      <c r="AO465" s="436">
        <v>3.0</v>
      </c>
      <c r="AP465" s="440"/>
      <c r="AQ465" s="440"/>
      <c r="AR465" s="440"/>
      <c r="AS465" s="440"/>
      <c r="AT465" s="448"/>
      <c r="AU465" s="452"/>
      <c r="AV465" s="440"/>
      <c r="AW465" s="440"/>
      <c r="AX465" s="450">
        <v>160.30779095864</v>
      </c>
    </row>
    <row r="466">
      <c r="A466" s="451" t="s">
        <v>578</v>
      </c>
      <c r="B466" s="451" t="s">
        <v>578</v>
      </c>
      <c r="C466" s="440"/>
      <c r="D466" s="440" t="s">
        <v>314</v>
      </c>
      <c r="E466" s="440"/>
      <c r="F466" s="451" t="s">
        <v>2703</v>
      </c>
      <c r="G466" s="440" t="s">
        <v>169</v>
      </c>
      <c r="H466" s="440" t="s">
        <v>476</v>
      </c>
      <c r="I466" s="436">
        <v>2015.0</v>
      </c>
      <c r="J466" s="460">
        <v>4060.0</v>
      </c>
      <c r="K466" s="460">
        <v>187.0</v>
      </c>
      <c r="L466" s="460" t="s">
        <v>434</v>
      </c>
      <c r="M466" s="461">
        <v>1.0</v>
      </c>
      <c r="N466" s="422">
        <v>9.189</v>
      </c>
      <c r="O466" s="422">
        <v>7.982</v>
      </c>
      <c r="P466" s="422">
        <v>11.33</v>
      </c>
      <c r="Q466" s="440" t="s">
        <v>2189</v>
      </c>
      <c r="R466" s="451" t="s">
        <v>2190</v>
      </c>
      <c r="S466" s="451" t="s">
        <v>2191</v>
      </c>
      <c r="T466" s="462" t="s">
        <v>162</v>
      </c>
      <c r="U466" s="451" t="s">
        <v>2192</v>
      </c>
      <c r="V466" s="440"/>
      <c r="W466" s="514">
        <v>0.8318</v>
      </c>
      <c r="X466" s="447">
        <v>0.3623</v>
      </c>
      <c r="Y466" s="442">
        <f t="shared" si="127"/>
        <v>1.848472814</v>
      </c>
      <c r="Z466" s="464">
        <f t="shared" ref="Z466:Z468" si="130">0.5*((X466/W466)^2 + 16*(K466/J466)^2)^0.5</f>
        <v>0.2364618535</v>
      </c>
      <c r="AA466" s="465">
        <v>1.84</v>
      </c>
      <c r="AB466" s="465">
        <v>0.4</v>
      </c>
      <c r="AC466" s="436" t="str">
        <f>IF(ISNUMBER(VLOOKUP(B466,'New Masses'!A:C,3,FALSE)),VLOOKUP(B466,'New Masses'!A:C,3,FALSE),"")</f>
        <v/>
      </c>
      <c r="AD466" s="440"/>
      <c r="AE466" s="440">
        <f t="shared" si="128"/>
        <v>0.0000000002454708916</v>
      </c>
      <c r="AF466" s="439">
        <v>-9.61</v>
      </c>
      <c r="AG466" s="440"/>
      <c r="AH466" s="445">
        <v>0.76</v>
      </c>
      <c r="AI466" s="460">
        <v>0.18</v>
      </c>
      <c r="AJ466" s="446" t="str">
        <f>IF(ISNUMBER(VLOOKUP(B466,'New Masses'!A:C,2, FALSE)),VLOOKUP(B466,'New Masses'!A:C,2, FALSE),"")</f>
        <v/>
      </c>
      <c r="AK466" s="440">
        <f t="shared" si="129"/>
        <v>-0.1191864077</v>
      </c>
      <c r="AL466" s="460"/>
      <c r="AM466" s="460">
        <v>-2.6</v>
      </c>
      <c r="AN466" s="466">
        <v>43900.0</v>
      </c>
      <c r="AO466" s="436">
        <v>3.0</v>
      </c>
      <c r="AP466" s="440"/>
      <c r="AQ466" s="440"/>
      <c r="AR466" s="440"/>
      <c r="AS466" s="440"/>
      <c r="AT466" s="448"/>
      <c r="AU466" s="449" t="s">
        <v>137</v>
      </c>
      <c r="AV466" s="440"/>
      <c r="AW466" s="440"/>
      <c r="AX466" s="450">
        <v>155.293971488026</v>
      </c>
    </row>
    <row r="467">
      <c r="A467" s="451" t="s">
        <v>550</v>
      </c>
      <c r="B467" s="451" t="s">
        <v>550</v>
      </c>
      <c r="C467" s="440"/>
      <c r="D467" s="440" t="s">
        <v>314</v>
      </c>
      <c r="E467" s="440"/>
      <c r="F467" s="451" t="s">
        <v>2704</v>
      </c>
      <c r="G467" s="440" t="s">
        <v>169</v>
      </c>
      <c r="H467" s="440" t="s">
        <v>476</v>
      </c>
      <c r="I467" s="438"/>
      <c r="J467" s="460">
        <v>3415.0</v>
      </c>
      <c r="K467" s="460">
        <v>79.0</v>
      </c>
      <c r="L467" s="460" t="s">
        <v>430</v>
      </c>
      <c r="M467" s="461">
        <v>0.5</v>
      </c>
      <c r="N467" s="422">
        <v>10.893</v>
      </c>
      <c r="O467" s="422">
        <v>9.288</v>
      </c>
      <c r="P467" s="422">
        <v>14.51</v>
      </c>
      <c r="Q467" s="440" t="s">
        <v>2189</v>
      </c>
      <c r="R467" s="451" t="s">
        <v>2190</v>
      </c>
      <c r="S467" s="451" t="s">
        <v>2191</v>
      </c>
      <c r="T467" s="462" t="s">
        <v>162</v>
      </c>
      <c r="U467" s="451" t="s">
        <v>2192</v>
      </c>
      <c r="V467" s="440"/>
      <c r="W467" s="514">
        <v>0.2</v>
      </c>
      <c r="X467" s="447">
        <v>0.092</v>
      </c>
      <c r="Y467" s="442">
        <f t="shared" si="127"/>
        <v>1.28111837</v>
      </c>
      <c r="Z467" s="464">
        <f t="shared" si="130"/>
        <v>0.2346073025</v>
      </c>
      <c r="AA467" s="465">
        <v>1.29</v>
      </c>
      <c r="AB467" s="465">
        <v>0.3</v>
      </c>
      <c r="AC467" s="436" t="str">
        <f>IF(ISNUMBER(VLOOKUP(B467,'New Masses'!A:C,3,FALSE)),VLOOKUP(B467,'New Masses'!A:C,3,FALSE),"")</f>
        <v/>
      </c>
      <c r="AD467" s="440"/>
      <c r="AE467" s="440">
        <f t="shared" si="128"/>
        <v>0.000000002691534804</v>
      </c>
      <c r="AF467" s="444">
        <v>-8.57</v>
      </c>
      <c r="AG467" s="440"/>
      <c r="AH467" s="445">
        <v>0.31</v>
      </c>
      <c r="AI467" s="460">
        <v>0.04</v>
      </c>
      <c r="AJ467" s="446" t="str">
        <f>IF(ISNUMBER(VLOOKUP(B467,'New Masses'!A:C,2, FALSE)),VLOOKUP(B467,'New Masses'!A:C,2, FALSE),"")</f>
        <v/>
      </c>
      <c r="AK467" s="440">
        <f t="shared" si="129"/>
        <v>-0.5086383062</v>
      </c>
      <c r="AL467" s="460"/>
      <c r="AM467" s="460">
        <v>-1.8</v>
      </c>
      <c r="AN467" s="466">
        <v>43900.0</v>
      </c>
      <c r="AO467" s="436">
        <v>3.0</v>
      </c>
      <c r="AP467" s="440"/>
      <c r="AQ467" s="440"/>
      <c r="AR467" s="440"/>
      <c r="AS467" s="440"/>
      <c r="AT467" s="448"/>
      <c r="AU467" s="452"/>
      <c r="AV467" s="440"/>
      <c r="AW467" s="440"/>
      <c r="AX467" s="450">
        <v>157.339081454442</v>
      </c>
    </row>
    <row r="468">
      <c r="A468" s="451" t="s">
        <v>591</v>
      </c>
      <c r="B468" s="451" t="s">
        <v>591</v>
      </c>
      <c r="C468" s="462"/>
      <c r="D468" s="440" t="s">
        <v>314</v>
      </c>
      <c r="E468" s="440"/>
      <c r="F468" s="451" t="s">
        <v>2705</v>
      </c>
      <c r="G468" s="440" t="s">
        <v>169</v>
      </c>
      <c r="H468" s="440" t="s">
        <v>476</v>
      </c>
      <c r="I468" s="436">
        <v>2015.0</v>
      </c>
      <c r="J468" s="460">
        <v>4900.0</v>
      </c>
      <c r="K468" s="460">
        <v>226.0</v>
      </c>
      <c r="L468" s="460" t="s">
        <v>589</v>
      </c>
      <c r="M468" s="461">
        <v>1.0</v>
      </c>
      <c r="N468" s="422">
        <v>7.573</v>
      </c>
      <c r="O468" s="422">
        <v>6.48</v>
      </c>
      <c r="P468" s="422">
        <v>9.6</v>
      </c>
      <c r="Q468" s="440" t="s">
        <v>2189</v>
      </c>
      <c r="R468" s="451" t="s">
        <v>2190</v>
      </c>
      <c r="S468" s="451" t="s">
        <v>2191</v>
      </c>
      <c r="T468" s="462" t="s">
        <v>162</v>
      </c>
      <c r="U468" s="451" t="s">
        <v>2192</v>
      </c>
      <c r="V468" s="440"/>
      <c r="W468" s="514">
        <v>5.1826</v>
      </c>
      <c r="X468" s="447">
        <v>2.1919</v>
      </c>
      <c r="Y468" s="442">
        <f t="shared" si="127"/>
        <v>3.167651259</v>
      </c>
      <c r="Z468" s="464">
        <f t="shared" si="130"/>
        <v>0.2307108692</v>
      </c>
      <c r="AA468" s="465">
        <v>3.14</v>
      </c>
      <c r="AB468" s="465">
        <v>0.67</v>
      </c>
      <c r="AC468" s="436" t="str">
        <f>IF(ISNUMBER(VLOOKUP(B468,'New Masses'!A:C,3,FALSE)),VLOOKUP(B468,'New Masses'!A:C,3,FALSE),"")</f>
        <v/>
      </c>
      <c r="AD468" s="440"/>
      <c r="AE468" s="440">
        <f t="shared" si="128"/>
        <v>0.000000003801893963</v>
      </c>
      <c r="AF468" s="444">
        <v>-8.42</v>
      </c>
      <c r="AG468" s="440"/>
      <c r="AH468" s="445">
        <v>2.13</v>
      </c>
      <c r="AI468" s="460">
        <v>0.33</v>
      </c>
      <c r="AJ468" s="446" t="str">
        <f>IF(ISNUMBER(VLOOKUP(B468,'New Masses'!A:C,2, FALSE)),VLOOKUP(B468,'New Masses'!A:C,2, FALSE),"")</f>
        <v/>
      </c>
      <c r="AK468" s="440">
        <f t="shared" si="129"/>
        <v>0.3283796034</v>
      </c>
      <c r="AL468" s="460"/>
      <c r="AM468" s="460">
        <v>-1.2</v>
      </c>
      <c r="AN468" s="466">
        <v>43900.0</v>
      </c>
      <c r="AO468" s="436">
        <v>3.0</v>
      </c>
      <c r="AP468" s="440"/>
      <c r="AQ468" s="440"/>
      <c r="AR468" s="440"/>
      <c r="AS468" s="440"/>
      <c r="AT468" s="448"/>
      <c r="AU468" s="449" t="s">
        <v>137</v>
      </c>
      <c r="AV468" s="440"/>
      <c r="AW468" s="440"/>
      <c r="AX468" s="450">
        <v>154.194871478574</v>
      </c>
    </row>
    <row r="469">
      <c r="A469" s="451" t="s">
        <v>521</v>
      </c>
      <c r="B469" s="451" t="s">
        <v>521</v>
      </c>
      <c r="C469" s="440"/>
      <c r="D469" s="440" t="s">
        <v>314</v>
      </c>
      <c r="E469" s="440"/>
      <c r="F469" s="451" t="s">
        <v>2706</v>
      </c>
      <c r="G469" s="440" t="s">
        <v>169</v>
      </c>
      <c r="H469" s="440" t="s">
        <v>476</v>
      </c>
      <c r="I469" s="438"/>
      <c r="J469" s="460">
        <v>3197.0</v>
      </c>
      <c r="K469" s="460">
        <v>74.0</v>
      </c>
      <c r="L469" s="460" t="s">
        <v>402</v>
      </c>
      <c r="M469" s="461">
        <v>0.5</v>
      </c>
      <c r="N469" s="422">
        <v>11.176</v>
      </c>
      <c r="O469" s="422">
        <v>9.41</v>
      </c>
      <c r="P469" s="422"/>
      <c r="Q469" s="440" t="s">
        <v>2189</v>
      </c>
      <c r="R469" s="451" t="s">
        <v>2190</v>
      </c>
      <c r="S469" s="451" t="s">
        <v>2191</v>
      </c>
      <c r="T469" s="462" t="s">
        <v>162</v>
      </c>
      <c r="U469" s="451" t="s">
        <v>2192</v>
      </c>
      <c r="V469" s="440"/>
      <c r="W469" s="514">
        <v>0.088</v>
      </c>
      <c r="X469" s="447">
        <v>0.041</v>
      </c>
      <c r="Y469" s="442">
        <f t="shared" si="127"/>
        <v>0.9696427182</v>
      </c>
      <c r="Z469" s="551"/>
      <c r="AA469" s="465">
        <v>0.97</v>
      </c>
      <c r="AB469" s="465">
        <v>0.22</v>
      </c>
      <c r="AC469" s="436" t="str">
        <f>IF(ISNUMBER(VLOOKUP(B469,'New Masses'!A:C,3,FALSE)),VLOOKUP(B469,'New Masses'!A:C,3,FALSE),"")</f>
        <v/>
      </c>
      <c r="AD469" s="440"/>
      <c r="AE469" s="440">
        <f t="shared" si="128"/>
        <v>0.0000000003311311215</v>
      </c>
      <c r="AF469" s="444">
        <v>-9.48</v>
      </c>
      <c r="AG469" s="440"/>
      <c r="AH469" s="445">
        <v>0.19</v>
      </c>
      <c r="AI469" s="460">
        <v>0.03</v>
      </c>
      <c r="AJ469" s="446" t="str">
        <f>IF(ISNUMBER(VLOOKUP(B469,'New Masses'!A:C,2, FALSE)),VLOOKUP(B469,'New Masses'!A:C,2, FALSE),"")</f>
        <v/>
      </c>
      <c r="AK469" s="440">
        <f t="shared" si="129"/>
        <v>-0.721246399</v>
      </c>
      <c r="AL469" s="460"/>
      <c r="AM469" s="460">
        <v>-2.8</v>
      </c>
      <c r="AN469" s="466">
        <v>43900.0</v>
      </c>
      <c r="AO469" s="436">
        <v>3.0</v>
      </c>
      <c r="AP469" s="440"/>
      <c r="AQ469" s="440"/>
      <c r="AR469" s="440"/>
      <c r="AS469" s="440"/>
      <c r="AT469" s="448"/>
      <c r="AU469" s="452"/>
      <c r="AV469" s="440"/>
      <c r="AW469" s="440"/>
      <c r="AX469" s="450">
        <v>154.547562012209</v>
      </c>
    </row>
    <row r="470">
      <c r="A470" s="451" t="s">
        <v>557</v>
      </c>
      <c r="B470" s="451" t="s">
        <v>557</v>
      </c>
      <c r="C470" s="440"/>
      <c r="D470" s="440" t="s">
        <v>314</v>
      </c>
      <c r="E470" s="440"/>
      <c r="F470" s="451" t="s">
        <v>2707</v>
      </c>
      <c r="G470" s="440" t="s">
        <v>169</v>
      </c>
      <c r="H470" s="440" t="s">
        <v>476</v>
      </c>
      <c r="I470" s="438"/>
      <c r="J470" s="460">
        <v>3632.0</v>
      </c>
      <c r="K470" s="460">
        <v>167.0</v>
      </c>
      <c r="L470" s="460" t="s">
        <v>558</v>
      </c>
      <c r="M470" s="461">
        <v>0.5</v>
      </c>
      <c r="N470" s="422">
        <v>10.073</v>
      </c>
      <c r="O470" s="422">
        <v>8.63</v>
      </c>
      <c r="P470" s="422"/>
      <c r="Q470" s="440" t="s">
        <v>2189</v>
      </c>
      <c r="R470" s="451" t="s">
        <v>2190</v>
      </c>
      <c r="S470" s="451" t="s">
        <v>2191</v>
      </c>
      <c r="T470" s="462" t="s">
        <v>162</v>
      </c>
      <c r="U470" s="451" t="s">
        <v>2192</v>
      </c>
      <c r="V470" s="440"/>
      <c r="W470" s="514">
        <v>0.309</v>
      </c>
      <c r="X470" s="447">
        <v>0.142</v>
      </c>
      <c r="Y470" s="442">
        <f t="shared" si="127"/>
        <v>1.407807378</v>
      </c>
      <c r="Z470" s="551"/>
      <c r="AA470" s="465">
        <v>1.43</v>
      </c>
      <c r="AB470" s="465">
        <v>0.33</v>
      </c>
      <c r="AC470" s="436" t="str">
        <f>IF(ISNUMBER(VLOOKUP(B470,'New Masses'!A:C,3,FALSE)),VLOOKUP(B470,'New Masses'!A:C,3,FALSE),"")</f>
        <v/>
      </c>
      <c r="AD470" s="440"/>
      <c r="AE470" s="440">
        <f t="shared" si="128"/>
        <v>0.00000000087096359</v>
      </c>
      <c r="AF470" s="444">
        <v>-9.06</v>
      </c>
      <c r="AG470" s="440"/>
      <c r="AH470" s="445">
        <v>0.42</v>
      </c>
      <c r="AI470" s="460">
        <v>0.11</v>
      </c>
      <c r="AJ470" s="446" t="str">
        <f>IF(ISNUMBER(VLOOKUP(B470,'New Masses'!A:C,2, FALSE)),VLOOKUP(B470,'New Masses'!A:C,2, FALSE),"")</f>
        <v/>
      </c>
      <c r="AK470" s="440">
        <f t="shared" si="129"/>
        <v>-0.3767507096</v>
      </c>
      <c r="AL470" s="460"/>
      <c r="AM470" s="460">
        <v>-2.2</v>
      </c>
      <c r="AN470" s="466">
        <v>43900.0</v>
      </c>
      <c r="AO470" s="436">
        <v>3.0</v>
      </c>
      <c r="AP470" s="440"/>
      <c r="AQ470" s="440"/>
      <c r="AR470" s="440"/>
      <c r="AS470" s="440"/>
      <c r="AT470" s="448"/>
      <c r="AU470" s="449"/>
      <c r="AV470" s="440"/>
      <c r="AW470" s="440"/>
      <c r="AX470" s="450">
        <v>155.891935710165</v>
      </c>
    </row>
    <row r="471">
      <c r="A471" s="451" t="s">
        <v>556</v>
      </c>
      <c r="B471" s="451" t="s">
        <v>556</v>
      </c>
      <c r="C471" s="440"/>
      <c r="D471" s="440" t="s">
        <v>314</v>
      </c>
      <c r="E471" s="440"/>
      <c r="F471" s="451" t="s">
        <v>2708</v>
      </c>
      <c r="G471" s="440" t="s">
        <v>169</v>
      </c>
      <c r="H471" s="440" t="s">
        <v>476</v>
      </c>
      <c r="I471" s="438"/>
      <c r="J471" s="460">
        <v>3560.0</v>
      </c>
      <c r="K471" s="460">
        <v>164.0</v>
      </c>
      <c r="L471" s="460" t="s">
        <v>415</v>
      </c>
      <c r="M471" s="461">
        <v>0.5</v>
      </c>
      <c r="N471" s="422">
        <v>10.574</v>
      </c>
      <c r="O471" s="422">
        <v>9.325</v>
      </c>
      <c r="P471" s="422"/>
      <c r="Q471" s="440" t="s">
        <v>2189</v>
      </c>
      <c r="R471" s="451" t="s">
        <v>2190</v>
      </c>
      <c r="S471" s="451" t="s">
        <v>2191</v>
      </c>
      <c r="T471" s="462" t="s">
        <v>162</v>
      </c>
      <c r="U471" s="451" t="s">
        <v>2192</v>
      </c>
      <c r="V471" s="440"/>
      <c r="W471" s="514">
        <v>0.252</v>
      </c>
      <c r="X471" s="447">
        <v>0.116</v>
      </c>
      <c r="Y471" s="442">
        <f t="shared" si="127"/>
        <v>1.323292805</v>
      </c>
      <c r="Z471" s="551"/>
      <c r="AA471" s="465">
        <v>1.29</v>
      </c>
      <c r="AB471" s="465">
        <v>0.3</v>
      </c>
      <c r="AC471" s="436" t="str">
        <f>IF(ISNUMBER(VLOOKUP(B471,'New Masses'!A:C,3,FALSE)),VLOOKUP(B471,'New Masses'!A:C,3,FALSE),"")</f>
        <v/>
      </c>
      <c r="AD471" s="440"/>
      <c r="AE471" s="440">
        <f t="shared" si="128"/>
        <v>0.000000002187761624</v>
      </c>
      <c r="AF471" s="444">
        <v>-8.66</v>
      </c>
      <c r="AG471" s="440"/>
      <c r="AH471" s="445">
        <v>0.38</v>
      </c>
      <c r="AI471" s="460">
        <v>0.09</v>
      </c>
      <c r="AJ471" s="446" t="str">
        <f>IF(ISNUMBER(VLOOKUP(B471,'New Masses'!A:C,2, FALSE)),VLOOKUP(B471,'New Masses'!A:C,2, FALSE),"")</f>
        <v/>
      </c>
      <c r="AK471" s="440">
        <f t="shared" si="129"/>
        <v>-0.4202164034</v>
      </c>
      <c r="AL471" s="460"/>
      <c r="AM471" s="460">
        <v>-1.8</v>
      </c>
      <c r="AN471" s="466">
        <v>43900.0</v>
      </c>
      <c r="AO471" s="436">
        <v>3.0</v>
      </c>
      <c r="AP471" s="440"/>
      <c r="AQ471" s="440"/>
      <c r="AR471" s="440"/>
      <c r="AS471" s="440"/>
      <c r="AT471" s="448"/>
      <c r="AU471" s="452"/>
      <c r="AV471" s="440"/>
      <c r="AW471" s="440"/>
      <c r="AX471" s="450">
        <v>155.889505518488</v>
      </c>
    </row>
    <row r="472">
      <c r="A472" s="451" t="s">
        <v>582</v>
      </c>
      <c r="B472" s="451" t="s">
        <v>582</v>
      </c>
      <c r="C472" s="440"/>
      <c r="D472" s="440" t="s">
        <v>314</v>
      </c>
      <c r="E472" s="440"/>
      <c r="F472" s="451" t="s">
        <v>2709</v>
      </c>
      <c r="G472" s="440" t="s">
        <v>169</v>
      </c>
      <c r="H472" s="440" t="s">
        <v>476</v>
      </c>
      <c r="I472" s="438"/>
      <c r="J472" s="460">
        <v>4060.0</v>
      </c>
      <c r="K472" s="460">
        <v>187.0</v>
      </c>
      <c r="L472" s="460" t="s">
        <v>434</v>
      </c>
      <c r="M472" s="461">
        <v>1.0</v>
      </c>
      <c r="N472" s="422">
        <v>10.739</v>
      </c>
      <c r="O472" s="422">
        <v>8.826</v>
      </c>
      <c r="P472" s="422"/>
      <c r="Q472" s="440" t="s">
        <v>2189</v>
      </c>
      <c r="R472" s="451" t="s">
        <v>2190</v>
      </c>
      <c r="S472" s="451" t="s">
        <v>2191</v>
      </c>
      <c r="T472" s="462" t="s">
        <v>162</v>
      </c>
      <c r="U472" s="451" t="s">
        <v>2192</v>
      </c>
      <c r="V472" s="440"/>
      <c r="W472" s="514">
        <v>0.419</v>
      </c>
      <c r="X472" s="447">
        <v>0.193</v>
      </c>
      <c r="Y472" s="442">
        <f t="shared" si="127"/>
        <v>1.311929873</v>
      </c>
      <c r="Z472" s="551"/>
      <c r="AA472" s="465">
        <v>1.35</v>
      </c>
      <c r="AB472" s="465">
        <v>0.31</v>
      </c>
      <c r="AC472" s="436" t="str">
        <f>IF(ISNUMBER(VLOOKUP(B472,'New Masses'!A:C,3,FALSE)),VLOOKUP(B472,'New Masses'!A:C,3,FALSE),"")</f>
        <v/>
      </c>
      <c r="AD472" s="440"/>
      <c r="AE472" s="440">
        <f t="shared" si="128"/>
        <v>0.00000000660693448</v>
      </c>
      <c r="AF472" s="444">
        <v>-8.18</v>
      </c>
      <c r="AG472" s="440"/>
      <c r="AH472" s="445">
        <v>0.82</v>
      </c>
      <c r="AI472" s="460">
        <v>0.16</v>
      </c>
      <c r="AJ472" s="446" t="str">
        <f>IF(ISNUMBER(VLOOKUP(B472,'New Masses'!A:C,2, FALSE)),VLOOKUP(B472,'New Masses'!A:C,2, FALSE),"")</f>
        <v/>
      </c>
      <c r="AK472" s="440">
        <f t="shared" si="129"/>
        <v>-0.08618614762</v>
      </c>
      <c r="AL472" s="460"/>
      <c r="AM472" s="460">
        <v>-1.0</v>
      </c>
      <c r="AN472" s="466">
        <v>43900.0</v>
      </c>
      <c r="AO472" s="436">
        <v>3.0</v>
      </c>
      <c r="AP472" s="440"/>
      <c r="AQ472" s="440"/>
      <c r="AR472" s="440"/>
      <c r="AS472" s="440"/>
      <c r="AT472" s="448"/>
      <c r="AU472" s="449"/>
      <c r="AV472" s="440"/>
      <c r="AW472" s="440"/>
      <c r="AX472" s="450">
        <v>156.779129562272</v>
      </c>
    </row>
    <row r="473">
      <c r="A473" s="451" t="s">
        <v>547</v>
      </c>
      <c r="B473" s="451" t="s">
        <v>547</v>
      </c>
      <c r="C473" s="440"/>
      <c r="D473" s="440" t="s">
        <v>314</v>
      </c>
      <c r="E473" s="440"/>
      <c r="F473" s="451" t="s">
        <v>2710</v>
      </c>
      <c r="G473" s="440" t="s">
        <v>169</v>
      </c>
      <c r="H473" s="440" t="s">
        <v>476</v>
      </c>
      <c r="I473" s="438"/>
      <c r="J473" s="460">
        <v>3342.0</v>
      </c>
      <c r="K473" s="460">
        <v>77.0</v>
      </c>
      <c r="L473" s="460" t="s">
        <v>422</v>
      </c>
      <c r="M473" s="461">
        <v>0.5</v>
      </c>
      <c r="N473" s="422">
        <v>9.225</v>
      </c>
      <c r="O473" s="422">
        <v>7.432</v>
      </c>
      <c r="P473" s="422"/>
      <c r="Q473" s="440" t="s">
        <v>2189</v>
      </c>
      <c r="R473" s="451" t="s">
        <v>2190</v>
      </c>
      <c r="S473" s="451" t="s">
        <v>2191</v>
      </c>
      <c r="T473" s="462" t="s">
        <v>162</v>
      </c>
      <c r="U473" s="451" t="s">
        <v>2192</v>
      </c>
      <c r="V473" s="440"/>
      <c r="W473" s="514">
        <v>1.043</v>
      </c>
      <c r="X473" s="447">
        <v>0.48</v>
      </c>
      <c r="Y473" s="442">
        <f t="shared" si="127"/>
        <v>3.054815179</v>
      </c>
      <c r="Z473" s="464">
        <f t="shared" ref="Z473:Z477" si="131">0.5*((X469/W469)^2 + 16*(K469/J469)^2)^0.5</f>
        <v>0.2375097875</v>
      </c>
      <c r="AA473" s="465">
        <v>3.13</v>
      </c>
      <c r="AB473" s="465">
        <v>0.72</v>
      </c>
      <c r="AC473" s="436" t="str">
        <f>IF(ISNUMBER(VLOOKUP(B473,'New Masses'!A:C,3,FALSE)),VLOOKUP(B473,'New Masses'!A:C,3,FALSE),"")</f>
        <v/>
      </c>
      <c r="AD473" s="440"/>
      <c r="AE473" s="440">
        <f t="shared" si="128"/>
        <v>0.00000001380384265</v>
      </c>
      <c r="AF473" s="444">
        <v>-7.86</v>
      </c>
      <c r="AG473" s="440"/>
      <c r="AH473" s="445">
        <v>0.29</v>
      </c>
      <c r="AI473" s="460">
        <v>0.03</v>
      </c>
      <c r="AJ473" s="446" t="str">
        <f>IF(ISNUMBER(VLOOKUP(B473,'New Masses'!A:C,2, FALSE)),VLOOKUP(B473,'New Masses'!A:C,2, FALSE),"")</f>
        <v/>
      </c>
      <c r="AK473" s="440">
        <f t="shared" si="129"/>
        <v>-0.5376020021</v>
      </c>
      <c r="AL473" s="460"/>
      <c r="AM473" s="460">
        <v>-1.5</v>
      </c>
      <c r="AN473" s="466">
        <v>43900.0</v>
      </c>
      <c r="AO473" s="436">
        <v>3.0</v>
      </c>
      <c r="AP473" s="440"/>
      <c r="AQ473" s="440"/>
      <c r="AR473" s="440"/>
      <c r="AS473" s="440"/>
      <c r="AT473" s="448"/>
      <c r="AU473" s="452"/>
      <c r="AV473" s="440"/>
      <c r="AW473" s="440"/>
      <c r="AX473" s="552"/>
    </row>
    <row r="474">
      <c r="A474" s="451" t="s">
        <v>540</v>
      </c>
      <c r="B474" s="451" t="s">
        <v>540</v>
      </c>
      <c r="C474" s="440"/>
      <c r="D474" s="440" t="s">
        <v>314</v>
      </c>
      <c r="E474" s="440"/>
      <c r="F474" s="451" t="s">
        <v>2711</v>
      </c>
      <c r="G474" s="440" t="s">
        <v>159</v>
      </c>
      <c r="H474" s="440" t="s">
        <v>476</v>
      </c>
      <c r="I474" s="436">
        <v>2010.0</v>
      </c>
      <c r="J474" s="460">
        <v>3270.0</v>
      </c>
      <c r="K474" s="460">
        <v>75.0</v>
      </c>
      <c r="L474" s="460" t="s">
        <v>395</v>
      </c>
      <c r="M474" s="461">
        <v>0.5</v>
      </c>
      <c r="N474" s="422">
        <v>10.96</v>
      </c>
      <c r="O474" s="422">
        <v>10.022</v>
      </c>
      <c r="P474" s="422"/>
      <c r="Q474" s="440" t="s">
        <v>2189</v>
      </c>
      <c r="R474" s="451" t="s">
        <v>2190</v>
      </c>
      <c r="S474" s="451" t="s">
        <v>2191</v>
      </c>
      <c r="T474" s="462" t="s">
        <v>162</v>
      </c>
      <c r="U474" s="451" t="s">
        <v>2192</v>
      </c>
      <c r="V474" s="440"/>
      <c r="W474" s="514">
        <v>0.1585</v>
      </c>
      <c r="X474" s="447">
        <v>0.0704</v>
      </c>
      <c r="Y474" s="442">
        <f t="shared" si="127"/>
        <v>1.24386946</v>
      </c>
      <c r="Z474" s="464">
        <f t="shared" si="131"/>
        <v>0.2474925264</v>
      </c>
      <c r="AA474" s="465">
        <v>1.24</v>
      </c>
      <c r="AB474" s="465">
        <v>0.28</v>
      </c>
      <c r="AC474" s="436" t="str">
        <f>IF(ISNUMBER(VLOOKUP(B474,'New Masses'!A:C,3,FALSE)),VLOOKUP(B474,'New Masses'!A:C,3,FALSE),"")</f>
        <v/>
      </c>
      <c r="AD474" s="440"/>
      <c r="AE474" s="440">
        <f t="shared" si="128"/>
        <v>0.0000000005011872336</v>
      </c>
      <c r="AF474" s="444">
        <v>-9.3</v>
      </c>
      <c r="AG474" s="440"/>
      <c r="AH474" s="445">
        <v>0.25</v>
      </c>
      <c r="AI474" s="460">
        <v>0.03</v>
      </c>
      <c r="AJ474" s="446" t="str">
        <f>IF(ISNUMBER(VLOOKUP(B474,'New Masses'!A:C,2, FALSE)),VLOOKUP(B474,'New Masses'!A:C,2, FALSE),"")</f>
        <v/>
      </c>
      <c r="AK474" s="440">
        <f t="shared" si="129"/>
        <v>-0.6020599913</v>
      </c>
      <c r="AL474" s="460"/>
      <c r="AM474" s="460">
        <v>-2.6</v>
      </c>
      <c r="AN474" s="466">
        <v>43900.0</v>
      </c>
      <c r="AO474" s="436">
        <v>3.0</v>
      </c>
      <c r="AP474" s="440"/>
      <c r="AQ474" s="440"/>
      <c r="AR474" s="440"/>
      <c r="AS474" s="440"/>
      <c r="AT474" s="448"/>
      <c r="AU474" s="452"/>
      <c r="AV474" s="440"/>
      <c r="AW474" s="440"/>
      <c r="AX474" s="450">
        <v>159.537978015666</v>
      </c>
    </row>
    <row r="475">
      <c r="A475" s="451" t="s">
        <v>579</v>
      </c>
      <c r="B475" s="451" t="s">
        <v>579</v>
      </c>
      <c r="C475" s="440"/>
      <c r="D475" s="440" t="s">
        <v>314</v>
      </c>
      <c r="E475" s="440"/>
      <c r="F475" s="451" t="s">
        <v>2712</v>
      </c>
      <c r="G475" s="440" t="s">
        <v>169</v>
      </c>
      <c r="H475" s="440" t="s">
        <v>476</v>
      </c>
      <c r="I475" s="436">
        <v>2010.0</v>
      </c>
      <c r="J475" s="460">
        <v>4060.0</v>
      </c>
      <c r="K475" s="460">
        <v>187.0</v>
      </c>
      <c r="L475" s="460" t="s">
        <v>434</v>
      </c>
      <c r="M475" s="461">
        <v>1.0</v>
      </c>
      <c r="N475" s="422">
        <v>9.444</v>
      </c>
      <c r="O475" s="422">
        <v>8.271</v>
      </c>
      <c r="P475" s="422"/>
      <c r="Q475" s="440" t="s">
        <v>2189</v>
      </c>
      <c r="R475" s="451" t="s">
        <v>2190</v>
      </c>
      <c r="S475" s="451" t="s">
        <v>2191</v>
      </c>
      <c r="T475" s="462" t="s">
        <v>162</v>
      </c>
      <c r="U475" s="451" t="s">
        <v>2192</v>
      </c>
      <c r="V475" s="440"/>
      <c r="W475" s="514">
        <v>0.5495</v>
      </c>
      <c r="X475" s="447">
        <v>0.2428</v>
      </c>
      <c r="Y475" s="442">
        <f t="shared" si="127"/>
        <v>1.502406515</v>
      </c>
      <c r="Z475" s="464">
        <f t="shared" si="131"/>
        <v>0.2479150424</v>
      </c>
      <c r="AA475" s="465">
        <v>1.5</v>
      </c>
      <c r="AB475" s="465">
        <v>0.36</v>
      </c>
      <c r="AC475" s="436" t="str">
        <f>IF(ISNUMBER(VLOOKUP(B475,'New Masses'!A:C,3,FALSE)),VLOOKUP(B475,'New Masses'!A:C,3,FALSE),"")</f>
        <v/>
      </c>
      <c r="AD475" s="440"/>
      <c r="AE475" s="440">
        <f t="shared" si="128"/>
        <v>0.000000001548816619</v>
      </c>
      <c r="AF475" s="444">
        <v>-8.81</v>
      </c>
      <c r="AG475" s="440"/>
      <c r="AH475" s="445">
        <v>0.79</v>
      </c>
      <c r="AI475" s="460">
        <v>0.17</v>
      </c>
      <c r="AJ475" s="446" t="str">
        <f>IF(ISNUMBER(VLOOKUP(B475,'New Masses'!A:C,2, FALSE)),VLOOKUP(B475,'New Masses'!A:C,2, FALSE),"")</f>
        <v/>
      </c>
      <c r="AK475" s="440">
        <f t="shared" si="129"/>
        <v>-0.1023729087</v>
      </c>
      <c r="AL475" s="460"/>
      <c r="AM475" s="460">
        <v>-1.7</v>
      </c>
      <c r="AN475" s="466">
        <v>43900.0</v>
      </c>
      <c r="AO475" s="436">
        <v>3.0</v>
      </c>
      <c r="AP475" s="440"/>
      <c r="AQ475" s="440"/>
      <c r="AR475" s="440"/>
      <c r="AS475" s="440"/>
      <c r="AT475" s="448"/>
      <c r="AU475" s="449"/>
      <c r="AV475" s="440"/>
      <c r="AW475" s="440"/>
      <c r="AX475" s="450">
        <v>154.822727976466</v>
      </c>
    </row>
    <row r="476">
      <c r="A476" s="451" t="s">
        <v>577</v>
      </c>
      <c r="B476" s="451" t="s">
        <v>577</v>
      </c>
      <c r="C476" s="440"/>
      <c r="D476" s="440" t="s">
        <v>314</v>
      </c>
      <c r="E476" s="440"/>
      <c r="F476" s="451" t="s">
        <v>2713</v>
      </c>
      <c r="G476" s="440" t="s">
        <v>169</v>
      </c>
      <c r="H476" s="440" t="s">
        <v>476</v>
      </c>
      <c r="I476" s="438"/>
      <c r="J476" s="460">
        <v>4060.0</v>
      </c>
      <c r="K476" s="460">
        <v>187.0</v>
      </c>
      <c r="L476" s="460" t="s">
        <v>434</v>
      </c>
      <c r="M476" s="461">
        <v>1.0</v>
      </c>
      <c r="N476" s="422">
        <v>8.732</v>
      </c>
      <c r="O476" s="422">
        <v>7.138</v>
      </c>
      <c r="P476" s="422"/>
      <c r="Q476" s="440" t="s">
        <v>2189</v>
      </c>
      <c r="R476" s="451" t="s">
        <v>2190</v>
      </c>
      <c r="S476" s="451" t="s">
        <v>2191</v>
      </c>
      <c r="T476" s="462" t="s">
        <v>162</v>
      </c>
      <c r="U476" s="451" t="s">
        <v>2192</v>
      </c>
      <c r="V476" s="440"/>
      <c r="W476" s="514">
        <v>1.313</v>
      </c>
      <c r="X476" s="447">
        <v>0.605</v>
      </c>
      <c r="Y476" s="442">
        <f t="shared" si="127"/>
        <v>2.322394385</v>
      </c>
      <c r="Z476" s="464">
        <f t="shared" si="131"/>
        <v>0.248049561</v>
      </c>
      <c r="AA476" s="465">
        <v>2.39</v>
      </c>
      <c r="AB476" s="465">
        <v>0.55</v>
      </c>
      <c r="AC476" s="436" t="str">
        <f>IF(ISNUMBER(VLOOKUP(B476,'New Masses'!A:C,3,FALSE)),VLOOKUP(B476,'New Masses'!A:C,3,FALSE),"")</f>
        <v/>
      </c>
      <c r="AD476" s="440"/>
      <c r="AE476" s="440">
        <f t="shared" si="128"/>
        <v>0.0000000645654229</v>
      </c>
      <c r="AF476" s="444">
        <v>-7.19</v>
      </c>
      <c r="AG476" s="440"/>
      <c r="AH476" s="445">
        <v>0.75</v>
      </c>
      <c r="AI476" s="460">
        <v>0.19</v>
      </c>
      <c r="AJ476" s="446" t="str">
        <f>IF(ISNUMBER(VLOOKUP(B476,'New Masses'!A:C,2, FALSE)),VLOOKUP(B476,'New Masses'!A:C,2, FALSE),"")</f>
        <v/>
      </c>
      <c r="AK476" s="440">
        <f t="shared" si="129"/>
        <v>-0.1249387366</v>
      </c>
      <c r="AL476" s="460"/>
      <c r="AM476" s="460">
        <v>-0.3</v>
      </c>
      <c r="AN476" s="466">
        <v>43900.0</v>
      </c>
      <c r="AO476" s="436">
        <v>3.0</v>
      </c>
      <c r="AP476" s="440"/>
      <c r="AQ476" s="440"/>
      <c r="AR476" s="440"/>
      <c r="AS476" s="440"/>
      <c r="AT476" s="448"/>
      <c r="AU476" s="449"/>
      <c r="AV476" s="440"/>
      <c r="AW476" s="440"/>
      <c r="AX476" s="450">
        <v>159.573619289259</v>
      </c>
    </row>
    <row r="477">
      <c r="A477" s="451" t="s">
        <v>516</v>
      </c>
      <c r="B477" s="451" t="s">
        <v>516</v>
      </c>
      <c r="C477" s="440"/>
      <c r="D477" s="440" t="s">
        <v>314</v>
      </c>
      <c r="E477" s="440"/>
      <c r="F477" s="451" t="s">
        <v>2714</v>
      </c>
      <c r="G477" s="440" t="s">
        <v>159</v>
      </c>
      <c r="H477" s="440" t="s">
        <v>476</v>
      </c>
      <c r="I477" s="438"/>
      <c r="J477" s="460">
        <v>3125.0</v>
      </c>
      <c r="K477" s="460">
        <v>72.0</v>
      </c>
      <c r="L477" s="460" t="s">
        <v>371</v>
      </c>
      <c r="M477" s="461">
        <v>0.5</v>
      </c>
      <c r="N477" s="422">
        <v>10.931</v>
      </c>
      <c r="O477" s="422">
        <v>9.853</v>
      </c>
      <c r="P477" s="422"/>
      <c r="Q477" s="440" t="s">
        <v>2189</v>
      </c>
      <c r="R477" s="451" t="s">
        <v>2190</v>
      </c>
      <c r="S477" s="451" t="s">
        <v>2191</v>
      </c>
      <c r="T477" s="462" t="s">
        <v>162</v>
      </c>
      <c r="U477" s="451" t="s">
        <v>2192</v>
      </c>
      <c r="V477" s="440"/>
      <c r="W477" s="514">
        <v>0.122</v>
      </c>
      <c r="X477" s="447">
        <v>0.056</v>
      </c>
      <c r="Y477" s="442">
        <f t="shared" si="127"/>
        <v>1.194910972</v>
      </c>
      <c r="Z477" s="464">
        <f t="shared" si="131"/>
        <v>0.2346740486</v>
      </c>
      <c r="AA477" s="465">
        <v>1.21</v>
      </c>
      <c r="AB477" s="465">
        <v>0.28</v>
      </c>
      <c r="AC477" s="436" t="str">
        <f>IF(ISNUMBER(VLOOKUP(B477,'New Masses'!A:C,3,FALSE)),VLOOKUP(B477,'New Masses'!A:C,3,FALSE),"")</f>
        <v/>
      </c>
      <c r="AD477" s="440"/>
      <c r="AE477" s="440">
        <f t="shared" si="128"/>
        <v>0.0000000005370317964</v>
      </c>
      <c r="AF477" s="444">
        <v>-9.27</v>
      </c>
      <c r="AG477" s="440"/>
      <c r="AH477" s="445">
        <v>0.18</v>
      </c>
      <c r="AI477" s="460">
        <v>0.03</v>
      </c>
      <c r="AJ477" s="446" t="str">
        <f>IF(ISNUMBER(VLOOKUP(B477,'New Masses'!A:C,2, FALSE)),VLOOKUP(B477,'New Masses'!A:C,2, FALSE),"")</f>
        <v/>
      </c>
      <c r="AK477" s="440">
        <f t="shared" si="129"/>
        <v>-0.7447274949</v>
      </c>
      <c r="AL477" s="460"/>
      <c r="AM477" s="460">
        <v>-2.7</v>
      </c>
      <c r="AN477" s="466">
        <v>43900.0</v>
      </c>
      <c r="AO477" s="436">
        <v>3.0</v>
      </c>
      <c r="AP477" s="440"/>
      <c r="AQ477" s="440"/>
      <c r="AR477" s="440"/>
      <c r="AS477" s="440"/>
      <c r="AT477" s="448"/>
      <c r="AU477" s="452"/>
      <c r="AV477" s="440"/>
      <c r="AW477" s="440"/>
      <c r="AX477" s="450">
        <v>152.643790450604</v>
      </c>
    </row>
    <row r="478">
      <c r="A478" s="483" t="s">
        <v>580</v>
      </c>
      <c r="B478" s="451" t="s">
        <v>580</v>
      </c>
      <c r="C478" s="440"/>
      <c r="D478" s="440" t="s">
        <v>314</v>
      </c>
      <c r="E478" s="440"/>
      <c r="F478" s="451" t="s">
        <v>2715</v>
      </c>
      <c r="G478" s="440" t="s">
        <v>169</v>
      </c>
      <c r="H478" s="440" t="s">
        <v>476</v>
      </c>
      <c r="I478" s="436">
        <v>2015.0</v>
      </c>
      <c r="J478" s="460">
        <v>4060.0</v>
      </c>
      <c r="K478" s="460">
        <v>187.0</v>
      </c>
      <c r="L478" s="460" t="s">
        <v>434</v>
      </c>
      <c r="M478" s="461">
        <v>1.0</v>
      </c>
      <c r="N478" s="422">
        <v>10.356</v>
      </c>
      <c r="O478" s="422">
        <v>8.724</v>
      </c>
      <c r="P478" s="422">
        <v>13.7</v>
      </c>
      <c r="Q478" s="440" t="s">
        <v>2189</v>
      </c>
      <c r="R478" s="451" t="s">
        <v>2190</v>
      </c>
      <c r="S478" s="451" t="s">
        <v>2191</v>
      </c>
      <c r="T478" s="462" t="s">
        <v>162</v>
      </c>
      <c r="U478" s="451" t="s">
        <v>2192</v>
      </c>
      <c r="V478" s="440"/>
      <c r="W478" s="463"/>
      <c r="X478" s="437"/>
      <c r="Y478" s="442" t="str">
        <f t="shared" si="127"/>
        <v/>
      </c>
      <c r="Z478" s="464"/>
      <c r="AA478" s="465">
        <v>1.64</v>
      </c>
      <c r="AB478" s="465">
        <v>0.36</v>
      </c>
      <c r="AC478" s="436" t="str">
        <f>IF(ISNUMBER(VLOOKUP(B478,'New Masses'!A:C,3,FALSE)),VLOOKUP(B478,'New Masses'!A:C,3,FALSE),"")</f>
        <v/>
      </c>
      <c r="AD478" s="440"/>
      <c r="AE478" s="440">
        <f t="shared" si="128"/>
        <v>0.000000002089296131</v>
      </c>
      <c r="AF478" s="444">
        <v>-8.68</v>
      </c>
      <c r="AG478" s="440"/>
      <c r="AH478" s="445">
        <v>0.79</v>
      </c>
      <c r="AI478" s="460">
        <v>0.17</v>
      </c>
      <c r="AJ478" s="446" t="str">
        <f>IF(ISNUMBER(VLOOKUP(B478,'New Masses'!A:C,2, FALSE)),VLOOKUP(B478,'New Masses'!A:C,2, FALSE),"")</f>
        <v/>
      </c>
      <c r="AK478" s="440">
        <f t="shared" si="129"/>
        <v>-0.1023729087</v>
      </c>
      <c r="AL478" s="460"/>
      <c r="AM478" s="460">
        <v>-1.6</v>
      </c>
      <c r="AN478" s="466">
        <v>43900.0</v>
      </c>
      <c r="AO478" s="436">
        <v>3.0</v>
      </c>
      <c r="AP478" s="440"/>
      <c r="AQ478" s="440"/>
      <c r="AR478" s="440"/>
      <c r="AS478" s="440"/>
      <c r="AT478" s="448"/>
      <c r="AU478" s="449"/>
      <c r="AV478" s="440"/>
      <c r="AW478" s="440"/>
      <c r="AX478" s="450">
        <v>160.400359296804</v>
      </c>
    </row>
    <row r="479">
      <c r="A479" s="553" t="s">
        <v>566</v>
      </c>
      <c r="B479" s="451" t="s">
        <v>566</v>
      </c>
      <c r="C479" s="440"/>
      <c r="D479" s="440" t="s">
        <v>314</v>
      </c>
      <c r="E479" s="440"/>
      <c r="F479" s="451" t="s">
        <v>2716</v>
      </c>
      <c r="G479" s="440" t="s">
        <v>159</v>
      </c>
      <c r="H479" s="440" t="s">
        <v>476</v>
      </c>
      <c r="I479" s="438"/>
      <c r="J479" s="460">
        <v>3705.0</v>
      </c>
      <c r="K479" s="460">
        <v>171.0</v>
      </c>
      <c r="L479" s="460" t="s">
        <v>419</v>
      </c>
      <c r="M479" s="461">
        <v>0.5</v>
      </c>
      <c r="N479" s="422">
        <v>11.055</v>
      </c>
      <c r="O479" s="422">
        <v>9.848</v>
      </c>
      <c r="P479" s="422">
        <v>14.11</v>
      </c>
      <c r="Q479" s="440" t="s">
        <v>2189</v>
      </c>
      <c r="R479" s="451" t="s">
        <v>2190</v>
      </c>
      <c r="S479" s="451" t="s">
        <v>2191</v>
      </c>
      <c r="T479" s="462" t="s">
        <v>162</v>
      </c>
      <c r="U479" s="451" t="s">
        <v>2192</v>
      </c>
      <c r="V479" s="440"/>
      <c r="W479" s="463"/>
      <c r="X479" s="437"/>
      <c r="Y479" s="442" t="str">
        <f t="shared" si="127"/>
        <v/>
      </c>
      <c r="Z479" s="464"/>
      <c r="AA479" s="465">
        <v>1.36</v>
      </c>
      <c r="AB479" s="465">
        <v>0.31</v>
      </c>
      <c r="AC479" s="436" t="str">
        <f>IF(ISNUMBER(VLOOKUP(B479,'New Masses'!A:C,3,FALSE)),VLOOKUP(B479,'New Masses'!A:C,3,FALSE),"")</f>
        <v/>
      </c>
      <c r="AD479" s="440"/>
      <c r="AE479" s="440">
        <f t="shared" si="128"/>
        <v>0.000000001862087137</v>
      </c>
      <c r="AF479" s="444">
        <v>-8.73</v>
      </c>
      <c r="AG479" s="440"/>
      <c r="AH479" s="445">
        <v>0.47</v>
      </c>
      <c r="AI479" s="460">
        <v>0.12</v>
      </c>
      <c r="AJ479" s="446" t="str">
        <f>IF(ISNUMBER(VLOOKUP(B479,'New Masses'!A:C,2, FALSE)),VLOOKUP(B479,'New Masses'!A:C,2, FALSE),"")</f>
        <v/>
      </c>
      <c r="AK479" s="440">
        <f t="shared" si="129"/>
        <v>-0.3279021421</v>
      </c>
      <c r="AL479" s="460"/>
      <c r="AM479" s="460">
        <v>-1.8</v>
      </c>
      <c r="AN479" s="466">
        <v>43900.0</v>
      </c>
      <c r="AO479" s="436">
        <v>3.0</v>
      </c>
      <c r="AP479" s="440"/>
      <c r="AQ479" s="440"/>
      <c r="AR479" s="440"/>
      <c r="AS479" s="440"/>
      <c r="AT479" s="448"/>
      <c r="AU479" s="452"/>
      <c r="AV479" s="440"/>
      <c r="AW479" s="440"/>
      <c r="AX479" s="450">
        <v>159.060904420302</v>
      </c>
    </row>
    <row r="480">
      <c r="A480" s="483" t="s">
        <v>552</v>
      </c>
      <c r="B480" s="451" t="s">
        <v>552</v>
      </c>
      <c r="C480" s="440"/>
      <c r="D480" s="440" t="s">
        <v>314</v>
      </c>
      <c r="E480" s="440"/>
      <c r="F480" s="451" t="s">
        <v>2717</v>
      </c>
      <c r="G480" s="440" t="s">
        <v>169</v>
      </c>
      <c r="H480" s="440" t="s">
        <v>476</v>
      </c>
      <c r="I480" s="436">
        <v>2015.0</v>
      </c>
      <c r="J480" s="460">
        <v>3415.0</v>
      </c>
      <c r="K480" s="460">
        <v>79.0</v>
      </c>
      <c r="L480" s="460" t="s">
        <v>430</v>
      </c>
      <c r="M480" s="461">
        <v>0.5</v>
      </c>
      <c r="N480" s="422">
        <v>11.012</v>
      </c>
      <c r="O480" s="422">
        <v>10.009</v>
      </c>
      <c r="P480" s="422">
        <v>14.25</v>
      </c>
      <c r="Q480" s="440" t="s">
        <v>2189</v>
      </c>
      <c r="R480" s="451" t="s">
        <v>2190</v>
      </c>
      <c r="S480" s="451" t="s">
        <v>2191</v>
      </c>
      <c r="T480" s="462" t="s">
        <v>162</v>
      </c>
      <c r="U480" s="451" t="s">
        <v>2192</v>
      </c>
      <c r="V480" s="440"/>
      <c r="W480" s="463"/>
      <c r="X480" s="437"/>
      <c r="Y480" s="442" t="str">
        <f t="shared" si="127"/>
        <v/>
      </c>
      <c r="Z480" s="537"/>
      <c r="AA480" s="465">
        <v>1.84</v>
      </c>
      <c r="AB480" s="465">
        <v>0.41</v>
      </c>
      <c r="AC480" s="436" t="str">
        <f>IF(ISNUMBER(VLOOKUP(B480,'New Masses'!A:C,3,FALSE)),VLOOKUP(B480,'New Masses'!A:C,3,FALSE),"")</f>
        <v/>
      </c>
      <c r="AD480" s="440"/>
      <c r="AE480" s="440">
        <f t="shared" si="128"/>
        <v>0.0000000007079457844</v>
      </c>
      <c r="AF480" s="444">
        <v>-9.15</v>
      </c>
      <c r="AG480" s="440"/>
      <c r="AH480" s="445">
        <v>0.33</v>
      </c>
      <c r="AI480" s="460">
        <v>0.04</v>
      </c>
      <c r="AJ480" s="446" t="str">
        <f>IF(ISNUMBER(VLOOKUP(B480,'New Masses'!A:C,2, FALSE)),VLOOKUP(B480,'New Masses'!A:C,2, FALSE),"")</f>
        <v/>
      </c>
      <c r="AK480" s="440">
        <f t="shared" si="129"/>
        <v>-0.4814860601</v>
      </c>
      <c r="AL480" s="460"/>
      <c r="AM480" s="460">
        <v>-2.5</v>
      </c>
      <c r="AN480" s="466">
        <v>43900.0</v>
      </c>
      <c r="AO480" s="436">
        <v>3.0</v>
      </c>
      <c r="AP480" s="440"/>
      <c r="AQ480" s="440"/>
      <c r="AR480" s="440"/>
      <c r="AS480" s="440"/>
      <c r="AT480" s="448"/>
      <c r="AU480" s="449"/>
      <c r="AV480" s="440"/>
      <c r="AW480" s="440"/>
      <c r="AX480" s="450">
        <v>158.17278795356</v>
      </c>
    </row>
    <row r="481">
      <c r="A481" s="553" t="s">
        <v>559</v>
      </c>
      <c r="B481" s="451" t="s">
        <v>559</v>
      </c>
      <c r="C481" s="440"/>
      <c r="D481" s="440" t="s">
        <v>314</v>
      </c>
      <c r="E481" s="440"/>
      <c r="F481" s="451" t="s">
        <v>2718</v>
      </c>
      <c r="G481" s="440" t="s">
        <v>169</v>
      </c>
      <c r="H481" s="440" t="s">
        <v>476</v>
      </c>
      <c r="I481" s="436">
        <v>2015.0</v>
      </c>
      <c r="J481" s="460">
        <v>3705.0</v>
      </c>
      <c r="K481" s="460">
        <v>171.0</v>
      </c>
      <c r="L481" s="460" t="s">
        <v>419</v>
      </c>
      <c r="M481" s="461">
        <v>0.5</v>
      </c>
      <c r="N481" s="422">
        <v>10.128</v>
      </c>
      <c r="O481" s="422">
        <v>8.957</v>
      </c>
      <c r="P481" s="422">
        <v>13.69</v>
      </c>
      <c r="Q481" s="440" t="s">
        <v>2189</v>
      </c>
      <c r="R481" s="451" t="s">
        <v>2190</v>
      </c>
      <c r="S481" s="451" t="s">
        <v>2191</v>
      </c>
      <c r="T481" s="462" t="s">
        <v>162</v>
      </c>
      <c r="U481" s="451" t="s">
        <v>2192</v>
      </c>
      <c r="V481" s="440"/>
      <c r="W481" s="463"/>
      <c r="X481" s="437"/>
      <c r="Y481" s="442" t="str">
        <f t="shared" si="127"/>
        <v/>
      </c>
      <c r="Z481" s="537"/>
      <c r="AA481" s="465">
        <v>2.02</v>
      </c>
      <c r="AB481" s="465">
        <v>0.47</v>
      </c>
      <c r="AC481" s="436" t="str">
        <f>IF(ISNUMBER(VLOOKUP(B481,'New Masses'!A:C,3,FALSE)),VLOOKUP(B481,'New Masses'!A:C,3,FALSE),"")</f>
        <v/>
      </c>
      <c r="AD481" s="440"/>
      <c r="AE481" s="440">
        <f t="shared" si="128"/>
        <v>0.0000000008912509381</v>
      </c>
      <c r="AF481" s="444">
        <v>-9.05</v>
      </c>
      <c r="AG481" s="440"/>
      <c r="AH481" s="445">
        <v>0.46</v>
      </c>
      <c r="AI481" s="460">
        <v>0.11</v>
      </c>
      <c r="AJ481" s="446" t="str">
        <f>IF(ISNUMBER(VLOOKUP(B481,'New Masses'!A:C,2, FALSE)),VLOOKUP(B481,'New Masses'!A:C,2, FALSE),"")</f>
        <v/>
      </c>
      <c r="AK481" s="440">
        <f t="shared" si="129"/>
        <v>-0.3372421683</v>
      </c>
      <c r="AL481" s="460"/>
      <c r="AM481" s="460">
        <v>-2.3</v>
      </c>
      <c r="AN481" s="466">
        <v>43900.0</v>
      </c>
      <c r="AO481" s="436">
        <v>3.0</v>
      </c>
      <c r="AP481" s="440"/>
      <c r="AQ481" s="440"/>
      <c r="AR481" s="440"/>
      <c r="AS481" s="440"/>
      <c r="AT481" s="448"/>
      <c r="AU481" s="452"/>
      <c r="AV481" s="440"/>
      <c r="AW481" s="440"/>
      <c r="AX481" s="450">
        <v>156.550871205598</v>
      </c>
    </row>
    <row r="482">
      <c r="A482" s="483" t="s">
        <v>541</v>
      </c>
      <c r="B482" s="451" t="s">
        <v>541</v>
      </c>
      <c r="C482" s="440"/>
      <c r="D482" s="440" t="s">
        <v>314</v>
      </c>
      <c r="E482" s="440"/>
      <c r="F482" s="451" t="s">
        <v>2719</v>
      </c>
      <c r="G482" s="440" t="s">
        <v>169</v>
      </c>
      <c r="H482" s="440" t="s">
        <v>476</v>
      </c>
      <c r="I482" s="438"/>
      <c r="J482" s="460">
        <v>3270.0</v>
      </c>
      <c r="K482" s="460">
        <v>75.0</v>
      </c>
      <c r="L482" s="460" t="s">
        <v>395</v>
      </c>
      <c r="M482" s="461">
        <v>0.5</v>
      </c>
      <c r="N482" s="422">
        <v>11.242</v>
      </c>
      <c r="O482" s="422">
        <v>10.216</v>
      </c>
      <c r="P482" s="422">
        <v>14.67</v>
      </c>
      <c r="Q482" s="440" t="s">
        <v>2189</v>
      </c>
      <c r="R482" s="451" t="s">
        <v>2190</v>
      </c>
      <c r="S482" s="451" t="s">
        <v>2191</v>
      </c>
      <c r="T482" s="462" t="s">
        <v>162</v>
      </c>
      <c r="U482" s="451" t="s">
        <v>2192</v>
      </c>
      <c r="V482" s="440"/>
      <c r="W482" s="463"/>
      <c r="X482" s="437"/>
      <c r="Y482" s="442" t="str">
        <f t="shared" si="127"/>
        <v/>
      </c>
      <c r="Z482" s="537"/>
      <c r="AA482" s="465">
        <v>1.34</v>
      </c>
      <c r="AB482" s="465">
        <v>0.28</v>
      </c>
      <c r="AC482" s="436" t="str">
        <f>IF(ISNUMBER(VLOOKUP(B482,'New Masses'!A:C,3,FALSE)),VLOOKUP(B482,'New Masses'!A:C,3,FALSE),"")</f>
        <v/>
      </c>
      <c r="AD482" s="440"/>
      <c r="AE482" s="440">
        <f t="shared" si="128"/>
        <v>0.0000000002754228703</v>
      </c>
      <c r="AF482" s="444">
        <v>-9.56</v>
      </c>
      <c r="AG482" s="440"/>
      <c r="AH482" s="445">
        <v>0.25</v>
      </c>
      <c r="AI482" s="460">
        <v>0.03</v>
      </c>
      <c r="AJ482" s="446" t="str">
        <f>IF(ISNUMBER(VLOOKUP(B482,'New Masses'!A:C,2, FALSE)),VLOOKUP(B482,'New Masses'!A:C,2, FALSE),"")</f>
        <v/>
      </c>
      <c r="AK482" s="440">
        <f t="shared" si="129"/>
        <v>-0.6020599913</v>
      </c>
      <c r="AL482" s="460"/>
      <c r="AM482" s="460">
        <v>-2.9</v>
      </c>
      <c r="AN482" s="466">
        <v>43900.0</v>
      </c>
      <c r="AO482" s="436">
        <v>3.0</v>
      </c>
      <c r="AP482" s="440"/>
      <c r="AQ482" s="440"/>
      <c r="AR482" s="440"/>
      <c r="AS482" s="440"/>
      <c r="AT482" s="448"/>
      <c r="AU482" s="449"/>
      <c r="AV482" s="440"/>
      <c r="AW482" s="440"/>
      <c r="AX482" s="450">
        <v>157.753588894147</v>
      </c>
    </row>
    <row r="483">
      <c r="A483" s="553" t="s">
        <v>576</v>
      </c>
      <c r="B483" s="451" t="s">
        <v>576</v>
      </c>
      <c r="C483" s="440"/>
      <c r="D483" s="440" t="s">
        <v>314</v>
      </c>
      <c r="E483" s="440"/>
      <c r="F483" s="451" t="s">
        <v>2720</v>
      </c>
      <c r="G483" s="440" t="s">
        <v>169</v>
      </c>
      <c r="H483" s="440" t="s">
        <v>476</v>
      </c>
      <c r="I483" s="436">
        <v>2015.0</v>
      </c>
      <c r="J483" s="460">
        <v>4060.0</v>
      </c>
      <c r="K483" s="460">
        <v>187.0</v>
      </c>
      <c r="L483" s="460" t="s">
        <v>434</v>
      </c>
      <c r="M483" s="461">
        <v>1.0</v>
      </c>
      <c r="N483" s="422">
        <v>9.53</v>
      </c>
      <c r="O483" s="422">
        <v>8.014</v>
      </c>
      <c r="P483" s="422">
        <v>11.7</v>
      </c>
      <c r="Q483" s="440" t="s">
        <v>2189</v>
      </c>
      <c r="R483" s="451" t="s">
        <v>2190</v>
      </c>
      <c r="S483" s="451" t="s">
        <v>2191</v>
      </c>
      <c r="T483" s="462" t="s">
        <v>162</v>
      </c>
      <c r="U483" s="451" t="s">
        <v>2192</v>
      </c>
      <c r="V483" s="440"/>
      <c r="W483" s="463"/>
      <c r="X483" s="437"/>
      <c r="Y483" s="442" t="str">
        <f t="shared" si="127"/>
        <v/>
      </c>
      <c r="Z483" s="537"/>
      <c r="AA483" s="465">
        <v>3.2</v>
      </c>
      <c r="AB483" s="465">
        <v>0.69</v>
      </c>
      <c r="AC483" s="436" t="str">
        <f>IF(ISNUMBER(VLOOKUP(B483,'New Masses'!A:C,3,FALSE)),VLOOKUP(B483,'New Masses'!A:C,3,FALSE),"")</f>
        <v/>
      </c>
      <c r="AD483" s="440"/>
      <c r="AE483" s="440">
        <f t="shared" si="128"/>
        <v>0.00000005495408739</v>
      </c>
      <c r="AF483" s="444">
        <v>-7.26</v>
      </c>
      <c r="AG483" s="440"/>
      <c r="AH483" s="445">
        <v>0.74</v>
      </c>
      <c r="AI483" s="460">
        <v>0.2</v>
      </c>
      <c r="AJ483" s="446" t="str">
        <f>IF(ISNUMBER(VLOOKUP(B483,'New Masses'!A:C,2, FALSE)),VLOOKUP(B483,'New Masses'!A:C,2, FALSE),"")</f>
        <v/>
      </c>
      <c r="AK483" s="440">
        <f t="shared" si="129"/>
        <v>-0.1307682803</v>
      </c>
      <c r="AL483" s="460"/>
      <c r="AM483" s="460">
        <v>-0.5</v>
      </c>
      <c r="AN483" s="466">
        <v>43900.0</v>
      </c>
      <c r="AO483" s="436">
        <v>3.0</v>
      </c>
      <c r="AP483" s="440"/>
      <c r="AQ483" s="440"/>
      <c r="AR483" s="440"/>
      <c r="AS483" s="440"/>
      <c r="AT483" s="448"/>
      <c r="AU483" s="452"/>
      <c r="AV483" s="440"/>
      <c r="AW483" s="440"/>
      <c r="AX483" s="450">
        <v>156.218268164279</v>
      </c>
    </row>
    <row r="484">
      <c r="A484" s="483" t="s">
        <v>531</v>
      </c>
      <c r="B484" s="451" t="s">
        <v>531</v>
      </c>
      <c r="C484" s="440"/>
      <c r="D484" s="440" t="s">
        <v>314</v>
      </c>
      <c r="E484" s="440"/>
      <c r="F484" s="451" t="s">
        <v>2721</v>
      </c>
      <c r="G484" s="440" t="s">
        <v>169</v>
      </c>
      <c r="H484" s="440" t="s">
        <v>476</v>
      </c>
      <c r="I484" s="438"/>
      <c r="J484" s="460">
        <v>3270.0</v>
      </c>
      <c r="K484" s="460">
        <v>75.0</v>
      </c>
      <c r="L484" s="460" t="s">
        <v>395</v>
      </c>
      <c r="M484" s="461">
        <v>0.5</v>
      </c>
      <c r="N484" s="422">
        <v>11.929</v>
      </c>
      <c r="O484" s="422">
        <v>10.745</v>
      </c>
      <c r="P484" s="422">
        <v>15.39</v>
      </c>
      <c r="Q484" s="440" t="s">
        <v>2189</v>
      </c>
      <c r="R484" s="451" t="s">
        <v>2190</v>
      </c>
      <c r="S484" s="451" t="s">
        <v>2191</v>
      </c>
      <c r="T484" s="462" t="s">
        <v>162</v>
      </c>
      <c r="U484" s="451" t="s">
        <v>2192</v>
      </c>
      <c r="V484" s="440"/>
      <c r="W484" s="463"/>
      <c r="X484" s="437"/>
      <c r="Y484" s="442" t="str">
        <f t="shared" si="127"/>
        <v/>
      </c>
      <c r="Z484" s="537"/>
      <c r="AA484" s="465">
        <v>0.89</v>
      </c>
      <c r="AB484" s="465">
        <v>0.2</v>
      </c>
      <c r="AC484" s="436" t="str">
        <f>IF(ISNUMBER(VLOOKUP(B484,'New Masses'!A:C,3,FALSE)),VLOOKUP(B484,'New Masses'!A:C,3,FALSE),"")</f>
        <v/>
      </c>
      <c r="AD484" s="440"/>
      <c r="AE484" s="440">
        <f t="shared" si="128"/>
        <v>0.0000000004073802778</v>
      </c>
      <c r="AF484" s="444">
        <v>-9.39</v>
      </c>
      <c r="AG484" s="440"/>
      <c r="AH484" s="445">
        <v>0.22</v>
      </c>
      <c r="AI484" s="460">
        <v>0.03</v>
      </c>
      <c r="AJ484" s="446" t="str">
        <f>IF(ISNUMBER(VLOOKUP(B484,'New Masses'!A:C,2, FALSE)),VLOOKUP(B484,'New Masses'!A:C,2, FALSE),"")</f>
        <v/>
      </c>
      <c r="AK484" s="440">
        <f t="shared" si="129"/>
        <v>-0.6575773192</v>
      </c>
      <c r="AL484" s="460"/>
      <c r="AM484" s="460">
        <v>-2.6</v>
      </c>
      <c r="AN484" s="466">
        <v>43900.0</v>
      </c>
      <c r="AO484" s="436">
        <v>3.0</v>
      </c>
      <c r="AP484" s="440"/>
      <c r="AQ484" s="440"/>
      <c r="AR484" s="440"/>
      <c r="AS484" s="440"/>
      <c r="AT484" s="448"/>
      <c r="AU484" s="449"/>
      <c r="AV484" s="440"/>
      <c r="AW484" s="440"/>
      <c r="AX484" s="450">
        <v>159.03054976861</v>
      </c>
    </row>
    <row r="485">
      <c r="A485" s="435" t="s">
        <v>586</v>
      </c>
      <c r="B485" s="435" t="s">
        <v>587</v>
      </c>
      <c r="C485" s="440"/>
      <c r="D485" s="440" t="s">
        <v>314</v>
      </c>
      <c r="E485" s="440"/>
      <c r="F485" s="451" t="s">
        <v>2722</v>
      </c>
      <c r="G485" s="440" t="s">
        <v>159</v>
      </c>
      <c r="H485" s="440" t="s">
        <v>476</v>
      </c>
      <c r="I485" s="436">
        <v>2010.0</v>
      </c>
      <c r="J485" s="460">
        <v>4350.0</v>
      </c>
      <c r="K485" s="460">
        <v>200.0</v>
      </c>
      <c r="L485" s="460" t="s">
        <v>459</v>
      </c>
      <c r="M485" s="461">
        <v>1.0</v>
      </c>
      <c r="N485" s="422">
        <v>8.783</v>
      </c>
      <c r="O485" s="422">
        <v>7.739</v>
      </c>
      <c r="P485" s="422">
        <v>11.45</v>
      </c>
      <c r="Q485" s="440" t="s">
        <v>2189</v>
      </c>
      <c r="R485" s="451" t="s">
        <v>2190</v>
      </c>
      <c r="S485" s="451" t="s">
        <v>2191</v>
      </c>
      <c r="T485" s="462" t="s">
        <v>162</v>
      </c>
      <c r="U485" s="451" t="s">
        <v>2192</v>
      </c>
      <c r="V485" s="440"/>
      <c r="W485" s="514">
        <v>2.33</v>
      </c>
      <c r="X485" s="447">
        <v>1.0397</v>
      </c>
      <c r="Y485" s="442">
        <f t="shared" si="127"/>
        <v>2.694977374</v>
      </c>
      <c r="Z485" s="464" t="str">
        <f>0.5*((X481/W481)^2 + 16*(K481/J481)^2)^0.5</f>
        <v>#DIV/0!</v>
      </c>
      <c r="AA485" s="465">
        <v>2.69</v>
      </c>
      <c r="AB485" s="465">
        <v>0.65</v>
      </c>
      <c r="AC485" s="436" t="str">
        <f>IF(ISNUMBER(VLOOKUP(B485,'New Masses'!A:C,3,FALSE)),VLOOKUP(B485,'New Masses'!A:C,3,FALSE),"")</f>
        <v/>
      </c>
      <c r="AD485" s="440"/>
      <c r="AE485" s="440">
        <f t="shared" si="128"/>
        <v>0.000000007943282347</v>
      </c>
      <c r="AF485" s="444">
        <v>-8.1</v>
      </c>
      <c r="AG485" s="440"/>
      <c r="AH485" s="445">
        <v>1.1</v>
      </c>
      <c r="AI485" s="460">
        <v>0.0</v>
      </c>
      <c r="AJ485" s="446" t="str">
        <f>IF(ISNUMBER(VLOOKUP(B485,'New Masses'!A:C,2, FALSE)),VLOOKUP(B485,'New Masses'!A:C,2, FALSE),"")</f>
        <v/>
      </c>
      <c r="AK485" s="440">
        <f t="shared" si="129"/>
        <v>0.04139268516</v>
      </c>
      <c r="AL485" s="460"/>
      <c r="AM485" s="460">
        <v>-1.1</v>
      </c>
      <c r="AN485" s="466">
        <v>43900.0</v>
      </c>
      <c r="AO485" s="436">
        <v>3.0</v>
      </c>
      <c r="AP485" s="440"/>
      <c r="AQ485" s="440"/>
      <c r="AR485" s="440"/>
      <c r="AS485" s="440"/>
      <c r="AT485" s="448"/>
      <c r="AU485" s="452"/>
      <c r="AV485" s="440"/>
      <c r="AW485" s="440"/>
      <c r="AX485" s="450">
        <v>158.445962004658</v>
      </c>
    </row>
    <row r="486">
      <c r="A486" s="435" t="s">
        <v>511</v>
      </c>
      <c r="B486" s="435" t="s">
        <v>511</v>
      </c>
      <c r="C486" s="451" t="s">
        <v>512</v>
      </c>
      <c r="D486" s="440" t="s">
        <v>314</v>
      </c>
      <c r="E486" s="440"/>
      <c r="F486" s="451" t="s">
        <v>2696</v>
      </c>
      <c r="G486" s="440" t="s">
        <v>169</v>
      </c>
      <c r="H486" s="440" t="s">
        <v>476</v>
      </c>
      <c r="I486" s="438"/>
      <c r="J486" s="460">
        <v>3197.0</v>
      </c>
      <c r="K486" s="460">
        <v>74.0</v>
      </c>
      <c r="L486" s="460" t="s">
        <v>402</v>
      </c>
      <c r="M486" s="461">
        <v>0.5</v>
      </c>
      <c r="N486" s="422">
        <v>10.414</v>
      </c>
      <c r="O486" s="422">
        <v>9.319</v>
      </c>
      <c r="P486" s="422">
        <v>14.35</v>
      </c>
      <c r="Q486" s="440" t="s">
        <v>2189</v>
      </c>
      <c r="R486" s="451" t="s">
        <v>2190</v>
      </c>
      <c r="S486" s="451" t="s">
        <v>2191</v>
      </c>
      <c r="T486" s="462" t="s">
        <v>162</v>
      </c>
      <c r="U486" s="451" t="s">
        <v>2192</v>
      </c>
      <c r="V486" s="440"/>
      <c r="W486" s="463"/>
      <c r="X486" s="437"/>
      <c r="Y486" s="442" t="str">
        <f t="shared" si="127"/>
        <v/>
      </c>
      <c r="Z486" s="464"/>
      <c r="AA486" s="465">
        <v>0.17</v>
      </c>
      <c r="AB486" s="465">
        <v>0.04</v>
      </c>
      <c r="AC486" s="436" t="str">
        <f>IF(ISNUMBER(VLOOKUP(B486,'New Masses'!A:C,3,FALSE)),VLOOKUP(B486,'New Masses'!A:C,3,FALSE),"")</f>
        <v/>
      </c>
      <c r="AD486" s="440"/>
      <c r="AE486" s="440">
        <f t="shared" si="128"/>
        <v>0</v>
      </c>
      <c r="AF486" s="444">
        <v>-11.5</v>
      </c>
      <c r="AG486" s="440"/>
      <c r="AH486" s="445">
        <v>0.16</v>
      </c>
      <c r="AI486" s="460">
        <v>0.02</v>
      </c>
      <c r="AJ486" s="446" t="str">
        <f>IF(ISNUMBER(VLOOKUP(B486,'New Masses'!A:C,2, FALSE)),VLOOKUP(B486,'New Masses'!A:C,2, FALSE),"")</f>
        <v/>
      </c>
      <c r="AK486" s="440">
        <f t="shared" si="129"/>
        <v>-0.7958800173</v>
      </c>
      <c r="AL486" s="460"/>
      <c r="AM486" s="460">
        <v>-4.1</v>
      </c>
      <c r="AN486" s="466">
        <v>43900.0</v>
      </c>
      <c r="AO486" s="436">
        <v>3.0</v>
      </c>
      <c r="AP486" s="440"/>
      <c r="AQ486" s="440"/>
      <c r="AR486" s="440"/>
      <c r="AS486" s="440"/>
      <c r="AT486" s="448"/>
      <c r="AU486" s="449"/>
      <c r="AV486" s="440"/>
      <c r="AW486" s="440"/>
      <c r="AX486" s="450">
        <v>162.250742297146</v>
      </c>
    </row>
    <row r="487">
      <c r="A487" s="435" t="s">
        <v>562</v>
      </c>
      <c r="B487" s="451" t="s">
        <v>563</v>
      </c>
      <c r="C487" s="440"/>
      <c r="D487" s="440" t="s">
        <v>314</v>
      </c>
      <c r="E487" s="440"/>
      <c r="F487" s="451" t="s">
        <v>2723</v>
      </c>
      <c r="G487" s="440" t="s">
        <v>169</v>
      </c>
      <c r="H487" s="440" t="s">
        <v>476</v>
      </c>
      <c r="I487" s="438"/>
      <c r="J487" s="460">
        <v>3705.0</v>
      </c>
      <c r="K487" s="460">
        <v>171.0</v>
      </c>
      <c r="L487" s="460" t="s">
        <v>419</v>
      </c>
      <c r="M487" s="461">
        <v>0.5</v>
      </c>
      <c r="N487" s="422">
        <v>11.092</v>
      </c>
      <c r="O487" s="422">
        <v>9.78</v>
      </c>
      <c r="P487" s="422">
        <v>14.44</v>
      </c>
      <c r="Q487" s="440" t="s">
        <v>2189</v>
      </c>
      <c r="R487" s="451" t="s">
        <v>2190</v>
      </c>
      <c r="S487" s="451" t="s">
        <v>2191</v>
      </c>
      <c r="T487" s="462" t="s">
        <v>162</v>
      </c>
      <c r="U487" s="451" t="s">
        <v>2192</v>
      </c>
      <c r="V487" s="440"/>
      <c r="W487" s="463"/>
      <c r="X487" s="437"/>
      <c r="Y487" s="442" t="str">
        <f t="shared" si="127"/>
        <v/>
      </c>
      <c r="Z487" s="464"/>
      <c r="AA487" s="465">
        <v>1.1</v>
      </c>
      <c r="AB487" s="465">
        <v>0.25</v>
      </c>
      <c r="AC487" s="436" t="str">
        <f>IF(ISNUMBER(VLOOKUP(B487,'New Masses'!A:C,3,FALSE)),VLOOKUP(B487,'New Masses'!A:C,3,FALSE),"")</f>
        <v/>
      </c>
      <c r="AD487" s="440"/>
      <c r="AE487" s="440">
        <f t="shared" si="128"/>
        <v>0.000000001548816619</v>
      </c>
      <c r="AF487" s="444">
        <v>-8.81</v>
      </c>
      <c r="AG487" s="440"/>
      <c r="AH487" s="445">
        <v>0.46</v>
      </c>
      <c r="AI487" s="460">
        <v>0.12</v>
      </c>
      <c r="AJ487" s="446" t="str">
        <f>IF(ISNUMBER(VLOOKUP(B487,'New Masses'!A:C,2, FALSE)),VLOOKUP(B487,'New Masses'!A:C,2, FALSE),"")</f>
        <v/>
      </c>
      <c r="AK487" s="440">
        <f t="shared" si="129"/>
        <v>-0.3372421683</v>
      </c>
      <c r="AL487" s="460"/>
      <c r="AM487" s="460">
        <v>-1.8</v>
      </c>
      <c r="AN487" s="466">
        <v>43900.0</v>
      </c>
      <c r="AO487" s="436">
        <v>3.0</v>
      </c>
      <c r="AP487" s="440"/>
      <c r="AQ487" s="440"/>
      <c r="AR487" s="440"/>
      <c r="AS487" s="440"/>
      <c r="AT487" s="448"/>
      <c r="AU487" s="452"/>
      <c r="AV487" s="440"/>
      <c r="AW487" s="440"/>
      <c r="AX487" s="450">
        <v>162.81606668946</v>
      </c>
    </row>
    <row r="488">
      <c r="A488" s="419" t="s">
        <v>428</v>
      </c>
      <c r="B488" s="436" t="s">
        <v>429</v>
      </c>
      <c r="C488" s="436"/>
      <c r="D488" s="436" t="s">
        <v>224</v>
      </c>
      <c r="E488" s="436"/>
      <c r="F488" s="436" t="s">
        <v>2724</v>
      </c>
      <c r="G488" s="436" t="s">
        <v>169</v>
      </c>
      <c r="H488" s="436" t="s">
        <v>306</v>
      </c>
      <c r="I488" s="467">
        <v>39596.0</v>
      </c>
      <c r="J488" s="436">
        <v>3415.0</v>
      </c>
      <c r="K488" s="436"/>
      <c r="L488" s="436" t="s">
        <v>430</v>
      </c>
      <c r="M488" s="439"/>
      <c r="N488" s="422"/>
      <c r="O488" s="422"/>
      <c r="P488" s="422"/>
      <c r="Q488" s="436" t="s">
        <v>2239</v>
      </c>
      <c r="R488" s="436" t="s">
        <v>2240</v>
      </c>
      <c r="S488" s="436" t="s">
        <v>307</v>
      </c>
      <c r="T488" s="436" t="s">
        <v>293</v>
      </c>
      <c r="U488" s="436" t="s">
        <v>294</v>
      </c>
      <c r="V488" s="440"/>
      <c r="W488" s="468"/>
      <c r="X488" s="436"/>
      <c r="Y488" s="442" t="str">
        <f t="shared" si="127"/>
        <v/>
      </c>
      <c r="Z488" s="469"/>
      <c r="AA488" s="470">
        <v>0.81</v>
      </c>
      <c r="AB488" s="470"/>
      <c r="AC488" s="436" t="str">
        <f>IF(ISNUMBER(VLOOKUP(B488,'New Masses'!A:C,3,FALSE)),VLOOKUP(B488,'New Masses'!A:C,3,FALSE),"")</f>
        <v/>
      </c>
      <c r="AD488" s="451"/>
      <c r="AE488" s="451">
        <f t="shared" ref="AE488:AE490" si="132">10^(AF488)</f>
        <v>0.0000000002511886432</v>
      </c>
      <c r="AF488" s="439">
        <v>-9.6</v>
      </c>
      <c r="AG488" s="438"/>
      <c r="AH488" s="459">
        <v>0.37</v>
      </c>
      <c r="AI488" s="436"/>
      <c r="AJ488" s="446" t="str">
        <f>IF(ISNUMBER(VLOOKUP(B488,'New Masses'!A:C,2, FALSE)),VLOOKUP(B488,'New Masses'!A:C,2, FALSE),"")</f>
        <v/>
      </c>
      <c r="AK488" s="436">
        <f t="shared" si="129"/>
        <v>-0.4317982759</v>
      </c>
      <c r="AL488" s="436"/>
      <c r="AM488" s="436">
        <v>-2.5</v>
      </c>
      <c r="AN488" s="436"/>
      <c r="AO488" s="436">
        <v>8.0</v>
      </c>
      <c r="AP488" s="419" t="s">
        <v>156</v>
      </c>
      <c r="AQ488" s="438"/>
      <c r="AR488" s="438"/>
      <c r="AS488" s="438"/>
      <c r="AT488" s="448"/>
      <c r="AU488" s="449"/>
      <c r="AV488" s="438"/>
      <c r="AW488" s="438"/>
      <c r="AX488" s="450">
        <v>36.6222560774634</v>
      </c>
    </row>
    <row r="489">
      <c r="A489" s="419" t="s">
        <v>420</v>
      </c>
      <c r="B489" s="436" t="s">
        <v>421</v>
      </c>
      <c r="C489" s="436"/>
      <c r="D489" s="436" t="s">
        <v>224</v>
      </c>
      <c r="E489" s="436"/>
      <c r="F489" s="436" t="s">
        <v>2724</v>
      </c>
      <c r="G489" s="436" t="s">
        <v>169</v>
      </c>
      <c r="H489" s="436" t="s">
        <v>306</v>
      </c>
      <c r="I489" s="467">
        <v>39596.0</v>
      </c>
      <c r="J489" s="436">
        <v>3342.0</v>
      </c>
      <c r="K489" s="436"/>
      <c r="L489" s="436" t="s">
        <v>422</v>
      </c>
      <c r="M489" s="439"/>
      <c r="N489" s="422"/>
      <c r="O489" s="422"/>
      <c r="P489" s="422"/>
      <c r="Q489" s="436" t="s">
        <v>2239</v>
      </c>
      <c r="R489" s="436" t="s">
        <v>2240</v>
      </c>
      <c r="S489" s="436" t="s">
        <v>307</v>
      </c>
      <c r="T489" s="436" t="s">
        <v>293</v>
      </c>
      <c r="U489" s="436" t="s">
        <v>294</v>
      </c>
      <c r="V489" s="440"/>
      <c r="W489" s="468"/>
      <c r="X489" s="436"/>
      <c r="Y489" s="442" t="str">
        <f t="shared" si="127"/>
        <v/>
      </c>
      <c r="Z489" s="469"/>
      <c r="AA489" s="470">
        <v>0.69</v>
      </c>
      <c r="AB489" s="470"/>
      <c r="AC489" s="436" t="str">
        <f>IF(ISNUMBER(VLOOKUP(B489,'New Masses'!A:C,3,FALSE)),VLOOKUP(B489,'New Masses'!A:C,3,FALSE),"")</f>
        <v/>
      </c>
      <c r="AD489" s="451"/>
      <c r="AE489" s="451">
        <f t="shared" si="132"/>
        <v>0</v>
      </c>
      <c r="AF489" s="439">
        <v>-11.1</v>
      </c>
      <c r="AG489" s="438"/>
      <c r="AH489" s="459">
        <v>0.29</v>
      </c>
      <c r="AI489" s="436"/>
      <c r="AJ489" s="446" t="str">
        <f>IF(ISNUMBER(VLOOKUP(B489,'New Masses'!A:C,2, FALSE)),VLOOKUP(B489,'New Masses'!A:C,2, FALSE),"")</f>
        <v/>
      </c>
      <c r="AK489" s="436">
        <f t="shared" si="129"/>
        <v>-0.5376020021</v>
      </c>
      <c r="AL489" s="436"/>
      <c r="AM489" s="436">
        <v>-4.1</v>
      </c>
      <c r="AN489" s="438"/>
      <c r="AO489" s="436">
        <v>8.0</v>
      </c>
      <c r="AP489" s="419" t="s">
        <v>156</v>
      </c>
      <c r="AQ489" s="438"/>
      <c r="AR489" s="438"/>
      <c r="AS489" s="438"/>
      <c r="AT489" s="448"/>
      <c r="AU489" s="452"/>
      <c r="AV489" s="438"/>
      <c r="AW489" s="438"/>
      <c r="AX489" s="450">
        <v>37.349667587958464</v>
      </c>
    </row>
    <row r="490">
      <c r="A490" s="419" t="s">
        <v>356</v>
      </c>
      <c r="B490" s="419" t="s">
        <v>356</v>
      </c>
      <c r="C490" s="436"/>
      <c r="D490" s="436" t="s">
        <v>305</v>
      </c>
      <c r="E490" s="436"/>
      <c r="F490" s="436" t="s">
        <v>2725</v>
      </c>
      <c r="G490" s="436" t="s">
        <v>169</v>
      </c>
      <c r="H490" s="436" t="s">
        <v>306</v>
      </c>
      <c r="I490" s="467">
        <v>39596.0</v>
      </c>
      <c r="J490" s="436">
        <v>3058.0</v>
      </c>
      <c r="K490" s="436"/>
      <c r="L490" s="436" t="s">
        <v>264</v>
      </c>
      <c r="M490" s="439"/>
      <c r="N490" s="422">
        <v>13.463</v>
      </c>
      <c r="O490" s="422">
        <v>12.507</v>
      </c>
      <c r="P490" s="422"/>
      <c r="Q490" s="436" t="s">
        <v>2239</v>
      </c>
      <c r="R490" s="436" t="s">
        <v>2240</v>
      </c>
      <c r="S490" s="436" t="s">
        <v>307</v>
      </c>
      <c r="T490" s="436" t="s">
        <v>293</v>
      </c>
      <c r="U490" s="436" t="s">
        <v>294</v>
      </c>
      <c r="V490" s="451"/>
      <c r="W490" s="468"/>
      <c r="X490" s="436"/>
      <c r="Y490" s="442" t="str">
        <f t="shared" si="127"/>
        <v/>
      </c>
      <c r="Z490" s="537"/>
      <c r="AA490" s="470">
        <v>0.37</v>
      </c>
      <c r="AB490" s="470"/>
      <c r="AC490" s="436" t="str">
        <f>IF(ISNUMBER(VLOOKUP(B490,'New Masses'!A:C,3,FALSE)),VLOOKUP(B490,'New Masses'!A:C,3,FALSE),"")</f>
        <v/>
      </c>
      <c r="AD490" s="451"/>
      <c r="AE490" s="451">
        <f t="shared" si="132"/>
        <v>0</v>
      </c>
      <c r="AF490" s="439">
        <v>-12.2</v>
      </c>
      <c r="AG490" s="436"/>
      <c r="AH490" s="459">
        <v>0.09</v>
      </c>
      <c r="AI490" s="436"/>
      <c r="AJ490" s="446" t="str">
        <f>IF(ISNUMBER(VLOOKUP(B490,'New Masses'!A:C,2, FALSE)),VLOOKUP(B490,'New Masses'!A:C,2, FALSE),"")</f>
        <v/>
      </c>
      <c r="AK490" s="436">
        <f t="shared" si="129"/>
        <v>-1.045757491</v>
      </c>
      <c r="AL490" s="436"/>
      <c r="AM490" s="436">
        <v>-5.4</v>
      </c>
      <c r="AN490" s="436"/>
      <c r="AO490" s="436">
        <v>11.0</v>
      </c>
      <c r="AP490" s="436"/>
      <c r="AQ490" s="436"/>
      <c r="AR490" s="438"/>
      <c r="AS490" s="438"/>
      <c r="AT490" s="448"/>
      <c r="AU490" s="452"/>
      <c r="AV490" s="438"/>
      <c r="AW490" s="438"/>
      <c r="AX490" s="450">
        <v>162.292873719914</v>
      </c>
    </row>
    <row r="491">
      <c r="A491" s="419" t="s">
        <v>447</v>
      </c>
      <c r="B491" s="475" t="s">
        <v>2726</v>
      </c>
      <c r="C491" s="436"/>
      <c r="D491" s="436" t="s">
        <v>199</v>
      </c>
      <c r="E491" s="436"/>
      <c r="F491" s="436" t="s">
        <v>2727</v>
      </c>
      <c r="G491" s="436" t="s">
        <v>169</v>
      </c>
      <c r="H491" s="436" t="s">
        <v>413</v>
      </c>
      <c r="I491" s="456">
        <v>35400.0</v>
      </c>
      <c r="J491" s="438"/>
      <c r="K491" s="438"/>
      <c r="L491" s="436" t="s">
        <v>434</v>
      </c>
      <c r="M491" s="439"/>
      <c r="N491" s="422">
        <v>9.433</v>
      </c>
      <c r="O491" s="422">
        <v>8.047</v>
      </c>
      <c r="P491" s="422"/>
      <c r="Q491" s="436" t="s">
        <v>2189</v>
      </c>
      <c r="R491" s="436" t="s">
        <v>2257</v>
      </c>
      <c r="S491" s="436" t="s">
        <v>414</v>
      </c>
      <c r="T491" s="436" t="s">
        <v>293</v>
      </c>
      <c r="U491" s="436" t="s">
        <v>294</v>
      </c>
      <c r="V491" s="440"/>
      <c r="W491" s="474">
        <v>0.71</v>
      </c>
      <c r="X491" s="436"/>
      <c r="Y491" s="442"/>
      <c r="Z491" s="469"/>
      <c r="AA491" s="470">
        <v>1.74</v>
      </c>
      <c r="AB491" s="470"/>
      <c r="AC491" s="436" t="str">
        <f>IF(ISNUMBER(VLOOKUP(B491,'New Masses'!A:C,3,FALSE)),VLOOKUP(B491,'New Masses'!A:C,3,FALSE),"")</f>
        <v/>
      </c>
      <c r="AD491" s="451"/>
      <c r="AE491" s="451">
        <v>3.3E-9</v>
      </c>
      <c r="AF491" s="453">
        <f>LOG10(AE491)</f>
        <v>-8.48148606</v>
      </c>
      <c r="AG491" s="438"/>
      <c r="AH491" s="459">
        <v>0.53</v>
      </c>
      <c r="AI491" s="436"/>
      <c r="AJ491" s="446" t="str">
        <f>IF(ISNUMBER(VLOOKUP(B491,'New Masses'!A:C,2, FALSE)),VLOOKUP(B491,'New Masses'!A:C,2, FALSE),"")</f>
        <v/>
      </c>
      <c r="AK491" s="436"/>
      <c r="AL491" s="436"/>
      <c r="AM491" s="436">
        <v>0.025</v>
      </c>
      <c r="AN491" s="438"/>
      <c r="AO491" s="436">
        <v>1.0</v>
      </c>
      <c r="AP491" s="438"/>
      <c r="AQ491" s="438"/>
      <c r="AR491" s="438"/>
      <c r="AS491" s="438"/>
      <c r="AT491" s="448"/>
      <c r="AU491" s="452"/>
      <c r="AV491" s="438"/>
      <c r="AW491" s="438"/>
      <c r="AX491" s="450">
        <v>137.196795082866</v>
      </c>
    </row>
    <row r="492">
      <c r="A492" s="419" t="s">
        <v>447</v>
      </c>
      <c r="B492" s="476" t="s">
        <v>2726</v>
      </c>
      <c r="C492" s="436"/>
      <c r="D492" s="436" t="s">
        <v>199</v>
      </c>
      <c r="E492" s="436"/>
      <c r="F492" s="436" t="s">
        <v>2727</v>
      </c>
      <c r="G492" s="436" t="s">
        <v>169</v>
      </c>
      <c r="H492" s="436" t="s">
        <v>1479</v>
      </c>
      <c r="I492" s="436" t="s">
        <v>2427</v>
      </c>
      <c r="J492" s="436">
        <v>4060.0</v>
      </c>
      <c r="K492" s="436"/>
      <c r="L492" s="436" t="s">
        <v>434</v>
      </c>
      <c r="M492" s="439"/>
      <c r="N492" s="422">
        <v>9.433</v>
      </c>
      <c r="O492" s="422">
        <v>8.047</v>
      </c>
      <c r="P492" s="422"/>
      <c r="Q492" s="436" t="s">
        <v>2428</v>
      </c>
      <c r="R492" s="436" t="s">
        <v>2429</v>
      </c>
      <c r="S492" s="436" t="s">
        <v>2430</v>
      </c>
      <c r="T492" s="419" t="s">
        <v>162</v>
      </c>
      <c r="U492" s="436" t="s">
        <v>2431</v>
      </c>
      <c r="V492" s="451">
        <v>2.0896E28</v>
      </c>
      <c r="W492" s="474">
        <v>0.71</v>
      </c>
      <c r="X492" s="436"/>
      <c r="Y492" s="442">
        <f t="shared" ref="Y492:Y493" si="133">IF((W492/((J492/5780)^4))^0.5&gt;0,(W492/((J492/5780)^4))^0.5,"")</f>
        <v>1.707783385</v>
      </c>
      <c r="Z492" s="469"/>
      <c r="AA492" s="470">
        <v>1.74</v>
      </c>
      <c r="AB492" s="470"/>
      <c r="AC492" s="436" t="str">
        <f>IF(ISNUMBER(VLOOKUP(B492,'New Masses'!A:C,3,FALSE)),VLOOKUP(B492,'New Masses'!A:C,3,FALSE),"")</f>
        <v/>
      </c>
      <c r="AD492" s="440"/>
      <c r="AE492" s="440">
        <f t="shared" ref="AE492:AE495" si="134">10^AF492</f>
        <v>0.000000004897788194</v>
      </c>
      <c r="AF492" s="439">
        <v>-8.31</v>
      </c>
      <c r="AG492" s="438"/>
      <c r="AH492" s="459">
        <v>0.53</v>
      </c>
      <c r="AI492" s="436"/>
      <c r="AJ492" s="446" t="str">
        <f>IF(ISNUMBER(VLOOKUP(B492,'New Masses'!A:C,2, FALSE)),VLOOKUP(B492,'New Masses'!A:C,2, FALSE),"")</f>
        <v/>
      </c>
      <c r="AK492" s="438"/>
      <c r="AL492" s="436"/>
      <c r="AM492" s="436">
        <v>-1.43</v>
      </c>
      <c r="AN492" s="438"/>
      <c r="AO492" s="436">
        <v>11.0</v>
      </c>
      <c r="AP492" s="438"/>
      <c r="AQ492" s="438"/>
      <c r="AR492" s="438"/>
      <c r="AS492" s="438"/>
      <c r="AT492" s="448"/>
      <c r="AU492" s="449"/>
      <c r="AV492" s="438"/>
      <c r="AW492" s="438"/>
      <c r="AX492" s="450">
        <v>137.196795082866</v>
      </c>
    </row>
    <row r="493">
      <c r="A493" s="419" t="s">
        <v>1585</v>
      </c>
      <c r="B493" s="475" t="s">
        <v>2728</v>
      </c>
      <c r="C493" s="436"/>
      <c r="D493" s="436" t="s">
        <v>1496</v>
      </c>
      <c r="E493" s="436"/>
      <c r="F493" s="436" t="s">
        <v>2729</v>
      </c>
      <c r="G493" s="436" t="s">
        <v>169</v>
      </c>
      <c r="H493" s="436" t="s">
        <v>1479</v>
      </c>
      <c r="I493" s="436" t="s">
        <v>2427</v>
      </c>
      <c r="J493" s="436">
        <v>9840.0</v>
      </c>
      <c r="K493" s="436"/>
      <c r="L493" s="436" t="s">
        <v>1473</v>
      </c>
      <c r="M493" s="439"/>
      <c r="N493" s="422">
        <v>5.936</v>
      </c>
      <c r="O493" s="422">
        <v>4.23</v>
      </c>
      <c r="P493" s="422">
        <v>6.96</v>
      </c>
      <c r="Q493" s="436" t="s">
        <v>2428</v>
      </c>
      <c r="R493" s="436" t="s">
        <v>2429</v>
      </c>
      <c r="S493" s="436" t="s">
        <v>2430</v>
      </c>
      <c r="T493" s="419" t="s">
        <v>162</v>
      </c>
      <c r="U493" s="436" t="s">
        <v>2431</v>
      </c>
      <c r="V493" s="451">
        <v>2.7547E30</v>
      </c>
      <c r="W493" s="474">
        <v>48.0</v>
      </c>
      <c r="X493" s="436"/>
      <c r="Y493" s="442">
        <f t="shared" si="133"/>
        <v>2.390485417</v>
      </c>
      <c r="Z493" s="469"/>
      <c r="AA493" s="470"/>
      <c r="AB493" s="470"/>
      <c r="AC493" s="436" t="str">
        <f>IF(ISNUMBER(VLOOKUP(B493,'New Masses'!A:C,3,FALSE)),VLOOKUP(B493,'New Masses'!A:C,3,FALSE),"")</f>
        <v/>
      </c>
      <c r="AD493" s="440"/>
      <c r="AE493" s="440">
        <f t="shared" si="134"/>
        <v>0.0000001258925412</v>
      </c>
      <c r="AF493" s="439">
        <v>-6.9</v>
      </c>
      <c r="AG493" s="438"/>
      <c r="AH493" s="459">
        <v>2.4</v>
      </c>
      <c r="AI493" s="436"/>
      <c r="AJ493" s="446" t="str">
        <f>IF(ISNUMBER(VLOOKUP(B493,'New Masses'!A:C,2, FALSE)),VLOOKUP(B493,'New Masses'!A:C,2, FALSE),"")</f>
        <v/>
      </c>
      <c r="AK493" s="438"/>
      <c r="AL493" s="436"/>
      <c r="AM493" s="436">
        <v>0.5</v>
      </c>
      <c r="AN493" s="438"/>
      <c r="AO493" s="436">
        <v>1.0</v>
      </c>
      <c r="AP493" s="438"/>
      <c r="AQ493" s="438"/>
      <c r="AR493" s="438"/>
      <c r="AS493" s="438"/>
      <c r="AT493" s="448"/>
      <c r="AU493" s="452"/>
      <c r="AV493" s="438"/>
      <c r="AW493" s="438"/>
      <c r="AX493" s="450">
        <v>162.8664495114</v>
      </c>
    </row>
    <row r="494">
      <c r="A494" s="419" t="s">
        <v>1568</v>
      </c>
      <c r="B494" s="476" t="s">
        <v>2730</v>
      </c>
      <c r="C494" s="436"/>
      <c r="D494" s="438"/>
      <c r="E494" s="438"/>
      <c r="F494" s="436" t="s">
        <v>2731</v>
      </c>
      <c r="G494" s="436" t="s">
        <v>169</v>
      </c>
      <c r="H494" s="436" t="s">
        <v>1479</v>
      </c>
      <c r="I494" s="436" t="s">
        <v>2427</v>
      </c>
      <c r="J494" s="436"/>
      <c r="K494" s="436"/>
      <c r="L494" s="436" t="s">
        <v>2732</v>
      </c>
      <c r="M494" s="439"/>
      <c r="N494" s="422">
        <v>9.113</v>
      </c>
      <c r="O494" s="422">
        <v>7.897</v>
      </c>
      <c r="P494" s="422">
        <v>10.06</v>
      </c>
      <c r="Q494" s="436" t="s">
        <v>2428</v>
      </c>
      <c r="R494" s="436" t="s">
        <v>2429</v>
      </c>
      <c r="S494" s="436" t="s">
        <v>2430</v>
      </c>
      <c r="T494" s="419" t="s">
        <v>162</v>
      </c>
      <c r="U494" s="436" t="s">
        <v>2431</v>
      </c>
      <c r="V494" s="451">
        <v>6.9194E29</v>
      </c>
      <c r="W494" s="419">
        <v>27.0</v>
      </c>
      <c r="X494" s="436"/>
      <c r="Y494" s="442"/>
      <c r="Z494" s="469"/>
      <c r="AA494" s="470">
        <v>2.7</v>
      </c>
      <c r="AB494" s="470"/>
      <c r="AC494" s="436" t="str">
        <f>IF(ISNUMBER(VLOOKUP(B494,'New Masses'!A:C,3,FALSE)),VLOOKUP(B494,'New Masses'!A:C,3,FALSE),"")</f>
        <v/>
      </c>
      <c r="AD494" s="440"/>
      <c r="AE494" s="440">
        <f t="shared" si="134"/>
        <v>0.00000004570881896</v>
      </c>
      <c r="AF494" s="439">
        <v>-7.34</v>
      </c>
      <c r="AG494" s="438"/>
      <c r="AH494" s="459">
        <v>2.1</v>
      </c>
      <c r="AI494" s="436"/>
      <c r="AJ494" s="446" t="str">
        <f>IF(ISNUMBER(VLOOKUP(B494,'New Masses'!A:C,2, FALSE)),VLOOKUP(B494,'New Masses'!A:C,2, FALSE),"")</f>
        <v/>
      </c>
      <c r="AK494" s="438"/>
      <c r="AL494" s="436"/>
      <c r="AM494" s="436">
        <v>-0.05</v>
      </c>
      <c r="AN494" s="438"/>
      <c r="AO494" s="438"/>
      <c r="AP494" s="438"/>
      <c r="AQ494" s="438"/>
      <c r="AR494" s="438"/>
      <c r="AS494" s="438"/>
      <c r="AT494" s="448"/>
      <c r="AU494" s="452"/>
      <c r="AV494" s="438"/>
      <c r="AW494" s="438"/>
      <c r="AX494" s="450">
        <v>389.074780172749</v>
      </c>
    </row>
    <row r="495">
      <c r="A495" s="419" t="s">
        <v>1744</v>
      </c>
      <c r="B495" s="436" t="s">
        <v>1745</v>
      </c>
      <c r="C495" s="436"/>
      <c r="D495" s="436" t="s">
        <v>350</v>
      </c>
      <c r="E495" s="436"/>
      <c r="F495" s="436" t="s">
        <v>2733</v>
      </c>
      <c r="G495" s="437" t="s">
        <v>169</v>
      </c>
      <c r="H495" s="437" t="s">
        <v>702</v>
      </c>
      <c r="I495" s="437" t="s">
        <v>1999</v>
      </c>
      <c r="J495" s="437">
        <v>3700.0</v>
      </c>
      <c r="K495" s="438"/>
      <c r="L495" s="436" t="s">
        <v>1423</v>
      </c>
      <c r="M495" s="439"/>
      <c r="N495" s="422"/>
      <c r="O495" s="422"/>
      <c r="P495" s="422"/>
      <c r="Q495" s="436" t="s">
        <v>1632</v>
      </c>
      <c r="R495" s="438"/>
      <c r="S495" s="436" t="s">
        <v>2000</v>
      </c>
      <c r="T495" s="436" t="s">
        <v>1632</v>
      </c>
      <c r="U495" s="436" t="s">
        <v>1633</v>
      </c>
      <c r="V495" s="440"/>
      <c r="W495" s="441">
        <v>0.45</v>
      </c>
      <c r="X495" s="438"/>
      <c r="Y495" s="442">
        <f>IF((W495/((J495/5780)^4))^0.5&gt;0,(W495/((J495/5780)^4))^0.5,"")</f>
        <v>1.637036963</v>
      </c>
      <c r="Z495" s="442"/>
      <c r="AA495" s="443"/>
      <c r="AB495" s="443"/>
      <c r="AC495" s="436" t="str">
        <f>IF(ISNUMBER(VLOOKUP(B495,'New Masses'!A:C,3,FALSE)),VLOOKUP(B495,'New Masses'!A:C,3,FALSE),"")</f>
        <v/>
      </c>
      <c r="AD495" s="440"/>
      <c r="AE495" s="440">
        <f t="shared" si="134"/>
        <v>0.0000000006025595861</v>
      </c>
      <c r="AF495" s="444">
        <v>-9.22</v>
      </c>
      <c r="AG495" s="438"/>
      <c r="AH495" s="445">
        <v>0.75</v>
      </c>
      <c r="AI495" s="438"/>
      <c r="AJ495" s="446" t="str">
        <f>IF(ISNUMBER(VLOOKUP(B495,'New Masses'!A:C,2, FALSE)),VLOOKUP(B495,'New Masses'!A:C,2, FALSE),"")</f>
        <v/>
      </c>
      <c r="AK495" s="438"/>
      <c r="AL495" s="437"/>
      <c r="AM495" s="447">
        <v>-2.17</v>
      </c>
      <c r="AN495" s="438"/>
      <c r="AO495" s="436">
        <v>3.0</v>
      </c>
      <c r="AP495" s="438"/>
      <c r="AQ495" s="436"/>
      <c r="AR495" s="436"/>
      <c r="AS495" s="438"/>
      <c r="AT495" s="448"/>
      <c r="AU495" s="449" t="s">
        <v>137</v>
      </c>
      <c r="AV495" s="438" t="s">
        <v>705</v>
      </c>
      <c r="AW495" s="438"/>
      <c r="AX495" s="450"/>
    </row>
    <row r="496">
      <c r="A496" s="419" t="s">
        <v>442</v>
      </c>
      <c r="B496" s="475" t="s">
        <v>2734</v>
      </c>
      <c r="C496" s="436"/>
      <c r="D496" s="436" t="s">
        <v>199</v>
      </c>
      <c r="E496" s="436"/>
      <c r="F496" s="436" t="s">
        <v>2735</v>
      </c>
      <c r="G496" s="436" t="s">
        <v>169</v>
      </c>
      <c r="H496" s="436" t="s">
        <v>413</v>
      </c>
      <c r="I496" s="456">
        <v>35400.0</v>
      </c>
      <c r="J496" s="438"/>
      <c r="K496" s="438"/>
      <c r="L496" s="436" t="s">
        <v>434</v>
      </c>
      <c r="M496" s="439"/>
      <c r="N496" s="422">
        <v>9.1</v>
      </c>
      <c r="O496" s="422">
        <v>7.736</v>
      </c>
      <c r="P496" s="422">
        <v>11.89</v>
      </c>
      <c r="Q496" s="436" t="s">
        <v>2189</v>
      </c>
      <c r="R496" s="436" t="s">
        <v>2257</v>
      </c>
      <c r="S496" s="436" t="s">
        <v>414</v>
      </c>
      <c r="T496" s="436" t="s">
        <v>293</v>
      </c>
      <c r="U496" s="436" t="s">
        <v>294</v>
      </c>
      <c r="V496" s="440"/>
      <c r="W496" s="474">
        <v>0.925</v>
      </c>
      <c r="X496" s="436"/>
      <c r="Y496" s="442"/>
      <c r="Z496" s="469"/>
      <c r="AA496" s="470">
        <v>1.99</v>
      </c>
      <c r="AB496" s="470"/>
      <c r="AC496" s="436" t="str">
        <f>IF(ISNUMBER(VLOOKUP(B496,'New Masses'!A:C,3,FALSE)),VLOOKUP(B496,'New Masses'!A:C,3,FALSE),"")</f>
        <v/>
      </c>
      <c r="AD496" s="451"/>
      <c r="AE496" s="451">
        <v>2.88E-8</v>
      </c>
      <c r="AF496" s="453">
        <f>LOG10(AE496)</f>
        <v>-7.540607512</v>
      </c>
      <c r="AG496" s="438"/>
      <c r="AH496" s="459">
        <v>0.49</v>
      </c>
      <c r="AI496" s="436"/>
      <c r="AJ496" s="446" t="str">
        <f>IF(ISNUMBER(VLOOKUP(B496,'New Masses'!A:C,2, FALSE)),VLOOKUP(B496,'New Masses'!A:C,2, FALSE),"")</f>
        <v/>
      </c>
      <c r="AK496" s="436"/>
      <c r="AL496" s="436"/>
      <c r="AM496" s="436">
        <v>0.179</v>
      </c>
      <c r="AN496" s="438"/>
      <c r="AO496" s="436">
        <v>1.0</v>
      </c>
      <c r="AP496" s="438"/>
      <c r="AQ496" s="438"/>
      <c r="AR496" s="438"/>
      <c r="AS496" s="438"/>
      <c r="AT496" s="448"/>
      <c r="AU496" s="452"/>
      <c r="AV496" s="438"/>
      <c r="AW496" s="438"/>
      <c r="AX496" s="450">
        <v>129.075560833311</v>
      </c>
    </row>
    <row r="497">
      <c r="A497" s="435" t="s">
        <v>574</v>
      </c>
      <c r="B497" s="451" t="s">
        <v>575</v>
      </c>
      <c r="C497" s="440"/>
      <c r="D497" s="440" t="s">
        <v>314</v>
      </c>
      <c r="E497" s="440"/>
      <c r="F497" s="451" t="s">
        <v>2736</v>
      </c>
      <c r="G497" s="440" t="s">
        <v>169</v>
      </c>
      <c r="H497" s="440" t="s">
        <v>476</v>
      </c>
      <c r="I497" s="438"/>
      <c r="J497" s="460">
        <v>3850.0</v>
      </c>
      <c r="K497" s="460">
        <v>177.0</v>
      </c>
      <c r="L497" s="460" t="s">
        <v>427</v>
      </c>
      <c r="M497" s="461">
        <v>0.5</v>
      </c>
      <c r="N497" s="422"/>
      <c r="O497" s="422"/>
      <c r="P497" s="422"/>
      <c r="Q497" s="440" t="s">
        <v>2189</v>
      </c>
      <c r="R497" s="451" t="s">
        <v>2190</v>
      </c>
      <c r="S497" s="451" t="s">
        <v>2191</v>
      </c>
      <c r="T497" s="462" t="s">
        <v>162</v>
      </c>
      <c r="U497" s="451" t="s">
        <v>2192</v>
      </c>
      <c r="V497" s="440"/>
      <c r="W497" s="514">
        <v>0.488</v>
      </c>
      <c r="X497" s="447">
        <v>0.225</v>
      </c>
      <c r="Y497" s="442">
        <f t="shared" ref="Y497:Y504" si="135">IF((W497/((J497/5780)^4))^0.5&gt;0,(W497/((J497/5780)^4))^0.5,"")</f>
        <v>1.574505307</v>
      </c>
      <c r="Z497" s="464">
        <f t="shared" ref="Z497:Z498" si="136">0.5*((X493/W493)^2 + 16*(K493/J493)^2)^0.5</f>
        <v>0</v>
      </c>
      <c r="AA497" s="465">
        <v>1.61</v>
      </c>
      <c r="AB497" s="465">
        <v>0.37</v>
      </c>
      <c r="AC497" s="436" t="str">
        <f>IF(ISNUMBER(VLOOKUP(B497,'New Masses'!A:C,3,FALSE)),VLOOKUP(B497,'New Masses'!A:C,3,FALSE),"")</f>
        <v/>
      </c>
      <c r="AD497" s="440"/>
      <c r="AE497" s="440">
        <f t="shared" ref="AE497:AE499" si="137">10^AF497</f>
        <v>0.000000007244359601</v>
      </c>
      <c r="AF497" s="444">
        <v>-8.14</v>
      </c>
      <c r="AG497" s="440"/>
      <c r="AH497" s="445">
        <v>0.57</v>
      </c>
      <c r="AI497" s="460">
        <v>0.15</v>
      </c>
      <c r="AJ497" s="446" t="str">
        <f>IF(ISNUMBER(VLOOKUP(B497,'New Masses'!A:C,2, FALSE)),VLOOKUP(B497,'New Masses'!A:C,2, FALSE),"")</f>
        <v/>
      </c>
      <c r="AK497" s="440">
        <f t="shared" ref="AK497:AK498" si="138">LOG10(AH497)</f>
        <v>-0.2441251443</v>
      </c>
      <c r="AL497" s="460"/>
      <c r="AM497" s="460">
        <v>-1.2</v>
      </c>
      <c r="AN497" s="466">
        <v>43900.0</v>
      </c>
      <c r="AO497" s="436">
        <v>3.0</v>
      </c>
      <c r="AP497" s="440"/>
      <c r="AQ497" s="440"/>
      <c r="AR497" s="440"/>
      <c r="AS497" s="440"/>
      <c r="AT497" s="448"/>
      <c r="AU497" s="449"/>
      <c r="AV497" s="440"/>
      <c r="AW497" s="440"/>
      <c r="AX497" s="450">
        <v>158.478605</v>
      </c>
    </row>
    <row r="498">
      <c r="A498" s="435" t="s">
        <v>528</v>
      </c>
      <c r="B498" s="451" t="s">
        <v>529</v>
      </c>
      <c r="C498" s="440"/>
      <c r="D498" s="440" t="s">
        <v>314</v>
      </c>
      <c r="E498" s="440"/>
      <c r="F498" s="451" t="s">
        <v>2737</v>
      </c>
      <c r="G498" s="440" t="s">
        <v>169</v>
      </c>
      <c r="H498" s="440" t="s">
        <v>476</v>
      </c>
      <c r="I498" s="438"/>
      <c r="J498" s="460">
        <v>3197.0</v>
      </c>
      <c r="K498" s="460">
        <v>74.0</v>
      </c>
      <c r="L498" s="460" t="s">
        <v>402</v>
      </c>
      <c r="M498" s="461">
        <v>0.5</v>
      </c>
      <c r="N498" s="422"/>
      <c r="O498" s="422"/>
      <c r="P498" s="422"/>
      <c r="Q498" s="440" t="s">
        <v>2189</v>
      </c>
      <c r="R498" s="451" t="s">
        <v>2190</v>
      </c>
      <c r="S498" s="451" t="s">
        <v>2191</v>
      </c>
      <c r="T498" s="462" t="s">
        <v>162</v>
      </c>
      <c r="U498" s="451" t="s">
        <v>2192</v>
      </c>
      <c r="V498" s="440"/>
      <c r="W498" s="514">
        <v>0.118</v>
      </c>
      <c r="X498" s="447">
        <v>0.054</v>
      </c>
      <c r="Y498" s="442">
        <f t="shared" si="135"/>
        <v>1.122823279</v>
      </c>
      <c r="Z498" s="464" t="str">
        <f t="shared" si="136"/>
        <v>#DIV/0!</v>
      </c>
      <c r="AA498" s="465">
        <v>1.12</v>
      </c>
      <c r="AB498" s="465">
        <v>0.26</v>
      </c>
      <c r="AC498" s="436" t="str">
        <f>IF(ISNUMBER(VLOOKUP(B498,'New Masses'!A:C,3,FALSE)),VLOOKUP(B498,'New Masses'!A:C,3,FALSE),"")</f>
        <v/>
      </c>
      <c r="AD498" s="440"/>
      <c r="AE498" s="440">
        <f t="shared" si="137"/>
        <v>0.0000000001819700859</v>
      </c>
      <c r="AF498" s="444">
        <v>-9.74</v>
      </c>
      <c r="AG498" s="440"/>
      <c r="AH498" s="445">
        <v>0.2</v>
      </c>
      <c r="AI498" s="460">
        <v>0.03</v>
      </c>
      <c r="AJ498" s="446" t="str">
        <f>IF(ISNUMBER(VLOOKUP(B498,'New Masses'!A:C,2, FALSE)),VLOOKUP(B498,'New Masses'!A:C,2, FALSE),"")</f>
        <v/>
      </c>
      <c r="AK498" s="440">
        <f t="shared" si="138"/>
        <v>-0.6989700043</v>
      </c>
      <c r="AL498" s="460"/>
      <c r="AM498" s="460">
        <v>-3.1</v>
      </c>
      <c r="AN498" s="466">
        <v>43900.0</v>
      </c>
      <c r="AO498" s="436">
        <v>3.0</v>
      </c>
      <c r="AP498" s="440"/>
      <c r="AQ498" s="440"/>
      <c r="AR498" s="440"/>
      <c r="AS498" s="440"/>
      <c r="AT498" s="448"/>
      <c r="AU498" s="452"/>
      <c r="AV498" s="440"/>
      <c r="AW498" s="440"/>
      <c r="AX498" s="450">
        <v>158.982512</v>
      </c>
    </row>
    <row r="499">
      <c r="A499" s="435" t="s">
        <v>1752</v>
      </c>
      <c r="B499" s="436" t="s">
        <v>1753</v>
      </c>
      <c r="C499" s="436"/>
      <c r="D499" s="436" t="s">
        <v>350</v>
      </c>
      <c r="E499" s="436"/>
      <c r="F499" s="436" t="s">
        <v>2738</v>
      </c>
      <c r="G499" s="437" t="s">
        <v>169</v>
      </c>
      <c r="H499" s="437" t="s">
        <v>702</v>
      </c>
      <c r="I499" s="437" t="s">
        <v>1999</v>
      </c>
      <c r="J499" s="437">
        <v>4000.0</v>
      </c>
      <c r="K499" s="438"/>
      <c r="L499" s="436" t="s">
        <v>1423</v>
      </c>
      <c r="M499" s="439"/>
      <c r="N499" s="422">
        <v>11.518</v>
      </c>
      <c r="O499" s="422">
        <v>10.421</v>
      </c>
      <c r="P499" s="422">
        <v>13.44</v>
      </c>
      <c r="Q499" s="436" t="s">
        <v>1632</v>
      </c>
      <c r="R499" s="438"/>
      <c r="S499" s="436" t="s">
        <v>2000</v>
      </c>
      <c r="T499" s="436" t="s">
        <v>1632</v>
      </c>
      <c r="U499" s="436" t="s">
        <v>1633</v>
      </c>
      <c r="V499" s="451"/>
      <c r="W499" s="441">
        <v>0.47</v>
      </c>
      <c r="X499" s="438"/>
      <c r="Y499" s="442">
        <f t="shared" si="135"/>
        <v>1.43147782</v>
      </c>
      <c r="Z499" s="442"/>
      <c r="AA499" s="443"/>
      <c r="AB499" s="443"/>
      <c r="AC499" s="436" t="str">
        <f>IF(ISNUMBER(VLOOKUP(B499,'New Masses'!A:C,3,FALSE)),VLOOKUP(B499,'New Masses'!A:C,3,FALSE),"")</f>
        <v/>
      </c>
      <c r="AD499" s="440"/>
      <c r="AE499" s="440">
        <f t="shared" si="137"/>
        <v>0.0000000006760829754</v>
      </c>
      <c r="AF499" s="444">
        <v>-9.17</v>
      </c>
      <c r="AG499" s="438"/>
      <c r="AH499" s="445">
        <v>1.0</v>
      </c>
      <c r="AI499" s="438"/>
      <c r="AJ499" s="446" t="str">
        <f>IF(ISNUMBER(VLOOKUP(B499,'New Masses'!A:C,2, FALSE)),VLOOKUP(B499,'New Masses'!A:C,2, FALSE),"")</f>
        <v/>
      </c>
      <c r="AK499" s="438"/>
      <c r="AL499" s="437"/>
      <c r="AM499" s="447">
        <v>-1.93</v>
      </c>
      <c r="AN499" s="438"/>
      <c r="AO499" s="436">
        <v>3.0</v>
      </c>
      <c r="AP499" s="438"/>
      <c r="AQ499" s="436"/>
      <c r="AR499" s="436"/>
      <c r="AS499" s="438"/>
      <c r="AT499" s="448"/>
      <c r="AU499" s="452" t="s">
        <v>137</v>
      </c>
      <c r="AV499" s="438" t="s">
        <v>705</v>
      </c>
      <c r="AW499" s="438"/>
      <c r="AX499" s="450">
        <v>404.710834109029</v>
      </c>
    </row>
    <row r="500">
      <c r="A500" s="435" t="s">
        <v>2017</v>
      </c>
      <c r="B500" s="436" t="s">
        <v>2018</v>
      </c>
      <c r="C500" s="436"/>
      <c r="D500" s="436" t="s">
        <v>350</v>
      </c>
      <c r="E500" s="436"/>
      <c r="F500" s="436" t="s">
        <v>2739</v>
      </c>
      <c r="G500" s="437" t="s">
        <v>169</v>
      </c>
      <c r="H500" s="437" t="s">
        <v>702</v>
      </c>
      <c r="I500" s="437" t="s">
        <v>1999</v>
      </c>
      <c r="J500" s="437">
        <v>3900.0</v>
      </c>
      <c r="K500" s="438"/>
      <c r="L500" s="436" t="s">
        <v>459</v>
      </c>
      <c r="M500" s="439"/>
      <c r="N500" s="422">
        <v>11.495</v>
      </c>
      <c r="O500" s="422">
        <v>10.029</v>
      </c>
      <c r="P500" s="422"/>
      <c r="Q500" s="436" t="s">
        <v>1632</v>
      </c>
      <c r="R500" s="438"/>
      <c r="S500" s="436" t="s">
        <v>2000</v>
      </c>
      <c r="T500" s="436" t="s">
        <v>1632</v>
      </c>
      <c r="U500" s="436" t="s">
        <v>1633</v>
      </c>
      <c r="V500" s="451"/>
      <c r="W500" s="441">
        <v>0.63</v>
      </c>
      <c r="X500" s="438"/>
      <c r="Y500" s="442">
        <f t="shared" si="135"/>
        <v>1.743398779</v>
      </c>
      <c r="Z500" s="442"/>
      <c r="AA500" s="443"/>
      <c r="AB500" s="443"/>
      <c r="AC500" s="436" t="str">
        <f>IF(ISNUMBER(VLOOKUP(B500,'New Masses'!A:C,3,FALSE)),VLOOKUP(B500,'New Masses'!A:C,3,FALSE),"")</f>
        <v/>
      </c>
      <c r="AD500" s="440"/>
      <c r="AE500" s="440"/>
      <c r="AF500" s="444"/>
      <c r="AG500" s="438"/>
      <c r="AH500" s="445">
        <v>1.0</v>
      </c>
      <c r="AI500" s="438"/>
      <c r="AJ500" s="446" t="str">
        <f>IF(ISNUMBER(VLOOKUP(B500,'New Masses'!A:C,2, FALSE)),VLOOKUP(B500,'New Masses'!A:C,2, FALSE),"")</f>
        <v/>
      </c>
      <c r="AK500" s="438"/>
      <c r="AL500" s="437"/>
      <c r="AM500" s="437"/>
      <c r="AN500" s="438"/>
      <c r="AO500" s="436">
        <v>3.0</v>
      </c>
      <c r="AP500" s="438"/>
      <c r="AQ500" s="438"/>
      <c r="AR500" s="436"/>
      <c r="AS500" s="438"/>
      <c r="AT500" s="448"/>
      <c r="AU500" s="452" t="s">
        <v>137</v>
      </c>
      <c r="AV500" s="438" t="s">
        <v>705</v>
      </c>
      <c r="AW500" s="438"/>
      <c r="AX500" s="450">
        <v>397.883261051207</v>
      </c>
    </row>
    <row r="501">
      <c r="A501" s="435" t="s">
        <v>1957</v>
      </c>
      <c r="B501" s="436" t="s">
        <v>1958</v>
      </c>
      <c r="C501" s="436"/>
      <c r="D501" s="436" t="s">
        <v>676</v>
      </c>
      <c r="E501" s="436"/>
      <c r="F501" s="436" t="s">
        <v>2740</v>
      </c>
      <c r="G501" s="436" t="s">
        <v>189</v>
      </c>
      <c r="H501" s="436" t="s">
        <v>598</v>
      </c>
      <c r="I501" s="467">
        <v>37985.0</v>
      </c>
      <c r="J501" s="436">
        <v>3342.0</v>
      </c>
      <c r="K501" s="436"/>
      <c r="L501" s="436" t="s">
        <v>571</v>
      </c>
      <c r="M501" s="439"/>
      <c r="N501" s="422"/>
      <c r="O501" s="422">
        <v>8.685</v>
      </c>
      <c r="P501" s="422">
        <v>14.23</v>
      </c>
      <c r="Q501" s="436" t="s">
        <v>2194</v>
      </c>
      <c r="R501" s="436" t="s">
        <v>2195</v>
      </c>
      <c r="S501" s="436" t="s">
        <v>2196</v>
      </c>
      <c r="T501" s="436" t="s">
        <v>596</v>
      </c>
      <c r="U501" s="436" t="s">
        <v>597</v>
      </c>
      <c r="V501" s="451"/>
      <c r="W501" s="468"/>
      <c r="X501" s="436"/>
      <c r="Y501" s="442" t="str">
        <f t="shared" si="135"/>
        <v/>
      </c>
      <c r="Z501" s="537"/>
      <c r="AA501" s="470"/>
      <c r="AB501" s="470"/>
      <c r="AC501" s="436" t="str">
        <f>IF(ISNUMBER(VLOOKUP(B501,'New Masses'!A:C,3,FALSE)),VLOOKUP(B501,'New Masses'!A:C,3,FALSE),"")</f>
        <v/>
      </c>
      <c r="AD501" s="440"/>
      <c r="AE501" s="440"/>
      <c r="AF501" s="439"/>
      <c r="AG501" s="436"/>
      <c r="AH501" s="459">
        <v>0.35</v>
      </c>
      <c r="AI501" s="436"/>
      <c r="AJ501" s="446" t="str">
        <f>IF(ISNUMBER(VLOOKUP(B501,'New Masses'!A:C,2, FALSE)),VLOOKUP(B501,'New Masses'!A:C,2, FALSE),"")</f>
        <v/>
      </c>
      <c r="AK501" s="436"/>
      <c r="AL501" s="436"/>
      <c r="AM501" s="436"/>
      <c r="AN501" s="436"/>
      <c r="AO501" s="436">
        <v>2.0</v>
      </c>
      <c r="AP501" s="436"/>
      <c r="AQ501" s="436"/>
      <c r="AR501" s="438"/>
      <c r="AS501" s="438"/>
      <c r="AT501" s="448"/>
      <c r="AU501" s="449" t="s">
        <v>137</v>
      </c>
      <c r="AV501" s="438"/>
      <c r="AW501" s="438"/>
      <c r="AX501" s="450">
        <v>185.082361650934</v>
      </c>
    </row>
    <row r="502">
      <c r="A502" s="435" t="s">
        <v>1957</v>
      </c>
      <c r="B502" s="436" t="s">
        <v>1959</v>
      </c>
      <c r="C502" s="436"/>
      <c r="D502" s="436" t="s">
        <v>676</v>
      </c>
      <c r="E502" s="436"/>
      <c r="F502" s="436" t="s">
        <v>2740</v>
      </c>
      <c r="G502" s="436" t="s">
        <v>189</v>
      </c>
      <c r="H502" s="436" t="s">
        <v>598</v>
      </c>
      <c r="I502" s="467">
        <v>37985.0</v>
      </c>
      <c r="J502" s="436">
        <v>3850.0</v>
      </c>
      <c r="K502" s="436"/>
      <c r="L502" s="436" t="s">
        <v>422</v>
      </c>
      <c r="M502" s="439"/>
      <c r="N502" s="422"/>
      <c r="O502" s="422">
        <v>8.685</v>
      </c>
      <c r="P502" s="422">
        <v>14.23</v>
      </c>
      <c r="Q502" s="436" t="s">
        <v>2194</v>
      </c>
      <c r="R502" s="436" t="s">
        <v>2195</v>
      </c>
      <c r="S502" s="436" t="s">
        <v>2196</v>
      </c>
      <c r="T502" s="436" t="s">
        <v>596</v>
      </c>
      <c r="U502" s="436" t="s">
        <v>597</v>
      </c>
      <c r="V502" s="451"/>
      <c r="W502" s="474">
        <v>0.27</v>
      </c>
      <c r="X502" s="436"/>
      <c r="Y502" s="442">
        <f t="shared" si="135"/>
        <v>1.171159646</v>
      </c>
      <c r="Z502" s="537"/>
      <c r="AA502" s="470">
        <v>1.2</v>
      </c>
      <c r="AB502" s="470"/>
      <c r="AC502" s="436" t="str">
        <f>IF(ISNUMBER(VLOOKUP(B502,'New Masses'!A:C,3,FALSE)),VLOOKUP(B502,'New Masses'!A:C,3,FALSE),"")</f>
        <v/>
      </c>
      <c r="AD502" s="440"/>
      <c r="AE502" s="440"/>
      <c r="AF502" s="439"/>
      <c r="AG502" s="436"/>
      <c r="AH502" s="459">
        <v>0.73</v>
      </c>
      <c r="AI502" s="436"/>
      <c r="AJ502" s="446" t="str">
        <f>IF(ISNUMBER(VLOOKUP(B502,'New Masses'!A:C,2, FALSE)),VLOOKUP(B502,'New Masses'!A:C,2, FALSE),"")</f>
        <v/>
      </c>
      <c r="AK502" s="436"/>
      <c r="AL502" s="436"/>
      <c r="AM502" s="436"/>
      <c r="AN502" s="436"/>
      <c r="AO502" s="436">
        <v>2.0</v>
      </c>
      <c r="AP502" s="436"/>
      <c r="AQ502" s="436"/>
      <c r="AR502" s="438"/>
      <c r="AS502" s="438"/>
      <c r="AT502" s="448"/>
      <c r="AU502" s="452" t="s">
        <v>137</v>
      </c>
      <c r="AV502" s="438"/>
      <c r="AW502" s="438"/>
      <c r="AX502" s="450">
        <v>185.082361650934</v>
      </c>
    </row>
    <row r="503">
      <c r="A503" s="435" t="s">
        <v>2003</v>
      </c>
      <c r="B503" s="436" t="s">
        <v>2004</v>
      </c>
      <c r="C503" s="436"/>
      <c r="D503" s="436" t="s">
        <v>350</v>
      </c>
      <c r="E503" s="436"/>
      <c r="F503" s="436" t="s">
        <v>2741</v>
      </c>
      <c r="G503" s="437" t="s">
        <v>169</v>
      </c>
      <c r="H503" s="437" t="s">
        <v>702</v>
      </c>
      <c r="I503" s="437" t="s">
        <v>1999</v>
      </c>
      <c r="J503" s="437">
        <v>3600.0</v>
      </c>
      <c r="K503" s="438"/>
      <c r="L503" s="436" t="s">
        <v>2006</v>
      </c>
      <c r="M503" s="439"/>
      <c r="N503" s="422">
        <v>10.131</v>
      </c>
      <c r="O503" s="422">
        <v>8.666</v>
      </c>
      <c r="P503" s="422">
        <v>11.38</v>
      </c>
      <c r="Q503" s="436" t="s">
        <v>1632</v>
      </c>
      <c r="R503" s="438"/>
      <c r="S503" s="436" t="s">
        <v>2000</v>
      </c>
      <c r="T503" s="436" t="s">
        <v>1632</v>
      </c>
      <c r="U503" s="436" t="s">
        <v>1633</v>
      </c>
      <c r="V503" s="451"/>
      <c r="W503" s="441">
        <v>1.52</v>
      </c>
      <c r="X503" s="438"/>
      <c r="Y503" s="442">
        <f t="shared" si="135"/>
        <v>3.178135938</v>
      </c>
      <c r="Z503" s="442"/>
      <c r="AA503" s="443"/>
      <c r="AB503" s="443"/>
      <c r="AC503" s="436" t="str">
        <f>IF(ISNUMBER(VLOOKUP(B503,'New Masses'!A:C,3,FALSE)),VLOOKUP(B503,'New Masses'!A:C,3,FALSE),"")</f>
        <v/>
      </c>
      <c r="AD503" s="440"/>
      <c r="AE503" s="440"/>
      <c r="AF503" s="444"/>
      <c r="AG503" s="438"/>
      <c r="AH503" s="445">
        <v>0.75</v>
      </c>
      <c r="AI503" s="438"/>
      <c r="AJ503" s="446" t="str">
        <f>IF(ISNUMBER(VLOOKUP(B503,'New Masses'!A:C,2, FALSE)),VLOOKUP(B503,'New Masses'!A:C,2, FALSE),"")</f>
        <v/>
      </c>
      <c r="AK503" s="438"/>
      <c r="AL503" s="437"/>
      <c r="AM503" s="437"/>
      <c r="AN503" s="438"/>
      <c r="AO503" s="436">
        <v>3.0</v>
      </c>
      <c r="AP503" s="438"/>
      <c r="AQ503" s="438"/>
      <c r="AR503" s="436"/>
      <c r="AS503" s="438"/>
      <c r="AT503" s="448"/>
      <c r="AU503" s="452" t="s">
        <v>2005</v>
      </c>
      <c r="AV503" s="438" t="s">
        <v>705</v>
      </c>
      <c r="AW503" s="438"/>
      <c r="AX503" s="450">
        <v>571.886080292805</v>
      </c>
    </row>
    <row r="504">
      <c r="A504" s="435" t="s">
        <v>706</v>
      </c>
      <c r="B504" s="436" t="s">
        <v>707</v>
      </c>
      <c r="C504" s="436"/>
      <c r="D504" s="436" t="s">
        <v>350</v>
      </c>
      <c r="E504" s="436"/>
      <c r="F504" s="436" t="s">
        <v>2742</v>
      </c>
      <c r="G504" s="437" t="s">
        <v>515</v>
      </c>
      <c r="H504" s="437" t="s">
        <v>702</v>
      </c>
      <c r="I504" s="437" t="s">
        <v>1999</v>
      </c>
      <c r="J504" s="437">
        <v>3500.0</v>
      </c>
      <c r="K504" s="438"/>
      <c r="L504" s="436" t="s">
        <v>709</v>
      </c>
      <c r="M504" s="439"/>
      <c r="N504" s="422">
        <v>10.445</v>
      </c>
      <c r="O504" s="422">
        <v>9.311</v>
      </c>
      <c r="P504" s="422">
        <v>13.08</v>
      </c>
      <c r="Q504" s="436" t="s">
        <v>1632</v>
      </c>
      <c r="R504" s="438"/>
      <c r="S504" s="436" t="s">
        <v>2000</v>
      </c>
      <c r="T504" s="436" t="s">
        <v>1632</v>
      </c>
      <c r="U504" s="436" t="s">
        <v>1633</v>
      </c>
      <c r="V504" s="451"/>
      <c r="W504" s="441">
        <v>0.69</v>
      </c>
      <c r="X504" s="438"/>
      <c r="Y504" s="442">
        <f t="shared" si="135"/>
        <v>2.265396022</v>
      </c>
      <c r="Z504" s="442"/>
      <c r="AA504" s="443"/>
      <c r="AB504" s="443"/>
      <c r="AC504" s="436" t="str">
        <f>IF(ISNUMBER(VLOOKUP(B504,'New Masses'!A:C,3,FALSE)),VLOOKUP(B504,'New Masses'!A:C,3,FALSE),"")</f>
        <v/>
      </c>
      <c r="AD504" s="440"/>
      <c r="AE504" s="440"/>
      <c r="AF504" s="444"/>
      <c r="AG504" s="438"/>
      <c r="AH504" s="445">
        <v>0.6</v>
      </c>
      <c r="AI504" s="438"/>
      <c r="AJ504" s="446" t="str">
        <f>IF(ISNUMBER(VLOOKUP(B504,'New Masses'!A:C,2, FALSE)),VLOOKUP(B504,'New Masses'!A:C,2, FALSE),"")</f>
        <v/>
      </c>
      <c r="AK504" s="438"/>
      <c r="AL504" s="437"/>
      <c r="AM504" s="437"/>
      <c r="AN504" s="438"/>
      <c r="AO504" s="436">
        <v>3.0</v>
      </c>
      <c r="AP504" s="438"/>
      <c r="AQ504" s="438"/>
      <c r="AR504" s="436"/>
      <c r="AS504" s="438"/>
      <c r="AT504" s="448"/>
      <c r="AU504" s="452" t="s">
        <v>137</v>
      </c>
      <c r="AV504" s="438" t="s">
        <v>705</v>
      </c>
      <c r="AW504" s="438"/>
      <c r="AX504" s="450">
        <v>411.353352529823</v>
      </c>
    </row>
    <row r="505">
      <c r="A505" s="435" t="s">
        <v>432</v>
      </c>
      <c r="B505" s="436" t="s">
        <v>2743</v>
      </c>
      <c r="C505" s="436"/>
      <c r="D505" s="436" t="s">
        <v>199</v>
      </c>
      <c r="E505" s="436"/>
      <c r="F505" s="436" t="s">
        <v>2744</v>
      </c>
      <c r="G505" s="436" t="s">
        <v>169</v>
      </c>
      <c r="H505" s="436" t="s">
        <v>413</v>
      </c>
      <c r="I505" s="456">
        <v>35400.0</v>
      </c>
      <c r="J505" s="438"/>
      <c r="K505" s="438"/>
      <c r="L505" s="436" t="s">
        <v>434</v>
      </c>
      <c r="M505" s="439"/>
      <c r="N505" s="422">
        <v>9.134</v>
      </c>
      <c r="O505" s="422">
        <v>7.239</v>
      </c>
      <c r="P505" s="422">
        <v>10.59</v>
      </c>
      <c r="Q505" s="436" t="s">
        <v>2189</v>
      </c>
      <c r="R505" s="436" t="s">
        <v>2257</v>
      </c>
      <c r="S505" s="436" t="s">
        <v>414</v>
      </c>
      <c r="T505" s="436" t="s">
        <v>293</v>
      </c>
      <c r="U505" s="436" t="s">
        <v>294</v>
      </c>
      <c r="V505" s="440"/>
      <c r="W505" s="468"/>
      <c r="X505" s="436"/>
      <c r="Y505" s="442"/>
      <c r="Z505" s="537"/>
      <c r="AA505" s="470">
        <v>2.6</v>
      </c>
      <c r="AB505" s="470"/>
      <c r="AC505" s="436" t="str">
        <f>IF(ISNUMBER(VLOOKUP(B505,'New Masses'!A:C,3,FALSE)),VLOOKUP(B505,'New Masses'!A:C,3,FALSE),"")</f>
        <v/>
      </c>
      <c r="AD505" s="451"/>
      <c r="AE505" s="451">
        <v>6.56E-8</v>
      </c>
      <c r="AF505" s="453">
        <f>LOG10(AE505)</f>
        <v>-7.183096161</v>
      </c>
      <c r="AG505" s="438"/>
      <c r="AH505" s="459">
        <v>0.421</v>
      </c>
      <c r="AI505" s="436"/>
      <c r="AJ505" s="446" t="str">
        <f>IF(ISNUMBER(VLOOKUP(B505,'New Masses'!A:C,2, FALSE)),VLOOKUP(B505,'New Masses'!A:C,2, FALSE),"")</f>
        <v/>
      </c>
      <c r="AK505" s="436"/>
      <c r="AL505" s="436"/>
      <c r="AM505" s="436">
        <v>0.268</v>
      </c>
      <c r="AN505" s="438"/>
      <c r="AO505" s="436">
        <v>1.0</v>
      </c>
      <c r="AP505" s="438"/>
      <c r="AQ505" s="438"/>
      <c r="AR505" s="438"/>
      <c r="AS505" s="438"/>
      <c r="AT505" s="448"/>
      <c r="AU505" s="452"/>
      <c r="AV505" s="438"/>
      <c r="AW505" s="438"/>
      <c r="AX505" s="450">
        <v>155.608116519357</v>
      </c>
    </row>
    <row r="506">
      <c r="A506" s="435" t="s">
        <v>1954</v>
      </c>
      <c r="B506" s="436" t="s">
        <v>1955</v>
      </c>
      <c r="C506" s="436"/>
      <c r="D506" s="436" t="s">
        <v>676</v>
      </c>
      <c r="E506" s="436"/>
      <c r="F506" s="436" t="s">
        <v>2745</v>
      </c>
      <c r="G506" s="436" t="s">
        <v>169</v>
      </c>
      <c r="H506" s="436" t="s">
        <v>598</v>
      </c>
      <c r="I506" s="467">
        <v>37985.0</v>
      </c>
      <c r="J506" s="436">
        <v>3138.0</v>
      </c>
      <c r="K506" s="436"/>
      <c r="L506" s="436" t="s">
        <v>1956</v>
      </c>
      <c r="M506" s="439"/>
      <c r="N506" s="422">
        <v>11.204</v>
      </c>
      <c r="O506" s="422">
        <v>10.003</v>
      </c>
      <c r="P506" s="422"/>
      <c r="Q506" s="436" t="s">
        <v>2194</v>
      </c>
      <c r="R506" s="436" t="s">
        <v>2195</v>
      </c>
      <c r="S506" s="436" t="s">
        <v>2196</v>
      </c>
      <c r="T506" s="436" t="s">
        <v>596</v>
      </c>
      <c r="U506" s="436" t="s">
        <v>597</v>
      </c>
      <c r="V506" s="451"/>
      <c r="W506" s="474">
        <v>0.12</v>
      </c>
      <c r="X506" s="436"/>
      <c r="Y506" s="442">
        <f t="shared" ref="Y506:Y519" si="139">IF((W506/((J506/5780)^4))^0.5&gt;0,(W506/((J506/5780)^4))^0.5,"")</f>
        <v>1.175277498</v>
      </c>
      <c r="Z506" s="537"/>
      <c r="AA506" s="470">
        <v>1.2</v>
      </c>
      <c r="AB506" s="470"/>
      <c r="AC506" s="436" t="str">
        <f>IF(ISNUMBER(VLOOKUP(B506,'New Masses'!A:C,3,FALSE)),VLOOKUP(B506,'New Masses'!A:C,3,FALSE),"")</f>
        <v/>
      </c>
      <c r="AD506" s="440"/>
      <c r="AE506" s="440"/>
      <c r="AF506" s="439"/>
      <c r="AG506" s="436"/>
      <c r="AH506" s="459">
        <v>0.18</v>
      </c>
      <c r="AI506" s="436"/>
      <c r="AJ506" s="446" t="str">
        <f>IF(ISNUMBER(VLOOKUP(B506,'New Masses'!A:C,2, FALSE)),VLOOKUP(B506,'New Masses'!A:C,2, FALSE),"")</f>
        <v/>
      </c>
      <c r="AK506" s="436"/>
      <c r="AL506" s="436"/>
      <c r="AM506" s="436"/>
      <c r="AN506" s="436"/>
      <c r="AO506" s="436">
        <v>2.0</v>
      </c>
      <c r="AP506" s="436"/>
      <c r="AQ506" s="436"/>
      <c r="AR506" s="436"/>
      <c r="AS506" s="438"/>
      <c r="AT506" s="448"/>
      <c r="AU506" s="452" t="s">
        <v>137</v>
      </c>
      <c r="AV506" s="420" t="s">
        <v>629</v>
      </c>
      <c r="AW506" s="438"/>
      <c r="AX506" s="450">
        <v>190.338421713807</v>
      </c>
    </row>
    <row r="507">
      <c r="A507" s="435" t="s">
        <v>1703</v>
      </c>
      <c r="B507" s="436" t="s">
        <v>1704</v>
      </c>
      <c r="C507" s="436"/>
      <c r="D507" s="436" t="s">
        <v>350</v>
      </c>
      <c r="E507" s="436"/>
      <c r="F507" s="436" t="s">
        <v>2746</v>
      </c>
      <c r="G507" s="437" t="s">
        <v>169</v>
      </c>
      <c r="H507" s="437" t="s">
        <v>702</v>
      </c>
      <c r="I507" s="437" t="s">
        <v>1999</v>
      </c>
      <c r="J507" s="437">
        <v>3300.0</v>
      </c>
      <c r="K507" s="438"/>
      <c r="L507" s="436" t="s">
        <v>1685</v>
      </c>
      <c r="M507" s="439"/>
      <c r="N507" s="422">
        <v>13.685</v>
      </c>
      <c r="O507" s="422">
        <v>12.424</v>
      </c>
      <c r="P507" s="422">
        <v>17.22</v>
      </c>
      <c r="Q507" s="436" t="s">
        <v>1632</v>
      </c>
      <c r="R507" s="438"/>
      <c r="S507" s="436" t="s">
        <v>2000</v>
      </c>
      <c r="T507" s="436" t="s">
        <v>1632</v>
      </c>
      <c r="U507" s="436" t="s">
        <v>1633</v>
      </c>
      <c r="V507" s="451"/>
      <c r="W507" s="441">
        <v>0.04</v>
      </c>
      <c r="X507" s="438"/>
      <c r="Y507" s="442">
        <f t="shared" si="139"/>
        <v>0.6135610652</v>
      </c>
      <c r="Z507" s="442"/>
      <c r="AA507" s="443"/>
      <c r="AB507" s="443"/>
      <c r="AC507" s="436" t="str">
        <f>IF(ISNUMBER(VLOOKUP(B507,'New Masses'!A:C,3,FALSE)),VLOOKUP(B507,'New Masses'!A:C,3,FALSE),"")</f>
        <v/>
      </c>
      <c r="AD507" s="440"/>
      <c r="AE507" s="440">
        <f t="shared" ref="AE507:AE512" si="140">10^AF507</f>
        <v>0.0000000004265795188</v>
      </c>
      <c r="AF507" s="444">
        <v>-9.37</v>
      </c>
      <c r="AG507" s="438"/>
      <c r="AH507" s="445">
        <v>0.25</v>
      </c>
      <c r="AI507" s="438"/>
      <c r="AJ507" s="446" t="str">
        <f>IF(ISNUMBER(VLOOKUP(B507,'New Masses'!A:C,2, FALSE)),VLOOKUP(B507,'New Masses'!A:C,2, FALSE),"")</f>
        <v/>
      </c>
      <c r="AK507" s="438"/>
      <c r="AL507" s="437"/>
      <c r="AM507" s="447">
        <v>-2.39</v>
      </c>
      <c r="AN507" s="438"/>
      <c r="AO507" s="436">
        <v>3.0</v>
      </c>
      <c r="AP507" s="438"/>
      <c r="AQ507" s="438"/>
      <c r="AR507" s="436"/>
      <c r="AS507" s="438"/>
      <c r="AT507" s="448"/>
      <c r="AU507" s="452"/>
      <c r="AV507" s="438" t="s">
        <v>705</v>
      </c>
      <c r="AW507" s="438"/>
      <c r="AX507" s="450">
        <v>377.700558996827</v>
      </c>
    </row>
    <row r="508">
      <c r="A508" s="435" t="s">
        <v>377</v>
      </c>
      <c r="B508" s="436" t="s">
        <v>378</v>
      </c>
      <c r="C508" s="436"/>
      <c r="D508" s="436" t="s">
        <v>350</v>
      </c>
      <c r="E508" s="436"/>
      <c r="F508" s="436" t="s">
        <v>2747</v>
      </c>
      <c r="G508" s="436" t="s">
        <v>169</v>
      </c>
      <c r="H508" s="436" t="s">
        <v>352</v>
      </c>
      <c r="I508" s="436" t="s">
        <v>2223</v>
      </c>
      <c r="J508" s="436">
        <v>3060.0</v>
      </c>
      <c r="K508" s="436"/>
      <c r="L508" s="436" t="s">
        <v>264</v>
      </c>
      <c r="M508" s="439"/>
      <c r="N508" s="422">
        <v>13.412</v>
      </c>
      <c r="O508" s="422">
        <v>12.49</v>
      </c>
      <c r="P508" s="422">
        <v>17.14</v>
      </c>
      <c r="Q508" s="436" t="s">
        <v>2224</v>
      </c>
      <c r="R508" s="436" t="s">
        <v>2225</v>
      </c>
      <c r="S508" s="436" t="s">
        <v>2191</v>
      </c>
      <c r="T508" s="436" t="s">
        <v>293</v>
      </c>
      <c r="U508" s="436" t="s">
        <v>294</v>
      </c>
      <c r="V508" s="440"/>
      <c r="W508" s="474">
        <v>0.07</v>
      </c>
      <c r="X508" s="436"/>
      <c r="Y508" s="442">
        <f t="shared" si="139"/>
        <v>0.9439779369</v>
      </c>
      <c r="Z508" s="469"/>
      <c r="AA508" s="470">
        <v>1.02</v>
      </c>
      <c r="AB508" s="470"/>
      <c r="AC508" s="436" t="str">
        <f>IF(ISNUMBER(VLOOKUP(B508,'New Masses'!A:C,3,FALSE)),VLOOKUP(B508,'New Masses'!A:C,3,FALSE),"")</f>
        <v/>
      </c>
      <c r="AD508" s="440"/>
      <c r="AE508" s="440">
        <f t="shared" si="140"/>
        <v>0.0000000001071519305</v>
      </c>
      <c r="AF508" s="439">
        <v>-9.97</v>
      </c>
      <c r="AG508" s="438"/>
      <c r="AH508" s="459">
        <v>0.14</v>
      </c>
      <c r="AI508" s="436"/>
      <c r="AJ508" s="446" t="str">
        <f>IF(ISNUMBER(VLOOKUP(B508,'New Masses'!A:C,2, FALSE)),VLOOKUP(B508,'New Masses'!A:C,2, FALSE),"")</f>
        <v/>
      </c>
      <c r="AK508" s="436"/>
      <c r="AL508" s="436"/>
      <c r="AM508" s="436">
        <v>-3.1</v>
      </c>
      <c r="AN508" s="466">
        <v>43864.0</v>
      </c>
      <c r="AO508" s="436">
        <v>3.0</v>
      </c>
      <c r="AP508" s="436"/>
      <c r="AQ508" s="438"/>
      <c r="AR508" s="438"/>
      <c r="AS508" s="438"/>
      <c r="AT508" s="448"/>
      <c r="AU508" s="452"/>
      <c r="AV508" s="438"/>
      <c r="AW508" s="438"/>
      <c r="AX508" s="450"/>
    </row>
    <row r="509">
      <c r="A509" s="435" t="s">
        <v>377</v>
      </c>
      <c r="B509" s="436" t="s">
        <v>378</v>
      </c>
      <c r="C509" s="436"/>
      <c r="D509" s="436" t="s">
        <v>350</v>
      </c>
      <c r="E509" s="436"/>
      <c r="F509" s="436" t="s">
        <v>2748</v>
      </c>
      <c r="G509" s="437" t="s">
        <v>169</v>
      </c>
      <c r="H509" s="437" t="s">
        <v>702</v>
      </c>
      <c r="I509" s="437" t="s">
        <v>1999</v>
      </c>
      <c r="J509" s="437">
        <v>3100.0</v>
      </c>
      <c r="K509" s="438"/>
      <c r="L509" s="438"/>
      <c r="M509" s="453"/>
      <c r="N509" s="422">
        <v>13.412</v>
      </c>
      <c r="O509" s="422">
        <v>12.49</v>
      </c>
      <c r="P509" s="422">
        <v>17.14</v>
      </c>
      <c r="Q509" s="436" t="s">
        <v>1632</v>
      </c>
      <c r="R509" s="438"/>
      <c r="S509" s="436" t="s">
        <v>2000</v>
      </c>
      <c r="T509" s="436" t="s">
        <v>1632</v>
      </c>
      <c r="U509" s="436" t="s">
        <v>1633</v>
      </c>
      <c r="V509" s="440"/>
      <c r="W509" s="441">
        <v>0.07</v>
      </c>
      <c r="X509" s="438"/>
      <c r="Y509" s="442">
        <f t="shared" si="139"/>
        <v>0.9197743819</v>
      </c>
      <c r="Z509" s="442"/>
      <c r="AA509" s="443"/>
      <c r="AB509" s="443"/>
      <c r="AC509" s="436" t="str">
        <f>IF(ISNUMBER(VLOOKUP(B509,'New Masses'!A:C,3,FALSE)),VLOOKUP(B509,'New Masses'!A:C,3,FALSE),"")</f>
        <v/>
      </c>
      <c r="AD509" s="440"/>
      <c r="AE509" s="440">
        <f t="shared" si="140"/>
        <v>0.0000000004786300923</v>
      </c>
      <c r="AF509" s="444">
        <v>-9.32</v>
      </c>
      <c r="AG509" s="438"/>
      <c r="AH509" s="445">
        <v>0.15</v>
      </c>
      <c r="AI509" s="438"/>
      <c r="AJ509" s="446" t="str">
        <f>IF(ISNUMBER(VLOOKUP(B509,'New Masses'!A:C,2, FALSE)),VLOOKUP(B509,'New Masses'!A:C,2, FALSE),"")</f>
        <v/>
      </c>
      <c r="AK509" s="438"/>
      <c r="AL509" s="437"/>
      <c r="AM509" s="447">
        <v>-2.73</v>
      </c>
      <c r="AN509" s="438"/>
      <c r="AO509" s="436">
        <v>3.0</v>
      </c>
      <c r="AP509" s="438"/>
      <c r="AQ509" s="438"/>
      <c r="AR509" s="438"/>
      <c r="AS509" s="438"/>
      <c r="AT509" s="448"/>
      <c r="AU509" s="449"/>
      <c r="AV509" s="438"/>
      <c r="AW509" s="438"/>
      <c r="AX509" s="450"/>
    </row>
    <row r="510">
      <c r="A510" s="435" t="s">
        <v>348</v>
      </c>
      <c r="B510" s="436" t="s">
        <v>349</v>
      </c>
      <c r="C510" s="436"/>
      <c r="D510" s="436" t="s">
        <v>350</v>
      </c>
      <c r="E510" s="436"/>
      <c r="F510" s="436" t="s">
        <v>2749</v>
      </c>
      <c r="G510" s="436" t="s">
        <v>169</v>
      </c>
      <c r="H510" s="436" t="s">
        <v>352</v>
      </c>
      <c r="I510" s="436" t="s">
        <v>2223</v>
      </c>
      <c r="J510" s="436">
        <v>2990.0</v>
      </c>
      <c r="K510" s="436"/>
      <c r="L510" s="436" t="s">
        <v>353</v>
      </c>
      <c r="M510" s="439"/>
      <c r="N510" s="422">
        <v>14.88</v>
      </c>
      <c r="O510" s="422">
        <v>13.57</v>
      </c>
      <c r="P510" s="422">
        <v>19.08</v>
      </c>
      <c r="Q510" s="436" t="s">
        <v>2224</v>
      </c>
      <c r="R510" s="436" t="s">
        <v>2225</v>
      </c>
      <c r="S510" s="436" t="s">
        <v>2191</v>
      </c>
      <c r="T510" s="436" t="s">
        <v>293</v>
      </c>
      <c r="U510" s="436" t="s">
        <v>294</v>
      </c>
      <c r="V510" s="440"/>
      <c r="W510" s="474">
        <v>0.02</v>
      </c>
      <c r="X510" s="436"/>
      <c r="Y510" s="442">
        <f t="shared" si="139"/>
        <v>0.5284796857</v>
      </c>
      <c r="Z510" s="469"/>
      <c r="AA510" s="470">
        <v>0.47</v>
      </c>
      <c r="AB510" s="470"/>
      <c r="AC510" s="436" t="str">
        <f>IF(ISNUMBER(VLOOKUP(B510,'New Masses'!A:C,3,FALSE)),VLOOKUP(B510,'New Masses'!A:C,3,FALSE),"")</f>
        <v/>
      </c>
      <c r="AD510" s="440"/>
      <c r="AE510" s="440">
        <f t="shared" si="140"/>
        <v>0</v>
      </c>
      <c r="AF510" s="439">
        <v>-10.27</v>
      </c>
      <c r="AG510" s="438"/>
      <c r="AH510" s="459">
        <v>0.08</v>
      </c>
      <c r="AI510" s="436"/>
      <c r="AJ510" s="446" t="str">
        <f>IF(ISNUMBER(VLOOKUP(B510,'New Masses'!A:C,2, FALSE)),VLOOKUP(B510,'New Masses'!A:C,2, FALSE),"")</f>
        <v/>
      </c>
      <c r="AK510" s="436"/>
      <c r="AL510" s="436"/>
      <c r="AM510" s="436">
        <v>-3.95</v>
      </c>
      <c r="AN510" s="466">
        <v>43864.0</v>
      </c>
      <c r="AO510" s="436">
        <v>3.0</v>
      </c>
      <c r="AP510" s="436"/>
      <c r="AQ510" s="438"/>
      <c r="AR510" s="438"/>
      <c r="AS510" s="438"/>
      <c r="AT510" s="448"/>
      <c r="AU510" s="452"/>
      <c r="AV510" s="438"/>
      <c r="AW510" s="438"/>
      <c r="AX510" s="450">
        <v>338.90263327346</v>
      </c>
    </row>
    <row r="511">
      <c r="A511" s="435" t="s">
        <v>348</v>
      </c>
      <c r="B511" s="436" t="s">
        <v>349</v>
      </c>
      <c r="C511" s="436"/>
      <c r="D511" s="436" t="s">
        <v>350</v>
      </c>
      <c r="E511" s="436"/>
      <c r="F511" s="436" t="s">
        <v>2750</v>
      </c>
      <c r="G511" s="437" t="s">
        <v>169</v>
      </c>
      <c r="H511" s="437" t="s">
        <v>702</v>
      </c>
      <c r="I511" s="437" t="s">
        <v>1999</v>
      </c>
      <c r="J511" s="437">
        <v>3000.0</v>
      </c>
      <c r="K511" s="438"/>
      <c r="L511" s="438"/>
      <c r="M511" s="453"/>
      <c r="N511" s="422">
        <v>14.88</v>
      </c>
      <c r="O511" s="422">
        <v>13.57</v>
      </c>
      <c r="P511" s="422">
        <v>19.08</v>
      </c>
      <c r="Q511" s="436" t="s">
        <v>1632</v>
      </c>
      <c r="R511" s="438"/>
      <c r="S511" s="436" t="s">
        <v>2000</v>
      </c>
      <c r="T511" s="436" t="s">
        <v>1632</v>
      </c>
      <c r="U511" s="436" t="s">
        <v>1633</v>
      </c>
      <c r="V511" s="440"/>
      <c r="W511" s="441">
        <v>0.02</v>
      </c>
      <c r="X511" s="438"/>
      <c r="Y511" s="442">
        <f t="shared" si="139"/>
        <v>0.5249623597</v>
      </c>
      <c r="Z511" s="442"/>
      <c r="AA511" s="443"/>
      <c r="AB511" s="443"/>
      <c r="AC511" s="436" t="str">
        <f>IF(ISNUMBER(VLOOKUP(B511,'New Masses'!A:C,3,FALSE)),VLOOKUP(B511,'New Masses'!A:C,3,FALSE),"")</f>
        <v/>
      </c>
      <c r="AD511" s="440"/>
      <c r="AE511" s="440">
        <f t="shared" si="140"/>
        <v>0.0000000001202264435</v>
      </c>
      <c r="AF511" s="444">
        <v>-9.92</v>
      </c>
      <c r="AG511" s="438"/>
      <c r="AH511" s="445">
        <v>0.1</v>
      </c>
      <c r="AI511" s="438"/>
      <c r="AJ511" s="446" t="str">
        <f>IF(ISNUMBER(VLOOKUP(B511,'New Masses'!A:C,2, FALSE)),VLOOKUP(B511,'New Masses'!A:C,2, FALSE),"")</f>
        <v/>
      </c>
      <c r="AK511" s="438"/>
      <c r="AL511" s="437"/>
      <c r="AM511" s="447">
        <v>-3.27</v>
      </c>
      <c r="AN511" s="438"/>
      <c r="AO511" s="436">
        <v>3.0</v>
      </c>
      <c r="AP511" s="438"/>
      <c r="AQ511" s="438"/>
      <c r="AR511" s="438"/>
      <c r="AS511" s="438"/>
      <c r="AT511" s="448"/>
      <c r="AU511" s="449"/>
      <c r="AV511" s="438"/>
      <c r="AW511" s="438"/>
      <c r="AX511" s="450">
        <v>338.90263327346</v>
      </c>
    </row>
    <row r="512">
      <c r="A512" s="435" t="s">
        <v>1644</v>
      </c>
      <c r="B512" s="436" t="s">
        <v>1645</v>
      </c>
      <c r="C512" s="436"/>
      <c r="D512" s="436" t="s">
        <v>350</v>
      </c>
      <c r="E512" s="436"/>
      <c r="F512" s="436" t="s">
        <v>2751</v>
      </c>
      <c r="G512" s="437" t="s">
        <v>169</v>
      </c>
      <c r="H512" s="437" t="s">
        <v>702</v>
      </c>
      <c r="I512" s="437" t="s">
        <v>1999</v>
      </c>
      <c r="J512" s="437">
        <v>3000.0</v>
      </c>
      <c r="K512" s="438"/>
      <c r="L512" s="436" t="s">
        <v>1646</v>
      </c>
      <c r="M512" s="439"/>
      <c r="N512" s="422">
        <v>14.362</v>
      </c>
      <c r="O512" s="422">
        <v>13.2</v>
      </c>
      <c r="P512" s="422">
        <v>17.67</v>
      </c>
      <c r="Q512" s="436" t="s">
        <v>1632</v>
      </c>
      <c r="R512" s="438"/>
      <c r="S512" s="436" t="s">
        <v>2000</v>
      </c>
      <c r="T512" s="436" t="s">
        <v>1632</v>
      </c>
      <c r="U512" s="436" t="s">
        <v>1633</v>
      </c>
      <c r="V512" s="440"/>
      <c r="W512" s="441">
        <v>0.03</v>
      </c>
      <c r="X512" s="438"/>
      <c r="Y512" s="442">
        <f t="shared" si="139"/>
        <v>0.6429449578</v>
      </c>
      <c r="Z512" s="442"/>
      <c r="AA512" s="443"/>
      <c r="AB512" s="443"/>
      <c r="AC512" s="436" t="str">
        <f>IF(ISNUMBER(VLOOKUP(B512,'New Masses'!A:C,3,FALSE)),VLOOKUP(B512,'New Masses'!A:C,3,FALSE),"")</f>
        <v/>
      </c>
      <c r="AD512" s="440"/>
      <c r="AE512" s="440">
        <f t="shared" si="140"/>
        <v>0</v>
      </c>
      <c r="AF512" s="444">
        <v>-10.03</v>
      </c>
      <c r="AG512" s="438"/>
      <c r="AH512" s="445">
        <v>0.09</v>
      </c>
      <c r="AI512" s="438"/>
      <c r="AJ512" s="446" t="str">
        <f>IF(ISNUMBER(VLOOKUP(B512,'New Masses'!A:C,2, FALSE)),VLOOKUP(B512,'New Masses'!A:C,2, FALSE),"")</f>
        <v/>
      </c>
      <c r="AK512" s="438"/>
      <c r="AL512" s="437"/>
      <c r="AM512" s="447">
        <v>-3.51</v>
      </c>
      <c r="AN512" s="438"/>
      <c r="AO512" s="436">
        <v>3.0</v>
      </c>
      <c r="AP512" s="438"/>
      <c r="AQ512" s="438"/>
      <c r="AR512" s="436"/>
      <c r="AS512" s="438"/>
      <c r="AT512" s="448"/>
      <c r="AU512" s="449"/>
      <c r="AV512" s="438" t="s">
        <v>1647</v>
      </c>
      <c r="AW512" s="438"/>
      <c r="AX512" s="450">
        <v>411.742907728414</v>
      </c>
    </row>
    <row r="513">
      <c r="A513" s="435" t="s">
        <v>1997</v>
      </c>
      <c r="B513" s="436" t="s">
        <v>1998</v>
      </c>
      <c r="C513" s="436"/>
      <c r="D513" s="436" t="s">
        <v>350</v>
      </c>
      <c r="E513" s="436"/>
      <c r="F513" s="436" t="s">
        <v>2752</v>
      </c>
      <c r="G513" s="437" t="s">
        <v>169</v>
      </c>
      <c r="H513" s="437" t="s">
        <v>702</v>
      </c>
      <c r="I513" s="437" t="s">
        <v>1999</v>
      </c>
      <c r="J513" s="437">
        <v>4000.0</v>
      </c>
      <c r="K513" s="438"/>
      <c r="L513" s="436" t="s">
        <v>434</v>
      </c>
      <c r="M513" s="439"/>
      <c r="N513" s="422">
        <v>11.955</v>
      </c>
      <c r="O513" s="422">
        <v>9.944</v>
      </c>
      <c r="P513" s="422">
        <v>13.54</v>
      </c>
      <c r="Q513" s="436" t="s">
        <v>1632</v>
      </c>
      <c r="R513" s="438"/>
      <c r="S513" s="436" t="s">
        <v>2000</v>
      </c>
      <c r="T513" s="436" t="s">
        <v>1632</v>
      </c>
      <c r="U513" s="436" t="s">
        <v>1633</v>
      </c>
      <c r="V513" s="451"/>
      <c r="W513" s="441">
        <v>0.41</v>
      </c>
      <c r="X513" s="438"/>
      <c r="Y513" s="442">
        <f t="shared" si="139"/>
        <v>1.336988349</v>
      </c>
      <c r="Z513" s="442"/>
      <c r="AA513" s="443"/>
      <c r="AB513" s="443"/>
      <c r="AC513" s="436" t="str">
        <f>IF(ISNUMBER(VLOOKUP(B513,'New Masses'!A:C,3,FALSE)),VLOOKUP(B513,'New Masses'!A:C,3,FALSE),"")</f>
        <v/>
      </c>
      <c r="AD513" s="440"/>
      <c r="AE513" s="440"/>
      <c r="AF513" s="444"/>
      <c r="AG513" s="438"/>
      <c r="AH513" s="445">
        <v>1.0</v>
      </c>
      <c r="AI513" s="438"/>
      <c r="AJ513" s="446" t="str">
        <f>IF(ISNUMBER(VLOOKUP(B513,'New Masses'!A:C,2, FALSE)),VLOOKUP(B513,'New Masses'!A:C,2, FALSE),"")</f>
        <v/>
      </c>
      <c r="AK513" s="438"/>
      <c r="AL513" s="437"/>
      <c r="AM513" s="437"/>
      <c r="AN513" s="438"/>
      <c r="AO513" s="436">
        <v>3.0</v>
      </c>
      <c r="AP513" s="438"/>
      <c r="AQ513" s="438"/>
      <c r="AR513" s="436"/>
      <c r="AS513" s="438"/>
      <c r="AT513" s="448"/>
      <c r="AU513" s="452" t="s">
        <v>137</v>
      </c>
      <c r="AV513" s="438" t="s">
        <v>1676</v>
      </c>
      <c r="AW513" s="438"/>
      <c r="AX513" s="450">
        <v>397.393101255762</v>
      </c>
    </row>
    <row r="514">
      <c r="A514" s="435" t="s">
        <v>1727</v>
      </c>
      <c r="B514" s="436" t="s">
        <v>1728</v>
      </c>
      <c r="C514" s="436"/>
      <c r="D514" s="436" t="s">
        <v>350</v>
      </c>
      <c r="E514" s="436"/>
      <c r="F514" s="436" t="s">
        <v>2753</v>
      </c>
      <c r="G514" s="437" t="s">
        <v>169</v>
      </c>
      <c r="H514" s="437" t="s">
        <v>702</v>
      </c>
      <c r="I514" s="437" t="s">
        <v>1999</v>
      </c>
      <c r="J514" s="437">
        <v>3500.0</v>
      </c>
      <c r="K514" s="438"/>
      <c r="L514" s="436" t="s">
        <v>558</v>
      </c>
      <c r="M514" s="439"/>
      <c r="N514" s="422">
        <v>11.988</v>
      </c>
      <c r="O514" s="422">
        <v>11.039</v>
      </c>
      <c r="P514" s="422">
        <v>15.19</v>
      </c>
      <c r="Q514" s="436" t="s">
        <v>1632</v>
      </c>
      <c r="R514" s="438"/>
      <c r="S514" s="436" t="s">
        <v>2000</v>
      </c>
      <c r="T514" s="436" t="s">
        <v>1632</v>
      </c>
      <c r="U514" s="436" t="s">
        <v>1633</v>
      </c>
      <c r="V514" s="451"/>
      <c r="W514" s="441">
        <v>0.3</v>
      </c>
      <c r="X514" s="438"/>
      <c r="Y514" s="442">
        <f t="shared" si="139"/>
        <v>1.493757901</v>
      </c>
      <c r="Z514" s="442"/>
      <c r="AA514" s="443"/>
      <c r="AB514" s="443"/>
      <c r="AC514" s="436" t="str">
        <f>IF(ISNUMBER(VLOOKUP(B514,'New Masses'!A:C,3,FALSE)),VLOOKUP(B514,'New Masses'!A:C,3,FALSE),"")</f>
        <v/>
      </c>
      <c r="AD514" s="440"/>
      <c r="AE514" s="440">
        <f t="shared" ref="AE514:AE519" si="141">10^AF514</f>
        <v>0.000000000645654229</v>
      </c>
      <c r="AF514" s="444">
        <v>-9.19</v>
      </c>
      <c r="AG514" s="438"/>
      <c r="AH514" s="445">
        <v>0.5</v>
      </c>
      <c r="AI514" s="438"/>
      <c r="AJ514" s="446" t="str">
        <f>IF(ISNUMBER(VLOOKUP(B514,'New Masses'!A:C,2, FALSE)),VLOOKUP(B514,'New Masses'!A:C,2, FALSE),"")</f>
        <v/>
      </c>
      <c r="AK514" s="438"/>
      <c r="AL514" s="437"/>
      <c r="AM514" s="447">
        <v>-2.28</v>
      </c>
      <c r="AN514" s="438"/>
      <c r="AO514" s="436">
        <v>3.0</v>
      </c>
      <c r="AP514" s="438"/>
      <c r="AQ514" s="438"/>
      <c r="AR514" s="436"/>
      <c r="AS514" s="438"/>
      <c r="AT514" s="448"/>
      <c r="AU514" s="452"/>
      <c r="AV514" s="438" t="s">
        <v>705</v>
      </c>
      <c r="AW514" s="438"/>
      <c r="AX514" s="450"/>
    </row>
    <row r="515">
      <c r="A515" s="435" t="s">
        <v>1729</v>
      </c>
      <c r="B515" s="436" t="s">
        <v>1730</v>
      </c>
      <c r="C515" s="436"/>
      <c r="D515" s="436" t="s">
        <v>350</v>
      </c>
      <c r="E515" s="436"/>
      <c r="F515" s="436" t="s">
        <v>2754</v>
      </c>
      <c r="G515" s="437" t="s">
        <v>169</v>
      </c>
      <c r="H515" s="437" t="s">
        <v>702</v>
      </c>
      <c r="I515" s="437" t="s">
        <v>1999</v>
      </c>
      <c r="J515" s="437">
        <v>3500.0</v>
      </c>
      <c r="K515" s="438"/>
      <c r="L515" s="436" t="s">
        <v>1423</v>
      </c>
      <c r="M515" s="439"/>
      <c r="N515" s="422">
        <v>11.501</v>
      </c>
      <c r="O515" s="422">
        <v>9.911</v>
      </c>
      <c r="P515" s="422">
        <v>14.09</v>
      </c>
      <c r="Q515" s="436" t="s">
        <v>1632</v>
      </c>
      <c r="R515" s="438"/>
      <c r="S515" s="436" t="s">
        <v>2000</v>
      </c>
      <c r="T515" s="436" t="s">
        <v>1632</v>
      </c>
      <c r="U515" s="436" t="s">
        <v>1633</v>
      </c>
      <c r="V515" s="451"/>
      <c r="W515" s="441">
        <v>0.53</v>
      </c>
      <c r="X515" s="438"/>
      <c r="Y515" s="442">
        <f t="shared" si="139"/>
        <v>1.985443455</v>
      </c>
      <c r="Z515" s="442"/>
      <c r="AA515" s="443"/>
      <c r="AB515" s="443"/>
      <c r="AC515" s="436" t="str">
        <f>IF(ISNUMBER(VLOOKUP(B515,'New Masses'!A:C,3,FALSE)),VLOOKUP(B515,'New Masses'!A:C,3,FALSE),"")</f>
        <v/>
      </c>
      <c r="AD515" s="440"/>
      <c r="AE515" s="440">
        <f t="shared" si="141"/>
        <v>0.000000002238721139</v>
      </c>
      <c r="AF515" s="444">
        <v>-8.65</v>
      </c>
      <c r="AG515" s="438"/>
      <c r="AH515" s="445">
        <v>0.55</v>
      </c>
      <c r="AI515" s="438"/>
      <c r="AJ515" s="446" t="str">
        <f>IF(ISNUMBER(VLOOKUP(B515,'New Masses'!A:C,2, FALSE)),VLOOKUP(B515,'New Masses'!A:C,2, FALSE),"")</f>
        <v/>
      </c>
      <c r="AK515" s="438"/>
      <c r="AL515" s="437"/>
      <c r="AM515" s="447">
        <v>-1.82</v>
      </c>
      <c r="AN515" s="438"/>
      <c r="AO515" s="436">
        <v>3.0</v>
      </c>
      <c r="AP515" s="438"/>
      <c r="AQ515" s="436"/>
      <c r="AR515" s="436"/>
      <c r="AS515" s="438"/>
      <c r="AT515" s="448"/>
      <c r="AU515" s="452" t="s">
        <v>1670</v>
      </c>
      <c r="AV515" s="438" t="s">
        <v>705</v>
      </c>
      <c r="AW515" s="438"/>
      <c r="AX515" s="450">
        <v>402.965828497743</v>
      </c>
    </row>
    <row r="516">
      <c r="A516" s="419" t="s">
        <v>1540</v>
      </c>
      <c r="B516" s="475" t="s">
        <v>2755</v>
      </c>
      <c r="C516" s="436"/>
      <c r="D516" s="436" t="s">
        <v>2425</v>
      </c>
      <c r="E516" s="436"/>
      <c r="F516" s="436" t="s">
        <v>2756</v>
      </c>
      <c r="G516" s="436" t="s">
        <v>169</v>
      </c>
      <c r="H516" s="436" t="s">
        <v>1479</v>
      </c>
      <c r="I516" s="436" t="s">
        <v>2427</v>
      </c>
      <c r="J516" s="436">
        <v>4450.0</v>
      </c>
      <c r="K516" s="436"/>
      <c r="L516" s="436" t="s">
        <v>459</v>
      </c>
      <c r="M516" s="439"/>
      <c r="N516" s="422"/>
      <c r="O516" s="422"/>
      <c r="P516" s="422"/>
      <c r="Q516" s="436" t="s">
        <v>2428</v>
      </c>
      <c r="R516" s="436" t="s">
        <v>2429</v>
      </c>
      <c r="S516" s="436" t="s">
        <v>2430</v>
      </c>
      <c r="T516" s="419" t="s">
        <v>162</v>
      </c>
      <c r="U516" s="436" t="s">
        <v>2431</v>
      </c>
      <c r="V516" s="451">
        <v>5.0127E29</v>
      </c>
      <c r="W516" s="474">
        <v>7.1</v>
      </c>
      <c r="X516" s="436"/>
      <c r="Y516" s="442">
        <f t="shared" si="139"/>
        <v>4.495363647</v>
      </c>
      <c r="Z516" s="469"/>
      <c r="AA516" s="470"/>
      <c r="AB516" s="470"/>
      <c r="AC516" s="436" t="str">
        <f>IF(ISNUMBER(VLOOKUP(B516,'New Masses'!A:C,3,FALSE)),VLOOKUP(B516,'New Masses'!A:C,3,FALSE),"")</f>
        <v/>
      </c>
      <c r="AD516" s="440"/>
      <c r="AE516" s="440">
        <f t="shared" si="141"/>
        <v>0.00000007943282347</v>
      </c>
      <c r="AF516" s="439">
        <v>-7.1</v>
      </c>
      <c r="AG516" s="438"/>
      <c r="AH516" s="459">
        <v>1.5</v>
      </c>
      <c r="AI516" s="436"/>
      <c r="AJ516" s="446" t="str">
        <f>IF(ISNUMBER(VLOOKUP(B516,'New Masses'!A:C,2, FALSE)),VLOOKUP(B516,'New Masses'!A:C,2, FALSE),"")</f>
        <v/>
      </c>
      <c r="AK516" s="438"/>
      <c r="AL516" s="436"/>
      <c r="AM516" s="436">
        <v>-0.18</v>
      </c>
      <c r="AN516" s="438"/>
      <c r="AO516" s="436">
        <v>1.0</v>
      </c>
      <c r="AP516" s="438"/>
      <c r="AQ516" s="438"/>
      <c r="AR516" s="438"/>
      <c r="AS516" s="438"/>
      <c r="AT516" s="448"/>
      <c r="AU516" s="449"/>
      <c r="AV516" s="438"/>
      <c r="AW516" s="438"/>
      <c r="AX516" s="450">
        <v>127.9263144428809</v>
      </c>
    </row>
    <row r="517">
      <c r="A517" s="419" t="s">
        <v>1482</v>
      </c>
      <c r="B517" s="476" t="s">
        <v>2757</v>
      </c>
      <c r="C517" s="436"/>
      <c r="D517" s="436" t="s">
        <v>2425</v>
      </c>
      <c r="E517" s="436"/>
      <c r="F517" s="436" t="s">
        <v>2758</v>
      </c>
      <c r="G517" s="436" t="s">
        <v>169</v>
      </c>
      <c r="H517" s="436" t="s">
        <v>1479</v>
      </c>
      <c r="I517" s="436" t="s">
        <v>2427</v>
      </c>
      <c r="J517" s="436">
        <v>3450.0</v>
      </c>
      <c r="K517" s="436"/>
      <c r="L517" s="436" t="s">
        <v>430</v>
      </c>
      <c r="M517" s="439"/>
      <c r="N517" s="422"/>
      <c r="O517" s="422"/>
      <c r="P517" s="422"/>
      <c r="Q517" s="436" t="s">
        <v>2428</v>
      </c>
      <c r="R517" s="436" t="s">
        <v>2429</v>
      </c>
      <c r="S517" s="436" t="s">
        <v>2430</v>
      </c>
      <c r="T517" s="419" t="s">
        <v>162</v>
      </c>
      <c r="U517" s="436" t="s">
        <v>2431</v>
      </c>
      <c r="V517" s="451">
        <v>2.692E29</v>
      </c>
      <c r="W517" s="474">
        <v>2.19</v>
      </c>
      <c r="X517" s="436"/>
      <c r="Y517" s="442">
        <f t="shared" si="139"/>
        <v>4.153742251</v>
      </c>
      <c r="Z517" s="469"/>
      <c r="AA517" s="470"/>
      <c r="AB517" s="470"/>
      <c r="AC517" s="436" t="str">
        <f>IF(ISNUMBER(VLOOKUP(B517,'New Masses'!A:C,3,FALSE)),VLOOKUP(B517,'New Masses'!A:C,3,FALSE),"")</f>
        <v/>
      </c>
      <c r="AD517" s="440"/>
      <c r="AE517" s="440">
        <f t="shared" si="141"/>
        <v>0.0000002089296131</v>
      </c>
      <c r="AF517" s="439">
        <v>-6.68</v>
      </c>
      <c r="AG517" s="438"/>
      <c r="AH517" s="459">
        <v>0.3</v>
      </c>
      <c r="AI517" s="436"/>
      <c r="AJ517" s="446" t="str">
        <f>IF(ISNUMBER(VLOOKUP(B517,'New Masses'!A:C,2, FALSE)),VLOOKUP(B517,'New Masses'!A:C,2, FALSE),"")</f>
        <v/>
      </c>
      <c r="AK517" s="438"/>
      <c r="AL517" s="436"/>
      <c r="AM517" s="436">
        <v>-0.42</v>
      </c>
      <c r="AN517" s="438"/>
      <c r="AO517" s="436">
        <v>1.0</v>
      </c>
      <c r="AP517" s="419" t="s">
        <v>156</v>
      </c>
      <c r="AQ517" s="438"/>
      <c r="AR517" s="438"/>
      <c r="AS517" s="438"/>
      <c r="AT517" s="448"/>
      <c r="AU517" s="452"/>
      <c r="AV517" s="438"/>
      <c r="AW517" s="438"/>
      <c r="AX517" s="515">
        <v>156.83322355007684</v>
      </c>
    </row>
    <row r="518">
      <c r="A518" s="419" t="s">
        <v>1446</v>
      </c>
      <c r="B518" s="436" t="s">
        <v>1447</v>
      </c>
      <c r="C518" s="419"/>
      <c r="D518" s="436" t="s">
        <v>158</v>
      </c>
      <c r="E518" s="436"/>
      <c r="F518" s="419" t="s">
        <v>2759</v>
      </c>
      <c r="G518" s="436" t="s">
        <v>169</v>
      </c>
      <c r="H518" s="436" t="s">
        <v>160</v>
      </c>
      <c r="I518" s="436" t="s">
        <v>1963</v>
      </c>
      <c r="J518" s="436">
        <v>3981.07171</v>
      </c>
      <c r="K518" s="436"/>
      <c r="L518" s="438"/>
      <c r="M518" s="453"/>
      <c r="N518" s="422">
        <v>14.17</v>
      </c>
      <c r="O518" s="422">
        <v>9.484</v>
      </c>
      <c r="P518" s="422"/>
      <c r="Q518" s="436" t="s">
        <v>2183</v>
      </c>
      <c r="R518" s="436" t="s">
        <v>2184</v>
      </c>
      <c r="S518" s="436" t="s">
        <v>1964</v>
      </c>
      <c r="T518" s="419" t="s">
        <v>162</v>
      </c>
      <c r="U518" s="436" t="s">
        <v>2185</v>
      </c>
      <c r="V518" s="451">
        <v>1.79564E29</v>
      </c>
      <c r="W518" s="458">
        <v>2.041737944669529</v>
      </c>
      <c r="X518" s="438"/>
      <c r="Y518" s="442">
        <f t="shared" si="139"/>
        <v>3.012004913</v>
      </c>
      <c r="Z518" s="442"/>
      <c r="AA518" s="443"/>
      <c r="AB518" s="443"/>
      <c r="AC518" s="436" t="str">
        <f>IF(ISNUMBER(VLOOKUP(B518,'New Masses'!A:C,3,FALSE)),VLOOKUP(B518,'New Masses'!A:C,3,FALSE),"")</f>
        <v/>
      </c>
      <c r="AD518" s="440"/>
      <c r="AE518" s="440">
        <f t="shared" si="141"/>
        <v>0.000000001659586907</v>
      </c>
      <c r="AF518" s="439">
        <v>-8.78</v>
      </c>
      <c r="AG518" s="438"/>
      <c r="AH518" s="459">
        <f t="shared" ref="AH518:AH519" si="142">10^AK518</f>
        <v>0.6309573445</v>
      </c>
      <c r="AI518" s="436"/>
      <c r="AJ518" s="446" t="str">
        <f>IF(ISNUMBER(VLOOKUP(B518,'New Masses'!A:C,2, FALSE)),VLOOKUP(B518,'New Masses'!A:C,2, FALSE),"")</f>
        <v/>
      </c>
      <c r="AK518" s="436">
        <v>-0.2</v>
      </c>
      <c r="AL518" s="436"/>
      <c r="AM518" s="436">
        <v>-1.89</v>
      </c>
      <c r="AN518" s="438"/>
      <c r="AO518" s="436">
        <v>1.0</v>
      </c>
      <c r="AP518" s="419" t="s">
        <v>156</v>
      </c>
      <c r="AQ518" s="436"/>
      <c r="AR518" s="438"/>
      <c r="AS518" s="438"/>
      <c r="AT518" s="455">
        <v>5.0</v>
      </c>
      <c r="AU518" s="452" t="s">
        <v>137</v>
      </c>
      <c r="AV518" s="438"/>
      <c r="AW518" s="438"/>
      <c r="AX518" s="450"/>
    </row>
    <row r="519">
      <c r="A519" s="419" t="s">
        <v>1451</v>
      </c>
      <c r="B519" s="419" t="s">
        <v>1452</v>
      </c>
      <c r="C519" s="436"/>
      <c r="D519" s="436" t="s">
        <v>158</v>
      </c>
      <c r="E519" s="436"/>
      <c r="F519" s="436" t="s">
        <v>2760</v>
      </c>
      <c r="G519" s="436" t="s">
        <v>169</v>
      </c>
      <c r="H519" s="436" t="s">
        <v>160</v>
      </c>
      <c r="I519" s="436" t="s">
        <v>1963</v>
      </c>
      <c r="J519" s="436">
        <v>4073.80278</v>
      </c>
      <c r="K519" s="436"/>
      <c r="L519" s="438"/>
      <c r="M519" s="453"/>
      <c r="N519" s="422">
        <v>9.682</v>
      </c>
      <c r="O519" s="422">
        <v>7.485</v>
      </c>
      <c r="P519" s="422">
        <v>13.9</v>
      </c>
      <c r="Q519" s="436" t="s">
        <v>2183</v>
      </c>
      <c r="R519" s="436" t="s">
        <v>2184</v>
      </c>
      <c r="S519" s="436" t="s">
        <v>1964</v>
      </c>
      <c r="T519" s="419" t="s">
        <v>162</v>
      </c>
      <c r="U519" s="436" t="s">
        <v>2185</v>
      </c>
      <c r="V519" s="451">
        <v>2.47867E29</v>
      </c>
      <c r="W519" s="458">
        <v>2.344228815319922</v>
      </c>
      <c r="X519" s="438"/>
      <c r="Y519" s="442">
        <f t="shared" si="139"/>
        <v>3.082163524</v>
      </c>
      <c r="Z519" s="442"/>
      <c r="AA519" s="443"/>
      <c r="AB519" s="443"/>
      <c r="AC519" s="436" t="str">
        <f>IF(ISNUMBER(VLOOKUP(B519,'New Masses'!A:C,3,FALSE)),VLOOKUP(B519,'New Masses'!A:C,3,FALSE),"")</f>
        <v/>
      </c>
      <c r="AD519" s="440"/>
      <c r="AE519" s="440">
        <f t="shared" si="141"/>
        <v>0.000000002454708916</v>
      </c>
      <c r="AF519" s="439">
        <v>-8.61</v>
      </c>
      <c r="AG519" s="438"/>
      <c r="AH519" s="459">
        <f t="shared" si="142"/>
        <v>0.6760829754</v>
      </c>
      <c r="AI519" s="436"/>
      <c r="AJ519" s="446" t="str">
        <f>IF(ISNUMBER(VLOOKUP(B519,'New Masses'!A:C,2, FALSE)),VLOOKUP(B519,'New Masses'!A:C,2, FALSE),"")</f>
        <v/>
      </c>
      <c r="AK519" s="436">
        <v>-0.17</v>
      </c>
      <c r="AL519" s="436"/>
      <c r="AM519" s="436">
        <v>-1.7</v>
      </c>
      <c r="AN519" s="438"/>
      <c r="AO519" s="436">
        <v>1.0</v>
      </c>
      <c r="AP519" s="438"/>
      <c r="AQ519" s="438"/>
      <c r="AR519" s="438"/>
      <c r="AS519" s="438"/>
      <c r="AT519" s="455">
        <v>1.4</v>
      </c>
      <c r="AU519" s="449"/>
      <c r="AV519" s="438"/>
      <c r="AW519" s="438"/>
      <c r="AX519" s="450">
        <v>109.536223629154</v>
      </c>
    </row>
    <row r="520">
      <c r="A520" s="435"/>
      <c r="B520" s="554" t="s">
        <v>602</v>
      </c>
      <c r="C520" s="486"/>
      <c r="D520" s="554" t="s">
        <v>603</v>
      </c>
      <c r="E520" s="486">
        <v>30.0</v>
      </c>
      <c r="F520" s="528"/>
      <c r="G520" s="486"/>
      <c r="H520" s="554" t="s">
        <v>605</v>
      </c>
      <c r="I520" s="491"/>
      <c r="J520" s="491"/>
      <c r="K520" s="491"/>
      <c r="L520" s="486" t="s">
        <v>193</v>
      </c>
      <c r="M520" s="486"/>
      <c r="N520" s="422"/>
      <c r="O520" s="422"/>
      <c r="P520" s="422"/>
      <c r="Q520" s="486" t="s">
        <v>2476</v>
      </c>
      <c r="R520" s="486" t="s">
        <v>2761</v>
      </c>
      <c r="S520" s="486" t="s">
        <v>595</v>
      </c>
      <c r="T520" s="491"/>
      <c r="U520" s="486" t="s">
        <v>2178</v>
      </c>
      <c r="V520" s="491"/>
      <c r="W520" s="493"/>
      <c r="X520" s="486"/>
      <c r="Y520" s="442"/>
      <c r="Z520" s="491"/>
      <c r="AA520" s="494">
        <v>0.133</v>
      </c>
      <c r="AB520" s="494"/>
      <c r="AC520" s="436"/>
      <c r="AD520" s="554" t="s">
        <v>723</v>
      </c>
      <c r="AE520" s="496">
        <v>8.0E-9</v>
      </c>
      <c r="AF520" s="531">
        <f t="shared" ref="AF520:AF521" si="143">log10(AE520)</f>
        <v>-8.096910013</v>
      </c>
      <c r="AG520" s="491"/>
      <c r="AH520" s="525">
        <v>0.006</v>
      </c>
      <c r="AI520" s="491"/>
      <c r="AJ520" s="446"/>
      <c r="AK520" s="491"/>
      <c r="AL520" s="500"/>
      <c r="AM520" s="436"/>
      <c r="AN520" s="438"/>
      <c r="AO520" s="531"/>
      <c r="AP520" s="486" t="s">
        <v>156</v>
      </c>
      <c r="AQ520" s="438"/>
      <c r="AR520" s="438"/>
      <c r="AS520" s="438"/>
      <c r="AT520" s="448"/>
      <c r="AU520" s="449"/>
      <c r="AV520" s="438"/>
      <c r="AW520" s="438"/>
      <c r="AX520" s="450"/>
    </row>
    <row r="521">
      <c r="A521" s="435"/>
      <c r="B521" s="554" t="s">
        <v>602</v>
      </c>
      <c r="C521" s="486"/>
      <c r="D521" s="554" t="s">
        <v>603</v>
      </c>
      <c r="E521" s="486">
        <v>30.0</v>
      </c>
      <c r="F521" s="528"/>
      <c r="G521" s="486"/>
      <c r="H521" s="554" t="s">
        <v>605</v>
      </c>
      <c r="I521" s="491"/>
      <c r="J521" s="491"/>
      <c r="K521" s="491"/>
      <c r="L521" s="486" t="s">
        <v>193</v>
      </c>
      <c r="M521" s="486"/>
      <c r="N521" s="422"/>
      <c r="O521" s="422"/>
      <c r="P521" s="422"/>
      <c r="Q521" s="486" t="s">
        <v>2476</v>
      </c>
      <c r="R521" s="486" t="s">
        <v>2761</v>
      </c>
      <c r="S521" s="486" t="s">
        <v>595</v>
      </c>
      <c r="T521" s="491"/>
      <c r="U521" s="486" t="s">
        <v>2762</v>
      </c>
      <c r="V521" s="491"/>
      <c r="W521" s="493"/>
      <c r="X521" s="486"/>
      <c r="Y521" s="442"/>
      <c r="Z521" s="491"/>
      <c r="AA521" s="494">
        <v>0.163</v>
      </c>
      <c r="AB521" s="494"/>
      <c r="AC521" s="436"/>
      <c r="AD521" s="495" t="s">
        <v>807</v>
      </c>
      <c r="AE521" s="496">
        <v>1.0E-8</v>
      </c>
      <c r="AF521" s="531">
        <f t="shared" si="143"/>
        <v>-8</v>
      </c>
      <c r="AG521" s="491"/>
      <c r="AH521" s="525">
        <v>0.01</v>
      </c>
      <c r="AI521" s="491"/>
      <c r="AJ521" s="446"/>
      <c r="AK521" s="491"/>
      <c r="AL521" s="500"/>
      <c r="AM521" s="436"/>
      <c r="AN521" s="438"/>
      <c r="AO521" s="531"/>
      <c r="AP521" s="486" t="s">
        <v>156</v>
      </c>
      <c r="AQ521" s="438"/>
      <c r="AR521" s="438"/>
      <c r="AS521" s="438"/>
      <c r="AT521" s="448"/>
      <c r="AU521" s="452"/>
      <c r="AV521" s="438"/>
      <c r="AW521" s="438"/>
      <c r="AX521" s="450"/>
    </row>
    <row r="522">
      <c r="A522" s="435"/>
      <c r="B522" s="485" t="s">
        <v>290</v>
      </c>
      <c r="C522" s="486"/>
      <c r="D522" s="486" t="s">
        <v>199</v>
      </c>
      <c r="E522" s="486"/>
      <c r="F522" s="528" t="s">
        <v>2763</v>
      </c>
      <c r="G522" s="486" t="s">
        <v>169</v>
      </c>
      <c r="H522" s="486" t="s">
        <v>291</v>
      </c>
      <c r="I522" s="542"/>
      <c r="J522" s="542">
        <v>2200.0</v>
      </c>
      <c r="K522" s="542"/>
      <c r="L522" s="486"/>
      <c r="M522" s="542"/>
      <c r="N522" s="422"/>
      <c r="O522" s="422"/>
      <c r="P522" s="422"/>
      <c r="Q522" s="542" t="s">
        <v>2439</v>
      </c>
      <c r="R522" s="542" t="s">
        <v>2176</v>
      </c>
      <c r="S522" s="542"/>
      <c r="T522" s="542" t="s">
        <v>293</v>
      </c>
      <c r="U522" s="486" t="s">
        <v>294</v>
      </c>
      <c r="V522" s="491">
        <v>8.36E-18</v>
      </c>
      <c r="W522" s="529"/>
      <c r="X522" s="491"/>
      <c r="Y522" s="442" t="str">
        <f t="shared" ref="Y522:Y523" si="144">IF((W522/((J522/5780)^4))^0.5&gt;0,(W522/((J522/5780)^4))^0.5,"")</f>
        <v/>
      </c>
      <c r="Z522" s="486"/>
      <c r="AA522" s="494">
        <f>2.7*0.10049</f>
        <v>0.271323</v>
      </c>
      <c r="AB522" s="539">
        <f>0.8*0.10049</f>
        <v>0.080392</v>
      </c>
      <c r="AC522" s="436" t="str">
        <f>IF(ISNUMBER(VLOOKUP(B522,'New Masses'!A:C,3,FALSE)),VLOOKUP(B522,'New Masses'!A:C,3,FALSE),"")</f>
        <v/>
      </c>
      <c r="AD522" s="486"/>
      <c r="AE522" s="530">
        <f>10^AF522</f>
        <v>0</v>
      </c>
      <c r="AF522" s="555">
        <v>-11.3</v>
      </c>
      <c r="AG522" s="495"/>
      <c r="AH522" s="541">
        <f t="shared" ref="AH522:AH523" si="145">11/1048</f>
        <v>0.01049618321</v>
      </c>
      <c r="AI522" s="542"/>
      <c r="AJ522" s="446" t="str">
        <f>IF(ISNUMBER(VLOOKUP(B522,'New Masses'!A:C,2, FALSE)),VLOOKUP(B522,'New Masses'!A:C,2, FALSE),"")</f>
        <v/>
      </c>
      <c r="AK522" s="486"/>
      <c r="AL522" s="486"/>
      <c r="AM522" s="436"/>
      <c r="AN522" s="438"/>
      <c r="AO522" s="544">
        <v>4.34</v>
      </c>
      <c r="AP522" s="486" t="s">
        <v>156</v>
      </c>
      <c r="AQ522" s="454">
        <v>0.7</v>
      </c>
      <c r="AR522" s="438"/>
      <c r="AS522" s="438"/>
      <c r="AT522" s="448"/>
      <c r="AU522" s="449"/>
      <c r="AV522" s="438"/>
      <c r="AW522" s="438"/>
      <c r="AX522" s="515">
        <v>145.0</v>
      </c>
    </row>
    <row r="523">
      <c r="A523" s="435"/>
      <c r="B523" s="556" t="s">
        <v>290</v>
      </c>
      <c r="C523" s="557"/>
      <c r="D523" s="557" t="s">
        <v>199</v>
      </c>
      <c r="E523" s="557"/>
      <c r="F523" s="528" t="s">
        <v>2763</v>
      </c>
      <c r="G523" s="486" t="s">
        <v>169</v>
      </c>
      <c r="H523" s="557" t="s">
        <v>291</v>
      </c>
      <c r="I523" s="558"/>
      <c r="J523" s="559">
        <v>2350.0</v>
      </c>
      <c r="K523" s="559">
        <v>150.0</v>
      </c>
      <c r="L523" s="560"/>
      <c r="M523" s="558"/>
      <c r="N523" s="422"/>
      <c r="O523" s="422"/>
      <c r="P523" s="422"/>
      <c r="Q523" s="558" t="s">
        <v>2439</v>
      </c>
      <c r="R523" s="558" t="s">
        <v>2176</v>
      </c>
      <c r="S523" s="560"/>
      <c r="T523" s="557" t="s">
        <v>293</v>
      </c>
      <c r="U523" s="486" t="s">
        <v>294</v>
      </c>
      <c r="V523" s="491">
        <v>8.36E-18</v>
      </c>
      <c r="W523" s="561"/>
      <c r="X523" s="560"/>
      <c r="Y523" s="442" t="str">
        <f t="shared" si="144"/>
        <v/>
      </c>
      <c r="Z523" s="557"/>
      <c r="AA523" s="562"/>
      <c r="AB523" s="562"/>
      <c r="AC523" s="436" t="str">
        <f>IF(ISNUMBER(VLOOKUP(B523,'New Masses'!A:C,3,FALSE)),VLOOKUP(B523,'New Masses'!A:C,3,FALSE),"")</f>
        <v/>
      </c>
      <c r="AD523" s="560"/>
      <c r="AE523" s="563">
        <f>((10^-11.3)/0.0009543)/1048</f>
        <v>0</v>
      </c>
      <c r="AF523" s="555">
        <v>-11.3</v>
      </c>
      <c r="AG523" s="557"/>
      <c r="AH523" s="564">
        <f t="shared" si="145"/>
        <v>0.01049618321</v>
      </c>
      <c r="AI523" s="557"/>
      <c r="AJ523" s="446" t="str">
        <f>IF(ISNUMBER(VLOOKUP(B523,'New Masses'!A:C,2, FALSE)),VLOOKUP(B523,'New Masses'!A:C,2, FALSE),"")</f>
        <v/>
      </c>
      <c r="AK523" s="557"/>
      <c r="AL523" s="557"/>
      <c r="AM523" s="436"/>
      <c r="AN523" s="438"/>
      <c r="AO523" s="555">
        <v>4.34</v>
      </c>
      <c r="AP523" s="557" t="s">
        <v>156</v>
      </c>
      <c r="AQ523" s="438"/>
      <c r="AR523" s="438"/>
      <c r="AS523" s="438"/>
      <c r="AT523" s="448"/>
      <c r="AU523" s="452"/>
      <c r="AV523" s="438"/>
      <c r="AW523" s="438"/>
      <c r="AX523" s="515">
        <v>145.0</v>
      </c>
    </row>
    <row r="524">
      <c r="A524" s="435"/>
      <c r="B524" s="485" t="s">
        <v>600</v>
      </c>
      <c r="C524" s="486"/>
      <c r="D524" s="486"/>
      <c r="E524" s="486"/>
      <c r="F524" s="528" t="s">
        <v>2663</v>
      </c>
      <c r="G524" s="486" t="s">
        <v>169</v>
      </c>
      <c r="H524" s="486" t="s">
        <v>717</v>
      </c>
      <c r="I524" s="491"/>
      <c r="J524" s="490"/>
      <c r="K524" s="565"/>
      <c r="L524" s="566"/>
      <c r="M524" s="486"/>
      <c r="N524" s="422"/>
      <c r="O524" s="422"/>
      <c r="P524" s="422"/>
      <c r="Q524" s="486"/>
      <c r="R524" s="491"/>
      <c r="S524" s="491"/>
      <c r="T524" s="491"/>
      <c r="U524" s="491"/>
      <c r="V524" s="491">
        <f>8.1E-16</f>
        <v>0</v>
      </c>
      <c r="W524" s="493"/>
      <c r="X524" s="486"/>
      <c r="Y524" s="442"/>
      <c r="Z524" s="491"/>
      <c r="AA524" s="524">
        <f>2*0.10049</f>
        <v>0.20098</v>
      </c>
      <c r="AB524" s="494"/>
      <c r="AC524" s="436" t="str">
        <f>IF(ISNUMBER(VLOOKUP(B524,'New Masses'!A:C,3,FALSE)),VLOOKUP(B524,'New Masses'!A:C,3,FALSE),"")</f>
        <v/>
      </c>
      <c r="AD524" s="495"/>
      <c r="AE524" s="496">
        <f>0.0000005/1048</f>
        <v>0.0000000004770992366</v>
      </c>
      <c r="AF524" s="531">
        <f t="shared" ref="AF524:AF525" si="146">LOG10(AE524)</f>
        <v>-9.321391278</v>
      </c>
      <c r="AG524" s="491"/>
      <c r="AH524" s="525">
        <f>12/1048</f>
        <v>0.01145038168</v>
      </c>
      <c r="AI524" s="491">
        <f>3/1048</f>
        <v>0.00286259542</v>
      </c>
      <c r="AJ524" s="446"/>
      <c r="AK524" s="491"/>
      <c r="AL524" s="500"/>
      <c r="AM524" s="436"/>
      <c r="AN524" s="438"/>
      <c r="AO524" s="531"/>
      <c r="AP524" s="486" t="s">
        <v>156</v>
      </c>
      <c r="AQ524" s="438"/>
      <c r="AR524" s="438"/>
      <c r="AS524" s="438"/>
      <c r="AT524" s="448"/>
      <c r="AU524" s="449"/>
      <c r="AV524" s="438"/>
      <c r="AW524" s="438"/>
      <c r="AX524" s="450"/>
    </row>
    <row r="525">
      <c r="A525" s="435"/>
      <c r="B525" s="554" t="s">
        <v>602</v>
      </c>
      <c r="C525" s="486"/>
      <c r="D525" s="554" t="s">
        <v>603</v>
      </c>
      <c r="E525" s="486">
        <v>30.0</v>
      </c>
      <c r="F525" s="528"/>
      <c r="G525" s="486"/>
      <c r="H525" s="554" t="s">
        <v>605</v>
      </c>
      <c r="I525" s="491"/>
      <c r="J525" s="491"/>
      <c r="K525" s="491"/>
      <c r="L525" s="486" t="s">
        <v>193</v>
      </c>
      <c r="M525" s="486"/>
      <c r="N525" s="422"/>
      <c r="O525" s="422"/>
      <c r="P525" s="422"/>
      <c r="Q525" s="486" t="s">
        <v>2476</v>
      </c>
      <c r="R525" s="486" t="s">
        <v>2761</v>
      </c>
      <c r="S525" s="486" t="s">
        <v>595</v>
      </c>
      <c r="T525" s="486" t="s">
        <v>162</v>
      </c>
      <c r="U525" s="486" t="s">
        <v>2178</v>
      </c>
      <c r="V525" s="486">
        <v>1.28E-15</v>
      </c>
      <c r="W525" s="530"/>
      <c r="X525" s="486"/>
      <c r="Y525" s="442"/>
      <c r="Z525" s="491"/>
      <c r="AA525" s="494">
        <v>0.163</v>
      </c>
      <c r="AB525" s="494"/>
      <c r="AC525" s="436" t="str">
        <f>IF(ISNUMBER(VLOOKUP(B525,'New Masses'!A:C,3,FALSE)),VLOOKUP(B525,'New Masses'!A:C,3,FALSE),"")</f>
        <v/>
      </c>
      <c r="AD525" s="495" t="s">
        <v>476</v>
      </c>
      <c r="AE525" s="496">
        <f>1*10^(-9.47)</f>
        <v>0.0000000003388441561</v>
      </c>
      <c r="AF525" s="531">
        <f t="shared" si="146"/>
        <v>-9.47</v>
      </c>
      <c r="AG525" s="486" t="s">
        <v>2764</v>
      </c>
      <c r="AH525" s="525">
        <v>0.012</v>
      </c>
      <c r="AI525" s="491"/>
      <c r="AJ525" s="446"/>
      <c r="AK525" s="491"/>
      <c r="AL525" s="500"/>
      <c r="AM525" s="436"/>
      <c r="AN525" s="438"/>
      <c r="AO525" s="531"/>
      <c r="AP525" s="486" t="s">
        <v>156</v>
      </c>
      <c r="AQ525" s="438"/>
      <c r="AR525" s="438"/>
      <c r="AS525" s="438"/>
      <c r="AT525" s="448"/>
      <c r="AU525" s="452"/>
      <c r="AV525" s="438"/>
      <c r="AW525" s="438"/>
      <c r="AX525" s="450"/>
    </row>
    <row r="526">
      <c r="A526" s="435"/>
      <c r="B526" s="554" t="s">
        <v>602</v>
      </c>
      <c r="C526" s="486"/>
      <c r="D526" s="554" t="s">
        <v>603</v>
      </c>
      <c r="E526" s="486">
        <v>30.0</v>
      </c>
      <c r="F526" s="528"/>
      <c r="G526" s="486"/>
      <c r="H526" s="554" t="s">
        <v>605</v>
      </c>
      <c r="I526" s="491"/>
      <c r="J526" s="491"/>
      <c r="K526" s="491"/>
      <c r="L526" s="486" t="s">
        <v>193</v>
      </c>
      <c r="M526" s="486"/>
      <c r="N526" s="422"/>
      <c r="O526" s="422"/>
      <c r="P526" s="422"/>
      <c r="Q526" s="486" t="s">
        <v>2476</v>
      </c>
      <c r="R526" s="486" t="s">
        <v>2761</v>
      </c>
      <c r="S526" s="486" t="s">
        <v>595</v>
      </c>
      <c r="T526" s="491"/>
      <c r="U526" s="486" t="s">
        <v>2765</v>
      </c>
      <c r="V526" s="491"/>
      <c r="W526" s="493"/>
      <c r="X526" s="486"/>
      <c r="Y526" s="442"/>
      <c r="Z526" s="491"/>
      <c r="AA526" s="494">
        <v>0.163</v>
      </c>
      <c r="AB526" s="494"/>
      <c r="AC526" s="436"/>
      <c r="AD526" s="495" t="s">
        <v>269</v>
      </c>
      <c r="AE526" s="496">
        <v>3.0E-8</v>
      </c>
      <c r="AF526" s="531">
        <f>log10(AE526)</f>
        <v>-7.522878745</v>
      </c>
      <c r="AG526" s="486" t="s">
        <v>2764</v>
      </c>
      <c r="AH526" s="525">
        <v>0.012</v>
      </c>
      <c r="AI526" s="491"/>
      <c r="AJ526" s="446"/>
      <c r="AK526" s="491"/>
      <c r="AL526" s="500"/>
      <c r="AM526" s="436"/>
      <c r="AN526" s="438"/>
      <c r="AO526" s="531"/>
      <c r="AP526" s="486" t="s">
        <v>156</v>
      </c>
      <c r="AQ526" s="438"/>
      <c r="AR526" s="438"/>
      <c r="AS526" s="438"/>
      <c r="AT526" s="448"/>
      <c r="AU526" s="449"/>
      <c r="AV526" s="438"/>
      <c r="AW526" s="438"/>
      <c r="AX526" s="450"/>
    </row>
    <row r="527">
      <c r="A527" s="436"/>
      <c r="B527" s="436" t="s">
        <v>186</v>
      </c>
      <c r="C527" s="438"/>
      <c r="D527" s="421" t="s">
        <v>158</v>
      </c>
      <c r="E527" s="420"/>
      <c r="F527" s="420" t="s">
        <v>2766</v>
      </c>
      <c r="G527" s="420" t="s">
        <v>189</v>
      </c>
      <c r="H527" s="420" t="s">
        <v>2767</v>
      </c>
      <c r="I527" s="420" t="s">
        <v>189</v>
      </c>
      <c r="J527" s="436">
        <v>2600.0</v>
      </c>
      <c r="K527" s="420"/>
      <c r="L527" s="420" t="s">
        <v>193</v>
      </c>
      <c r="M527" s="429"/>
      <c r="N527" s="422"/>
      <c r="O527" s="567">
        <v>14.57</v>
      </c>
      <c r="P527" s="422"/>
      <c r="Q527" s="420" t="s">
        <v>2768</v>
      </c>
      <c r="R527" s="420" t="s">
        <v>2769</v>
      </c>
      <c r="S527" s="420" t="s">
        <v>2419</v>
      </c>
      <c r="T527" s="420" t="s">
        <v>596</v>
      </c>
      <c r="U527" s="420" t="s">
        <v>597</v>
      </c>
      <c r="V527" s="451">
        <v>1.3400000000000003E-15</v>
      </c>
      <c r="W527" s="468"/>
      <c r="X527" s="436"/>
      <c r="Y527" s="442" t="str">
        <f t="shared" ref="Y527:Y535" si="147">IF((W527/((J527/5780)^4))^0.5&gt;0,(W527/((J527/5780)^4))^0.5,"")</f>
        <v/>
      </c>
      <c r="Z527" s="469"/>
      <c r="AA527" s="470">
        <v>0.19</v>
      </c>
      <c r="AB527" s="426"/>
      <c r="AC527" s="436" t="str">
        <f>IF(ISNUMBER(VLOOKUP(B527,'New Masses'!A:C,3,FALSE)),VLOOKUP(B527,'New Masses'!A:C,3,FALSE),"")</f>
        <v/>
      </c>
      <c r="AD527" s="451"/>
      <c r="AE527" s="451">
        <f>10^-10.31</f>
        <v>0</v>
      </c>
      <c r="AF527" s="439">
        <v>-10.31</v>
      </c>
      <c r="AG527" s="420" t="s">
        <v>2770</v>
      </c>
      <c r="AH527" s="459">
        <v>0.013</v>
      </c>
      <c r="AI527" s="420"/>
      <c r="AJ527" s="446" t="str">
        <f>IF(ISNUMBER(VLOOKUP(B527,'New Masses'!A:C,2, FALSE)),VLOOKUP(B527,'New Masses'!A:C,2, FALSE),"")</f>
        <v/>
      </c>
      <c r="AK527" s="420"/>
      <c r="AL527" s="438"/>
      <c r="AM527" s="568">
        <f t="shared" ref="AM527:AM528" si="148">log10(0.00000342)</f>
        <v>-5.465973894</v>
      </c>
      <c r="AN527" s="436">
        <v>2.0</v>
      </c>
      <c r="AO527" s="436">
        <v>2.0</v>
      </c>
      <c r="AP527" s="421" t="s">
        <v>156</v>
      </c>
      <c r="AQ527" s="436">
        <v>1.77</v>
      </c>
      <c r="AR527" s="436">
        <v>0.71</v>
      </c>
      <c r="AS527" s="420" t="s">
        <v>190</v>
      </c>
      <c r="AT527" s="448"/>
      <c r="AU527" s="452"/>
      <c r="AV527" s="569" t="s">
        <v>196</v>
      </c>
      <c r="AW527" s="438"/>
      <c r="AX527" s="450"/>
    </row>
    <row r="528">
      <c r="A528" s="436"/>
      <c r="B528" s="436" t="s">
        <v>186</v>
      </c>
      <c r="C528" s="438"/>
      <c r="D528" s="421" t="s">
        <v>158</v>
      </c>
      <c r="E528" s="420"/>
      <c r="F528" s="420" t="s">
        <v>2766</v>
      </c>
      <c r="G528" s="420" t="s">
        <v>189</v>
      </c>
      <c r="H528" s="420" t="s">
        <v>2767</v>
      </c>
      <c r="I528" s="420" t="s">
        <v>189</v>
      </c>
      <c r="J528" s="436">
        <v>2600.0</v>
      </c>
      <c r="K528" s="420"/>
      <c r="L528" s="420" t="s">
        <v>193</v>
      </c>
      <c r="M528" s="429"/>
      <c r="N528" s="422"/>
      <c r="O528" s="567">
        <v>14.57</v>
      </c>
      <c r="P528" s="422"/>
      <c r="Q528" s="420" t="s">
        <v>2768</v>
      </c>
      <c r="R528" s="420" t="s">
        <v>2769</v>
      </c>
      <c r="S528" s="420" t="s">
        <v>2419</v>
      </c>
      <c r="T528" s="421" t="s">
        <v>162</v>
      </c>
      <c r="U528" s="421" t="s">
        <v>2178</v>
      </c>
      <c r="V528" s="451">
        <v>1.3400000000000003E-15</v>
      </c>
      <c r="W528" s="468"/>
      <c r="X528" s="436"/>
      <c r="Y528" s="442" t="str">
        <f t="shared" si="147"/>
        <v/>
      </c>
      <c r="Z528" s="469"/>
      <c r="AA528" s="470">
        <v>0.19</v>
      </c>
      <c r="AB528" s="426"/>
      <c r="AC528" s="436" t="str">
        <f>IF(ISNUMBER(VLOOKUP(B528,'New Masses'!A:C,3,FALSE)),VLOOKUP(B528,'New Masses'!A:C,3,FALSE),"")</f>
        <v/>
      </c>
      <c r="AD528" s="451"/>
      <c r="AE528" s="451">
        <f>1.61*10^-12</f>
        <v>0</v>
      </c>
      <c r="AF528" s="439">
        <f t="shared" ref="AF528:AF534" si="149">LOG10(AE528)</f>
        <v>-11.79317412</v>
      </c>
      <c r="AG528" s="438" t="s">
        <v>2770</v>
      </c>
      <c r="AH528" s="459">
        <v>0.013</v>
      </c>
      <c r="AI528" s="438"/>
      <c r="AJ528" s="446" t="str">
        <f>IF(ISNUMBER(VLOOKUP(B528,'New Masses'!A:C,2, FALSE)),VLOOKUP(B528,'New Masses'!A:C,2, FALSE),"")</f>
        <v/>
      </c>
      <c r="AK528" s="438"/>
      <c r="AL528" s="438"/>
      <c r="AM528" s="570">
        <f t="shared" si="148"/>
        <v>-5.465973894</v>
      </c>
      <c r="AN528" s="436">
        <v>2.0</v>
      </c>
      <c r="AO528" s="436">
        <v>2.0</v>
      </c>
      <c r="AP528" s="421" t="s">
        <v>156</v>
      </c>
      <c r="AQ528" s="436">
        <v>1.77</v>
      </c>
      <c r="AR528" s="436">
        <v>0.71</v>
      </c>
      <c r="AS528" s="420" t="s">
        <v>190</v>
      </c>
      <c r="AT528" s="448"/>
      <c r="AU528" s="449"/>
      <c r="AV528" s="571" t="s">
        <v>196</v>
      </c>
      <c r="AW528" s="438"/>
      <c r="AX528" s="450"/>
    </row>
    <row r="529">
      <c r="A529" s="436"/>
      <c r="B529" s="436" t="s">
        <v>186</v>
      </c>
      <c r="C529" s="438"/>
      <c r="D529" s="421" t="s">
        <v>158</v>
      </c>
      <c r="E529" s="420"/>
      <c r="F529" s="420" t="s">
        <v>2766</v>
      </c>
      <c r="G529" s="420" t="s">
        <v>189</v>
      </c>
      <c r="H529" s="420" t="s">
        <v>2767</v>
      </c>
      <c r="I529" s="420" t="s">
        <v>189</v>
      </c>
      <c r="J529" s="436">
        <v>2600.0</v>
      </c>
      <c r="K529" s="420"/>
      <c r="L529" s="420" t="s">
        <v>193</v>
      </c>
      <c r="M529" s="429"/>
      <c r="N529" s="422"/>
      <c r="O529" s="567">
        <v>14.57</v>
      </c>
      <c r="P529" s="422"/>
      <c r="Q529" s="420" t="s">
        <v>2768</v>
      </c>
      <c r="R529" s="420" t="s">
        <v>2769</v>
      </c>
      <c r="S529" s="420" t="s">
        <v>2419</v>
      </c>
      <c r="T529" s="421" t="s">
        <v>162</v>
      </c>
      <c r="U529" s="420" t="s">
        <v>2771</v>
      </c>
      <c r="V529" s="451">
        <v>2.19E-16</v>
      </c>
      <c r="W529" s="468"/>
      <c r="X529" s="436"/>
      <c r="Y529" s="442" t="str">
        <f t="shared" si="147"/>
        <v/>
      </c>
      <c r="Z529" s="469"/>
      <c r="AA529" s="470">
        <v>0.19</v>
      </c>
      <c r="AB529" s="426"/>
      <c r="AC529" s="436" t="str">
        <f>IF(ISNUMBER(VLOOKUP(B529,'New Masses'!A:C,3,FALSE)),VLOOKUP(B529,'New Masses'!A:C,3,FALSE),"")</f>
        <v/>
      </c>
      <c r="AD529" s="451"/>
      <c r="AE529" s="451">
        <f>5.99*10^-13</f>
        <v>0</v>
      </c>
      <c r="AF529" s="439">
        <f t="shared" si="149"/>
        <v>-12.22257318</v>
      </c>
      <c r="AG529" s="420" t="s">
        <v>2770</v>
      </c>
      <c r="AH529" s="459">
        <v>0.013</v>
      </c>
      <c r="AI529" s="420"/>
      <c r="AJ529" s="446" t="str">
        <f>IF(ISNUMBER(VLOOKUP(B529,'New Masses'!A:C,2, FALSE)),VLOOKUP(B529,'New Masses'!A:C,2, FALSE),"")</f>
        <v/>
      </c>
      <c r="AK529" s="420"/>
      <c r="AL529" s="438"/>
      <c r="AM529" s="568">
        <f>log10(0.000000128)</f>
        <v>-6.89279003</v>
      </c>
      <c r="AN529" s="436">
        <v>2.0</v>
      </c>
      <c r="AO529" s="436">
        <v>2.0</v>
      </c>
      <c r="AP529" s="421" t="s">
        <v>156</v>
      </c>
      <c r="AQ529" s="436">
        <v>1.77</v>
      </c>
      <c r="AR529" s="436">
        <v>0.71</v>
      </c>
      <c r="AS529" s="420" t="s">
        <v>190</v>
      </c>
      <c r="AT529" s="448"/>
      <c r="AU529" s="452"/>
      <c r="AV529" s="569" t="s">
        <v>196</v>
      </c>
      <c r="AW529" s="438"/>
      <c r="AX529" s="450"/>
    </row>
    <row r="530">
      <c r="A530" s="436"/>
      <c r="B530" s="436" t="s">
        <v>186</v>
      </c>
      <c r="C530" s="438"/>
      <c r="D530" s="421" t="s">
        <v>158</v>
      </c>
      <c r="E530" s="420"/>
      <c r="F530" s="420" t="s">
        <v>2766</v>
      </c>
      <c r="G530" s="420" t="s">
        <v>189</v>
      </c>
      <c r="H530" s="420" t="s">
        <v>2767</v>
      </c>
      <c r="I530" s="420" t="s">
        <v>189</v>
      </c>
      <c r="J530" s="436">
        <v>2600.0</v>
      </c>
      <c r="K530" s="420"/>
      <c r="L530" s="420" t="s">
        <v>193</v>
      </c>
      <c r="M530" s="429"/>
      <c r="N530" s="422"/>
      <c r="O530" s="567">
        <v>14.57</v>
      </c>
      <c r="P530" s="422"/>
      <c r="Q530" s="420" t="s">
        <v>2768</v>
      </c>
      <c r="R530" s="420" t="s">
        <v>2769</v>
      </c>
      <c r="S530" s="420" t="s">
        <v>2419</v>
      </c>
      <c r="T530" s="421" t="s">
        <v>162</v>
      </c>
      <c r="U530" s="420" t="s">
        <v>2772</v>
      </c>
      <c r="V530" s="451">
        <v>8.929999999999999E-17</v>
      </c>
      <c r="W530" s="468"/>
      <c r="X530" s="436"/>
      <c r="Y530" s="442" t="str">
        <f t="shared" si="147"/>
        <v/>
      </c>
      <c r="Z530" s="469"/>
      <c r="AA530" s="470">
        <v>0.19</v>
      </c>
      <c r="AB530" s="426"/>
      <c r="AC530" s="436" t="str">
        <f>IF(ISNUMBER(VLOOKUP(B530,'New Masses'!A:C,3,FALSE)),VLOOKUP(B530,'New Masses'!A:C,3,FALSE),"")</f>
        <v/>
      </c>
      <c r="AD530" s="451"/>
      <c r="AE530" s="451">
        <f>1.79*10^-12</f>
        <v>0</v>
      </c>
      <c r="AF530" s="439">
        <f t="shared" si="149"/>
        <v>-11.74714697</v>
      </c>
      <c r="AG530" s="438" t="s">
        <v>2770</v>
      </c>
      <c r="AH530" s="459">
        <v>0.013</v>
      </c>
      <c r="AI530" s="438"/>
      <c r="AJ530" s="446" t="str">
        <f>IF(ISNUMBER(VLOOKUP(B530,'New Masses'!A:C,2, FALSE)),VLOOKUP(B530,'New Masses'!A:C,2, FALSE),"")</f>
        <v/>
      </c>
      <c r="AK530" s="438"/>
      <c r="AL530" s="438"/>
      <c r="AM530" s="570">
        <f>log10(0.00000382)</f>
        <v>-5.417936637</v>
      </c>
      <c r="AN530" s="436">
        <v>2.0</v>
      </c>
      <c r="AO530" s="436">
        <v>2.0</v>
      </c>
      <c r="AP530" s="421" t="s">
        <v>156</v>
      </c>
      <c r="AQ530" s="436">
        <v>1.77</v>
      </c>
      <c r="AR530" s="436">
        <v>0.71</v>
      </c>
      <c r="AS530" s="420" t="s">
        <v>190</v>
      </c>
      <c r="AT530" s="448"/>
      <c r="AU530" s="449"/>
      <c r="AV530" s="571" t="s">
        <v>196</v>
      </c>
      <c r="AW530" s="438"/>
      <c r="AX530" s="450"/>
    </row>
    <row r="531">
      <c r="A531" s="436"/>
      <c r="B531" s="436" t="s">
        <v>186</v>
      </c>
      <c r="C531" s="438"/>
      <c r="D531" s="421" t="s">
        <v>158</v>
      </c>
      <c r="E531" s="420"/>
      <c r="F531" s="420" t="s">
        <v>2766</v>
      </c>
      <c r="G531" s="420" t="s">
        <v>189</v>
      </c>
      <c r="H531" s="420" t="s">
        <v>2767</v>
      </c>
      <c r="I531" s="420" t="s">
        <v>189</v>
      </c>
      <c r="J531" s="436">
        <v>2600.0</v>
      </c>
      <c r="K531" s="420"/>
      <c r="L531" s="420" t="s">
        <v>193</v>
      </c>
      <c r="M531" s="429"/>
      <c r="N531" s="422"/>
      <c r="O531" s="567">
        <v>14.57</v>
      </c>
      <c r="P531" s="422"/>
      <c r="Q531" s="420" t="s">
        <v>2768</v>
      </c>
      <c r="R531" s="420" t="s">
        <v>2769</v>
      </c>
      <c r="S531" s="420" t="s">
        <v>2419</v>
      </c>
      <c r="T531" s="421" t="s">
        <v>162</v>
      </c>
      <c r="U531" s="420" t="s">
        <v>2773</v>
      </c>
      <c r="V531" s="451">
        <v>6.57E-16</v>
      </c>
      <c r="W531" s="468"/>
      <c r="X531" s="436"/>
      <c r="Y531" s="442" t="str">
        <f t="shared" si="147"/>
        <v/>
      </c>
      <c r="Z531" s="469"/>
      <c r="AA531" s="470">
        <v>0.19</v>
      </c>
      <c r="AB531" s="426"/>
      <c r="AC531" s="436" t="str">
        <f>IF(ISNUMBER(VLOOKUP(B531,'New Masses'!A:C,3,FALSE)),VLOOKUP(B531,'New Masses'!A:C,3,FALSE),"")</f>
        <v/>
      </c>
      <c r="AD531" s="451"/>
      <c r="AE531" s="451">
        <f>1.18*10^-12</f>
        <v>0</v>
      </c>
      <c r="AF531" s="439">
        <f t="shared" si="149"/>
        <v>-11.92811799</v>
      </c>
      <c r="AG531" s="420" t="s">
        <v>2770</v>
      </c>
      <c r="AH531" s="459">
        <v>0.013</v>
      </c>
      <c r="AI531" s="420"/>
      <c r="AJ531" s="446" t="str">
        <f>IF(ISNUMBER(VLOOKUP(B531,'New Masses'!A:C,2, FALSE)),VLOOKUP(B531,'New Masses'!A:C,2, FALSE),"")</f>
        <v/>
      </c>
      <c r="AK531" s="420"/>
      <c r="AL531" s="438"/>
      <c r="AM531" s="568">
        <f>log10(0.00000253)</f>
        <v>-5.596879479</v>
      </c>
      <c r="AN531" s="436">
        <v>2.0</v>
      </c>
      <c r="AO531" s="436">
        <v>2.0</v>
      </c>
      <c r="AP531" s="421" t="s">
        <v>156</v>
      </c>
      <c r="AQ531" s="436">
        <v>1.77</v>
      </c>
      <c r="AR531" s="436">
        <v>0.71</v>
      </c>
      <c r="AS531" s="420" t="s">
        <v>190</v>
      </c>
      <c r="AT531" s="448"/>
      <c r="AU531" s="452"/>
      <c r="AV531" s="569" t="s">
        <v>196</v>
      </c>
      <c r="AW531" s="438"/>
      <c r="AX531" s="450"/>
    </row>
    <row r="532">
      <c r="A532" s="436"/>
      <c r="B532" s="436" t="s">
        <v>186</v>
      </c>
      <c r="C532" s="438"/>
      <c r="D532" s="421" t="s">
        <v>158</v>
      </c>
      <c r="E532" s="420"/>
      <c r="F532" s="420" t="s">
        <v>2766</v>
      </c>
      <c r="G532" s="420" t="s">
        <v>189</v>
      </c>
      <c r="H532" s="420" t="s">
        <v>2767</v>
      </c>
      <c r="I532" s="420" t="s">
        <v>189</v>
      </c>
      <c r="J532" s="436">
        <v>2600.0</v>
      </c>
      <c r="K532" s="420"/>
      <c r="L532" s="420" t="s">
        <v>193</v>
      </c>
      <c r="M532" s="429"/>
      <c r="N532" s="422"/>
      <c r="O532" s="567">
        <v>14.57</v>
      </c>
      <c r="P532" s="422"/>
      <c r="Q532" s="420" t="s">
        <v>2768</v>
      </c>
      <c r="R532" s="420" t="s">
        <v>2769</v>
      </c>
      <c r="S532" s="420" t="s">
        <v>2419</v>
      </c>
      <c r="T532" s="421" t="s">
        <v>162</v>
      </c>
      <c r="U532" s="420" t="s">
        <v>2774</v>
      </c>
      <c r="V532" s="451">
        <v>1.6200000000000002E-16</v>
      </c>
      <c r="W532" s="468"/>
      <c r="X532" s="436"/>
      <c r="Y532" s="442" t="str">
        <f t="shared" si="147"/>
        <v/>
      </c>
      <c r="Z532" s="469"/>
      <c r="AA532" s="470">
        <v>0.19</v>
      </c>
      <c r="AB532" s="426"/>
      <c r="AC532" s="436" t="str">
        <f>IF(ISNUMBER(VLOOKUP(B532,'New Masses'!A:C,3,FALSE)),VLOOKUP(B532,'New Masses'!A:C,3,FALSE),"")</f>
        <v/>
      </c>
      <c r="AD532" s="451"/>
      <c r="AE532" s="451">
        <f>6.28*10^-12</f>
        <v>0</v>
      </c>
      <c r="AF532" s="439">
        <f t="shared" si="149"/>
        <v>-11.20204036</v>
      </c>
      <c r="AG532" s="438" t="s">
        <v>2770</v>
      </c>
      <c r="AH532" s="459">
        <v>0.013</v>
      </c>
      <c r="AI532" s="438"/>
      <c r="AJ532" s="446" t="str">
        <f>IF(ISNUMBER(VLOOKUP(B532,'New Masses'!A:C,2, FALSE)),VLOOKUP(B532,'New Masses'!A:C,2, FALSE),"")</f>
        <v/>
      </c>
      <c r="AK532" s="438"/>
      <c r="AL532" s="438"/>
      <c r="AM532" s="570">
        <f>log10(0.0000134)</f>
        <v>-4.872895202</v>
      </c>
      <c r="AN532" s="436">
        <v>2.0</v>
      </c>
      <c r="AO532" s="436">
        <v>2.0</v>
      </c>
      <c r="AP532" s="421" t="s">
        <v>156</v>
      </c>
      <c r="AQ532" s="436">
        <v>1.77</v>
      </c>
      <c r="AR532" s="436">
        <v>0.71</v>
      </c>
      <c r="AS532" s="420" t="s">
        <v>190</v>
      </c>
      <c r="AT532" s="448"/>
      <c r="AU532" s="449"/>
      <c r="AV532" s="571" t="s">
        <v>196</v>
      </c>
      <c r="AW532" s="438"/>
      <c r="AX532" s="450"/>
    </row>
    <row r="533">
      <c r="A533" s="436"/>
      <c r="B533" s="436" t="s">
        <v>186</v>
      </c>
      <c r="C533" s="438"/>
      <c r="D533" s="421" t="s">
        <v>158</v>
      </c>
      <c r="E533" s="420"/>
      <c r="F533" s="420" t="s">
        <v>2766</v>
      </c>
      <c r="G533" s="420" t="s">
        <v>189</v>
      </c>
      <c r="H533" s="420" t="s">
        <v>2767</v>
      </c>
      <c r="I533" s="420" t="s">
        <v>189</v>
      </c>
      <c r="J533" s="436">
        <v>2600.0</v>
      </c>
      <c r="K533" s="420"/>
      <c r="L533" s="420" t="s">
        <v>193</v>
      </c>
      <c r="M533" s="429"/>
      <c r="N533" s="422"/>
      <c r="O533" s="567">
        <v>14.57</v>
      </c>
      <c r="P533" s="422"/>
      <c r="Q533" s="420" t="s">
        <v>2768</v>
      </c>
      <c r="R533" s="420" t="s">
        <v>2769</v>
      </c>
      <c r="S533" s="420" t="s">
        <v>2419</v>
      </c>
      <c r="T533" s="421" t="s">
        <v>162</v>
      </c>
      <c r="U533" s="420" t="s">
        <v>1965</v>
      </c>
      <c r="V533" s="440"/>
      <c r="W533" s="468"/>
      <c r="X533" s="436"/>
      <c r="Y533" s="442" t="str">
        <f t="shared" si="147"/>
        <v/>
      </c>
      <c r="Z533" s="469"/>
      <c r="AA533" s="470">
        <v>0.19</v>
      </c>
      <c r="AB533" s="426"/>
      <c r="AC533" s="436" t="str">
        <f>IF(ISNUMBER(VLOOKUP(B533,'New Masses'!A:C,3,FALSE)),VLOOKUP(B533,'New Masses'!A:C,3,FALSE),"")</f>
        <v/>
      </c>
      <c r="AD533" s="451"/>
      <c r="AE533" s="451">
        <f>4.02*10^-13</f>
        <v>0</v>
      </c>
      <c r="AF533" s="439">
        <f t="shared" si="149"/>
        <v>-12.39577395</v>
      </c>
      <c r="AG533" s="420" t="s">
        <v>2770</v>
      </c>
      <c r="AH533" s="459">
        <v>0.013</v>
      </c>
      <c r="AI533" s="420"/>
      <c r="AJ533" s="446" t="str">
        <f>IF(ISNUMBER(VLOOKUP(B533,'New Masses'!A:C,2, FALSE)),VLOOKUP(B533,'New Masses'!A:C,2, FALSE),"")</f>
        <v/>
      </c>
      <c r="AK533" s="420"/>
      <c r="AL533" s="438"/>
      <c r="AM533" s="438"/>
      <c r="AN533" s="436">
        <v>2.0</v>
      </c>
      <c r="AO533" s="436">
        <v>2.0</v>
      </c>
      <c r="AP533" s="421" t="s">
        <v>156</v>
      </c>
      <c r="AQ533" s="436">
        <v>1.77</v>
      </c>
      <c r="AR533" s="436">
        <v>0.71</v>
      </c>
      <c r="AS533" s="420" t="s">
        <v>190</v>
      </c>
      <c r="AT533" s="448"/>
      <c r="AU533" s="452"/>
      <c r="AV533" s="569" t="s">
        <v>196</v>
      </c>
      <c r="AW533" s="438"/>
      <c r="AX533" s="450"/>
    </row>
    <row r="534">
      <c r="A534" s="436"/>
      <c r="B534" s="436" t="s">
        <v>186</v>
      </c>
      <c r="C534" s="438"/>
      <c r="D534" s="420" t="s">
        <v>188</v>
      </c>
      <c r="E534" s="420"/>
      <c r="F534" s="420" t="s">
        <v>2766</v>
      </c>
      <c r="G534" s="420" t="s">
        <v>189</v>
      </c>
      <c r="H534" s="420" t="s">
        <v>2767</v>
      </c>
      <c r="I534" s="420" t="s">
        <v>189</v>
      </c>
      <c r="J534" s="436">
        <v>2600.0</v>
      </c>
      <c r="K534" s="420"/>
      <c r="L534" s="420" t="s">
        <v>193</v>
      </c>
      <c r="M534" s="429"/>
      <c r="N534" s="422"/>
      <c r="O534" s="567">
        <v>14.57</v>
      </c>
      <c r="P534" s="422"/>
      <c r="Q534" s="420" t="s">
        <v>2768</v>
      </c>
      <c r="R534" s="420" t="s">
        <v>2769</v>
      </c>
      <c r="S534" s="420" t="s">
        <v>2419</v>
      </c>
      <c r="T534" s="421" t="s">
        <v>162</v>
      </c>
      <c r="U534" s="420" t="s">
        <v>2210</v>
      </c>
      <c r="V534" s="440"/>
      <c r="W534" s="468"/>
      <c r="X534" s="436"/>
      <c r="Y534" s="442" t="str">
        <f t="shared" si="147"/>
        <v/>
      </c>
      <c r="Z534" s="469"/>
      <c r="AA534" s="470">
        <v>0.19</v>
      </c>
      <c r="AB534" s="426"/>
      <c r="AC534" s="436" t="str">
        <f>IF(ISNUMBER(VLOOKUP(B534,'New Masses'!A:C,3,FALSE)),VLOOKUP(B534,'New Masses'!A:C,3,FALSE),"")</f>
        <v/>
      </c>
      <c r="AD534" s="451"/>
      <c r="AE534" s="451">
        <f>4.57*10^-12</f>
        <v>0</v>
      </c>
      <c r="AF534" s="439">
        <f t="shared" si="149"/>
        <v>-11.3400838</v>
      </c>
      <c r="AG534" s="438" t="s">
        <v>2770</v>
      </c>
      <c r="AH534" s="459">
        <v>0.013</v>
      </c>
      <c r="AI534" s="438"/>
      <c r="AJ534" s="446" t="str">
        <f>IF(ISNUMBER(VLOOKUP(B534,'New Masses'!A:C,2, FALSE)),VLOOKUP(B534,'New Masses'!A:C,2, FALSE),"")</f>
        <v/>
      </c>
      <c r="AK534" s="438"/>
      <c r="AL534" s="438"/>
      <c r="AM534" s="438"/>
      <c r="AN534" s="436">
        <v>2.0</v>
      </c>
      <c r="AO534" s="436">
        <v>2.0</v>
      </c>
      <c r="AP534" s="421" t="s">
        <v>156</v>
      </c>
      <c r="AQ534" s="436">
        <v>1.77</v>
      </c>
      <c r="AR534" s="436">
        <v>0.71</v>
      </c>
      <c r="AS534" s="420" t="s">
        <v>190</v>
      </c>
      <c r="AT534" s="448"/>
      <c r="AU534" s="449"/>
      <c r="AV534" s="571" t="s">
        <v>196</v>
      </c>
      <c r="AW534" s="438"/>
      <c r="AX534" s="450"/>
    </row>
    <row r="535">
      <c r="A535" s="419"/>
      <c r="B535" s="436" t="s">
        <v>300</v>
      </c>
      <c r="C535" s="438"/>
      <c r="D535" s="420" t="s">
        <v>301</v>
      </c>
      <c r="E535" s="420"/>
      <c r="F535" s="420" t="s">
        <v>2649</v>
      </c>
      <c r="G535" s="420" t="s">
        <v>189</v>
      </c>
      <c r="H535" s="420" t="s">
        <v>291</v>
      </c>
      <c r="I535" s="516">
        <v>40961.0</v>
      </c>
      <c r="J535" s="419">
        <v>2700.0</v>
      </c>
      <c r="K535" s="455">
        <v>200.0</v>
      </c>
      <c r="L535" s="420"/>
      <c r="M535" s="429"/>
      <c r="N535" s="422"/>
      <c r="O535" s="422"/>
      <c r="P535" s="422"/>
      <c r="Q535" s="420" t="s">
        <v>2439</v>
      </c>
      <c r="R535" s="420" t="s">
        <v>2176</v>
      </c>
      <c r="S535" s="420" t="s">
        <v>292</v>
      </c>
      <c r="T535" s="420" t="s">
        <v>293</v>
      </c>
      <c r="U535" s="420" t="s">
        <v>294</v>
      </c>
      <c r="V535" s="440">
        <v>7.98E-17</v>
      </c>
      <c r="W535" s="468"/>
      <c r="X535" s="436"/>
      <c r="Y535" s="442" t="str">
        <f t="shared" si="147"/>
        <v/>
      </c>
      <c r="Z535" s="469"/>
      <c r="AA535" s="470">
        <f>0.10049*1.8</f>
        <v>0.180882</v>
      </c>
      <c r="AB535" s="470">
        <f>0.5*0.10049</f>
        <v>0.050245</v>
      </c>
      <c r="AC535" s="436" t="str">
        <f>IF(ISNUMBER(VLOOKUP(B535,'New Masses'!A:C,3,FALSE)),VLOOKUP(B535,'New Masses'!A:C,3,FALSE),"")</f>
        <v/>
      </c>
      <c r="AD535" s="451"/>
      <c r="AE535" s="451">
        <f>10^(AF535)</f>
        <v>0</v>
      </c>
      <c r="AF535" s="439">
        <v>-10.8</v>
      </c>
      <c r="AG535" s="438"/>
      <c r="AH535" s="459">
        <f>14*0.0009543</f>
        <v>0.0133602</v>
      </c>
      <c r="AI535" s="420">
        <f>2/1048</f>
        <v>0.001908396947</v>
      </c>
      <c r="AJ535" s="446" t="str">
        <f>IF(ISNUMBER(VLOOKUP(B535,'New Masses'!A:C,2, FALSE)),VLOOKUP(B535,'New Masses'!A:C,2, FALSE),"")</f>
        <v/>
      </c>
      <c r="AK535" s="420"/>
      <c r="AL535" s="420"/>
      <c r="AM535" s="436">
        <v>-4.6</v>
      </c>
      <c r="AN535" s="466">
        <v>43963.0</v>
      </c>
      <c r="AO535" s="436">
        <v>11.0</v>
      </c>
      <c r="AP535" s="421" t="s">
        <v>156</v>
      </c>
      <c r="AQ535" s="517">
        <v>0.2</v>
      </c>
      <c r="AR535" s="518"/>
      <c r="AS535" s="518" t="s">
        <v>302</v>
      </c>
      <c r="AT535" s="448"/>
      <c r="AU535" s="449"/>
      <c r="AV535" s="572" t="s">
        <v>2442</v>
      </c>
      <c r="AW535" s="438"/>
      <c r="AX535" s="515">
        <v>145.0</v>
      </c>
    </row>
    <row r="536">
      <c r="A536" s="435"/>
      <c r="B536" s="485" t="s">
        <v>1621</v>
      </c>
      <c r="C536" s="486"/>
      <c r="D536" s="486" t="s">
        <v>2775</v>
      </c>
      <c r="E536" s="486"/>
      <c r="F536" s="528"/>
      <c r="G536" s="486"/>
      <c r="H536" s="486" t="s">
        <v>1622</v>
      </c>
      <c r="I536" s="491"/>
      <c r="J536" s="491"/>
      <c r="K536" s="491"/>
      <c r="L536" s="491"/>
      <c r="M536" s="486"/>
      <c r="N536" s="422"/>
      <c r="O536" s="422"/>
      <c r="P536" s="422"/>
      <c r="Q536" s="486"/>
      <c r="R536" s="491"/>
      <c r="S536" s="486" t="s">
        <v>2444</v>
      </c>
      <c r="T536" s="486" t="s">
        <v>293</v>
      </c>
      <c r="U536" s="486" t="s">
        <v>2776</v>
      </c>
      <c r="V536" s="491"/>
      <c r="W536" s="493"/>
      <c r="X536" s="486"/>
      <c r="Y536" s="442"/>
      <c r="Z536" s="491"/>
      <c r="AA536" s="524"/>
      <c r="AB536" s="494"/>
      <c r="AC536" s="436"/>
      <c r="AD536" s="495"/>
      <c r="AE536" s="496">
        <v>6.0E-10</v>
      </c>
      <c r="AF536" s="531">
        <f>log(AE536,10)</f>
        <v>-9.22184875</v>
      </c>
      <c r="AG536" s="486" t="s">
        <v>2777</v>
      </c>
      <c r="AH536" s="525">
        <v>0.018</v>
      </c>
      <c r="AI536" s="491"/>
      <c r="AJ536" s="446"/>
      <c r="AK536" s="491"/>
      <c r="AL536" s="500"/>
      <c r="AM536" s="436"/>
      <c r="AN536" s="438"/>
      <c r="AO536" s="531"/>
      <c r="AP536" s="486" t="s">
        <v>156</v>
      </c>
      <c r="AQ536" s="438"/>
      <c r="AR536" s="438"/>
      <c r="AS536" s="438"/>
      <c r="AT536" s="448"/>
      <c r="AU536" s="452"/>
      <c r="AV536" s="438"/>
      <c r="AW536" s="438"/>
      <c r="AX536" s="450"/>
    </row>
    <row r="537">
      <c r="A537" s="451"/>
      <c r="B537" s="451" t="s">
        <v>501</v>
      </c>
      <c r="C537" s="440"/>
      <c r="D537" s="440" t="s">
        <v>314</v>
      </c>
      <c r="E537" s="440"/>
      <c r="F537" s="451" t="s">
        <v>2778</v>
      </c>
      <c r="G537" s="440" t="s">
        <v>169</v>
      </c>
      <c r="H537" s="440" t="s">
        <v>476</v>
      </c>
      <c r="I537" s="438"/>
      <c r="J537" s="460">
        <v>3057.0</v>
      </c>
      <c r="K537" s="460">
        <v>70.0</v>
      </c>
      <c r="L537" s="460" t="s">
        <v>264</v>
      </c>
      <c r="M537" s="461">
        <v>0.5</v>
      </c>
      <c r="N537" s="422"/>
      <c r="O537" s="422"/>
      <c r="P537" s="422"/>
      <c r="Q537" s="440" t="s">
        <v>2189</v>
      </c>
      <c r="R537" s="451" t="s">
        <v>2190</v>
      </c>
      <c r="S537" s="451" t="s">
        <v>2191</v>
      </c>
      <c r="T537" s="462" t="s">
        <v>162</v>
      </c>
      <c r="U537" s="451" t="s">
        <v>2192</v>
      </c>
      <c r="V537" s="440"/>
      <c r="W537" s="463"/>
      <c r="X537" s="437"/>
      <c r="Y537" s="442" t="str">
        <f>IF((W537/((J537/5780)^4))^0.5&gt;0,(W537/((J537/5780)^4))^0.5,"")</f>
        <v/>
      </c>
      <c r="Z537" s="464"/>
      <c r="AA537" s="465">
        <v>0.83</v>
      </c>
      <c r="AB537" s="465">
        <v>0.19</v>
      </c>
      <c r="AC537" s="436" t="str">
        <f>IF(ISNUMBER(VLOOKUP(B537,'New Masses'!A:C,3,FALSE)),VLOOKUP(B537,'New Masses'!A:C,3,FALSE),"")</f>
        <v/>
      </c>
      <c r="AD537" s="440"/>
      <c r="AE537" s="440">
        <f>10^AF537</f>
        <v>0</v>
      </c>
      <c r="AF537" s="444">
        <v>-10.3</v>
      </c>
      <c r="AG537" s="440"/>
      <c r="AH537" s="445">
        <v>0.13</v>
      </c>
      <c r="AI537" s="460">
        <v>0.02</v>
      </c>
      <c r="AJ537" s="446" t="str">
        <f>IF(ISNUMBER(VLOOKUP(B537,'New Masses'!A:C,2, FALSE)),VLOOKUP(B537,'New Masses'!A:C,2, FALSE),"")</f>
        <v/>
      </c>
      <c r="AK537" s="440">
        <f>LOG10(AH537)</f>
        <v>-0.8860566477</v>
      </c>
      <c r="AL537" s="460"/>
      <c r="AM537" s="460">
        <v>-3.7</v>
      </c>
      <c r="AN537" s="466">
        <v>43900.0</v>
      </c>
      <c r="AO537" s="436">
        <v>3.0</v>
      </c>
      <c r="AP537" s="440"/>
      <c r="AQ537" s="440"/>
      <c r="AR537" s="440"/>
      <c r="AS537" s="440"/>
      <c r="AT537" s="448"/>
      <c r="AU537" s="449"/>
      <c r="AV537" s="440"/>
      <c r="AW537" s="440"/>
      <c r="AX537" s="450"/>
    </row>
    <row r="538">
      <c r="A538" s="435"/>
      <c r="B538" s="573" t="s">
        <v>648</v>
      </c>
      <c r="C538" s="486"/>
      <c r="D538" s="486"/>
      <c r="E538" s="486"/>
      <c r="F538" s="528"/>
      <c r="G538" s="486"/>
      <c r="H538" s="477" t="s">
        <v>649</v>
      </c>
      <c r="I538" s="491"/>
      <c r="J538" s="491"/>
      <c r="K538" s="491"/>
      <c r="L538" s="477" t="s">
        <v>264</v>
      </c>
      <c r="M538" s="486"/>
      <c r="N538" s="422"/>
      <c r="O538" s="422"/>
      <c r="P538" s="422"/>
      <c r="Q538" s="486"/>
      <c r="R538" s="491"/>
      <c r="S538" s="491"/>
      <c r="T538" s="491"/>
      <c r="U538" s="491"/>
      <c r="V538" s="491"/>
      <c r="W538" s="493"/>
      <c r="X538" s="486"/>
      <c r="Y538" s="442"/>
      <c r="Z538" s="491"/>
      <c r="AA538" s="524"/>
      <c r="AB538" s="494"/>
      <c r="AC538" s="469">
        <f>IF(ISNUMBER(VLOOKUP(B538,'New Masses'!A:C,3,FALSE)),VLOOKUP(B538,'New Masses'!A:C,3,FALSE),"")</f>
        <v>0.975469</v>
      </c>
      <c r="AD538" s="495"/>
      <c r="AE538" s="496"/>
      <c r="AF538" s="531"/>
      <c r="AG538" s="491"/>
      <c r="AH538" s="525"/>
      <c r="AI538" s="491"/>
      <c r="AJ538" s="446"/>
      <c r="AK538" s="491"/>
      <c r="AL538" s="500"/>
      <c r="AM538" s="436"/>
      <c r="AN538" s="438"/>
      <c r="AO538" s="531"/>
      <c r="AP538" s="491"/>
      <c r="AQ538" s="438"/>
      <c r="AR538" s="438"/>
      <c r="AS538" s="438"/>
      <c r="AT538" s="448"/>
      <c r="AU538" s="452"/>
      <c r="AV538" s="438"/>
      <c r="AW538" s="438"/>
      <c r="AX538" s="450"/>
    </row>
    <row r="539">
      <c r="A539" s="435"/>
      <c r="B539" s="485"/>
      <c r="C539" s="486"/>
      <c r="D539" s="486"/>
      <c r="E539" s="486"/>
      <c r="F539" s="528"/>
      <c r="G539" s="486"/>
      <c r="H539" s="486"/>
      <c r="I539" s="491"/>
      <c r="J539" s="491"/>
      <c r="K539" s="491"/>
      <c r="L539" s="491"/>
      <c r="M539" s="486"/>
      <c r="N539" s="422"/>
      <c r="O539" s="422"/>
      <c r="P539" s="422"/>
      <c r="Q539" s="486"/>
      <c r="R539" s="491"/>
      <c r="S539" s="491"/>
      <c r="T539" s="491"/>
      <c r="U539" s="491"/>
      <c r="V539" s="491"/>
      <c r="W539" s="493"/>
      <c r="X539" s="486"/>
      <c r="Y539" s="442"/>
      <c r="Z539" s="491"/>
      <c r="AA539" s="524"/>
      <c r="AB539" s="494"/>
      <c r="AC539" s="436"/>
      <c r="AD539" s="495"/>
      <c r="AE539" s="496"/>
      <c r="AF539" s="531"/>
      <c r="AG539" s="491"/>
      <c r="AH539" s="525"/>
      <c r="AI539" s="491"/>
      <c r="AJ539" s="446"/>
      <c r="AK539" s="491"/>
      <c r="AL539" s="500"/>
      <c r="AM539" s="436"/>
      <c r="AN539" s="438"/>
      <c r="AO539" s="531"/>
      <c r="AP539" s="491"/>
      <c r="AQ539" s="438"/>
      <c r="AR539" s="438"/>
      <c r="AS539" s="438"/>
      <c r="AT539" s="448"/>
      <c r="AU539" s="449"/>
      <c r="AV539" s="438"/>
      <c r="AW539" s="438"/>
      <c r="AX539" s="450"/>
    </row>
    <row r="540">
      <c r="A540" s="435"/>
      <c r="B540" s="485"/>
      <c r="C540" s="486"/>
      <c r="D540" s="486"/>
      <c r="E540" s="486"/>
      <c r="F540" s="528"/>
      <c r="G540" s="486"/>
      <c r="H540" s="486"/>
      <c r="I540" s="491"/>
      <c r="J540" s="491"/>
      <c r="K540" s="491"/>
      <c r="L540" s="491"/>
      <c r="M540" s="486"/>
      <c r="N540" s="422"/>
      <c r="O540" s="422"/>
      <c r="P540" s="422"/>
      <c r="Q540" s="486"/>
      <c r="R540" s="491"/>
      <c r="S540" s="491"/>
      <c r="T540" s="491"/>
      <c r="U540" s="491"/>
      <c r="V540" s="491"/>
      <c r="W540" s="493"/>
      <c r="X540" s="486"/>
      <c r="Y540" s="442"/>
      <c r="Z540" s="491"/>
      <c r="AA540" s="524"/>
      <c r="AB540" s="494"/>
      <c r="AC540" s="436"/>
      <c r="AD540" s="495"/>
      <c r="AE540" s="496"/>
      <c r="AF540" s="531"/>
      <c r="AG540" s="491"/>
      <c r="AH540" s="525"/>
      <c r="AI540" s="491"/>
      <c r="AJ540" s="446"/>
      <c r="AK540" s="491"/>
      <c r="AL540" s="500"/>
      <c r="AM540" s="436"/>
      <c r="AN540" s="438"/>
      <c r="AO540" s="531"/>
      <c r="AP540" s="491"/>
      <c r="AQ540" s="438"/>
      <c r="AR540" s="438"/>
      <c r="AS540" s="438"/>
      <c r="AT540" s="448"/>
      <c r="AU540" s="452"/>
      <c r="AV540" s="438"/>
      <c r="AW540" s="438"/>
      <c r="AX540" s="450"/>
    </row>
    <row r="541">
      <c r="A541" s="435"/>
      <c r="B541" s="485"/>
      <c r="C541" s="486"/>
      <c r="D541" s="486"/>
      <c r="E541" s="486"/>
      <c r="F541" s="528"/>
      <c r="G541" s="486"/>
      <c r="H541" s="486"/>
      <c r="I541" s="491"/>
      <c r="J541" s="491"/>
      <c r="K541" s="491"/>
      <c r="L541" s="491"/>
      <c r="M541" s="486"/>
      <c r="N541" s="422"/>
      <c r="O541" s="422"/>
      <c r="P541" s="422"/>
      <c r="Q541" s="486"/>
      <c r="R541" s="491"/>
      <c r="S541" s="491"/>
      <c r="T541" s="491"/>
      <c r="U541" s="491"/>
      <c r="V541" s="491"/>
      <c r="W541" s="493"/>
      <c r="X541" s="486"/>
      <c r="Y541" s="442"/>
      <c r="Z541" s="491"/>
      <c r="AA541" s="524"/>
      <c r="AB541" s="494"/>
      <c r="AC541" s="436"/>
      <c r="AD541" s="495"/>
      <c r="AE541" s="496"/>
      <c r="AF541" s="531"/>
      <c r="AG541" s="491"/>
      <c r="AH541" s="525"/>
      <c r="AI541" s="491"/>
      <c r="AJ541" s="446"/>
      <c r="AK541" s="491"/>
      <c r="AL541" s="500"/>
      <c r="AM541" s="436"/>
      <c r="AN541" s="438"/>
      <c r="AO541" s="531"/>
      <c r="AP541" s="491"/>
      <c r="AQ541" s="438"/>
      <c r="AR541" s="438"/>
      <c r="AS541" s="438"/>
      <c r="AT541" s="448"/>
      <c r="AU541" s="449"/>
      <c r="AV541" s="438"/>
      <c r="AW541" s="438"/>
      <c r="AX541" s="450"/>
    </row>
    <row r="542">
      <c r="A542" s="435"/>
      <c r="B542" s="485"/>
      <c r="C542" s="486"/>
      <c r="D542" s="486"/>
      <c r="E542" s="486"/>
      <c r="F542" s="528"/>
      <c r="G542" s="486"/>
      <c r="H542" s="486"/>
      <c r="I542" s="491"/>
      <c r="J542" s="491"/>
      <c r="K542" s="491"/>
      <c r="L542" s="491"/>
      <c r="M542" s="486"/>
      <c r="N542" s="422"/>
      <c r="O542" s="422"/>
      <c r="P542" s="422"/>
      <c r="Q542" s="486"/>
      <c r="R542" s="491"/>
      <c r="S542" s="491"/>
      <c r="T542" s="491"/>
      <c r="U542" s="491"/>
      <c r="V542" s="491"/>
      <c r="W542" s="493"/>
      <c r="X542" s="486"/>
      <c r="Y542" s="442"/>
      <c r="Z542" s="491"/>
      <c r="AA542" s="524"/>
      <c r="AB542" s="494"/>
      <c r="AC542" s="436"/>
      <c r="AD542" s="495"/>
      <c r="AE542" s="496"/>
      <c r="AF542" s="531"/>
      <c r="AG542" s="491"/>
      <c r="AH542" s="525"/>
      <c r="AI542" s="491"/>
      <c r="AJ542" s="446"/>
      <c r="AK542" s="491"/>
      <c r="AL542" s="500"/>
      <c r="AM542" s="436"/>
      <c r="AN542" s="438"/>
      <c r="AO542" s="531"/>
      <c r="AP542" s="491"/>
      <c r="AQ542" s="438"/>
      <c r="AR542" s="438"/>
      <c r="AS542" s="438"/>
      <c r="AT542" s="448"/>
      <c r="AU542" s="452"/>
      <c r="AV542" s="438"/>
      <c r="AW542" s="438"/>
      <c r="AX542" s="450"/>
    </row>
    <row r="543">
      <c r="A543" s="435"/>
      <c r="B543" s="485"/>
      <c r="C543" s="486"/>
      <c r="D543" s="486"/>
      <c r="E543" s="486"/>
      <c r="F543" s="528"/>
      <c r="G543" s="486"/>
      <c r="H543" s="486"/>
      <c r="I543" s="491"/>
      <c r="J543" s="491"/>
      <c r="K543" s="491"/>
      <c r="L543" s="491"/>
      <c r="M543" s="486"/>
      <c r="N543" s="422"/>
      <c r="O543" s="422"/>
      <c r="P543" s="422"/>
      <c r="Q543" s="486"/>
      <c r="R543" s="491"/>
      <c r="S543" s="491"/>
      <c r="T543" s="491"/>
      <c r="U543" s="491"/>
      <c r="V543" s="491"/>
      <c r="W543" s="493"/>
      <c r="X543" s="486"/>
      <c r="Y543" s="442"/>
      <c r="Z543" s="491"/>
      <c r="AA543" s="524"/>
      <c r="AB543" s="494"/>
      <c r="AC543" s="436"/>
      <c r="AD543" s="495"/>
      <c r="AE543" s="496"/>
      <c r="AF543" s="531"/>
      <c r="AG543" s="491"/>
      <c r="AH543" s="525"/>
      <c r="AI543" s="491"/>
      <c r="AJ543" s="446"/>
      <c r="AK543" s="491"/>
      <c r="AL543" s="500"/>
      <c r="AM543" s="436"/>
      <c r="AN543" s="438"/>
      <c r="AO543" s="531"/>
      <c r="AP543" s="491"/>
      <c r="AQ543" s="438"/>
      <c r="AR543" s="438"/>
      <c r="AS543" s="438"/>
      <c r="AT543" s="448"/>
      <c r="AU543" s="449"/>
      <c r="AV543" s="438"/>
      <c r="AW543" s="438"/>
      <c r="AX543" s="450"/>
    </row>
    <row r="544">
      <c r="A544" s="435"/>
      <c r="B544" s="485"/>
      <c r="C544" s="486"/>
      <c r="D544" s="486"/>
      <c r="E544" s="486"/>
      <c r="F544" s="528"/>
      <c r="G544" s="486"/>
      <c r="H544" s="486"/>
      <c r="I544" s="491"/>
      <c r="J544" s="491"/>
      <c r="K544" s="491"/>
      <c r="L544" s="491"/>
      <c r="M544" s="486"/>
      <c r="N544" s="422"/>
      <c r="O544" s="422"/>
      <c r="P544" s="422"/>
      <c r="Q544" s="486"/>
      <c r="R544" s="491"/>
      <c r="S544" s="491"/>
      <c r="T544" s="491"/>
      <c r="U544" s="491"/>
      <c r="V544" s="491"/>
      <c r="W544" s="493"/>
      <c r="X544" s="486"/>
      <c r="Y544" s="442"/>
      <c r="Z544" s="491"/>
      <c r="AA544" s="524"/>
      <c r="AB544" s="494"/>
      <c r="AC544" s="436"/>
      <c r="AD544" s="495"/>
      <c r="AE544" s="496"/>
      <c r="AF544" s="531"/>
      <c r="AG544" s="491"/>
      <c r="AH544" s="525"/>
      <c r="AI544" s="491"/>
      <c r="AJ544" s="446"/>
      <c r="AK544" s="491"/>
      <c r="AL544" s="500"/>
      <c r="AM544" s="436"/>
      <c r="AN544" s="438"/>
      <c r="AO544" s="531"/>
      <c r="AP544" s="491"/>
      <c r="AQ544" s="438"/>
      <c r="AR544" s="438"/>
      <c r="AS544" s="438"/>
      <c r="AT544" s="448"/>
      <c r="AU544" s="452"/>
      <c r="AV544" s="438"/>
      <c r="AW544" s="438"/>
      <c r="AX544" s="450"/>
    </row>
    <row r="545">
      <c r="A545" s="435"/>
      <c r="B545" s="485"/>
      <c r="C545" s="486"/>
      <c r="D545" s="486"/>
      <c r="E545" s="486"/>
      <c r="F545" s="528"/>
      <c r="G545" s="486"/>
      <c r="H545" s="486"/>
      <c r="I545" s="491"/>
      <c r="J545" s="491"/>
      <c r="K545" s="491"/>
      <c r="L545" s="491"/>
      <c r="M545" s="486"/>
      <c r="N545" s="422"/>
      <c r="O545" s="422"/>
      <c r="P545" s="422"/>
      <c r="Q545" s="486"/>
      <c r="R545" s="491"/>
      <c r="S545" s="491"/>
      <c r="T545" s="491"/>
      <c r="U545" s="491"/>
      <c r="V545" s="491"/>
      <c r="W545" s="493"/>
      <c r="X545" s="486"/>
      <c r="Y545" s="442"/>
      <c r="Z545" s="491"/>
      <c r="AA545" s="524"/>
      <c r="AB545" s="494"/>
      <c r="AC545" s="436"/>
      <c r="AD545" s="495"/>
      <c r="AE545" s="496"/>
      <c r="AF545" s="531"/>
      <c r="AG545" s="491"/>
      <c r="AH545" s="525"/>
      <c r="AI545" s="491"/>
      <c r="AJ545" s="446"/>
      <c r="AK545" s="491"/>
      <c r="AL545" s="500"/>
      <c r="AM545" s="436"/>
      <c r="AN545" s="438"/>
      <c r="AO545" s="531"/>
      <c r="AP545" s="491"/>
      <c r="AQ545" s="438"/>
      <c r="AR545" s="438"/>
      <c r="AS545" s="438"/>
      <c r="AT545" s="448"/>
      <c r="AU545" s="449"/>
      <c r="AV545" s="438"/>
      <c r="AW545" s="438"/>
      <c r="AX545" s="450"/>
    </row>
    <row r="546">
      <c r="A546" s="435"/>
      <c r="B546" s="485"/>
      <c r="C546" s="486"/>
      <c r="D546" s="486"/>
      <c r="E546" s="486"/>
      <c r="F546" s="528"/>
      <c r="G546" s="486"/>
      <c r="H546" s="486"/>
      <c r="I546" s="491"/>
      <c r="J546" s="491"/>
      <c r="K546" s="491"/>
      <c r="L546" s="491"/>
      <c r="M546" s="486"/>
      <c r="N546" s="422"/>
      <c r="O546" s="422"/>
      <c r="P546" s="422"/>
      <c r="Q546" s="486"/>
      <c r="R546" s="491"/>
      <c r="S546" s="491"/>
      <c r="T546" s="491"/>
      <c r="U546" s="491"/>
      <c r="V546" s="491"/>
      <c r="W546" s="493"/>
      <c r="X546" s="486"/>
      <c r="Y546" s="442"/>
      <c r="Z546" s="491"/>
      <c r="AA546" s="524"/>
      <c r="AB546" s="494"/>
      <c r="AC546" s="436"/>
      <c r="AD546" s="495"/>
      <c r="AE546" s="496"/>
      <c r="AF546" s="531"/>
      <c r="AG546" s="491"/>
      <c r="AH546" s="525"/>
      <c r="AI546" s="491"/>
      <c r="AJ546" s="446"/>
      <c r="AK546" s="491"/>
      <c r="AL546" s="500"/>
      <c r="AM546" s="436"/>
      <c r="AN546" s="438"/>
      <c r="AO546" s="531"/>
      <c r="AP546" s="491"/>
      <c r="AQ546" s="438"/>
      <c r="AR546" s="438"/>
      <c r="AS546" s="438"/>
      <c r="AT546" s="448"/>
      <c r="AU546" s="452"/>
      <c r="AV546" s="438"/>
      <c r="AW546" s="438"/>
      <c r="AX546" s="450"/>
    </row>
    <row r="547">
      <c r="A547" s="435"/>
      <c r="B547" s="485"/>
      <c r="C547" s="486"/>
      <c r="D547" s="486"/>
      <c r="E547" s="486"/>
      <c r="F547" s="528"/>
      <c r="G547" s="486"/>
      <c r="H547" s="486"/>
      <c r="I547" s="491"/>
      <c r="J547" s="491"/>
      <c r="K547" s="491"/>
      <c r="L547" s="491"/>
      <c r="M547" s="486"/>
      <c r="N547" s="422"/>
      <c r="O547" s="422"/>
      <c r="P547" s="422"/>
      <c r="Q547" s="486"/>
      <c r="R547" s="491"/>
      <c r="S547" s="491"/>
      <c r="T547" s="491"/>
      <c r="U547" s="491"/>
      <c r="V547" s="491"/>
      <c r="W547" s="493"/>
      <c r="X547" s="486"/>
      <c r="Y547" s="442"/>
      <c r="Z547" s="491"/>
      <c r="AA547" s="524"/>
      <c r="AB547" s="494"/>
      <c r="AC547" s="436"/>
      <c r="AD547" s="495"/>
      <c r="AE547" s="496"/>
      <c r="AF547" s="531"/>
      <c r="AG547" s="491"/>
      <c r="AH547" s="525"/>
      <c r="AI547" s="491"/>
      <c r="AJ547" s="446"/>
      <c r="AK547" s="491"/>
      <c r="AL547" s="500"/>
      <c r="AM547" s="436"/>
      <c r="AN547" s="438"/>
      <c r="AO547" s="531"/>
      <c r="AP547" s="491"/>
      <c r="AQ547" s="438"/>
      <c r="AR547" s="438"/>
      <c r="AS547" s="438"/>
      <c r="AT547" s="448"/>
      <c r="AU547" s="449"/>
      <c r="AV547" s="438"/>
      <c r="AW547" s="438"/>
      <c r="AX547" s="450"/>
    </row>
    <row r="548">
      <c r="A548" s="435"/>
      <c r="B548" s="485"/>
      <c r="C548" s="486"/>
      <c r="D548" s="486"/>
      <c r="E548" s="486"/>
      <c r="F548" s="528"/>
      <c r="G548" s="486"/>
      <c r="H548" s="486"/>
      <c r="I548" s="491"/>
      <c r="J548" s="491"/>
      <c r="K548" s="491"/>
      <c r="L548" s="491"/>
      <c r="M548" s="486"/>
      <c r="N548" s="422"/>
      <c r="O548" s="422"/>
      <c r="P548" s="422"/>
      <c r="Q548" s="486"/>
      <c r="R548" s="491"/>
      <c r="S548" s="491"/>
      <c r="T548" s="491"/>
      <c r="U548" s="491"/>
      <c r="V548" s="491"/>
      <c r="W548" s="493"/>
      <c r="X548" s="486"/>
      <c r="Y548" s="442"/>
      <c r="Z548" s="491"/>
      <c r="AA548" s="524"/>
      <c r="AB548" s="494"/>
      <c r="AC548" s="436"/>
      <c r="AD548" s="495"/>
      <c r="AE548" s="496"/>
      <c r="AF548" s="531"/>
      <c r="AG548" s="491"/>
      <c r="AH548" s="525"/>
      <c r="AI548" s="491"/>
      <c r="AJ548" s="446"/>
      <c r="AK548" s="491"/>
      <c r="AL548" s="500"/>
      <c r="AM548" s="436"/>
      <c r="AN548" s="438"/>
      <c r="AO548" s="531"/>
      <c r="AP548" s="491"/>
      <c r="AQ548" s="438"/>
      <c r="AR548" s="438"/>
      <c r="AS548" s="438"/>
      <c r="AT548" s="448"/>
      <c r="AU548" s="452"/>
      <c r="AV548" s="438"/>
      <c r="AW548" s="438"/>
      <c r="AX548" s="450"/>
    </row>
    <row r="549">
      <c r="A549" s="435"/>
      <c r="B549" s="485"/>
      <c r="C549" s="486"/>
      <c r="D549" s="486"/>
      <c r="E549" s="486"/>
      <c r="F549" s="528"/>
      <c r="G549" s="486"/>
      <c r="H549" s="486"/>
      <c r="I549" s="491"/>
      <c r="J549" s="491"/>
      <c r="K549" s="491"/>
      <c r="L549" s="491"/>
      <c r="M549" s="486"/>
      <c r="N549" s="422"/>
      <c r="O549" s="422"/>
      <c r="P549" s="422"/>
      <c r="Q549" s="486"/>
      <c r="R549" s="491"/>
      <c r="S549" s="491"/>
      <c r="T549" s="491"/>
      <c r="U549" s="491"/>
      <c r="V549" s="491"/>
      <c r="W549" s="493"/>
      <c r="X549" s="486"/>
      <c r="Y549" s="442"/>
      <c r="Z549" s="491"/>
      <c r="AA549" s="524"/>
      <c r="AB549" s="494"/>
      <c r="AC549" s="436"/>
      <c r="AD549" s="495"/>
      <c r="AE549" s="496"/>
      <c r="AF549" s="531"/>
      <c r="AG549" s="491"/>
      <c r="AH549" s="525"/>
      <c r="AI549" s="491"/>
      <c r="AJ549" s="446"/>
      <c r="AK549" s="491"/>
      <c r="AL549" s="500"/>
      <c r="AM549" s="436"/>
      <c r="AN549" s="438"/>
      <c r="AO549" s="531"/>
      <c r="AP549" s="491"/>
      <c r="AQ549" s="438"/>
      <c r="AR549" s="438"/>
      <c r="AS549" s="438"/>
      <c r="AT549" s="448"/>
      <c r="AU549" s="449"/>
      <c r="AV549" s="438"/>
      <c r="AW549" s="438"/>
      <c r="AX549" s="450"/>
    </row>
    <row r="550">
      <c r="A550" s="435"/>
      <c r="B550" s="485"/>
      <c r="C550" s="486"/>
      <c r="D550" s="486"/>
      <c r="E550" s="486"/>
      <c r="F550" s="528"/>
      <c r="G550" s="486"/>
      <c r="H550" s="486"/>
      <c r="I550" s="491"/>
      <c r="J550" s="491"/>
      <c r="K550" s="491"/>
      <c r="L550" s="491"/>
      <c r="M550" s="486"/>
      <c r="N550" s="422"/>
      <c r="O550" s="422"/>
      <c r="P550" s="422"/>
      <c r="Q550" s="486"/>
      <c r="R550" s="491"/>
      <c r="S550" s="491"/>
      <c r="T550" s="491"/>
      <c r="U550" s="491"/>
      <c r="V550" s="491"/>
      <c r="W550" s="493"/>
      <c r="X550" s="486"/>
      <c r="Y550" s="442"/>
      <c r="Z550" s="491"/>
      <c r="AA550" s="524"/>
      <c r="AB550" s="494"/>
      <c r="AC550" s="436"/>
      <c r="AD550" s="495"/>
      <c r="AE550" s="496"/>
      <c r="AF550" s="531"/>
      <c r="AG550" s="491"/>
      <c r="AH550" s="525"/>
      <c r="AI550" s="491"/>
      <c r="AJ550" s="446"/>
      <c r="AK550" s="491"/>
      <c r="AL550" s="500"/>
      <c r="AM550" s="436"/>
      <c r="AN550" s="438"/>
      <c r="AO550" s="531"/>
      <c r="AP550" s="491"/>
      <c r="AQ550" s="438"/>
      <c r="AR550" s="438"/>
      <c r="AS550" s="438"/>
      <c r="AT550" s="448"/>
      <c r="AU550" s="452"/>
      <c r="AV550" s="438"/>
      <c r="AW550" s="438"/>
      <c r="AX550" s="450"/>
    </row>
    <row r="551">
      <c r="A551" s="435"/>
      <c r="B551" s="485"/>
      <c r="C551" s="486"/>
      <c r="D551" s="486"/>
      <c r="E551" s="486"/>
      <c r="F551" s="528"/>
      <c r="G551" s="486"/>
      <c r="H551" s="486"/>
      <c r="I551" s="491"/>
      <c r="J551" s="491"/>
      <c r="K551" s="491"/>
      <c r="L551" s="491"/>
      <c r="M551" s="486"/>
      <c r="N551" s="422"/>
      <c r="O551" s="422"/>
      <c r="P551" s="422"/>
      <c r="Q551" s="486"/>
      <c r="R551" s="491"/>
      <c r="S551" s="491"/>
      <c r="T551" s="491"/>
      <c r="U551" s="491"/>
      <c r="V551" s="491"/>
      <c r="W551" s="493"/>
      <c r="X551" s="486"/>
      <c r="Y551" s="442"/>
      <c r="Z551" s="491"/>
      <c r="AA551" s="524"/>
      <c r="AB551" s="494"/>
      <c r="AC551" s="436"/>
      <c r="AD551" s="495"/>
      <c r="AE551" s="496"/>
      <c r="AF551" s="531"/>
      <c r="AG551" s="491"/>
      <c r="AH551" s="525"/>
      <c r="AI551" s="491"/>
      <c r="AJ551" s="446"/>
      <c r="AK551" s="491"/>
      <c r="AL551" s="500"/>
      <c r="AM551" s="436"/>
      <c r="AN551" s="438"/>
      <c r="AO551" s="531"/>
      <c r="AP551" s="491"/>
      <c r="AQ551" s="438"/>
      <c r="AR551" s="438"/>
      <c r="AS551" s="438"/>
      <c r="AT551" s="448"/>
      <c r="AU551" s="449"/>
      <c r="AV551" s="438"/>
      <c r="AW551" s="438"/>
      <c r="AX551" s="450"/>
    </row>
    <row r="552">
      <c r="A552" s="435"/>
      <c r="B552" s="485"/>
      <c r="C552" s="486"/>
      <c r="D552" s="486"/>
      <c r="E552" s="486"/>
      <c r="F552" s="528"/>
      <c r="G552" s="486"/>
      <c r="H552" s="486"/>
      <c r="I552" s="491"/>
      <c r="J552" s="491"/>
      <c r="K552" s="491"/>
      <c r="L552" s="491"/>
      <c r="M552" s="486"/>
      <c r="N552" s="422"/>
      <c r="O552" s="422"/>
      <c r="P552" s="422"/>
      <c r="Q552" s="486"/>
      <c r="R552" s="491"/>
      <c r="S552" s="491"/>
      <c r="T552" s="491"/>
      <c r="U552" s="491"/>
      <c r="V552" s="491"/>
      <c r="W552" s="493"/>
      <c r="X552" s="486"/>
      <c r="Y552" s="442"/>
      <c r="Z552" s="491"/>
      <c r="AA552" s="524"/>
      <c r="AB552" s="494"/>
      <c r="AC552" s="436"/>
      <c r="AD552" s="495"/>
      <c r="AE552" s="496"/>
      <c r="AF552" s="531"/>
      <c r="AG552" s="491"/>
      <c r="AH552" s="525"/>
      <c r="AI552" s="491"/>
      <c r="AJ552" s="446"/>
      <c r="AK552" s="491"/>
      <c r="AL552" s="500"/>
      <c r="AM552" s="436"/>
      <c r="AN552" s="438"/>
      <c r="AO552" s="531"/>
      <c r="AP552" s="491"/>
      <c r="AQ552" s="438"/>
      <c r="AR552" s="438"/>
      <c r="AS552" s="438"/>
      <c r="AT552" s="448"/>
      <c r="AU552" s="452"/>
      <c r="AV552" s="438"/>
      <c r="AW552" s="438"/>
      <c r="AX552" s="450"/>
    </row>
    <row r="553">
      <c r="A553" s="435"/>
      <c r="B553" s="485"/>
      <c r="C553" s="486"/>
      <c r="D553" s="486"/>
      <c r="E553" s="486"/>
      <c r="F553" s="528"/>
      <c r="G553" s="486"/>
      <c r="H553" s="486"/>
      <c r="I553" s="491"/>
      <c r="J553" s="491"/>
      <c r="K553" s="491"/>
      <c r="L553" s="491"/>
      <c r="M553" s="486"/>
      <c r="N553" s="422"/>
      <c r="O553" s="422"/>
      <c r="P553" s="422"/>
      <c r="Q553" s="486"/>
      <c r="R553" s="491"/>
      <c r="S553" s="491"/>
      <c r="T553" s="491"/>
      <c r="U553" s="491"/>
      <c r="V553" s="491"/>
      <c r="W553" s="493"/>
      <c r="X553" s="486"/>
      <c r="Y553" s="442"/>
      <c r="Z553" s="491"/>
      <c r="AA553" s="524"/>
      <c r="AB553" s="494"/>
      <c r="AC553" s="436"/>
      <c r="AD553" s="495"/>
      <c r="AE553" s="496"/>
      <c r="AF553" s="531"/>
      <c r="AG553" s="491"/>
      <c r="AH553" s="525"/>
      <c r="AI553" s="491"/>
      <c r="AJ553" s="446"/>
      <c r="AK553" s="491"/>
      <c r="AL553" s="500"/>
      <c r="AM553" s="436"/>
      <c r="AN553" s="438"/>
      <c r="AO553" s="531"/>
      <c r="AP553" s="491"/>
      <c r="AQ553" s="438"/>
      <c r="AR553" s="438"/>
      <c r="AS553" s="438"/>
      <c r="AT553" s="448"/>
      <c r="AU553" s="449"/>
      <c r="AV553" s="438"/>
      <c r="AW553" s="438"/>
      <c r="AX553" s="450"/>
    </row>
    <row r="554">
      <c r="A554" s="435"/>
      <c r="B554" s="485"/>
      <c r="C554" s="486"/>
      <c r="D554" s="486"/>
      <c r="E554" s="486"/>
      <c r="F554" s="528"/>
      <c r="G554" s="486"/>
      <c r="H554" s="486"/>
      <c r="I554" s="491"/>
      <c r="J554" s="491"/>
      <c r="K554" s="491"/>
      <c r="L554" s="491"/>
      <c r="M554" s="486"/>
      <c r="N554" s="422"/>
      <c r="O554" s="422"/>
      <c r="P554" s="422"/>
      <c r="Q554" s="486"/>
      <c r="R554" s="491"/>
      <c r="S554" s="491"/>
      <c r="T554" s="491"/>
      <c r="U554" s="491"/>
      <c r="V554" s="491"/>
      <c r="W554" s="493"/>
      <c r="X554" s="486"/>
      <c r="Y554" s="442"/>
      <c r="Z554" s="491"/>
      <c r="AA554" s="524"/>
      <c r="AB554" s="494"/>
      <c r="AC554" s="436"/>
      <c r="AD554" s="495"/>
      <c r="AE554" s="496"/>
      <c r="AF554" s="531"/>
      <c r="AG554" s="491"/>
      <c r="AH554" s="525"/>
      <c r="AI554" s="491"/>
      <c r="AJ554" s="446"/>
      <c r="AK554" s="491"/>
      <c r="AL554" s="500"/>
      <c r="AM554" s="436"/>
      <c r="AN554" s="438"/>
      <c r="AO554" s="531"/>
      <c r="AP554" s="491"/>
      <c r="AQ554" s="438"/>
      <c r="AR554" s="438"/>
      <c r="AS554" s="438"/>
      <c r="AT554" s="448"/>
      <c r="AU554" s="452"/>
      <c r="AV554" s="438"/>
      <c r="AW554" s="438"/>
      <c r="AX554" s="450"/>
    </row>
    <row r="555">
      <c r="A555" s="435"/>
      <c r="B555" s="485"/>
      <c r="C555" s="486"/>
      <c r="D555" s="486"/>
      <c r="E555" s="486"/>
      <c r="F555" s="528"/>
      <c r="G555" s="486"/>
      <c r="H555" s="486"/>
      <c r="I555" s="491"/>
      <c r="J555" s="491"/>
      <c r="K555" s="491"/>
      <c r="L555" s="491"/>
      <c r="M555" s="486"/>
      <c r="N555" s="422"/>
      <c r="O555" s="422"/>
      <c r="P555" s="422"/>
      <c r="Q555" s="486"/>
      <c r="R555" s="491"/>
      <c r="S555" s="491"/>
      <c r="T555" s="491"/>
      <c r="U555" s="491"/>
      <c r="V555" s="491"/>
      <c r="W555" s="493"/>
      <c r="X555" s="486"/>
      <c r="Y555" s="442"/>
      <c r="Z555" s="491"/>
      <c r="AA555" s="524"/>
      <c r="AB555" s="494"/>
      <c r="AC555" s="436"/>
      <c r="AD555" s="495"/>
      <c r="AE555" s="496"/>
      <c r="AF555" s="531"/>
      <c r="AG555" s="491"/>
      <c r="AH555" s="525"/>
      <c r="AI555" s="491"/>
      <c r="AJ555" s="446"/>
      <c r="AK555" s="491"/>
      <c r="AL555" s="500"/>
      <c r="AM555" s="436"/>
      <c r="AN555" s="438"/>
      <c r="AO555" s="531"/>
      <c r="AP555" s="491"/>
      <c r="AQ555" s="438"/>
      <c r="AR555" s="438"/>
      <c r="AS555" s="438"/>
      <c r="AT555" s="448"/>
      <c r="AU555" s="449"/>
      <c r="AV555" s="438"/>
      <c r="AW555" s="438"/>
      <c r="AX555" s="450"/>
    </row>
    <row r="556">
      <c r="A556" s="435"/>
      <c r="B556" s="485"/>
      <c r="C556" s="486"/>
      <c r="D556" s="486"/>
      <c r="E556" s="486"/>
      <c r="F556" s="528"/>
      <c r="G556" s="486"/>
      <c r="H556" s="486"/>
      <c r="I556" s="491"/>
      <c r="J556" s="491"/>
      <c r="K556" s="491"/>
      <c r="L556" s="491"/>
      <c r="M556" s="486"/>
      <c r="N556" s="422"/>
      <c r="O556" s="422"/>
      <c r="P556" s="422"/>
      <c r="Q556" s="486"/>
      <c r="R556" s="491"/>
      <c r="S556" s="491"/>
      <c r="T556" s="491"/>
      <c r="U556" s="491"/>
      <c r="V556" s="491"/>
      <c r="W556" s="493"/>
      <c r="X556" s="486"/>
      <c r="Y556" s="442"/>
      <c r="Z556" s="491"/>
      <c r="AA556" s="524"/>
      <c r="AB556" s="494"/>
      <c r="AC556" s="436"/>
      <c r="AD556" s="495"/>
      <c r="AE556" s="496"/>
      <c r="AF556" s="531"/>
      <c r="AG556" s="491"/>
      <c r="AH556" s="525"/>
      <c r="AI556" s="491"/>
      <c r="AJ556" s="446"/>
      <c r="AK556" s="491"/>
      <c r="AL556" s="500"/>
      <c r="AM556" s="436"/>
      <c r="AN556" s="438"/>
      <c r="AO556" s="531"/>
      <c r="AP556" s="491"/>
      <c r="AQ556" s="438"/>
      <c r="AR556" s="438"/>
      <c r="AS556" s="438"/>
      <c r="AT556" s="448"/>
      <c r="AU556" s="452"/>
      <c r="AV556" s="438"/>
      <c r="AW556" s="438"/>
      <c r="AX556" s="450"/>
    </row>
    <row r="557">
      <c r="A557" s="435"/>
      <c r="B557" s="485"/>
      <c r="C557" s="486"/>
      <c r="D557" s="486"/>
      <c r="E557" s="486"/>
      <c r="F557" s="528"/>
      <c r="G557" s="486"/>
      <c r="H557" s="486"/>
      <c r="I557" s="491"/>
      <c r="J557" s="491"/>
      <c r="K557" s="491"/>
      <c r="L557" s="491"/>
      <c r="M557" s="486"/>
      <c r="N557" s="422"/>
      <c r="O557" s="422"/>
      <c r="P557" s="422"/>
      <c r="Q557" s="486"/>
      <c r="R557" s="491"/>
      <c r="S557" s="491"/>
      <c r="T557" s="491"/>
      <c r="U557" s="491"/>
      <c r="V557" s="491"/>
      <c r="W557" s="493"/>
      <c r="X557" s="486"/>
      <c r="Y557" s="442"/>
      <c r="Z557" s="491"/>
      <c r="AA557" s="524"/>
      <c r="AB557" s="494"/>
      <c r="AC557" s="436"/>
      <c r="AD557" s="495"/>
      <c r="AE557" s="496"/>
      <c r="AF557" s="531"/>
      <c r="AG557" s="491"/>
      <c r="AH557" s="525"/>
      <c r="AI557" s="491"/>
      <c r="AJ557" s="446"/>
      <c r="AK557" s="491"/>
      <c r="AL557" s="500"/>
      <c r="AM557" s="436"/>
      <c r="AN557" s="438"/>
      <c r="AO557" s="531"/>
      <c r="AP557" s="491"/>
      <c r="AQ557" s="438"/>
      <c r="AR557" s="438"/>
      <c r="AS557" s="438"/>
      <c r="AT557" s="448"/>
      <c r="AU557" s="449"/>
      <c r="AV557" s="438"/>
      <c r="AW557" s="438"/>
      <c r="AX557" s="450"/>
    </row>
    <row r="558">
      <c r="A558" s="435"/>
      <c r="B558" s="485"/>
      <c r="C558" s="486"/>
      <c r="D558" s="486"/>
      <c r="E558" s="486"/>
      <c r="F558" s="528"/>
      <c r="G558" s="486"/>
      <c r="H558" s="486"/>
      <c r="I558" s="491"/>
      <c r="J558" s="491"/>
      <c r="K558" s="491"/>
      <c r="L558" s="491"/>
      <c r="M558" s="486"/>
      <c r="N558" s="422"/>
      <c r="O558" s="422"/>
      <c r="P558" s="422"/>
      <c r="Q558" s="486"/>
      <c r="R558" s="491"/>
      <c r="S558" s="491"/>
      <c r="T558" s="491"/>
      <c r="U558" s="491"/>
      <c r="V558" s="491"/>
      <c r="W558" s="493"/>
      <c r="X558" s="486"/>
      <c r="Y558" s="442"/>
      <c r="Z558" s="491"/>
      <c r="AA558" s="524"/>
      <c r="AB558" s="494"/>
      <c r="AC558" s="436"/>
      <c r="AD558" s="495"/>
      <c r="AE558" s="496"/>
      <c r="AF558" s="531"/>
      <c r="AG558" s="491"/>
      <c r="AH558" s="525"/>
      <c r="AI558" s="491"/>
      <c r="AJ558" s="446"/>
      <c r="AK558" s="491"/>
      <c r="AL558" s="500"/>
      <c r="AM558" s="436"/>
      <c r="AN558" s="438"/>
      <c r="AO558" s="531"/>
      <c r="AP558" s="491"/>
      <c r="AQ558" s="438"/>
      <c r="AR558" s="438"/>
      <c r="AS558" s="438"/>
      <c r="AT558" s="448"/>
      <c r="AU558" s="452"/>
      <c r="AV558" s="438"/>
      <c r="AW558" s="438"/>
      <c r="AX558" s="450"/>
    </row>
    <row r="559">
      <c r="A559" s="435"/>
      <c r="B559" s="485"/>
      <c r="C559" s="486"/>
      <c r="D559" s="486"/>
      <c r="E559" s="486"/>
      <c r="F559" s="528"/>
      <c r="G559" s="486"/>
      <c r="H559" s="486"/>
      <c r="I559" s="491"/>
      <c r="J559" s="491"/>
      <c r="K559" s="491"/>
      <c r="L559" s="491"/>
      <c r="M559" s="486"/>
      <c r="N559" s="422"/>
      <c r="O559" s="422"/>
      <c r="P559" s="422"/>
      <c r="Q559" s="486"/>
      <c r="R559" s="491"/>
      <c r="S559" s="491"/>
      <c r="T559" s="491"/>
      <c r="U559" s="491"/>
      <c r="V559" s="491"/>
      <c r="W559" s="493"/>
      <c r="X559" s="486"/>
      <c r="Y559" s="442"/>
      <c r="Z559" s="491"/>
      <c r="AA559" s="524"/>
      <c r="AB559" s="494"/>
      <c r="AC559" s="436"/>
      <c r="AD559" s="495"/>
      <c r="AE559" s="496"/>
      <c r="AF559" s="531"/>
      <c r="AG559" s="491"/>
      <c r="AH559" s="525"/>
      <c r="AI559" s="491"/>
      <c r="AJ559" s="446"/>
      <c r="AK559" s="491"/>
      <c r="AL559" s="500"/>
      <c r="AM559" s="436"/>
      <c r="AN559" s="438"/>
      <c r="AO559" s="531"/>
      <c r="AP559" s="491"/>
      <c r="AQ559" s="438"/>
      <c r="AR559" s="438"/>
      <c r="AS559" s="438"/>
      <c r="AT559" s="448"/>
      <c r="AU559" s="449"/>
      <c r="AV559" s="438"/>
      <c r="AW559" s="438"/>
      <c r="AX559" s="450"/>
    </row>
    <row r="560">
      <c r="A560" s="435"/>
      <c r="B560" s="485"/>
      <c r="C560" s="486"/>
      <c r="D560" s="486"/>
      <c r="E560" s="486"/>
      <c r="F560" s="528"/>
      <c r="G560" s="486"/>
      <c r="H560" s="486"/>
      <c r="I560" s="491"/>
      <c r="J560" s="491"/>
      <c r="K560" s="491"/>
      <c r="L560" s="491"/>
      <c r="M560" s="486"/>
      <c r="N560" s="422"/>
      <c r="O560" s="422"/>
      <c r="P560" s="422"/>
      <c r="Q560" s="486"/>
      <c r="R560" s="491"/>
      <c r="S560" s="491"/>
      <c r="T560" s="491"/>
      <c r="U560" s="491"/>
      <c r="V560" s="491"/>
      <c r="W560" s="493"/>
      <c r="X560" s="486"/>
      <c r="Y560" s="442"/>
      <c r="Z560" s="491"/>
      <c r="AA560" s="524"/>
      <c r="AB560" s="494"/>
      <c r="AC560" s="436"/>
      <c r="AD560" s="495"/>
      <c r="AE560" s="496"/>
      <c r="AF560" s="531"/>
      <c r="AG560" s="491"/>
      <c r="AH560" s="525"/>
      <c r="AI560" s="491"/>
      <c r="AJ560" s="446"/>
      <c r="AK560" s="491"/>
      <c r="AL560" s="500"/>
      <c r="AM560" s="436"/>
      <c r="AN560" s="438"/>
      <c r="AO560" s="531"/>
      <c r="AP560" s="491"/>
      <c r="AQ560" s="438"/>
      <c r="AR560" s="438"/>
      <c r="AS560" s="438"/>
      <c r="AT560" s="448"/>
      <c r="AU560" s="452"/>
      <c r="AV560" s="438"/>
      <c r="AW560" s="438"/>
      <c r="AX560" s="450"/>
    </row>
    <row r="561">
      <c r="A561" s="435"/>
      <c r="B561" s="485"/>
      <c r="C561" s="486"/>
      <c r="D561" s="486"/>
      <c r="E561" s="486"/>
      <c r="F561" s="528"/>
      <c r="G561" s="486"/>
      <c r="H561" s="486"/>
      <c r="I561" s="491"/>
      <c r="J561" s="491"/>
      <c r="K561" s="491"/>
      <c r="L561" s="491"/>
      <c r="M561" s="486"/>
      <c r="N561" s="422"/>
      <c r="O561" s="422"/>
      <c r="P561" s="422"/>
      <c r="Q561" s="486"/>
      <c r="R561" s="491"/>
      <c r="S561" s="491"/>
      <c r="T561" s="491"/>
      <c r="U561" s="491"/>
      <c r="V561" s="491"/>
      <c r="W561" s="493"/>
      <c r="X561" s="486"/>
      <c r="Y561" s="442"/>
      <c r="Z561" s="491"/>
      <c r="AA561" s="524"/>
      <c r="AB561" s="494"/>
      <c r="AC561" s="436"/>
      <c r="AD561" s="495"/>
      <c r="AE561" s="496"/>
      <c r="AF561" s="531"/>
      <c r="AG561" s="491"/>
      <c r="AH561" s="525"/>
      <c r="AI561" s="491"/>
      <c r="AJ561" s="446"/>
      <c r="AK561" s="491"/>
      <c r="AL561" s="500"/>
      <c r="AM561" s="436"/>
      <c r="AN561" s="438"/>
      <c r="AO561" s="531"/>
      <c r="AP561" s="491"/>
      <c r="AQ561" s="438"/>
      <c r="AR561" s="438"/>
      <c r="AS561" s="438"/>
      <c r="AT561" s="448"/>
      <c r="AU561" s="449"/>
      <c r="AV561" s="438"/>
      <c r="AW561" s="438"/>
      <c r="AX561" s="450"/>
    </row>
    <row r="562">
      <c r="A562" s="435"/>
      <c r="B562" s="485"/>
      <c r="C562" s="486"/>
      <c r="D562" s="486"/>
      <c r="E562" s="486"/>
      <c r="F562" s="528"/>
      <c r="G562" s="486"/>
      <c r="H562" s="486"/>
      <c r="I562" s="491"/>
      <c r="J562" s="491"/>
      <c r="K562" s="491"/>
      <c r="L562" s="491"/>
      <c r="M562" s="486"/>
      <c r="N562" s="422"/>
      <c r="O562" s="422"/>
      <c r="P562" s="422"/>
      <c r="Q562" s="486"/>
      <c r="R562" s="491"/>
      <c r="S562" s="491"/>
      <c r="T562" s="491"/>
      <c r="U562" s="491"/>
      <c r="V562" s="491"/>
      <c r="W562" s="493"/>
      <c r="X562" s="486"/>
      <c r="Y562" s="442"/>
      <c r="Z562" s="491"/>
      <c r="AA562" s="524"/>
      <c r="AB562" s="494"/>
      <c r="AC562" s="436"/>
      <c r="AD562" s="495"/>
      <c r="AE562" s="496"/>
      <c r="AF562" s="531"/>
      <c r="AG562" s="491"/>
      <c r="AH562" s="525"/>
      <c r="AI562" s="491"/>
      <c r="AJ562" s="446"/>
      <c r="AK562" s="491"/>
      <c r="AL562" s="500"/>
      <c r="AM562" s="436"/>
      <c r="AN562" s="438"/>
      <c r="AO562" s="531"/>
      <c r="AP562" s="491"/>
      <c r="AQ562" s="438"/>
      <c r="AR562" s="438"/>
      <c r="AS562" s="438"/>
      <c r="AT562" s="448"/>
      <c r="AU562" s="452"/>
      <c r="AV562" s="438"/>
      <c r="AW562" s="438"/>
      <c r="AX562" s="450"/>
    </row>
    <row r="563">
      <c r="A563" s="435"/>
      <c r="B563" s="485"/>
      <c r="C563" s="486"/>
      <c r="D563" s="486"/>
      <c r="E563" s="486"/>
      <c r="F563" s="528"/>
      <c r="G563" s="486"/>
      <c r="H563" s="486"/>
      <c r="I563" s="491"/>
      <c r="J563" s="491"/>
      <c r="K563" s="491"/>
      <c r="L563" s="491"/>
      <c r="M563" s="486"/>
      <c r="N563" s="422"/>
      <c r="O563" s="422"/>
      <c r="P563" s="422"/>
      <c r="Q563" s="486"/>
      <c r="R563" s="491"/>
      <c r="S563" s="491"/>
      <c r="T563" s="491"/>
      <c r="U563" s="491"/>
      <c r="V563" s="491"/>
      <c r="W563" s="493"/>
      <c r="X563" s="486"/>
      <c r="Y563" s="442"/>
      <c r="Z563" s="491"/>
      <c r="AA563" s="524"/>
      <c r="AB563" s="494"/>
      <c r="AC563" s="436"/>
      <c r="AD563" s="495"/>
      <c r="AE563" s="496"/>
      <c r="AF563" s="531"/>
      <c r="AG563" s="491"/>
      <c r="AH563" s="525"/>
      <c r="AI563" s="491"/>
      <c r="AJ563" s="446"/>
      <c r="AK563" s="491"/>
      <c r="AL563" s="500"/>
      <c r="AM563" s="436"/>
      <c r="AN563" s="438"/>
      <c r="AO563" s="531"/>
      <c r="AP563" s="491"/>
      <c r="AQ563" s="438"/>
      <c r="AR563" s="438"/>
      <c r="AS563" s="438"/>
      <c r="AT563" s="448"/>
      <c r="AU563" s="449"/>
      <c r="AV563" s="438"/>
      <c r="AW563" s="438"/>
      <c r="AX563" s="450"/>
    </row>
    <row r="564">
      <c r="A564" s="435"/>
      <c r="B564" s="485"/>
      <c r="C564" s="486"/>
      <c r="D564" s="486"/>
      <c r="E564" s="486"/>
      <c r="F564" s="528"/>
      <c r="G564" s="486"/>
      <c r="H564" s="486"/>
      <c r="I564" s="491"/>
      <c r="J564" s="491"/>
      <c r="K564" s="491"/>
      <c r="L564" s="491"/>
      <c r="M564" s="486"/>
      <c r="N564" s="422"/>
      <c r="O564" s="422"/>
      <c r="P564" s="422"/>
      <c r="Q564" s="486"/>
      <c r="R564" s="491"/>
      <c r="S564" s="491"/>
      <c r="T564" s="491"/>
      <c r="U564" s="491"/>
      <c r="V564" s="491"/>
      <c r="W564" s="493"/>
      <c r="X564" s="486"/>
      <c r="Y564" s="442"/>
      <c r="Z564" s="491"/>
      <c r="AA564" s="524"/>
      <c r="AB564" s="494"/>
      <c r="AC564" s="436"/>
      <c r="AD564" s="495"/>
      <c r="AE564" s="496"/>
      <c r="AF564" s="531"/>
      <c r="AG564" s="491"/>
      <c r="AH564" s="525"/>
      <c r="AI564" s="491"/>
      <c r="AJ564" s="446"/>
      <c r="AK564" s="491"/>
      <c r="AL564" s="500"/>
      <c r="AM564" s="436"/>
      <c r="AN564" s="438"/>
      <c r="AO564" s="531"/>
      <c r="AP564" s="491"/>
      <c r="AQ564" s="438"/>
      <c r="AR564" s="438"/>
      <c r="AS564" s="438"/>
      <c r="AT564" s="448"/>
      <c r="AU564" s="452"/>
      <c r="AV564" s="438"/>
      <c r="AW564" s="438"/>
      <c r="AX564" s="450"/>
    </row>
    <row r="565">
      <c r="A565" s="435"/>
      <c r="B565" s="485"/>
      <c r="C565" s="486"/>
      <c r="D565" s="486"/>
      <c r="E565" s="486"/>
      <c r="F565" s="528"/>
      <c r="G565" s="486"/>
      <c r="H565" s="486"/>
      <c r="I565" s="491"/>
      <c r="J565" s="491"/>
      <c r="K565" s="491"/>
      <c r="L565" s="491"/>
      <c r="M565" s="486"/>
      <c r="N565" s="422"/>
      <c r="O565" s="422"/>
      <c r="P565" s="422"/>
      <c r="Q565" s="486"/>
      <c r="R565" s="491"/>
      <c r="S565" s="491"/>
      <c r="T565" s="491"/>
      <c r="U565" s="491"/>
      <c r="V565" s="491"/>
      <c r="W565" s="493"/>
      <c r="X565" s="486"/>
      <c r="Y565" s="442"/>
      <c r="Z565" s="491"/>
      <c r="AA565" s="524"/>
      <c r="AB565" s="494"/>
      <c r="AC565" s="436"/>
      <c r="AD565" s="495"/>
      <c r="AE565" s="496"/>
      <c r="AF565" s="531"/>
      <c r="AG565" s="491"/>
      <c r="AH565" s="525"/>
      <c r="AI565" s="491"/>
      <c r="AJ565" s="446"/>
      <c r="AK565" s="491"/>
      <c r="AL565" s="500"/>
      <c r="AM565" s="436"/>
      <c r="AN565" s="438"/>
      <c r="AO565" s="531"/>
      <c r="AP565" s="491"/>
      <c r="AQ565" s="438"/>
      <c r="AR565" s="438"/>
      <c r="AS565" s="438"/>
      <c r="AT565" s="448"/>
      <c r="AU565" s="449"/>
      <c r="AV565" s="438"/>
      <c r="AW565" s="438"/>
      <c r="AX565" s="450"/>
    </row>
    <row r="566">
      <c r="A566" s="435"/>
      <c r="B566" s="485"/>
      <c r="C566" s="486"/>
      <c r="D566" s="486"/>
      <c r="E566" s="486"/>
      <c r="F566" s="528"/>
      <c r="G566" s="486"/>
      <c r="H566" s="486"/>
      <c r="I566" s="491"/>
      <c r="J566" s="491"/>
      <c r="K566" s="491"/>
      <c r="L566" s="491"/>
      <c r="M566" s="486"/>
      <c r="N566" s="422"/>
      <c r="O566" s="422"/>
      <c r="P566" s="422"/>
      <c r="Q566" s="486"/>
      <c r="R566" s="491"/>
      <c r="S566" s="491"/>
      <c r="T566" s="491"/>
      <c r="U566" s="491"/>
      <c r="V566" s="491"/>
      <c r="W566" s="493"/>
      <c r="X566" s="486"/>
      <c r="Y566" s="442"/>
      <c r="Z566" s="491"/>
      <c r="AA566" s="524"/>
      <c r="AB566" s="494"/>
      <c r="AC566" s="436"/>
      <c r="AD566" s="495"/>
      <c r="AE566" s="496"/>
      <c r="AF566" s="531"/>
      <c r="AG566" s="491"/>
      <c r="AH566" s="525"/>
      <c r="AI566" s="491"/>
      <c r="AJ566" s="446"/>
      <c r="AK566" s="491"/>
      <c r="AL566" s="500"/>
      <c r="AM566" s="436"/>
      <c r="AN566" s="438"/>
      <c r="AO566" s="531"/>
      <c r="AP566" s="491"/>
      <c r="AQ566" s="438"/>
      <c r="AR566" s="438"/>
      <c r="AS566" s="438"/>
      <c r="AT566" s="448"/>
      <c r="AU566" s="452"/>
      <c r="AV566" s="438"/>
      <c r="AW566" s="438"/>
      <c r="AX566" s="450"/>
    </row>
    <row r="567">
      <c r="A567" s="435"/>
      <c r="B567" s="485"/>
      <c r="C567" s="486"/>
      <c r="D567" s="486"/>
      <c r="E567" s="486"/>
      <c r="F567" s="528"/>
      <c r="G567" s="486"/>
      <c r="H567" s="486"/>
      <c r="I567" s="491"/>
      <c r="J567" s="491"/>
      <c r="K567" s="491"/>
      <c r="L567" s="491"/>
      <c r="M567" s="486"/>
      <c r="N567" s="422"/>
      <c r="O567" s="422"/>
      <c r="P567" s="422"/>
      <c r="Q567" s="486"/>
      <c r="R567" s="491"/>
      <c r="S567" s="491"/>
      <c r="T567" s="491"/>
      <c r="U567" s="491"/>
      <c r="V567" s="491"/>
      <c r="W567" s="493"/>
      <c r="X567" s="486"/>
      <c r="Y567" s="442"/>
      <c r="Z567" s="491"/>
      <c r="AA567" s="524"/>
      <c r="AB567" s="494"/>
      <c r="AC567" s="436"/>
      <c r="AD567" s="495"/>
      <c r="AE567" s="496"/>
      <c r="AF567" s="531"/>
      <c r="AG567" s="491"/>
      <c r="AH567" s="525"/>
      <c r="AI567" s="491"/>
      <c r="AJ567" s="446"/>
      <c r="AK567" s="491"/>
      <c r="AL567" s="500"/>
      <c r="AM567" s="436"/>
      <c r="AN567" s="438"/>
      <c r="AO567" s="531"/>
      <c r="AP567" s="491"/>
      <c r="AQ567" s="438"/>
      <c r="AR567" s="438"/>
      <c r="AS567" s="438"/>
      <c r="AT567" s="448"/>
      <c r="AU567" s="449"/>
      <c r="AV567" s="438"/>
      <c r="AW567" s="438"/>
      <c r="AX567" s="450"/>
    </row>
    <row r="568">
      <c r="A568" s="435"/>
      <c r="B568" s="485"/>
      <c r="C568" s="486"/>
      <c r="D568" s="486"/>
      <c r="E568" s="486"/>
      <c r="F568" s="528"/>
      <c r="G568" s="486"/>
      <c r="H568" s="486"/>
      <c r="I568" s="491"/>
      <c r="J568" s="491"/>
      <c r="K568" s="491"/>
      <c r="L568" s="491"/>
      <c r="M568" s="486"/>
      <c r="N568" s="422"/>
      <c r="O568" s="422"/>
      <c r="P568" s="422"/>
      <c r="Q568" s="486"/>
      <c r="R568" s="491"/>
      <c r="S568" s="491"/>
      <c r="T568" s="491"/>
      <c r="U568" s="491"/>
      <c r="V568" s="491"/>
      <c r="W568" s="493"/>
      <c r="X568" s="486"/>
      <c r="Y568" s="442"/>
      <c r="Z568" s="491"/>
      <c r="AA568" s="524"/>
      <c r="AB568" s="494"/>
      <c r="AC568" s="436"/>
      <c r="AD568" s="495"/>
      <c r="AE568" s="496"/>
      <c r="AF568" s="531"/>
      <c r="AG568" s="491"/>
      <c r="AH568" s="525"/>
      <c r="AI568" s="491"/>
      <c r="AJ568" s="446"/>
      <c r="AK568" s="491"/>
      <c r="AL568" s="500"/>
      <c r="AM568" s="436"/>
      <c r="AN568" s="438"/>
      <c r="AO568" s="531"/>
      <c r="AP568" s="491"/>
      <c r="AQ568" s="438"/>
      <c r="AR568" s="438"/>
      <c r="AS568" s="438"/>
      <c r="AT568" s="448"/>
      <c r="AU568" s="452"/>
      <c r="AV568" s="438"/>
      <c r="AW568" s="438"/>
      <c r="AX568" s="450"/>
    </row>
    <row r="569">
      <c r="A569" s="435"/>
      <c r="B569" s="485"/>
      <c r="C569" s="486"/>
      <c r="D569" s="486"/>
      <c r="E569" s="486"/>
      <c r="F569" s="528"/>
      <c r="G569" s="486"/>
      <c r="H569" s="486"/>
      <c r="I569" s="491"/>
      <c r="J569" s="491"/>
      <c r="K569" s="491"/>
      <c r="L569" s="491"/>
      <c r="M569" s="486"/>
      <c r="N569" s="422"/>
      <c r="O569" s="422"/>
      <c r="P569" s="422"/>
      <c r="Q569" s="486"/>
      <c r="R569" s="491"/>
      <c r="S569" s="491"/>
      <c r="T569" s="491"/>
      <c r="U569" s="491"/>
      <c r="V569" s="491"/>
      <c r="W569" s="493"/>
      <c r="X569" s="486"/>
      <c r="Y569" s="442"/>
      <c r="Z569" s="491"/>
      <c r="AA569" s="524"/>
      <c r="AB569" s="494"/>
      <c r="AC569" s="436"/>
      <c r="AD569" s="495"/>
      <c r="AE569" s="496"/>
      <c r="AF569" s="531"/>
      <c r="AG569" s="491"/>
      <c r="AH569" s="525"/>
      <c r="AI569" s="491"/>
      <c r="AJ569" s="446"/>
      <c r="AK569" s="491"/>
      <c r="AL569" s="500"/>
      <c r="AM569" s="436"/>
      <c r="AN569" s="438"/>
      <c r="AO569" s="531"/>
      <c r="AP569" s="491"/>
      <c r="AQ569" s="438"/>
      <c r="AR569" s="438"/>
      <c r="AS569" s="438"/>
      <c r="AT569" s="448"/>
      <c r="AU569" s="449"/>
      <c r="AV569" s="438"/>
      <c r="AW569" s="438"/>
      <c r="AX569" s="450"/>
    </row>
    <row r="570">
      <c r="A570" s="435"/>
      <c r="B570" s="485"/>
      <c r="C570" s="486"/>
      <c r="D570" s="486"/>
      <c r="E570" s="486"/>
      <c r="F570" s="528"/>
      <c r="G570" s="486"/>
      <c r="H570" s="486"/>
      <c r="I570" s="491"/>
      <c r="J570" s="491"/>
      <c r="K570" s="491"/>
      <c r="L570" s="491"/>
      <c r="M570" s="486"/>
      <c r="N570" s="422"/>
      <c r="O570" s="422"/>
      <c r="P570" s="422"/>
      <c r="Q570" s="486"/>
      <c r="R570" s="491"/>
      <c r="S570" s="491"/>
      <c r="T570" s="491"/>
      <c r="U570" s="491"/>
      <c r="V570" s="491"/>
      <c r="W570" s="493"/>
      <c r="X570" s="486"/>
      <c r="Y570" s="442"/>
      <c r="Z570" s="491"/>
      <c r="AA570" s="524"/>
      <c r="AB570" s="494"/>
      <c r="AC570" s="436"/>
      <c r="AD570" s="495"/>
      <c r="AE570" s="496"/>
      <c r="AF570" s="531"/>
      <c r="AG570" s="491"/>
      <c r="AH570" s="525"/>
      <c r="AI570" s="491"/>
      <c r="AJ570" s="446"/>
      <c r="AK570" s="491"/>
      <c r="AL570" s="500"/>
      <c r="AM570" s="436"/>
      <c r="AN570" s="438"/>
      <c r="AO570" s="531"/>
      <c r="AP570" s="491"/>
      <c r="AQ570" s="438"/>
      <c r="AR570" s="438"/>
      <c r="AS570" s="438"/>
      <c r="AT570" s="448"/>
      <c r="AU570" s="452"/>
      <c r="AV570" s="438"/>
      <c r="AW570" s="438"/>
      <c r="AX570" s="450"/>
    </row>
    <row r="571">
      <c r="A571" s="435"/>
      <c r="B571" s="485"/>
      <c r="C571" s="486"/>
      <c r="D571" s="486"/>
      <c r="E571" s="486"/>
      <c r="F571" s="528"/>
      <c r="G571" s="486"/>
      <c r="H571" s="486"/>
      <c r="I571" s="491"/>
      <c r="J571" s="491"/>
      <c r="K571" s="491"/>
      <c r="L571" s="491"/>
      <c r="M571" s="486"/>
      <c r="N571" s="422"/>
      <c r="O571" s="422"/>
      <c r="P571" s="422"/>
      <c r="Q571" s="486"/>
      <c r="R571" s="491"/>
      <c r="S571" s="491"/>
      <c r="T571" s="491"/>
      <c r="U571" s="491"/>
      <c r="V571" s="491"/>
      <c r="W571" s="493"/>
      <c r="X571" s="486"/>
      <c r="Y571" s="442"/>
      <c r="Z571" s="491"/>
      <c r="AA571" s="524"/>
      <c r="AB571" s="494"/>
      <c r="AC571" s="436"/>
      <c r="AD571" s="495"/>
      <c r="AE571" s="496"/>
      <c r="AF571" s="531"/>
      <c r="AG571" s="491"/>
      <c r="AH571" s="525"/>
      <c r="AI571" s="491"/>
      <c r="AJ571" s="446"/>
      <c r="AK571" s="491"/>
      <c r="AL571" s="500"/>
      <c r="AM571" s="436"/>
      <c r="AN571" s="438"/>
      <c r="AO571" s="531"/>
      <c r="AP571" s="491"/>
      <c r="AQ571" s="438"/>
      <c r="AR571" s="438"/>
      <c r="AS571" s="438"/>
      <c r="AT571" s="448"/>
      <c r="AU571" s="449"/>
      <c r="AV571" s="438"/>
      <c r="AW571" s="438"/>
      <c r="AX571" s="450"/>
    </row>
    <row r="572">
      <c r="A572" s="435"/>
      <c r="B572" s="485"/>
      <c r="C572" s="486"/>
      <c r="D572" s="486"/>
      <c r="E572" s="486"/>
      <c r="F572" s="528"/>
      <c r="G572" s="486"/>
      <c r="H572" s="486"/>
      <c r="I572" s="491"/>
      <c r="J572" s="491"/>
      <c r="K572" s="491"/>
      <c r="L572" s="491"/>
      <c r="M572" s="486"/>
      <c r="N572" s="422"/>
      <c r="O572" s="422"/>
      <c r="P572" s="422"/>
      <c r="Q572" s="486"/>
      <c r="R572" s="491"/>
      <c r="S572" s="491"/>
      <c r="T572" s="491"/>
      <c r="U572" s="491"/>
      <c r="V572" s="491"/>
      <c r="W572" s="493"/>
      <c r="X572" s="486"/>
      <c r="Y572" s="442"/>
      <c r="Z572" s="491"/>
      <c r="AA572" s="524"/>
      <c r="AB572" s="494"/>
      <c r="AC572" s="436"/>
      <c r="AD572" s="495"/>
      <c r="AE572" s="496"/>
      <c r="AF572" s="531"/>
      <c r="AG572" s="491"/>
      <c r="AH572" s="525"/>
      <c r="AI572" s="491"/>
      <c r="AJ572" s="446"/>
      <c r="AK572" s="491"/>
      <c r="AL572" s="500"/>
      <c r="AM572" s="436"/>
      <c r="AN572" s="438"/>
      <c r="AO572" s="531"/>
      <c r="AP572" s="491"/>
      <c r="AQ572" s="438"/>
      <c r="AR572" s="438"/>
      <c r="AS572" s="438"/>
      <c r="AT572" s="448"/>
      <c r="AU572" s="452"/>
      <c r="AV572" s="438"/>
      <c r="AW572" s="438"/>
      <c r="AX572" s="450"/>
    </row>
    <row r="573">
      <c r="A573" s="435"/>
      <c r="B573" s="485"/>
      <c r="C573" s="486"/>
      <c r="D573" s="486"/>
      <c r="E573" s="486"/>
      <c r="F573" s="528"/>
      <c r="G573" s="486"/>
      <c r="H573" s="486"/>
      <c r="I573" s="491"/>
      <c r="J573" s="491"/>
      <c r="K573" s="491"/>
      <c r="L573" s="491"/>
      <c r="M573" s="486"/>
      <c r="N573" s="422"/>
      <c r="O573" s="422"/>
      <c r="P573" s="422"/>
      <c r="Q573" s="486"/>
      <c r="R573" s="491"/>
      <c r="S573" s="491"/>
      <c r="T573" s="491"/>
      <c r="U573" s="491"/>
      <c r="V573" s="491"/>
      <c r="W573" s="493"/>
      <c r="X573" s="486"/>
      <c r="Y573" s="442"/>
      <c r="Z573" s="491"/>
      <c r="AA573" s="524"/>
      <c r="AB573" s="494"/>
      <c r="AC573" s="436"/>
      <c r="AD573" s="495"/>
      <c r="AE573" s="496"/>
      <c r="AF573" s="531"/>
      <c r="AG573" s="491"/>
      <c r="AH573" s="525"/>
      <c r="AI573" s="491"/>
      <c r="AJ573" s="446"/>
      <c r="AK573" s="491"/>
      <c r="AL573" s="500"/>
      <c r="AM573" s="436"/>
      <c r="AN573" s="438"/>
      <c r="AO573" s="531"/>
      <c r="AP573" s="491"/>
      <c r="AQ573" s="438"/>
      <c r="AR573" s="438"/>
      <c r="AS573" s="438"/>
      <c r="AT573" s="448"/>
      <c r="AU573" s="449"/>
      <c r="AV573" s="438"/>
      <c r="AW573" s="438"/>
      <c r="AX573" s="450"/>
    </row>
    <row r="574">
      <c r="A574" s="435"/>
      <c r="B574" s="485"/>
      <c r="C574" s="486"/>
      <c r="D574" s="486"/>
      <c r="E574" s="486"/>
      <c r="F574" s="528"/>
      <c r="G574" s="486"/>
      <c r="H574" s="486"/>
      <c r="I574" s="491"/>
      <c r="J574" s="491"/>
      <c r="K574" s="491"/>
      <c r="L574" s="491"/>
      <c r="M574" s="486"/>
      <c r="N574" s="422"/>
      <c r="O574" s="422"/>
      <c r="P574" s="422"/>
      <c r="Q574" s="486"/>
      <c r="R574" s="491"/>
      <c r="S574" s="491"/>
      <c r="T574" s="491"/>
      <c r="U574" s="491"/>
      <c r="V574" s="491"/>
      <c r="W574" s="493"/>
      <c r="X574" s="486"/>
      <c r="Y574" s="442"/>
      <c r="Z574" s="491"/>
      <c r="AA574" s="524"/>
      <c r="AB574" s="494"/>
      <c r="AC574" s="436"/>
      <c r="AD574" s="495"/>
      <c r="AE574" s="496"/>
      <c r="AF574" s="531"/>
      <c r="AG574" s="491"/>
      <c r="AH574" s="525"/>
      <c r="AI574" s="491"/>
      <c r="AJ574" s="446"/>
      <c r="AK574" s="491"/>
      <c r="AL574" s="500"/>
      <c r="AM574" s="436"/>
      <c r="AN574" s="438"/>
      <c r="AO574" s="531"/>
      <c r="AP574" s="491"/>
      <c r="AQ574" s="438"/>
      <c r="AR574" s="438"/>
      <c r="AS574" s="438"/>
      <c r="AT574" s="448"/>
      <c r="AU574" s="452"/>
      <c r="AV574" s="438"/>
      <c r="AW574" s="438"/>
      <c r="AX574" s="450"/>
    </row>
    <row r="575">
      <c r="A575" s="435"/>
      <c r="B575" s="485"/>
      <c r="C575" s="486"/>
      <c r="D575" s="486"/>
      <c r="E575" s="486"/>
      <c r="F575" s="528"/>
      <c r="G575" s="486"/>
      <c r="H575" s="486"/>
      <c r="I575" s="491"/>
      <c r="J575" s="491"/>
      <c r="K575" s="491"/>
      <c r="L575" s="491"/>
      <c r="M575" s="486"/>
      <c r="N575" s="422"/>
      <c r="O575" s="422"/>
      <c r="P575" s="422"/>
      <c r="Q575" s="486"/>
      <c r="R575" s="491"/>
      <c r="S575" s="491"/>
      <c r="T575" s="491"/>
      <c r="U575" s="491"/>
      <c r="V575" s="491"/>
      <c r="W575" s="493"/>
      <c r="X575" s="486"/>
      <c r="Y575" s="442"/>
      <c r="Z575" s="491"/>
      <c r="AA575" s="524"/>
      <c r="AB575" s="494"/>
      <c r="AC575" s="436"/>
      <c r="AD575" s="495"/>
      <c r="AE575" s="496"/>
      <c r="AF575" s="531"/>
      <c r="AG575" s="491"/>
      <c r="AH575" s="525"/>
      <c r="AI575" s="491"/>
      <c r="AJ575" s="446"/>
      <c r="AK575" s="491"/>
      <c r="AL575" s="500"/>
      <c r="AM575" s="436"/>
      <c r="AN575" s="438"/>
      <c r="AO575" s="531"/>
      <c r="AP575" s="491"/>
      <c r="AQ575" s="438"/>
      <c r="AR575" s="438"/>
      <c r="AS575" s="438"/>
      <c r="AT575" s="448"/>
      <c r="AU575" s="449"/>
      <c r="AV575" s="438"/>
      <c r="AW575" s="438"/>
      <c r="AX575" s="450"/>
    </row>
    <row r="576">
      <c r="A576" s="435"/>
      <c r="B576" s="485"/>
      <c r="C576" s="486"/>
      <c r="D576" s="486"/>
      <c r="E576" s="486"/>
      <c r="F576" s="528"/>
      <c r="G576" s="486"/>
      <c r="H576" s="486"/>
      <c r="I576" s="491"/>
      <c r="J576" s="491"/>
      <c r="K576" s="491"/>
      <c r="L576" s="491"/>
      <c r="M576" s="486"/>
      <c r="N576" s="422"/>
      <c r="O576" s="422"/>
      <c r="P576" s="422"/>
      <c r="Q576" s="486"/>
      <c r="R576" s="491"/>
      <c r="S576" s="491"/>
      <c r="T576" s="491"/>
      <c r="U576" s="491"/>
      <c r="V576" s="491"/>
      <c r="W576" s="493"/>
      <c r="X576" s="486"/>
      <c r="Y576" s="442"/>
      <c r="Z576" s="491"/>
      <c r="AA576" s="524"/>
      <c r="AB576" s="494"/>
      <c r="AC576" s="436"/>
      <c r="AD576" s="495"/>
      <c r="AE576" s="496"/>
      <c r="AF576" s="531"/>
      <c r="AG576" s="491"/>
      <c r="AH576" s="525"/>
      <c r="AI576" s="491"/>
      <c r="AJ576" s="446"/>
      <c r="AK576" s="491"/>
      <c r="AL576" s="500"/>
      <c r="AM576" s="436"/>
      <c r="AN576" s="438"/>
      <c r="AO576" s="531"/>
      <c r="AP576" s="491"/>
      <c r="AQ576" s="438"/>
      <c r="AR576" s="438"/>
      <c r="AS576" s="438"/>
      <c r="AT576" s="448"/>
      <c r="AU576" s="452"/>
      <c r="AV576" s="438"/>
      <c r="AW576" s="438"/>
      <c r="AX576" s="450"/>
    </row>
    <row r="577">
      <c r="A577" s="435"/>
      <c r="B577" s="485"/>
      <c r="C577" s="486"/>
      <c r="D577" s="486"/>
      <c r="E577" s="486"/>
      <c r="F577" s="528"/>
      <c r="G577" s="486"/>
      <c r="H577" s="486"/>
      <c r="I577" s="491"/>
      <c r="J577" s="491"/>
      <c r="K577" s="491"/>
      <c r="L577" s="491"/>
      <c r="M577" s="486"/>
      <c r="N577" s="422"/>
      <c r="O577" s="422"/>
      <c r="P577" s="422"/>
      <c r="Q577" s="486"/>
      <c r="R577" s="491"/>
      <c r="S577" s="491"/>
      <c r="T577" s="491"/>
      <c r="U577" s="491"/>
      <c r="V577" s="491"/>
      <c r="W577" s="493"/>
      <c r="X577" s="486"/>
      <c r="Y577" s="442"/>
      <c r="Z577" s="491"/>
      <c r="AA577" s="524"/>
      <c r="AB577" s="494"/>
      <c r="AC577" s="436"/>
      <c r="AD577" s="495"/>
      <c r="AE577" s="496"/>
      <c r="AF577" s="531"/>
      <c r="AG577" s="491"/>
      <c r="AH577" s="525"/>
      <c r="AI577" s="491"/>
      <c r="AJ577" s="446"/>
      <c r="AK577" s="491"/>
      <c r="AL577" s="500"/>
      <c r="AM577" s="436"/>
      <c r="AN577" s="438"/>
      <c r="AO577" s="531"/>
      <c r="AP577" s="491"/>
      <c r="AQ577" s="438"/>
      <c r="AR577" s="438"/>
      <c r="AS577" s="438"/>
      <c r="AT577" s="448"/>
      <c r="AU577" s="449"/>
      <c r="AV577" s="438"/>
      <c r="AW577" s="438"/>
      <c r="AX577" s="450"/>
    </row>
    <row r="578">
      <c r="A578" s="435"/>
      <c r="B578" s="485"/>
      <c r="C578" s="486"/>
      <c r="D578" s="486"/>
      <c r="E578" s="486"/>
      <c r="F578" s="528"/>
      <c r="G578" s="486"/>
      <c r="H578" s="486"/>
      <c r="I578" s="491"/>
      <c r="J578" s="491"/>
      <c r="K578" s="491"/>
      <c r="L578" s="491"/>
      <c r="M578" s="486"/>
      <c r="N578" s="422"/>
      <c r="O578" s="422"/>
      <c r="P578" s="422"/>
      <c r="Q578" s="486"/>
      <c r="R578" s="491"/>
      <c r="S578" s="491"/>
      <c r="T578" s="491"/>
      <c r="U578" s="491"/>
      <c r="V578" s="491"/>
      <c r="W578" s="493"/>
      <c r="X578" s="486"/>
      <c r="Y578" s="442"/>
      <c r="Z578" s="491"/>
      <c r="AA578" s="524"/>
      <c r="AB578" s="494"/>
      <c r="AC578" s="436"/>
      <c r="AD578" s="495"/>
      <c r="AE578" s="496"/>
      <c r="AF578" s="531"/>
      <c r="AG578" s="491"/>
      <c r="AH578" s="525"/>
      <c r="AI578" s="491"/>
      <c r="AJ578" s="446"/>
      <c r="AK578" s="491"/>
      <c r="AL578" s="500"/>
      <c r="AM578" s="436"/>
      <c r="AN578" s="438"/>
      <c r="AO578" s="531"/>
      <c r="AP578" s="491"/>
      <c r="AQ578" s="438"/>
      <c r="AR578" s="438"/>
      <c r="AS578" s="438"/>
      <c r="AT578" s="448"/>
      <c r="AU578" s="452"/>
      <c r="AV578" s="438"/>
      <c r="AW578" s="438"/>
      <c r="AX578" s="450"/>
    </row>
    <row r="579">
      <c r="A579" s="435"/>
      <c r="B579" s="485"/>
      <c r="C579" s="486"/>
      <c r="D579" s="486"/>
      <c r="E579" s="486"/>
      <c r="F579" s="528"/>
      <c r="G579" s="486"/>
      <c r="H579" s="486"/>
      <c r="I579" s="491"/>
      <c r="J579" s="491"/>
      <c r="K579" s="491"/>
      <c r="L579" s="491"/>
      <c r="M579" s="486"/>
      <c r="N579" s="422"/>
      <c r="O579" s="422"/>
      <c r="P579" s="422"/>
      <c r="Q579" s="486"/>
      <c r="R579" s="491"/>
      <c r="S579" s="491"/>
      <c r="T579" s="491"/>
      <c r="U579" s="491"/>
      <c r="V579" s="491"/>
      <c r="W579" s="493"/>
      <c r="X579" s="486"/>
      <c r="Y579" s="442"/>
      <c r="Z579" s="491"/>
      <c r="AA579" s="524"/>
      <c r="AB579" s="494"/>
      <c r="AC579" s="436"/>
      <c r="AD579" s="495"/>
      <c r="AE579" s="496"/>
      <c r="AF579" s="531"/>
      <c r="AG579" s="491"/>
      <c r="AH579" s="525"/>
      <c r="AI579" s="491"/>
      <c r="AJ579" s="446"/>
      <c r="AK579" s="491"/>
      <c r="AL579" s="500"/>
      <c r="AM579" s="436"/>
      <c r="AN579" s="438"/>
      <c r="AO579" s="531"/>
      <c r="AP579" s="491"/>
      <c r="AQ579" s="438"/>
      <c r="AR579" s="438"/>
      <c r="AS579" s="438"/>
      <c r="AT579" s="448"/>
      <c r="AU579" s="449"/>
      <c r="AV579" s="438"/>
      <c r="AW579" s="438"/>
      <c r="AX579" s="450"/>
    </row>
    <row r="580">
      <c r="A580" s="435"/>
      <c r="B580" s="485"/>
      <c r="C580" s="486"/>
      <c r="D580" s="486"/>
      <c r="E580" s="486"/>
      <c r="F580" s="528"/>
      <c r="G580" s="486"/>
      <c r="H580" s="486"/>
      <c r="I580" s="491"/>
      <c r="J580" s="491"/>
      <c r="K580" s="491"/>
      <c r="L580" s="491"/>
      <c r="M580" s="486"/>
      <c r="N580" s="422"/>
      <c r="O580" s="422"/>
      <c r="P580" s="422"/>
      <c r="Q580" s="486"/>
      <c r="R580" s="491"/>
      <c r="S580" s="491"/>
      <c r="T580" s="491"/>
      <c r="U580" s="491"/>
      <c r="V580" s="491"/>
      <c r="W580" s="493"/>
      <c r="X580" s="486"/>
      <c r="Y580" s="442"/>
      <c r="Z580" s="491"/>
      <c r="AA580" s="524"/>
      <c r="AB580" s="494"/>
      <c r="AC580" s="436"/>
      <c r="AD580" s="495"/>
      <c r="AE580" s="496"/>
      <c r="AF580" s="531"/>
      <c r="AG580" s="491"/>
      <c r="AH580" s="525"/>
      <c r="AI580" s="491"/>
      <c r="AJ580" s="446"/>
      <c r="AK580" s="491"/>
      <c r="AL580" s="500"/>
      <c r="AM580" s="436"/>
      <c r="AN580" s="438"/>
      <c r="AO580" s="531"/>
      <c r="AP580" s="491"/>
      <c r="AQ580" s="438"/>
      <c r="AR580" s="438"/>
      <c r="AS580" s="438"/>
      <c r="AT580" s="448"/>
      <c r="AU580" s="452"/>
      <c r="AV580" s="438"/>
      <c r="AW580" s="438"/>
      <c r="AX580" s="450"/>
    </row>
    <row r="581">
      <c r="A581" s="435"/>
      <c r="B581" s="485"/>
      <c r="C581" s="486"/>
      <c r="D581" s="486"/>
      <c r="E581" s="486"/>
      <c r="F581" s="528"/>
      <c r="G581" s="486"/>
      <c r="H581" s="486"/>
      <c r="I581" s="491"/>
      <c r="J581" s="491"/>
      <c r="K581" s="491"/>
      <c r="L581" s="491"/>
      <c r="M581" s="486"/>
      <c r="N581" s="422"/>
      <c r="O581" s="422"/>
      <c r="P581" s="422"/>
      <c r="Q581" s="486"/>
      <c r="R581" s="491"/>
      <c r="S581" s="491"/>
      <c r="T581" s="491"/>
      <c r="U581" s="491"/>
      <c r="V581" s="491"/>
      <c r="W581" s="493"/>
      <c r="X581" s="486"/>
      <c r="Y581" s="442"/>
      <c r="Z581" s="491"/>
      <c r="AA581" s="524"/>
      <c r="AB581" s="494"/>
      <c r="AC581" s="436"/>
      <c r="AD581" s="495"/>
      <c r="AE581" s="496"/>
      <c r="AF581" s="531"/>
      <c r="AG581" s="491"/>
      <c r="AH581" s="525"/>
      <c r="AI581" s="491"/>
      <c r="AJ581" s="446"/>
      <c r="AK581" s="491"/>
      <c r="AL581" s="500"/>
      <c r="AM581" s="436"/>
      <c r="AN581" s="438"/>
      <c r="AO581" s="531"/>
      <c r="AP581" s="491"/>
      <c r="AQ581" s="438"/>
      <c r="AR581" s="438"/>
      <c r="AS581" s="438"/>
      <c r="AT581" s="448"/>
      <c r="AU581" s="449"/>
      <c r="AV581" s="438"/>
      <c r="AW581" s="438"/>
      <c r="AX581" s="450"/>
    </row>
    <row r="582">
      <c r="A582" s="435"/>
      <c r="B582" s="485"/>
      <c r="C582" s="486"/>
      <c r="D582" s="486"/>
      <c r="E582" s="486"/>
      <c r="F582" s="528"/>
      <c r="G582" s="486"/>
      <c r="H582" s="486"/>
      <c r="I582" s="491"/>
      <c r="J582" s="491"/>
      <c r="K582" s="491"/>
      <c r="L582" s="491"/>
      <c r="M582" s="486"/>
      <c r="N582" s="422"/>
      <c r="O582" s="422"/>
      <c r="P582" s="422"/>
      <c r="Q582" s="486"/>
      <c r="R582" s="491"/>
      <c r="S582" s="491"/>
      <c r="T582" s="491"/>
      <c r="U582" s="491"/>
      <c r="V582" s="491"/>
      <c r="W582" s="493"/>
      <c r="X582" s="486"/>
      <c r="Y582" s="442"/>
      <c r="Z582" s="491"/>
      <c r="AA582" s="524"/>
      <c r="AB582" s="494"/>
      <c r="AC582" s="436"/>
      <c r="AD582" s="495"/>
      <c r="AE582" s="496"/>
      <c r="AF582" s="531"/>
      <c r="AG582" s="491"/>
      <c r="AH582" s="525"/>
      <c r="AI582" s="491"/>
      <c r="AJ582" s="446"/>
      <c r="AK582" s="491"/>
      <c r="AL582" s="500"/>
      <c r="AM582" s="436"/>
      <c r="AN582" s="438"/>
      <c r="AO582" s="531"/>
      <c r="AP582" s="491"/>
      <c r="AQ582" s="438"/>
      <c r="AR582" s="438"/>
      <c r="AS582" s="438"/>
      <c r="AT582" s="448"/>
      <c r="AU582" s="452"/>
      <c r="AV582" s="438"/>
      <c r="AW582" s="438"/>
      <c r="AX582" s="450"/>
    </row>
    <row r="583">
      <c r="A583" s="435"/>
      <c r="B583" s="485"/>
      <c r="C583" s="486"/>
      <c r="D583" s="486"/>
      <c r="E583" s="486"/>
      <c r="F583" s="528"/>
      <c r="G583" s="486"/>
      <c r="H583" s="486"/>
      <c r="I583" s="491"/>
      <c r="J583" s="491"/>
      <c r="K583" s="491"/>
      <c r="L583" s="491"/>
      <c r="M583" s="486"/>
      <c r="N583" s="422"/>
      <c r="O583" s="422"/>
      <c r="P583" s="422"/>
      <c r="Q583" s="486"/>
      <c r="R583" s="491"/>
      <c r="S583" s="491"/>
      <c r="T583" s="491"/>
      <c r="U583" s="491"/>
      <c r="V583" s="491"/>
      <c r="W583" s="493"/>
      <c r="X583" s="486"/>
      <c r="Y583" s="442"/>
      <c r="Z583" s="491"/>
      <c r="AA583" s="524"/>
      <c r="AB583" s="494"/>
      <c r="AC583" s="436"/>
      <c r="AD583" s="495"/>
      <c r="AE583" s="496"/>
      <c r="AF583" s="531"/>
      <c r="AG583" s="491"/>
      <c r="AH583" s="525"/>
      <c r="AI583" s="491"/>
      <c r="AJ583" s="446"/>
      <c r="AK583" s="491"/>
      <c r="AL583" s="500"/>
      <c r="AM583" s="436"/>
      <c r="AN583" s="438"/>
      <c r="AO583" s="531"/>
      <c r="AP583" s="491"/>
      <c r="AQ583" s="438"/>
      <c r="AR583" s="438"/>
      <c r="AS583" s="438"/>
      <c r="AT583" s="448"/>
      <c r="AU583" s="449"/>
      <c r="AV583" s="438"/>
      <c r="AW583" s="438"/>
      <c r="AX583" s="450"/>
    </row>
    <row r="584">
      <c r="A584" s="435"/>
      <c r="B584" s="485"/>
      <c r="C584" s="486"/>
      <c r="D584" s="486"/>
      <c r="E584" s="486"/>
      <c r="F584" s="528"/>
      <c r="G584" s="486"/>
      <c r="H584" s="486"/>
      <c r="I584" s="491"/>
      <c r="J584" s="491"/>
      <c r="K584" s="491"/>
      <c r="L584" s="491"/>
      <c r="M584" s="486"/>
      <c r="N584" s="422"/>
      <c r="O584" s="422"/>
      <c r="P584" s="422"/>
      <c r="Q584" s="486"/>
      <c r="R584" s="491"/>
      <c r="S584" s="491"/>
      <c r="T584" s="491"/>
      <c r="U584" s="491"/>
      <c r="V584" s="491"/>
      <c r="W584" s="493"/>
      <c r="X584" s="486"/>
      <c r="Y584" s="442"/>
      <c r="Z584" s="491"/>
      <c r="AA584" s="524"/>
      <c r="AB584" s="494"/>
      <c r="AC584" s="436"/>
      <c r="AD584" s="495"/>
      <c r="AE584" s="496"/>
      <c r="AF584" s="531"/>
      <c r="AG584" s="491"/>
      <c r="AH584" s="525"/>
      <c r="AI584" s="491"/>
      <c r="AJ584" s="446"/>
      <c r="AK584" s="491"/>
      <c r="AL584" s="500"/>
      <c r="AM584" s="436"/>
      <c r="AN584" s="438"/>
      <c r="AO584" s="531"/>
      <c r="AP584" s="491"/>
      <c r="AQ584" s="438"/>
      <c r="AR584" s="438"/>
      <c r="AS584" s="438"/>
      <c r="AT584" s="448"/>
      <c r="AU584" s="452"/>
      <c r="AV584" s="438"/>
      <c r="AW584" s="438"/>
      <c r="AX584" s="450"/>
    </row>
    <row r="585">
      <c r="A585" s="435"/>
      <c r="B585" s="485"/>
      <c r="C585" s="486"/>
      <c r="D585" s="486"/>
      <c r="E585" s="486"/>
      <c r="F585" s="528"/>
      <c r="G585" s="486"/>
      <c r="H585" s="486"/>
      <c r="I585" s="491"/>
      <c r="J585" s="491"/>
      <c r="K585" s="491"/>
      <c r="L585" s="491"/>
      <c r="M585" s="486"/>
      <c r="N585" s="422"/>
      <c r="O585" s="422"/>
      <c r="P585" s="422"/>
      <c r="Q585" s="486"/>
      <c r="R585" s="491"/>
      <c r="S585" s="491"/>
      <c r="T585" s="491"/>
      <c r="U585" s="491"/>
      <c r="V585" s="491"/>
      <c r="W585" s="493"/>
      <c r="X585" s="486"/>
      <c r="Y585" s="442"/>
      <c r="Z585" s="491"/>
      <c r="AA585" s="524"/>
      <c r="AB585" s="494"/>
      <c r="AC585" s="436"/>
      <c r="AD585" s="495"/>
      <c r="AE585" s="496"/>
      <c r="AF585" s="531"/>
      <c r="AG585" s="491"/>
      <c r="AH585" s="525"/>
      <c r="AI585" s="491"/>
      <c r="AJ585" s="446"/>
      <c r="AK585" s="491"/>
      <c r="AL585" s="500"/>
      <c r="AM585" s="436"/>
      <c r="AN585" s="438"/>
      <c r="AO585" s="531"/>
      <c r="AP585" s="491"/>
      <c r="AQ585" s="438"/>
      <c r="AR585" s="438"/>
      <c r="AS585" s="438"/>
      <c r="AT585" s="448"/>
      <c r="AU585" s="449"/>
      <c r="AV585" s="438"/>
      <c r="AW585" s="438"/>
      <c r="AX585" s="450"/>
    </row>
    <row r="586">
      <c r="A586" s="435"/>
      <c r="B586" s="485"/>
      <c r="C586" s="486"/>
      <c r="D586" s="486"/>
      <c r="E586" s="486"/>
      <c r="F586" s="528"/>
      <c r="G586" s="486"/>
      <c r="H586" s="486"/>
      <c r="I586" s="491"/>
      <c r="J586" s="491"/>
      <c r="K586" s="491"/>
      <c r="L586" s="491"/>
      <c r="M586" s="486"/>
      <c r="N586" s="422"/>
      <c r="O586" s="422"/>
      <c r="P586" s="422"/>
      <c r="Q586" s="486"/>
      <c r="R586" s="491"/>
      <c r="S586" s="491"/>
      <c r="T586" s="491"/>
      <c r="U586" s="491"/>
      <c r="V586" s="491"/>
      <c r="W586" s="493"/>
      <c r="X586" s="486"/>
      <c r="Y586" s="442"/>
      <c r="Z586" s="491"/>
      <c r="AA586" s="524"/>
      <c r="AB586" s="494"/>
      <c r="AC586" s="436"/>
      <c r="AD586" s="495"/>
      <c r="AE586" s="496"/>
      <c r="AF586" s="531"/>
      <c r="AG586" s="491"/>
      <c r="AH586" s="525"/>
      <c r="AI586" s="491"/>
      <c r="AJ586" s="446"/>
      <c r="AK586" s="491"/>
      <c r="AL586" s="500"/>
      <c r="AM586" s="436"/>
      <c r="AN586" s="438"/>
      <c r="AO586" s="531"/>
      <c r="AP586" s="491"/>
      <c r="AQ586" s="438"/>
      <c r="AR586" s="438"/>
      <c r="AS586" s="438"/>
      <c r="AT586" s="448"/>
      <c r="AU586" s="452"/>
      <c r="AV586" s="438"/>
      <c r="AW586" s="438"/>
      <c r="AX586" s="450"/>
    </row>
    <row r="587">
      <c r="A587" s="435"/>
      <c r="B587" s="485"/>
      <c r="C587" s="486"/>
      <c r="D587" s="486"/>
      <c r="E587" s="486"/>
      <c r="F587" s="528"/>
      <c r="G587" s="486"/>
      <c r="H587" s="486"/>
      <c r="I587" s="491"/>
      <c r="J587" s="491"/>
      <c r="K587" s="491"/>
      <c r="L587" s="491"/>
      <c r="M587" s="486"/>
      <c r="N587" s="422"/>
      <c r="O587" s="422"/>
      <c r="P587" s="422"/>
      <c r="Q587" s="486"/>
      <c r="R587" s="491"/>
      <c r="S587" s="491"/>
      <c r="T587" s="491"/>
      <c r="U587" s="491"/>
      <c r="V587" s="491"/>
      <c r="W587" s="493"/>
      <c r="X587" s="486"/>
      <c r="Y587" s="442"/>
      <c r="Z587" s="491"/>
      <c r="AA587" s="524"/>
      <c r="AB587" s="494"/>
      <c r="AC587" s="436"/>
      <c r="AD587" s="495"/>
      <c r="AE587" s="496"/>
      <c r="AF587" s="531"/>
      <c r="AG587" s="491"/>
      <c r="AH587" s="525"/>
      <c r="AI587" s="491"/>
      <c r="AJ587" s="446"/>
      <c r="AK587" s="491"/>
      <c r="AL587" s="500"/>
      <c r="AM587" s="436"/>
      <c r="AN587" s="438"/>
      <c r="AO587" s="531"/>
      <c r="AP587" s="491"/>
      <c r="AQ587" s="438"/>
      <c r="AR587" s="438"/>
      <c r="AS587" s="438"/>
      <c r="AT587" s="448"/>
      <c r="AU587" s="449"/>
      <c r="AV587" s="438"/>
      <c r="AW587" s="438"/>
      <c r="AX587" s="450"/>
    </row>
    <row r="588">
      <c r="A588" s="435"/>
      <c r="B588" s="485"/>
      <c r="C588" s="486"/>
      <c r="D588" s="486"/>
      <c r="E588" s="486"/>
      <c r="F588" s="528"/>
      <c r="G588" s="486"/>
      <c r="H588" s="486"/>
      <c r="I588" s="491"/>
      <c r="J588" s="491"/>
      <c r="K588" s="491"/>
      <c r="L588" s="491"/>
      <c r="M588" s="486"/>
      <c r="N588" s="422"/>
      <c r="O588" s="422"/>
      <c r="P588" s="422"/>
      <c r="Q588" s="486"/>
      <c r="R588" s="491"/>
      <c r="S588" s="491"/>
      <c r="T588" s="491"/>
      <c r="U588" s="491"/>
      <c r="V588" s="491"/>
      <c r="W588" s="493"/>
      <c r="X588" s="486"/>
      <c r="Y588" s="442"/>
      <c r="Z588" s="491"/>
      <c r="AA588" s="524"/>
      <c r="AB588" s="494"/>
      <c r="AC588" s="436"/>
      <c r="AD588" s="495"/>
      <c r="AE588" s="496"/>
      <c r="AF588" s="531"/>
      <c r="AG588" s="491"/>
      <c r="AH588" s="525"/>
      <c r="AI588" s="491"/>
      <c r="AJ588" s="446"/>
      <c r="AK588" s="491"/>
      <c r="AL588" s="500"/>
      <c r="AM588" s="436"/>
      <c r="AN588" s="438"/>
      <c r="AO588" s="531"/>
      <c r="AP588" s="491"/>
      <c r="AQ588" s="438"/>
      <c r="AR588" s="438"/>
      <c r="AS588" s="438"/>
      <c r="AT588" s="448"/>
      <c r="AU588" s="452"/>
      <c r="AV588" s="438"/>
      <c r="AW588" s="438"/>
      <c r="AX588" s="450"/>
    </row>
    <row r="589">
      <c r="A589" s="435"/>
      <c r="B589" s="485"/>
      <c r="C589" s="486"/>
      <c r="D589" s="486"/>
      <c r="E589" s="486"/>
      <c r="F589" s="528"/>
      <c r="G589" s="486"/>
      <c r="H589" s="486"/>
      <c r="I589" s="491"/>
      <c r="J589" s="491"/>
      <c r="K589" s="491"/>
      <c r="L589" s="491"/>
      <c r="M589" s="486"/>
      <c r="N589" s="422"/>
      <c r="O589" s="422"/>
      <c r="P589" s="422"/>
      <c r="Q589" s="486"/>
      <c r="R589" s="491"/>
      <c r="S589" s="491"/>
      <c r="T589" s="491"/>
      <c r="U589" s="491"/>
      <c r="V589" s="491"/>
      <c r="W589" s="493"/>
      <c r="X589" s="486"/>
      <c r="Y589" s="442"/>
      <c r="Z589" s="491"/>
      <c r="AA589" s="524"/>
      <c r="AB589" s="494"/>
      <c r="AC589" s="436"/>
      <c r="AD589" s="495"/>
      <c r="AE589" s="496"/>
      <c r="AF589" s="531"/>
      <c r="AG589" s="491"/>
      <c r="AH589" s="525"/>
      <c r="AI589" s="491"/>
      <c r="AJ589" s="446"/>
      <c r="AK589" s="491"/>
      <c r="AL589" s="500"/>
      <c r="AM589" s="436"/>
      <c r="AN589" s="438"/>
      <c r="AO589" s="531"/>
      <c r="AP589" s="491"/>
      <c r="AQ589" s="438"/>
      <c r="AR589" s="438"/>
      <c r="AS589" s="438"/>
      <c r="AT589" s="448"/>
      <c r="AU589" s="449"/>
      <c r="AV589" s="438"/>
      <c r="AW589" s="438"/>
      <c r="AX589" s="450"/>
    </row>
    <row r="590">
      <c r="A590" s="435"/>
      <c r="B590" s="485"/>
      <c r="C590" s="486"/>
      <c r="D590" s="486"/>
      <c r="E590" s="486"/>
      <c r="F590" s="528"/>
      <c r="G590" s="486"/>
      <c r="H590" s="486"/>
      <c r="I590" s="491"/>
      <c r="J590" s="491"/>
      <c r="K590" s="491"/>
      <c r="L590" s="491"/>
      <c r="M590" s="486"/>
      <c r="N590" s="422"/>
      <c r="O590" s="422"/>
      <c r="P590" s="422"/>
      <c r="Q590" s="486"/>
      <c r="R590" s="491"/>
      <c r="S590" s="491"/>
      <c r="T590" s="491"/>
      <c r="U590" s="491"/>
      <c r="V590" s="491"/>
      <c r="W590" s="493"/>
      <c r="X590" s="486"/>
      <c r="Y590" s="442"/>
      <c r="Z590" s="491"/>
      <c r="AA590" s="524"/>
      <c r="AB590" s="494"/>
      <c r="AC590" s="436"/>
      <c r="AD590" s="495"/>
      <c r="AE590" s="496"/>
      <c r="AF590" s="531"/>
      <c r="AG590" s="491"/>
      <c r="AH590" s="525"/>
      <c r="AI590" s="491"/>
      <c r="AJ590" s="446"/>
      <c r="AK590" s="491"/>
      <c r="AL590" s="500"/>
      <c r="AM590" s="436"/>
      <c r="AN590" s="438"/>
      <c r="AO590" s="531"/>
      <c r="AP590" s="491"/>
      <c r="AQ590" s="438"/>
      <c r="AR590" s="438"/>
      <c r="AS590" s="438"/>
      <c r="AT590" s="448"/>
      <c r="AU590" s="452"/>
      <c r="AV590" s="438"/>
      <c r="AW590" s="438"/>
      <c r="AX590" s="450"/>
    </row>
    <row r="591">
      <c r="A591" s="435"/>
      <c r="B591" s="485"/>
      <c r="C591" s="486"/>
      <c r="D591" s="486"/>
      <c r="E591" s="486"/>
      <c r="F591" s="528"/>
      <c r="G591" s="486"/>
      <c r="H591" s="486"/>
      <c r="I591" s="491"/>
      <c r="J591" s="491"/>
      <c r="K591" s="491"/>
      <c r="L591" s="491"/>
      <c r="M591" s="486"/>
      <c r="N591" s="422"/>
      <c r="O591" s="422"/>
      <c r="P591" s="422"/>
      <c r="Q591" s="486"/>
      <c r="R591" s="491"/>
      <c r="S591" s="491"/>
      <c r="T591" s="491"/>
      <c r="U591" s="491"/>
      <c r="V591" s="491"/>
      <c r="W591" s="493"/>
      <c r="X591" s="486"/>
      <c r="Y591" s="442"/>
      <c r="Z591" s="491"/>
      <c r="AA591" s="524"/>
      <c r="AB591" s="494"/>
      <c r="AC591" s="436"/>
      <c r="AD591" s="495"/>
      <c r="AE591" s="496"/>
      <c r="AF591" s="531"/>
      <c r="AG591" s="491"/>
      <c r="AH591" s="525"/>
      <c r="AI591" s="491"/>
      <c r="AJ591" s="446"/>
      <c r="AK591" s="491"/>
      <c r="AL591" s="500"/>
      <c r="AM591" s="436"/>
      <c r="AN591" s="438"/>
      <c r="AO591" s="531"/>
      <c r="AP591" s="491"/>
      <c r="AQ591" s="438"/>
      <c r="AR591" s="438"/>
      <c r="AS591" s="438"/>
      <c r="AT591" s="448"/>
      <c r="AU591" s="449"/>
      <c r="AV591" s="438"/>
      <c r="AW591" s="438"/>
      <c r="AX591" s="450"/>
    </row>
    <row r="592">
      <c r="A592" s="435"/>
      <c r="B592" s="485"/>
      <c r="C592" s="486"/>
      <c r="D592" s="486"/>
      <c r="E592" s="486"/>
      <c r="F592" s="528"/>
      <c r="G592" s="486"/>
      <c r="H592" s="486"/>
      <c r="I592" s="491"/>
      <c r="J592" s="491"/>
      <c r="K592" s="491"/>
      <c r="L592" s="491"/>
      <c r="M592" s="486"/>
      <c r="N592" s="422"/>
      <c r="O592" s="422"/>
      <c r="P592" s="422"/>
      <c r="Q592" s="486"/>
      <c r="R592" s="491"/>
      <c r="S592" s="491"/>
      <c r="T592" s="491"/>
      <c r="U592" s="491"/>
      <c r="V592" s="491"/>
      <c r="W592" s="493"/>
      <c r="X592" s="486"/>
      <c r="Y592" s="442"/>
      <c r="Z592" s="491"/>
      <c r="AA592" s="524"/>
      <c r="AB592" s="494"/>
      <c r="AC592" s="436"/>
      <c r="AD592" s="495"/>
      <c r="AE592" s="496"/>
      <c r="AF592" s="531"/>
      <c r="AG592" s="491"/>
      <c r="AH592" s="525"/>
      <c r="AI592" s="491"/>
      <c r="AJ592" s="446"/>
      <c r="AK592" s="491"/>
      <c r="AL592" s="500"/>
      <c r="AM592" s="436"/>
      <c r="AN592" s="438"/>
      <c r="AO592" s="531"/>
      <c r="AP592" s="491"/>
      <c r="AQ592" s="438"/>
      <c r="AR592" s="438"/>
      <c r="AS592" s="438"/>
      <c r="AT592" s="448"/>
      <c r="AU592" s="452"/>
      <c r="AV592" s="438"/>
      <c r="AW592" s="438"/>
      <c r="AX592" s="450"/>
    </row>
    <row r="593">
      <c r="A593" s="435"/>
      <c r="B593" s="485"/>
      <c r="C593" s="486"/>
      <c r="D593" s="486"/>
      <c r="E593" s="486"/>
      <c r="F593" s="528"/>
      <c r="G593" s="486"/>
      <c r="H593" s="486"/>
      <c r="I593" s="491"/>
      <c r="J593" s="491"/>
      <c r="K593" s="491"/>
      <c r="L593" s="491"/>
      <c r="M593" s="486"/>
      <c r="N593" s="422"/>
      <c r="O593" s="422"/>
      <c r="P593" s="422"/>
      <c r="Q593" s="486"/>
      <c r="R593" s="491"/>
      <c r="S593" s="491"/>
      <c r="T593" s="491"/>
      <c r="U593" s="491"/>
      <c r="V593" s="491"/>
      <c r="W593" s="493"/>
      <c r="X593" s="486"/>
      <c r="Y593" s="442"/>
      <c r="Z593" s="491"/>
      <c r="AA593" s="524"/>
      <c r="AB593" s="494"/>
      <c r="AC593" s="436"/>
      <c r="AD593" s="495"/>
      <c r="AE593" s="496"/>
      <c r="AF593" s="531"/>
      <c r="AG593" s="491"/>
      <c r="AH593" s="525"/>
      <c r="AI593" s="491"/>
      <c r="AJ593" s="446"/>
      <c r="AK593" s="491"/>
      <c r="AL593" s="500"/>
      <c r="AM593" s="436"/>
      <c r="AN593" s="438"/>
      <c r="AO593" s="531"/>
      <c r="AP593" s="491"/>
      <c r="AQ593" s="438"/>
      <c r="AR593" s="438"/>
      <c r="AS593" s="438"/>
      <c r="AT593" s="448"/>
      <c r="AU593" s="449"/>
      <c r="AV593" s="438"/>
      <c r="AW593" s="438"/>
      <c r="AX593" s="450"/>
    </row>
    <row r="594">
      <c r="A594" s="435"/>
      <c r="B594" s="485"/>
      <c r="C594" s="486"/>
      <c r="D594" s="486"/>
      <c r="E594" s="486"/>
      <c r="F594" s="528"/>
      <c r="G594" s="486"/>
      <c r="H594" s="486"/>
      <c r="I594" s="491"/>
      <c r="J594" s="491"/>
      <c r="K594" s="491"/>
      <c r="L594" s="491"/>
      <c r="M594" s="486"/>
      <c r="N594" s="422"/>
      <c r="O594" s="422"/>
      <c r="P594" s="422"/>
      <c r="Q594" s="486"/>
      <c r="R594" s="491"/>
      <c r="S594" s="491"/>
      <c r="T594" s="491"/>
      <c r="U594" s="491"/>
      <c r="V594" s="491"/>
      <c r="W594" s="493"/>
      <c r="X594" s="486"/>
      <c r="Y594" s="442"/>
      <c r="Z594" s="491"/>
      <c r="AA594" s="524"/>
      <c r="AB594" s="494"/>
      <c r="AC594" s="436"/>
      <c r="AD594" s="495"/>
      <c r="AE594" s="496"/>
      <c r="AF594" s="531"/>
      <c r="AG594" s="491"/>
      <c r="AH594" s="525"/>
      <c r="AI594" s="491"/>
      <c r="AJ594" s="446"/>
      <c r="AK594" s="491"/>
      <c r="AL594" s="500"/>
      <c r="AM594" s="436"/>
      <c r="AN594" s="438"/>
      <c r="AO594" s="531"/>
      <c r="AP594" s="491"/>
      <c r="AQ594" s="438"/>
      <c r="AR594" s="438"/>
      <c r="AS594" s="438"/>
      <c r="AT594" s="448"/>
      <c r="AU594" s="452"/>
      <c r="AV594" s="438"/>
      <c r="AW594" s="438"/>
      <c r="AX594" s="450"/>
    </row>
    <row r="595">
      <c r="A595" s="435"/>
      <c r="B595" s="485"/>
      <c r="C595" s="486"/>
      <c r="D595" s="486"/>
      <c r="E595" s="486"/>
      <c r="F595" s="528"/>
      <c r="G595" s="486"/>
      <c r="H595" s="486"/>
      <c r="I595" s="491"/>
      <c r="J595" s="491"/>
      <c r="K595" s="491"/>
      <c r="L595" s="491"/>
      <c r="M595" s="486"/>
      <c r="N595" s="422"/>
      <c r="O595" s="422"/>
      <c r="P595" s="422"/>
      <c r="Q595" s="486"/>
      <c r="R595" s="491"/>
      <c r="S595" s="491"/>
      <c r="T595" s="491"/>
      <c r="U595" s="491"/>
      <c r="V595" s="491"/>
      <c r="W595" s="493"/>
      <c r="X595" s="486"/>
      <c r="Y595" s="442"/>
      <c r="Z595" s="491"/>
      <c r="AA595" s="524"/>
      <c r="AB595" s="494"/>
      <c r="AC595" s="436"/>
      <c r="AD595" s="495"/>
      <c r="AE595" s="496"/>
      <c r="AF595" s="531"/>
      <c r="AG595" s="491"/>
      <c r="AH595" s="525"/>
      <c r="AI595" s="491"/>
      <c r="AJ595" s="446"/>
      <c r="AK595" s="491"/>
      <c r="AL595" s="500"/>
      <c r="AM595" s="436"/>
      <c r="AN595" s="438"/>
      <c r="AO595" s="531"/>
      <c r="AP595" s="491"/>
      <c r="AQ595" s="438"/>
      <c r="AR595" s="438"/>
      <c r="AS595" s="438"/>
      <c r="AT595" s="448"/>
      <c r="AU595" s="449"/>
      <c r="AV595" s="438"/>
      <c r="AW595" s="438"/>
      <c r="AX595" s="450"/>
    </row>
    <row r="596">
      <c r="A596" s="435"/>
      <c r="B596" s="485"/>
      <c r="C596" s="486"/>
      <c r="D596" s="486"/>
      <c r="E596" s="486"/>
      <c r="F596" s="528"/>
      <c r="G596" s="486"/>
      <c r="H596" s="486"/>
      <c r="I596" s="491"/>
      <c r="J596" s="491"/>
      <c r="K596" s="491"/>
      <c r="L596" s="491"/>
      <c r="M596" s="486"/>
      <c r="N596" s="422"/>
      <c r="O596" s="422"/>
      <c r="P596" s="422"/>
      <c r="Q596" s="486"/>
      <c r="R596" s="491"/>
      <c r="S596" s="491"/>
      <c r="T596" s="491"/>
      <c r="U596" s="491"/>
      <c r="V596" s="491"/>
      <c r="W596" s="493"/>
      <c r="X596" s="486"/>
      <c r="Y596" s="442"/>
      <c r="Z596" s="491"/>
      <c r="AA596" s="524"/>
      <c r="AB596" s="494"/>
      <c r="AC596" s="436"/>
      <c r="AD596" s="495"/>
      <c r="AE596" s="496"/>
      <c r="AF596" s="531"/>
      <c r="AG596" s="491"/>
      <c r="AH596" s="525"/>
      <c r="AI596" s="491"/>
      <c r="AJ596" s="446"/>
      <c r="AK596" s="491"/>
      <c r="AL596" s="500"/>
      <c r="AM596" s="436"/>
      <c r="AN596" s="438"/>
      <c r="AO596" s="531"/>
      <c r="AP596" s="491"/>
      <c r="AQ596" s="438"/>
      <c r="AR596" s="438"/>
      <c r="AS596" s="438"/>
      <c r="AT596" s="448"/>
      <c r="AU596" s="452"/>
      <c r="AV596" s="438"/>
      <c r="AW596" s="438"/>
      <c r="AX596" s="450"/>
    </row>
    <row r="597">
      <c r="A597" s="435"/>
      <c r="B597" s="485"/>
      <c r="C597" s="486"/>
      <c r="D597" s="486"/>
      <c r="E597" s="486"/>
      <c r="F597" s="528"/>
      <c r="G597" s="486"/>
      <c r="H597" s="486"/>
      <c r="I597" s="491"/>
      <c r="J597" s="491"/>
      <c r="K597" s="491"/>
      <c r="L597" s="491"/>
      <c r="M597" s="486"/>
      <c r="N597" s="422"/>
      <c r="O597" s="422"/>
      <c r="P597" s="422"/>
      <c r="Q597" s="486"/>
      <c r="R597" s="491"/>
      <c r="S597" s="491"/>
      <c r="T597" s="491"/>
      <c r="U597" s="491"/>
      <c r="V597" s="491"/>
      <c r="W597" s="493"/>
      <c r="X597" s="486"/>
      <c r="Y597" s="442"/>
      <c r="Z597" s="491"/>
      <c r="AA597" s="524"/>
      <c r="AB597" s="494"/>
      <c r="AC597" s="436"/>
      <c r="AD597" s="495"/>
      <c r="AE597" s="496"/>
      <c r="AF597" s="531"/>
      <c r="AG597" s="491"/>
      <c r="AH597" s="525"/>
      <c r="AI597" s="491"/>
      <c r="AJ597" s="446"/>
      <c r="AK597" s="491"/>
      <c r="AL597" s="500"/>
      <c r="AM597" s="436"/>
      <c r="AN597" s="438"/>
      <c r="AO597" s="531"/>
      <c r="AP597" s="491"/>
      <c r="AQ597" s="438"/>
      <c r="AR597" s="438"/>
      <c r="AS597" s="438"/>
      <c r="AT597" s="448"/>
      <c r="AU597" s="449"/>
      <c r="AV597" s="438"/>
      <c r="AW597" s="438"/>
      <c r="AX597" s="450"/>
    </row>
    <row r="598">
      <c r="A598" s="435"/>
      <c r="B598" s="485"/>
      <c r="C598" s="486"/>
      <c r="D598" s="486"/>
      <c r="E598" s="486"/>
      <c r="F598" s="528"/>
      <c r="G598" s="486"/>
      <c r="H598" s="486"/>
      <c r="I598" s="491"/>
      <c r="J598" s="491"/>
      <c r="K598" s="491"/>
      <c r="L598" s="491"/>
      <c r="M598" s="486"/>
      <c r="N598" s="422"/>
      <c r="O598" s="422"/>
      <c r="P598" s="422"/>
      <c r="Q598" s="486"/>
      <c r="R598" s="491"/>
      <c r="S598" s="491"/>
      <c r="T598" s="491"/>
      <c r="U598" s="491"/>
      <c r="V598" s="491"/>
      <c r="W598" s="493"/>
      <c r="X598" s="486"/>
      <c r="Y598" s="442"/>
      <c r="Z598" s="491"/>
      <c r="AA598" s="524"/>
      <c r="AB598" s="494"/>
      <c r="AC598" s="436"/>
      <c r="AD598" s="495"/>
      <c r="AE598" s="496"/>
      <c r="AF598" s="531"/>
      <c r="AG598" s="491"/>
      <c r="AH598" s="525"/>
      <c r="AI598" s="491"/>
      <c r="AJ598" s="446"/>
      <c r="AK598" s="491"/>
      <c r="AL598" s="500"/>
      <c r="AM598" s="436"/>
      <c r="AN598" s="438"/>
      <c r="AO598" s="531"/>
      <c r="AP598" s="491"/>
      <c r="AQ598" s="438"/>
      <c r="AR598" s="438"/>
      <c r="AS598" s="438"/>
      <c r="AT598" s="448"/>
      <c r="AU598" s="452"/>
      <c r="AV598" s="438"/>
      <c r="AW598" s="438"/>
      <c r="AX598" s="450"/>
    </row>
    <row r="599">
      <c r="A599" s="435"/>
      <c r="B599" s="485"/>
      <c r="C599" s="486"/>
      <c r="D599" s="486"/>
      <c r="E599" s="486"/>
      <c r="F599" s="528"/>
      <c r="G599" s="486"/>
      <c r="H599" s="486"/>
      <c r="I599" s="491"/>
      <c r="J599" s="491"/>
      <c r="K599" s="491"/>
      <c r="L599" s="491"/>
      <c r="M599" s="486"/>
      <c r="N599" s="422"/>
      <c r="O599" s="422"/>
      <c r="P599" s="422"/>
      <c r="Q599" s="486"/>
      <c r="R599" s="491"/>
      <c r="S599" s="491"/>
      <c r="T599" s="491"/>
      <c r="U599" s="491"/>
      <c r="V599" s="491"/>
      <c r="W599" s="493"/>
      <c r="X599" s="486"/>
      <c r="Y599" s="442"/>
      <c r="Z599" s="491"/>
      <c r="AA599" s="524"/>
      <c r="AB599" s="494"/>
      <c r="AC599" s="436"/>
      <c r="AD599" s="495"/>
      <c r="AE599" s="496"/>
      <c r="AF599" s="531"/>
      <c r="AG599" s="491"/>
      <c r="AH599" s="525"/>
      <c r="AI599" s="491"/>
      <c r="AJ599" s="446"/>
      <c r="AK599" s="491"/>
      <c r="AL599" s="500"/>
      <c r="AM599" s="436"/>
      <c r="AN599" s="438"/>
      <c r="AO599" s="531"/>
      <c r="AP599" s="491"/>
      <c r="AQ599" s="438"/>
      <c r="AR599" s="438"/>
      <c r="AS599" s="438"/>
      <c r="AT599" s="448"/>
      <c r="AU599" s="449"/>
      <c r="AV599" s="438"/>
      <c r="AW599" s="438"/>
      <c r="AX599" s="450"/>
    </row>
    <row r="600">
      <c r="A600" s="435"/>
      <c r="B600" s="485"/>
      <c r="C600" s="486"/>
      <c r="D600" s="486"/>
      <c r="E600" s="486"/>
      <c r="F600" s="528"/>
      <c r="G600" s="486"/>
      <c r="H600" s="486"/>
      <c r="I600" s="491"/>
      <c r="J600" s="491"/>
      <c r="K600" s="491"/>
      <c r="L600" s="491"/>
      <c r="M600" s="486"/>
      <c r="N600" s="422"/>
      <c r="O600" s="422"/>
      <c r="P600" s="422"/>
      <c r="Q600" s="486"/>
      <c r="R600" s="491"/>
      <c r="S600" s="491"/>
      <c r="T600" s="491"/>
      <c r="U600" s="491"/>
      <c r="V600" s="491"/>
      <c r="W600" s="493"/>
      <c r="X600" s="486"/>
      <c r="Y600" s="442"/>
      <c r="Z600" s="491"/>
      <c r="AA600" s="524"/>
      <c r="AB600" s="494"/>
      <c r="AC600" s="436"/>
      <c r="AD600" s="495"/>
      <c r="AE600" s="496"/>
      <c r="AF600" s="531"/>
      <c r="AG600" s="491"/>
      <c r="AH600" s="525"/>
      <c r="AI600" s="491"/>
      <c r="AJ600" s="446"/>
      <c r="AK600" s="491"/>
      <c r="AL600" s="500"/>
      <c r="AM600" s="436"/>
      <c r="AN600" s="438"/>
      <c r="AO600" s="531"/>
      <c r="AP600" s="491"/>
      <c r="AQ600" s="438"/>
      <c r="AR600" s="438"/>
      <c r="AS600" s="438"/>
      <c r="AT600" s="448"/>
      <c r="AU600" s="452"/>
      <c r="AV600" s="438"/>
      <c r="AW600" s="438"/>
      <c r="AX600" s="450"/>
    </row>
    <row r="601">
      <c r="A601" s="435"/>
      <c r="B601" s="485"/>
      <c r="C601" s="486"/>
      <c r="D601" s="486"/>
      <c r="E601" s="486"/>
      <c r="F601" s="528"/>
      <c r="G601" s="486"/>
      <c r="H601" s="486"/>
      <c r="I601" s="491"/>
      <c r="J601" s="491"/>
      <c r="K601" s="491"/>
      <c r="L601" s="491"/>
      <c r="M601" s="486"/>
      <c r="N601" s="422"/>
      <c r="O601" s="422"/>
      <c r="P601" s="422"/>
      <c r="Q601" s="486"/>
      <c r="R601" s="491"/>
      <c r="S601" s="491"/>
      <c r="T601" s="491"/>
      <c r="U601" s="491"/>
      <c r="V601" s="491"/>
      <c r="W601" s="493"/>
      <c r="X601" s="486"/>
      <c r="Y601" s="442"/>
      <c r="Z601" s="491"/>
      <c r="AA601" s="524"/>
      <c r="AB601" s="494"/>
      <c r="AC601" s="436"/>
      <c r="AD601" s="495"/>
      <c r="AE601" s="496"/>
      <c r="AF601" s="531"/>
      <c r="AG601" s="491"/>
      <c r="AH601" s="525"/>
      <c r="AI601" s="491"/>
      <c r="AJ601" s="446"/>
      <c r="AK601" s="491"/>
      <c r="AL601" s="500"/>
      <c r="AM601" s="436"/>
      <c r="AN601" s="438"/>
      <c r="AO601" s="531"/>
      <c r="AP601" s="491"/>
      <c r="AQ601" s="438"/>
      <c r="AR601" s="438"/>
      <c r="AS601" s="438"/>
      <c r="AT601" s="448"/>
      <c r="AU601" s="449"/>
      <c r="AV601" s="438"/>
      <c r="AW601" s="438"/>
      <c r="AX601" s="450"/>
    </row>
    <row r="602">
      <c r="A602" s="435"/>
      <c r="B602" s="485"/>
      <c r="C602" s="486"/>
      <c r="D602" s="486"/>
      <c r="E602" s="486"/>
      <c r="F602" s="528"/>
      <c r="G602" s="486"/>
      <c r="H602" s="486"/>
      <c r="I602" s="491"/>
      <c r="J602" s="491"/>
      <c r="K602" s="491"/>
      <c r="L602" s="491"/>
      <c r="M602" s="486"/>
      <c r="N602" s="422"/>
      <c r="O602" s="422"/>
      <c r="P602" s="422"/>
      <c r="Q602" s="486"/>
      <c r="R602" s="491"/>
      <c r="S602" s="491"/>
      <c r="T602" s="491"/>
      <c r="U602" s="491"/>
      <c r="V602" s="491"/>
      <c r="W602" s="493"/>
      <c r="X602" s="486"/>
      <c r="Y602" s="442"/>
      <c r="Z602" s="491"/>
      <c r="AA602" s="524"/>
      <c r="AB602" s="494"/>
      <c r="AC602" s="436"/>
      <c r="AD602" s="495"/>
      <c r="AE602" s="496"/>
      <c r="AF602" s="531"/>
      <c r="AG602" s="491"/>
      <c r="AH602" s="525"/>
      <c r="AI602" s="491"/>
      <c r="AJ602" s="446"/>
      <c r="AK602" s="491"/>
      <c r="AL602" s="500"/>
      <c r="AM602" s="436"/>
      <c r="AN602" s="438"/>
      <c r="AO602" s="531"/>
      <c r="AP602" s="491"/>
      <c r="AQ602" s="438"/>
      <c r="AR602" s="438"/>
      <c r="AS602" s="438"/>
      <c r="AT602" s="448"/>
      <c r="AU602" s="452"/>
      <c r="AV602" s="438"/>
      <c r="AW602" s="438"/>
      <c r="AX602" s="450"/>
    </row>
    <row r="603">
      <c r="A603" s="435"/>
      <c r="B603" s="485"/>
      <c r="C603" s="486"/>
      <c r="D603" s="486"/>
      <c r="E603" s="486"/>
      <c r="F603" s="528"/>
      <c r="G603" s="486"/>
      <c r="H603" s="486"/>
      <c r="I603" s="491"/>
      <c r="J603" s="491"/>
      <c r="K603" s="491"/>
      <c r="L603" s="491"/>
      <c r="M603" s="486"/>
      <c r="N603" s="422"/>
      <c r="O603" s="422"/>
      <c r="P603" s="422"/>
      <c r="Q603" s="486"/>
      <c r="R603" s="491"/>
      <c r="S603" s="491"/>
      <c r="T603" s="491"/>
      <c r="U603" s="491"/>
      <c r="V603" s="491"/>
      <c r="W603" s="493"/>
      <c r="X603" s="486"/>
      <c r="Y603" s="442"/>
      <c r="Z603" s="491"/>
      <c r="AA603" s="524"/>
      <c r="AB603" s="494"/>
      <c r="AC603" s="436"/>
      <c r="AD603" s="495"/>
      <c r="AE603" s="496"/>
      <c r="AF603" s="531"/>
      <c r="AG603" s="491"/>
      <c r="AH603" s="525"/>
      <c r="AI603" s="491"/>
      <c r="AJ603" s="446"/>
      <c r="AK603" s="491"/>
      <c r="AL603" s="500"/>
      <c r="AM603" s="436"/>
      <c r="AN603" s="438"/>
      <c r="AO603" s="531"/>
      <c r="AP603" s="491"/>
      <c r="AQ603" s="438"/>
      <c r="AR603" s="438"/>
      <c r="AS603" s="438"/>
      <c r="AT603" s="448"/>
      <c r="AU603" s="449"/>
      <c r="AV603" s="438"/>
      <c r="AW603" s="438"/>
      <c r="AX603" s="450"/>
    </row>
    <row r="604">
      <c r="A604" s="435"/>
      <c r="B604" s="485"/>
      <c r="C604" s="486"/>
      <c r="D604" s="486"/>
      <c r="E604" s="486"/>
      <c r="F604" s="528"/>
      <c r="G604" s="486"/>
      <c r="H604" s="486"/>
      <c r="I604" s="491"/>
      <c r="J604" s="491"/>
      <c r="K604" s="491"/>
      <c r="L604" s="491"/>
      <c r="M604" s="486"/>
      <c r="N604" s="422"/>
      <c r="O604" s="422"/>
      <c r="P604" s="422"/>
      <c r="Q604" s="486"/>
      <c r="R604" s="491"/>
      <c r="S604" s="491"/>
      <c r="T604" s="491"/>
      <c r="U604" s="491"/>
      <c r="V604" s="491"/>
      <c r="W604" s="493"/>
      <c r="X604" s="486"/>
      <c r="Y604" s="442"/>
      <c r="Z604" s="491"/>
      <c r="AA604" s="524"/>
      <c r="AB604" s="494"/>
      <c r="AC604" s="436"/>
      <c r="AD604" s="495"/>
      <c r="AE604" s="496"/>
      <c r="AF604" s="531"/>
      <c r="AG604" s="491"/>
      <c r="AH604" s="525"/>
      <c r="AI604" s="491"/>
      <c r="AJ604" s="446"/>
      <c r="AK604" s="491"/>
      <c r="AL604" s="500"/>
      <c r="AM604" s="436"/>
      <c r="AN604" s="438"/>
      <c r="AO604" s="531"/>
      <c r="AP604" s="491"/>
      <c r="AQ604" s="438"/>
      <c r="AR604" s="438"/>
      <c r="AS604" s="438"/>
      <c r="AT604" s="448"/>
      <c r="AU604" s="452"/>
      <c r="AV604" s="438"/>
      <c r="AW604" s="438"/>
      <c r="AX604" s="450"/>
    </row>
    <row r="605">
      <c r="A605" s="435"/>
      <c r="B605" s="485"/>
      <c r="C605" s="486"/>
      <c r="D605" s="486"/>
      <c r="E605" s="486"/>
      <c r="F605" s="528"/>
      <c r="G605" s="486"/>
      <c r="H605" s="486"/>
      <c r="I605" s="491"/>
      <c r="J605" s="491"/>
      <c r="K605" s="491"/>
      <c r="L605" s="491"/>
      <c r="M605" s="486"/>
      <c r="N605" s="422"/>
      <c r="O605" s="422"/>
      <c r="P605" s="422"/>
      <c r="Q605" s="486"/>
      <c r="R605" s="491"/>
      <c r="S605" s="491"/>
      <c r="T605" s="491"/>
      <c r="U605" s="491"/>
      <c r="V605" s="491"/>
      <c r="W605" s="493"/>
      <c r="X605" s="486"/>
      <c r="Y605" s="442"/>
      <c r="Z605" s="491"/>
      <c r="AA605" s="524"/>
      <c r="AB605" s="494"/>
      <c r="AC605" s="436"/>
      <c r="AD605" s="495"/>
      <c r="AE605" s="496"/>
      <c r="AF605" s="531"/>
      <c r="AG605" s="491"/>
      <c r="AH605" s="525"/>
      <c r="AI605" s="491"/>
      <c r="AJ605" s="446"/>
      <c r="AK605" s="491"/>
      <c r="AL605" s="500"/>
      <c r="AM605" s="436"/>
      <c r="AN605" s="438"/>
      <c r="AO605" s="531"/>
      <c r="AP605" s="491"/>
      <c r="AQ605" s="438"/>
      <c r="AR605" s="438"/>
      <c r="AS605" s="438"/>
      <c r="AT605" s="448"/>
      <c r="AU605" s="449"/>
      <c r="AV605" s="438"/>
      <c r="AW605" s="438"/>
      <c r="AX605" s="450"/>
    </row>
    <row r="606">
      <c r="A606" s="435"/>
      <c r="B606" s="485"/>
      <c r="C606" s="486"/>
      <c r="D606" s="486"/>
      <c r="E606" s="486"/>
      <c r="F606" s="528"/>
      <c r="G606" s="486"/>
      <c r="H606" s="486"/>
      <c r="I606" s="491"/>
      <c r="J606" s="491"/>
      <c r="K606" s="491"/>
      <c r="L606" s="491"/>
      <c r="M606" s="486"/>
      <c r="N606" s="422"/>
      <c r="O606" s="422"/>
      <c r="P606" s="422"/>
      <c r="Q606" s="486"/>
      <c r="R606" s="491"/>
      <c r="S606" s="491"/>
      <c r="T606" s="491"/>
      <c r="U606" s="491"/>
      <c r="V606" s="491"/>
      <c r="W606" s="493"/>
      <c r="X606" s="486"/>
      <c r="Y606" s="442"/>
      <c r="Z606" s="491"/>
      <c r="AA606" s="524"/>
      <c r="AB606" s="494"/>
      <c r="AC606" s="436"/>
      <c r="AD606" s="495"/>
      <c r="AE606" s="496"/>
      <c r="AF606" s="531"/>
      <c r="AG606" s="491"/>
      <c r="AH606" s="525"/>
      <c r="AI606" s="491"/>
      <c r="AJ606" s="446"/>
      <c r="AK606" s="491"/>
      <c r="AL606" s="500"/>
      <c r="AM606" s="436"/>
      <c r="AN606" s="438"/>
      <c r="AO606" s="531"/>
      <c r="AP606" s="491"/>
      <c r="AQ606" s="438"/>
      <c r="AR606" s="438"/>
      <c r="AS606" s="438"/>
      <c r="AT606" s="448"/>
      <c r="AU606" s="452"/>
      <c r="AV606" s="438"/>
      <c r="AW606" s="438"/>
      <c r="AX606" s="450"/>
    </row>
    <row r="607">
      <c r="A607" s="435"/>
      <c r="B607" s="485"/>
      <c r="C607" s="486"/>
      <c r="D607" s="486"/>
      <c r="E607" s="486"/>
      <c r="F607" s="528"/>
      <c r="G607" s="486"/>
      <c r="H607" s="486"/>
      <c r="I607" s="491"/>
      <c r="J607" s="491"/>
      <c r="K607" s="491"/>
      <c r="L607" s="491"/>
      <c r="M607" s="486"/>
      <c r="N607" s="422"/>
      <c r="O607" s="422"/>
      <c r="P607" s="422"/>
      <c r="Q607" s="486"/>
      <c r="R607" s="491"/>
      <c r="S607" s="491"/>
      <c r="T607" s="491"/>
      <c r="U607" s="491"/>
      <c r="V607" s="491"/>
      <c r="W607" s="493"/>
      <c r="X607" s="486"/>
      <c r="Y607" s="442"/>
      <c r="Z607" s="491"/>
      <c r="AA607" s="524"/>
      <c r="AB607" s="494"/>
      <c r="AC607" s="436"/>
      <c r="AD607" s="495"/>
      <c r="AE607" s="496"/>
      <c r="AF607" s="531"/>
      <c r="AG607" s="491"/>
      <c r="AH607" s="525"/>
      <c r="AI607" s="491"/>
      <c r="AJ607" s="446"/>
      <c r="AK607" s="491"/>
      <c r="AL607" s="500"/>
      <c r="AM607" s="436"/>
      <c r="AN607" s="438"/>
      <c r="AO607" s="531"/>
      <c r="AP607" s="491"/>
      <c r="AQ607" s="438"/>
      <c r="AR607" s="438"/>
      <c r="AS607" s="438"/>
      <c r="AT607" s="448"/>
      <c r="AU607" s="449"/>
      <c r="AV607" s="438"/>
      <c r="AW607" s="438"/>
      <c r="AX607" s="450"/>
    </row>
    <row r="608">
      <c r="A608" s="435"/>
      <c r="B608" s="485"/>
      <c r="C608" s="486"/>
      <c r="D608" s="486"/>
      <c r="E608" s="486"/>
      <c r="F608" s="528"/>
      <c r="G608" s="486"/>
      <c r="H608" s="486"/>
      <c r="I608" s="491"/>
      <c r="J608" s="491"/>
      <c r="K608" s="491"/>
      <c r="L608" s="491"/>
      <c r="M608" s="486"/>
      <c r="N608" s="422"/>
      <c r="O608" s="422"/>
      <c r="P608" s="422"/>
      <c r="Q608" s="486"/>
      <c r="R608" s="491"/>
      <c r="S608" s="491"/>
      <c r="T608" s="491"/>
      <c r="U608" s="491"/>
      <c r="V608" s="491"/>
      <c r="W608" s="493"/>
      <c r="X608" s="486"/>
      <c r="Y608" s="442"/>
      <c r="Z608" s="491"/>
      <c r="AA608" s="524"/>
      <c r="AB608" s="494"/>
      <c r="AC608" s="436"/>
      <c r="AD608" s="495"/>
      <c r="AE608" s="496"/>
      <c r="AF608" s="531"/>
      <c r="AG608" s="491"/>
      <c r="AH608" s="525"/>
      <c r="AI608" s="491"/>
      <c r="AJ608" s="446"/>
      <c r="AK608" s="491"/>
      <c r="AL608" s="500"/>
      <c r="AM608" s="436"/>
      <c r="AN608" s="438"/>
      <c r="AO608" s="531"/>
      <c r="AP608" s="491"/>
      <c r="AQ608" s="438"/>
      <c r="AR608" s="438"/>
      <c r="AS608" s="438"/>
      <c r="AT608" s="448"/>
      <c r="AU608" s="452"/>
      <c r="AV608" s="438"/>
      <c r="AW608" s="438"/>
      <c r="AX608" s="450"/>
    </row>
    <row r="609">
      <c r="A609" s="435"/>
      <c r="B609" s="485"/>
      <c r="C609" s="486"/>
      <c r="D609" s="486"/>
      <c r="E609" s="486"/>
      <c r="F609" s="528"/>
      <c r="G609" s="486"/>
      <c r="H609" s="486"/>
      <c r="I609" s="491"/>
      <c r="J609" s="491"/>
      <c r="K609" s="491"/>
      <c r="L609" s="491"/>
      <c r="M609" s="486"/>
      <c r="N609" s="422"/>
      <c r="O609" s="422"/>
      <c r="P609" s="422"/>
      <c r="Q609" s="486"/>
      <c r="R609" s="491"/>
      <c r="S609" s="491"/>
      <c r="T609" s="491"/>
      <c r="U609" s="491"/>
      <c r="V609" s="491"/>
      <c r="W609" s="493"/>
      <c r="X609" s="486"/>
      <c r="Y609" s="442"/>
      <c r="Z609" s="491"/>
      <c r="AA609" s="524"/>
      <c r="AB609" s="494"/>
      <c r="AC609" s="436"/>
      <c r="AD609" s="495"/>
      <c r="AE609" s="496"/>
      <c r="AF609" s="531"/>
      <c r="AG609" s="491"/>
      <c r="AH609" s="525"/>
      <c r="AI609" s="491"/>
      <c r="AJ609" s="446"/>
      <c r="AK609" s="491"/>
      <c r="AL609" s="500"/>
      <c r="AM609" s="436"/>
      <c r="AN609" s="438"/>
      <c r="AO609" s="531"/>
      <c r="AP609" s="491"/>
      <c r="AQ609" s="438"/>
      <c r="AR609" s="438"/>
      <c r="AS609" s="438"/>
      <c r="AT609" s="448"/>
      <c r="AU609" s="449"/>
      <c r="AV609" s="438"/>
      <c r="AW609" s="438"/>
      <c r="AX609" s="450"/>
    </row>
    <row r="610">
      <c r="A610" s="435"/>
      <c r="B610" s="485"/>
      <c r="C610" s="486"/>
      <c r="D610" s="486"/>
      <c r="E610" s="486"/>
      <c r="F610" s="528"/>
      <c r="G610" s="486"/>
      <c r="H610" s="486"/>
      <c r="I610" s="491"/>
      <c r="J610" s="491"/>
      <c r="K610" s="491"/>
      <c r="L610" s="491"/>
      <c r="M610" s="486"/>
      <c r="N610" s="422"/>
      <c r="O610" s="422"/>
      <c r="P610" s="422"/>
      <c r="Q610" s="486"/>
      <c r="R610" s="491"/>
      <c r="S610" s="491"/>
      <c r="T610" s="491"/>
      <c r="U610" s="491"/>
      <c r="V610" s="491"/>
      <c r="W610" s="493"/>
      <c r="X610" s="486"/>
      <c r="Y610" s="442"/>
      <c r="Z610" s="491"/>
      <c r="AA610" s="524"/>
      <c r="AB610" s="494"/>
      <c r="AC610" s="436"/>
      <c r="AD610" s="495"/>
      <c r="AE610" s="496"/>
      <c r="AF610" s="531"/>
      <c r="AG610" s="491"/>
      <c r="AH610" s="525"/>
      <c r="AI610" s="491"/>
      <c r="AJ610" s="446"/>
      <c r="AK610" s="491"/>
      <c r="AL610" s="500"/>
      <c r="AM610" s="436"/>
      <c r="AN610" s="438"/>
      <c r="AO610" s="531"/>
      <c r="AP610" s="491"/>
      <c r="AQ610" s="438"/>
      <c r="AR610" s="438"/>
      <c r="AS610" s="438"/>
      <c r="AT610" s="448"/>
      <c r="AU610" s="452"/>
      <c r="AV610" s="438"/>
      <c r="AW610" s="438"/>
      <c r="AX610" s="450"/>
    </row>
    <row r="611">
      <c r="A611" s="435"/>
      <c r="B611" s="485"/>
      <c r="C611" s="486"/>
      <c r="D611" s="486"/>
      <c r="E611" s="486"/>
      <c r="F611" s="528"/>
      <c r="G611" s="486"/>
      <c r="H611" s="486"/>
      <c r="I611" s="491"/>
      <c r="J611" s="491"/>
      <c r="K611" s="491"/>
      <c r="L611" s="491"/>
      <c r="M611" s="486"/>
      <c r="N611" s="422"/>
      <c r="O611" s="422"/>
      <c r="P611" s="422"/>
      <c r="Q611" s="486"/>
      <c r="R611" s="491"/>
      <c r="S611" s="491"/>
      <c r="T611" s="491"/>
      <c r="U611" s="491"/>
      <c r="V611" s="491"/>
      <c r="W611" s="493"/>
      <c r="X611" s="486"/>
      <c r="Y611" s="442"/>
      <c r="Z611" s="491"/>
      <c r="AA611" s="524"/>
      <c r="AB611" s="494"/>
      <c r="AC611" s="436"/>
      <c r="AD611" s="495"/>
      <c r="AE611" s="496"/>
      <c r="AF611" s="531"/>
      <c r="AG611" s="491"/>
      <c r="AH611" s="525"/>
      <c r="AI611" s="491"/>
      <c r="AJ611" s="446"/>
      <c r="AK611" s="491"/>
      <c r="AL611" s="500"/>
      <c r="AM611" s="436"/>
      <c r="AN611" s="438"/>
      <c r="AO611" s="531"/>
      <c r="AP611" s="491"/>
      <c r="AQ611" s="438"/>
      <c r="AR611" s="438"/>
      <c r="AS611" s="438"/>
      <c r="AT611" s="448"/>
      <c r="AU611" s="449"/>
      <c r="AV611" s="438"/>
      <c r="AW611" s="438"/>
      <c r="AX611" s="450"/>
    </row>
    <row r="612">
      <c r="A612" s="435"/>
      <c r="B612" s="485"/>
      <c r="C612" s="486"/>
      <c r="D612" s="486"/>
      <c r="E612" s="486"/>
      <c r="F612" s="528"/>
      <c r="G612" s="486"/>
      <c r="H612" s="486"/>
      <c r="I612" s="491"/>
      <c r="J612" s="491"/>
      <c r="K612" s="491"/>
      <c r="L612" s="491"/>
      <c r="M612" s="486"/>
      <c r="N612" s="422"/>
      <c r="O612" s="422"/>
      <c r="P612" s="422"/>
      <c r="Q612" s="486"/>
      <c r="R612" s="491"/>
      <c r="S612" s="491"/>
      <c r="T612" s="491"/>
      <c r="U612" s="491"/>
      <c r="V612" s="491"/>
      <c r="W612" s="493"/>
      <c r="X612" s="486"/>
      <c r="Y612" s="442"/>
      <c r="Z612" s="491"/>
      <c r="AA612" s="524"/>
      <c r="AB612" s="494"/>
      <c r="AC612" s="436"/>
      <c r="AD612" s="495"/>
      <c r="AE612" s="496"/>
      <c r="AF612" s="531"/>
      <c r="AG612" s="491"/>
      <c r="AH612" s="525"/>
      <c r="AI612" s="491"/>
      <c r="AJ612" s="446"/>
      <c r="AK612" s="491"/>
      <c r="AL612" s="500"/>
      <c r="AM612" s="436"/>
      <c r="AN612" s="438"/>
      <c r="AO612" s="531"/>
      <c r="AP612" s="491"/>
      <c r="AQ612" s="438"/>
      <c r="AR612" s="438"/>
      <c r="AS612" s="438"/>
      <c r="AT612" s="448"/>
      <c r="AU612" s="452"/>
      <c r="AV612" s="438"/>
      <c r="AW612" s="438"/>
      <c r="AX612" s="450"/>
    </row>
    <row r="613">
      <c r="A613" s="435"/>
      <c r="B613" s="485"/>
      <c r="C613" s="486"/>
      <c r="D613" s="486"/>
      <c r="E613" s="486"/>
      <c r="F613" s="528"/>
      <c r="G613" s="486"/>
      <c r="H613" s="486"/>
      <c r="I613" s="491"/>
      <c r="J613" s="491"/>
      <c r="K613" s="491"/>
      <c r="L613" s="491"/>
      <c r="M613" s="486"/>
      <c r="N613" s="422"/>
      <c r="O613" s="422"/>
      <c r="P613" s="422"/>
      <c r="Q613" s="486"/>
      <c r="R613" s="491"/>
      <c r="S613" s="491"/>
      <c r="T613" s="491"/>
      <c r="U613" s="491"/>
      <c r="V613" s="491"/>
      <c r="W613" s="493"/>
      <c r="X613" s="486"/>
      <c r="Y613" s="442"/>
      <c r="Z613" s="491"/>
      <c r="AA613" s="524"/>
      <c r="AB613" s="494"/>
      <c r="AC613" s="436"/>
      <c r="AD613" s="495"/>
      <c r="AE613" s="496"/>
      <c r="AF613" s="531"/>
      <c r="AG613" s="491"/>
      <c r="AH613" s="525"/>
      <c r="AI613" s="491"/>
      <c r="AJ613" s="446"/>
      <c r="AK613" s="491"/>
      <c r="AL613" s="500"/>
      <c r="AM613" s="436"/>
      <c r="AN613" s="438"/>
      <c r="AO613" s="531"/>
      <c r="AP613" s="491"/>
      <c r="AQ613" s="438"/>
      <c r="AR613" s="438"/>
      <c r="AS613" s="438"/>
      <c r="AT613" s="448"/>
      <c r="AU613" s="449"/>
      <c r="AV613" s="438"/>
      <c r="AW613" s="438"/>
      <c r="AX613" s="450"/>
    </row>
    <row r="614">
      <c r="A614" s="435"/>
      <c r="B614" s="485"/>
      <c r="C614" s="486"/>
      <c r="D614" s="486"/>
      <c r="E614" s="486"/>
      <c r="F614" s="528"/>
      <c r="G614" s="486"/>
      <c r="H614" s="486"/>
      <c r="I614" s="491"/>
      <c r="J614" s="491"/>
      <c r="K614" s="491"/>
      <c r="L614" s="491"/>
      <c r="M614" s="486"/>
      <c r="N614" s="422"/>
      <c r="O614" s="422"/>
      <c r="P614" s="422"/>
      <c r="Q614" s="486"/>
      <c r="R614" s="491"/>
      <c r="S614" s="491"/>
      <c r="T614" s="491"/>
      <c r="U614" s="491"/>
      <c r="V614" s="491"/>
      <c r="W614" s="493"/>
      <c r="X614" s="486"/>
      <c r="Y614" s="442"/>
      <c r="Z614" s="491"/>
      <c r="AA614" s="524"/>
      <c r="AB614" s="494"/>
      <c r="AC614" s="436"/>
      <c r="AD614" s="495"/>
      <c r="AE614" s="496"/>
      <c r="AF614" s="531"/>
      <c r="AG614" s="491"/>
      <c r="AH614" s="525"/>
      <c r="AI614" s="491"/>
      <c r="AJ614" s="446"/>
      <c r="AK614" s="491"/>
      <c r="AL614" s="500"/>
      <c r="AM614" s="436"/>
      <c r="AN614" s="438"/>
      <c r="AO614" s="531"/>
      <c r="AP614" s="491"/>
      <c r="AQ614" s="438"/>
      <c r="AR614" s="438"/>
      <c r="AS614" s="438"/>
      <c r="AT614" s="448"/>
      <c r="AU614" s="452"/>
      <c r="AV614" s="438"/>
      <c r="AW614" s="438"/>
      <c r="AX614" s="450"/>
    </row>
    <row r="615">
      <c r="A615" s="435"/>
      <c r="B615" s="485"/>
      <c r="C615" s="486"/>
      <c r="D615" s="486"/>
      <c r="E615" s="486"/>
      <c r="F615" s="528"/>
      <c r="G615" s="486"/>
      <c r="H615" s="486"/>
      <c r="I615" s="491"/>
      <c r="J615" s="491"/>
      <c r="K615" s="491"/>
      <c r="L615" s="491"/>
      <c r="M615" s="486"/>
      <c r="N615" s="422"/>
      <c r="O615" s="422"/>
      <c r="P615" s="422"/>
      <c r="Q615" s="486"/>
      <c r="R615" s="491"/>
      <c r="S615" s="491"/>
      <c r="T615" s="491"/>
      <c r="U615" s="491"/>
      <c r="V615" s="491"/>
      <c r="W615" s="493"/>
      <c r="X615" s="486"/>
      <c r="Y615" s="442"/>
      <c r="Z615" s="491"/>
      <c r="AA615" s="524"/>
      <c r="AB615" s="494"/>
      <c r="AC615" s="436"/>
      <c r="AD615" s="495"/>
      <c r="AE615" s="496"/>
      <c r="AF615" s="531"/>
      <c r="AG615" s="491"/>
      <c r="AH615" s="525"/>
      <c r="AI615" s="491"/>
      <c r="AJ615" s="446"/>
      <c r="AK615" s="491"/>
      <c r="AL615" s="500"/>
      <c r="AM615" s="436"/>
      <c r="AN615" s="438"/>
      <c r="AO615" s="531"/>
      <c r="AP615" s="491"/>
      <c r="AQ615" s="438"/>
      <c r="AR615" s="438"/>
      <c r="AS615" s="438"/>
      <c r="AT615" s="448"/>
      <c r="AU615" s="449"/>
      <c r="AV615" s="438"/>
      <c r="AW615" s="438"/>
      <c r="AX615" s="450"/>
    </row>
    <row r="616">
      <c r="A616" s="435"/>
      <c r="B616" s="485"/>
      <c r="C616" s="486"/>
      <c r="D616" s="486"/>
      <c r="E616" s="486"/>
      <c r="F616" s="528"/>
      <c r="G616" s="486"/>
      <c r="H616" s="486"/>
      <c r="I616" s="491"/>
      <c r="J616" s="491"/>
      <c r="K616" s="491"/>
      <c r="L616" s="491"/>
      <c r="M616" s="486"/>
      <c r="N616" s="422"/>
      <c r="O616" s="422"/>
      <c r="P616" s="422"/>
      <c r="Q616" s="486"/>
      <c r="R616" s="491"/>
      <c r="S616" s="491"/>
      <c r="T616" s="491"/>
      <c r="U616" s="491"/>
      <c r="V616" s="491"/>
      <c r="W616" s="493"/>
      <c r="X616" s="486"/>
      <c r="Y616" s="442"/>
      <c r="Z616" s="491"/>
      <c r="AA616" s="524"/>
      <c r="AB616" s="494"/>
      <c r="AC616" s="436"/>
      <c r="AD616" s="495"/>
      <c r="AE616" s="496"/>
      <c r="AF616" s="531"/>
      <c r="AG616" s="491"/>
      <c r="AH616" s="525"/>
      <c r="AI616" s="491"/>
      <c r="AJ616" s="446"/>
      <c r="AK616" s="491"/>
      <c r="AL616" s="500"/>
      <c r="AM616" s="436"/>
      <c r="AN616" s="438"/>
      <c r="AO616" s="531"/>
      <c r="AP616" s="491"/>
      <c r="AQ616" s="438"/>
      <c r="AR616" s="438"/>
      <c r="AS616" s="438"/>
      <c r="AT616" s="448"/>
      <c r="AU616" s="452"/>
      <c r="AV616" s="438"/>
      <c r="AW616" s="438"/>
      <c r="AX616" s="450"/>
    </row>
    <row r="617">
      <c r="A617" s="435"/>
      <c r="B617" s="485"/>
      <c r="C617" s="486"/>
      <c r="D617" s="486"/>
      <c r="E617" s="486"/>
      <c r="F617" s="528"/>
      <c r="G617" s="486"/>
      <c r="H617" s="486"/>
      <c r="I617" s="491"/>
      <c r="J617" s="491"/>
      <c r="K617" s="491"/>
      <c r="L617" s="491"/>
      <c r="M617" s="486"/>
      <c r="N617" s="422"/>
      <c r="O617" s="422"/>
      <c r="P617" s="422"/>
      <c r="Q617" s="486"/>
      <c r="R617" s="491"/>
      <c r="S617" s="491"/>
      <c r="T617" s="491"/>
      <c r="U617" s="491"/>
      <c r="V617" s="491"/>
      <c r="W617" s="493"/>
      <c r="X617" s="486"/>
      <c r="Y617" s="442"/>
      <c r="Z617" s="491"/>
      <c r="AA617" s="524"/>
      <c r="AB617" s="494"/>
      <c r="AC617" s="436"/>
      <c r="AD617" s="495"/>
      <c r="AE617" s="496"/>
      <c r="AF617" s="531"/>
      <c r="AG617" s="491"/>
      <c r="AH617" s="525"/>
      <c r="AI617" s="491"/>
      <c r="AJ617" s="446"/>
      <c r="AK617" s="491"/>
      <c r="AL617" s="500"/>
      <c r="AM617" s="436"/>
      <c r="AN617" s="438"/>
      <c r="AO617" s="531"/>
      <c r="AP617" s="491"/>
      <c r="AQ617" s="438"/>
      <c r="AR617" s="438"/>
      <c r="AS617" s="438"/>
      <c r="AT617" s="448"/>
      <c r="AU617" s="449"/>
      <c r="AV617" s="438"/>
      <c r="AW617" s="438"/>
      <c r="AX617" s="450"/>
    </row>
    <row r="618">
      <c r="A618" s="435"/>
      <c r="B618" s="485"/>
      <c r="C618" s="486"/>
      <c r="D618" s="486"/>
      <c r="E618" s="486"/>
      <c r="F618" s="528"/>
      <c r="G618" s="486"/>
      <c r="H618" s="486"/>
      <c r="I618" s="491"/>
      <c r="J618" s="491"/>
      <c r="K618" s="491"/>
      <c r="L618" s="491"/>
      <c r="M618" s="486"/>
      <c r="N618" s="422"/>
      <c r="O618" s="422"/>
      <c r="P618" s="422"/>
      <c r="Q618" s="486"/>
      <c r="R618" s="491"/>
      <c r="S618" s="491"/>
      <c r="T618" s="491"/>
      <c r="U618" s="491"/>
      <c r="V618" s="491"/>
      <c r="W618" s="493"/>
      <c r="X618" s="486"/>
      <c r="Y618" s="442"/>
      <c r="Z618" s="491"/>
      <c r="AA618" s="524"/>
      <c r="AB618" s="494"/>
      <c r="AC618" s="436"/>
      <c r="AD618" s="495"/>
      <c r="AE618" s="496"/>
      <c r="AF618" s="531"/>
      <c r="AG618" s="491"/>
      <c r="AH618" s="525"/>
      <c r="AI618" s="491"/>
      <c r="AJ618" s="446"/>
      <c r="AK618" s="491"/>
      <c r="AL618" s="500"/>
      <c r="AM618" s="436"/>
      <c r="AN618" s="438"/>
      <c r="AO618" s="531"/>
      <c r="AP618" s="491"/>
      <c r="AQ618" s="438"/>
      <c r="AR618" s="438"/>
      <c r="AS618" s="438"/>
      <c r="AT618" s="448"/>
      <c r="AU618" s="452"/>
      <c r="AV618" s="438"/>
      <c r="AW618" s="438"/>
      <c r="AX618" s="450"/>
    </row>
    <row r="619">
      <c r="A619" s="435"/>
      <c r="B619" s="485"/>
      <c r="C619" s="486"/>
      <c r="D619" s="486"/>
      <c r="E619" s="486"/>
      <c r="F619" s="528"/>
      <c r="G619" s="486"/>
      <c r="H619" s="486"/>
      <c r="I619" s="491"/>
      <c r="J619" s="491"/>
      <c r="K619" s="491"/>
      <c r="L619" s="491"/>
      <c r="M619" s="486"/>
      <c r="N619" s="422"/>
      <c r="O619" s="422"/>
      <c r="P619" s="422"/>
      <c r="Q619" s="486"/>
      <c r="R619" s="491"/>
      <c r="S619" s="491"/>
      <c r="T619" s="491"/>
      <c r="U619" s="491"/>
      <c r="V619" s="491"/>
      <c r="W619" s="493"/>
      <c r="X619" s="486"/>
      <c r="Y619" s="442"/>
      <c r="Z619" s="491"/>
      <c r="AA619" s="524"/>
      <c r="AB619" s="494"/>
      <c r="AC619" s="436"/>
      <c r="AD619" s="495"/>
      <c r="AE619" s="496"/>
      <c r="AF619" s="531"/>
      <c r="AG619" s="491"/>
      <c r="AH619" s="525"/>
      <c r="AI619" s="491"/>
      <c r="AJ619" s="446"/>
      <c r="AK619" s="491"/>
      <c r="AL619" s="500"/>
      <c r="AM619" s="436"/>
      <c r="AN619" s="438"/>
      <c r="AO619" s="531"/>
      <c r="AP619" s="491"/>
      <c r="AQ619" s="438"/>
      <c r="AR619" s="438"/>
      <c r="AS619" s="438"/>
      <c r="AT619" s="448"/>
      <c r="AU619" s="449"/>
      <c r="AV619" s="438"/>
      <c r="AW619" s="438"/>
      <c r="AX619" s="450"/>
    </row>
    <row r="620">
      <c r="A620" s="435"/>
      <c r="B620" s="485"/>
      <c r="C620" s="486"/>
      <c r="D620" s="486"/>
      <c r="E620" s="486"/>
      <c r="F620" s="528"/>
      <c r="G620" s="486"/>
      <c r="H620" s="486"/>
      <c r="I620" s="491"/>
      <c r="J620" s="491"/>
      <c r="K620" s="491"/>
      <c r="L620" s="491"/>
      <c r="M620" s="486"/>
      <c r="N620" s="422"/>
      <c r="O620" s="422"/>
      <c r="P620" s="422"/>
      <c r="Q620" s="486"/>
      <c r="R620" s="491"/>
      <c r="S620" s="491"/>
      <c r="T620" s="491"/>
      <c r="U620" s="491"/>
      <c r="V620" s="491"/>
      <c r="W620" s="493"/>
      <c r="X620" s="486"/>
      <c r="Y620" s="442"/>
      <c r="Z620" s="491"/>
      <c r="AA620" s="524"/>
      <c r="AB620" s="494"/>
      <c r="AC620" s="436"/>
      <c r="AD620" s="495"/>
      <c r="AE620" s="496"/>
      <c r="AF620" s="531"/>
      <c r="AG620" s="491"/>
      <c r="AH620" s="525"/>
      <c r="AI620" s="491"/>
      <c r="AJ620" s="446"/>
      <c r="AK620" s="491"/>
      <c r="AL620" s="500"/>
      <c r="AM620" s="436"/>
      <c r="AN620" s="438"/>
      <c r="AO620" s="531"/>
      <c r="AP620" s="491"/>
      <c r="AQ620" s="438"/>
      <c r="AR620" s="438"/>
      <c r="AS620" s="438"/>
      <c r="AT620" s="448"/>
      <c r="AU620" s="452"/>
      <c r="AV620" s="438"/>
      <c r="AW620" s="438"/>
      <c r="AX620" s="450"/>
    </row>
    <row r="621">
      <c r="A621" s="435"/>
      <c r="B621" s="485"/>
      <c r="C621" s="486"/>
      <c r="D621" s="486"/>
      <c r="E621" s="486"/>
      <c r="F621" s="528"/>
      <c r="G621" s="486"/>
      <c r="H621" s="486"/>
      <c r="I621" s="491"/>
      <c r="J621" s="491"/>
      <c r="K621" s="491"/>
      <c r="L621" s="491"/>
      <c r="M621" s="486"/>
      <c r="N621" s="422"/>
      <c r="O621" s="422"/>
      <c r="P621" s="422"/>
      <c r="Q621" s="486"/>
      <c r="R621" s="491"/>
      <c r="S621" s="491"/>
      <c r="T621" s="491"/>
      <c r="U621" s="491"/>
      <c r="V621" s="491"/>
      <c r="W621" s="493"/>
      <c r="X621" s="486"/>
      <c r="Y621" s="442"/>
      <c r="Z621" s="491"/>
      <c r="AA621" s="524"/>
      <c r="AB621" s="494"/>
      <c r="AC621" s="436"/>
      <c r="AD621" s="495"/>
      <c r="AE621" s="496"/>
      <c r="AF621" s="531"/>
      <c r="AG621" s="491"/>
      <c r="AH621" s="525"/>
      <c r="AI621" s="491"/>
      <c r="AJ621" s="446"/>
      <c r="AK621" s="491"/>
      <c r="AL621" s="500"/>
      <c r="AM621" s="436"/>
      <c r="AN621" s="438"/>
      <c r="AO621" s="531"/>
      <c r="AP621" s="491"/>
      <c r="AQ621" s="438"/>
      <c r="AR621" s="438"/>
      <c r="AS621" s="438"/>
      <c r="AT621" s="448"/>
      <c r="AU621" s="449"/>
      <c r="AV621" s="438"/>
      <c r="AW621" s="438"/>
      <c r="AX621" s="450"/>
    </row>
    <row r="622">
      <c r="A622" s="435"/>
      <c r="B622" s="485"/>
      <c r="C622" s="486"/>
      <c r="D622" s="486"/>
      <c r="E622" s="486"/>
      <c r="F622" s="528"/>
      <c r="G622" s="486"/>
      <c r="H622" s="486"/>
      <c r="I622" s="491"/>
      <c r="J622" s="491"/>
      <c r="K622" s="491"/>
      <c r="L622" s="491"/>
      <c r="M622" s="486"/>
      <c r="N622" s="422"/>
      <c r="O622" s="422"/>
      <c r="P622" s="422"/>
      <c r="Q622" s="486"/>
      <c r="R622" s="491"/>
      <c r="S622" s="491"/>
      <c r="T622" s="491"/>
      <c r="U622" s="491"/>
      <c r="V622" s="491"/>
      <c r="W622" s="493"/>
      <c r="X622" s="486"/>
      <c r="Y622" s="442"/>
      <c r="Z622" s="491"/>
      <c r="AA622" s="524"/>
      <c r="AB622" s="494"/>
      <c r="AC622" s="436"/>
      <c r="AD622" s="495"/>
      <c r="AE622" s="496"/>
      <c r="AF622" s="531"/>
      <c r="AG622" s="491"/>
      <c r="AH622" s="525"/>
      <c r="AI622" s="491"/>
      <c r="AJ622" s="446"/>
      <c r="AK622" s="491"/>
      <c r="AL622" s="500"/>
      <c r="AM622" s="436"/>
      <c r="AN622" s="438"/>
      <c r="AO622" s="531"/>
      <c r="AP622" s="491"/>
      <c r="AQ622" s="438"/>
      <c r="AR622" s="438"/>
      <c r="AS622" s="438"/>
      <c r="AT622" s="448"/>
      <c r="AU622" s="452"/>
      <c r="AV622" s="438"/>
      <c r="AW622" s="438"/>
      <c r="AX622" s="450"/>
    </row>
    <row r="623">
      <c r="A623" s="435"/>
      <c r="B623" s="485"/>
      <c r="C623" s="486"/>
      <c r="D623" s="486"/>
      <c r="E623" s="486"/>
      <c r="F623" s="528"/>
      <c r="G623" s="486"/>
      <c r="H623" s="486"/>
      <c r="I623" s="491"/>
      <c r="J623" s="491"/>
      <c r="K623" s="491"/>
      <c r="L623" s="491"/>
      <c r="M623" s="486"/>
      <c r="N623" s="422"/>
      <c r="O623" s="422"/>
      <c r="P623" s="422"/>
      <c r="Q623" s="486"/>
      <c r="R623" s="491"/>
      <c r="S623" s="491"/>
      <c r="T623" s="491"/>
      <c r="U623" s="491"/>
      <c r="V623" s="491"/>
      <c r="W623" s="493"/>
      <c r="X623" s="486"/>
      <c r="Y623" s="442"/>
      <c r="Z623" s="491"/>
      <c r="AA623" s="524"/>
      <c r="AB623" s="494"/>
      <c r="AC623" s="436"/>
      <c r="AD623" s="495"/>
      <c r="AE623" s="496"/>
      <c r="AF623" s="531"/>
      <c r="AG623" s="491"/>
      <c r="AH623" s="525"/>
      <c r="AI623" s="491"/>
      <c r="AJ623" s="446"/>
      <c r="AK623" s="491"/>
      <c r="AL623" s="500"/>
      <c r="AM623" s="436"/>
      <c r="AN623" s="438"/>
      <c r="AO623" s="531"/>
      <c r="AP623" s="491"/>
      <c r="AQ623" s="438"/>
      <c r="AR623" s="438"/>
      <c r="AS623" s="438"/>
      <c r="AT623" s="448"/>
      <c r="AU623" s="449"/>
      <c r="AV623" s="438"/>
      <c r="AW623" s="438"/>
      <c r="AX623" s="450"/>
    </row>
    <row r="624">
      <c r="A624" s="435"/>
      <c r="B624" s="485"/>
      <c r="C624" s="486"/>
      <c r="D624" s="486"/>
      <c r="E624" s="486"/>
      <c r="F624" s="528"/>
      <c r="G624" s="486"/>
      <c r="H624" s="486"/>
      <c r="I624" s="491"/>
      <c r="J624" s="491"/>
      <c r="K624" s="491"/>
      <c r="L624" s="491"/>
      <c r="M624" s="486"/>
      <c r="N624" s="422"/>
      <c r="O624" s="422"/>
      <c r="P624" s="422"/>
      <c r="Q624" s="486"/>
      <c r="R624" s="491"/>
      <c r="S624" s="491"/>
      <c r="T624" s="491"/>
      <c r="U624" s="491"/>
      <c r="V624" s="491"/>
      <c r="W624" s="493"/>
      <c r="X624" s="486"/>
      <c r="Y624" s="442"/>
      <c r="Z624" s="491"/>
      <c r="AA624" s="524"/>
      <c r="AB624" s="494"/>
      <c r="AC624" s="436"/>
      <c r="AD624" s="495"/>
      <c r="AE624" s="496"/>
      <c r="AF624" s="531"/>
      <c r="AG624" s="491"/>
      <c r="AH624" s="525"/>
      <c r="AI624" s="491"/>
      <c r="AJ624" s="446"/>
      <c r="AK624" s="491"/>
      <c r="AL624" s="500"/>
      <c r="AM624" s="436"/>
      <c r="AN624" s="438"/>
      <c r="AO624" s="531"/>
      <c r="AP624" s="491"/>
      <c r="AQ624" s="438"/>
      <c r="AR624" s="438"/>
      <c r="AS624" s="438"/>
      <c r="AT624" s="448"/>
      <c r="AU624" s="452"/>
      <c r="AV624" s="438"/>
      <c r="AW624" s="438"/>
      <c r="AX624" s="450"/>
    </row>
    <row r="625">
      <c r="A625" s="435"/>
      <c r="B625" s="485"/>
      <c r="C625" s="486"/>
      <c r="D625" s="486"/>
      <c r="E625" s="486"/>
      <c r="F625" s="528"/>
      <c r="G625" s="486"/>
      <c r="H625" s="486"/>
      <c r="I625" s="491"/>
      <c r="J625" s="491"/>
      <c r="K625" s="491"/>
      <c r="L625" s="491"/>
      <c r="M625" s="486"/>
      <c r="N625" s="422"/>
      <c r="O625" s="422"/>
      <c r="P625" s="422"/>
      <c r="Q625" s="486"/>
      <c r="R625" s="491"/>
      <c r="S625" s="491"/>
      <c r="T625" s="491"/>
      <c r="U625" s="491"/>
      <c r="V625" s="491"/>
      <c r="W625" s="493"/>
      <c r="X625" s="486"/>
      <c r="Y625" s="442"/>
      <c r="Z625" s="491"/>
      <c r="AA625" s="524"/>
      <c r="AB625" s="494"/>
      <c r="AC625" s="436"/>
      <c r="AD625" s="495"/>
      <c r="AE625" s="496"/>
      <c r="AF625" s="531"/>
      <c r="AG625" s="491"/>
      <c r="AH625" s="525"/>
      <c r="AI625" s="491"/>
      <c r="AJ625" s="446"/>
      <c r="AK625" s="491"/>
      <c r="AL625" s="500"/>
      <c r="AM625" s="436"/>
      <c r="AN625" s="438"/>
      <c r="AO625" s="531"/>
      <c r="AP625" s="491"/>
      <c r="AQ625" s="438"/>
      <c r="AR625" s="438"/>
      <c r="AS625" s="438"/>
      <c r="AT625" s="448"/>
      <c r="AU625" s="449"/>
      <c r="AV625" s="438"/>
      <c r="AW625" s="438"/>
      <c r="AX625" s="450"/>
    </row>
    <row r="626">
      <c r="A626" s="435"/>
      <c r="B626" s="485"/>
      <c r="C626" s="486"/>
      <c r="D626" s="486"/>
      <c r="E626" s="486"/>
      <c r="F626" s="528"/>
      <c r="G626" s="486"/>
      <c r="H626" s="486"/>
      <c r="I626" s="491"/>
      <c r="J626" s="491"/>
      <c r="K626" s="491"/>
      <c r="L626" s="491"/>
      <c r="M626" s="486"/>
      <c r="N626" s="422"/>
      <c r="O626" s="422"/>
      <c r="P626" s="422"/>
      <c r="Q626" s="486"/>
      <c r="R626" s="491"/>
      <c r="S626" s="491"/>
      <c r="T626" s="491"/>
      <c r="U626" s="491"/>
      <c r="V626" s="491"/>
      <c r="W626" s="493"/>
      <c r="X626" s="486"/>
      <c r="Y626" s="442"/>
      <c r="Z626" s="491"/>
      <c r="AA626" s="524"/>
      <c r="AB626" s="494"/>
      <c r="AC626" s="436"/>
      <c r="AD626" s="495"/>
      <c r="AE626" s="496"/>
      <c r="AF626" s="531"/>
      <c r="AG626" s="491"/>
      <c r="AH626" s="525"/>
      <c r="AI626" s="491"/>
      <c r="AJ626" s="446"/>
      <c r="AK626" s="491"/>
      <c r="AL626" s="500"/>
      <c r="AM626" s="436"/>
      <c r="AN626" s="438"/>
      <c r="AO626" s="531"/>
      <c r="AP626" s="491"/>
      <c r="AQ626" s="438"/>
      <c r="AR626" s="438"/>
      <c r="AS626" s="438"/>
      <c r="AT626" s="448"/>
      <c r="AU626" s="452"/>
      <c r="AV626" s="438"/>
      <c r="AW626" s="438"/>
      <c r="AX626" s="450"/>
    </row>
    <row r="627">
      <c r="A627" s="435"/>
      <c r="B627" s="485"/>
      <c r="C627" s="486"/>
      <c r="D627" s="486"/>
      <c r="E627" s="486"/>
      <c r="F627" s="528"/>
      <c r="G627" s="486"/>
      <c r="H627" s="486"/>
      <c r="I627" s="491"/>
      <c r="J627" s="491"/>
      <c r="K627" s="491"/>
      <c r="L627" s="491"/>
      <c r="M627" s="486"/>
      <c r="N627" s="422"/>
      <c r="O627" s="422"/>
      <c r="P627" s="422"/>
      <c r="Q627" s="486"/>
      <c r="R627" s="491"/>
      <c r="S627" s="491"/>
      <c r="T627" s="491"/>
      <c r="U627" s="491"/>
      <c r="V627" s="491"/>
      <c r="W627" s="493"/>
      <c r="X627" s="486"/>
      <c r="Y627" s="442"/>
      <c r="Z627" s="491"/>
      <c r="AA627" s="524"/>
      <c r="AB627" s="494"/>
      <c r="AC627" s="436"/>
      <c r="AD627" s="495"/>
      <c r="AE627" s="496"/>
      <c r="AF627" s="531"/>
      <c r="AG627" s="491"/>
      <c r="AH627" s="525"/>
      <c r="AI627" s="491"/>
      <c r="AJ627" s="446"/>
      <c r="AK627" s="491"/>
      <c r="AL627" s="500"/>
      <c r="AM627" s="436"/>
      <c r="AN627" s="438"/>
      <c r="AO627" s="531"/>
      <c r="AP627" s="491"/>
      <c r="AQ627" s="438"/>
      <c r="AR627" s="438"/>
      <c r="AS627" s="438"/>
      <c r="AT627" s="448"/>
      <c r="AU627" s="449"/>
      <c r="AV627" s="438"/>
      <c r="AW627" s="438"/>
      <c r="AX627" s="450"/>
    </row>
    <row r="628">
      <c r="A628" s="435"/>
      <c r="B628" s="485"/>
      <c r="C628" s="486"/>
      <c r="D628" s="486"/>
      <c r="E628" s="486"/>
      <c r="F628" s="528"/>
      <c r="G628" s="486"/>
      <c r="H628" s="486"/>
      <c r="I628" s="491"/>
      <c r="J628" s="491"/>
      <c r="K628" s="491"/>
      <c r="L628" s="491"/>
      <c r="M628" s="486"/>
      <c r="N628" s="422"/>
      <c r="O628" s="422"/>
      <c r="P628" s="422"/>
      <c r="Q628" s="486"/>
      <c r="R628" s="491"/>
      <c r="S628" s="491"/>
      <c r="T628" s="491"/>
      <c r="U628" s="491"/>
      <c r="V628" s="491"/>
      <c r="W628" s="493"/>
      <c r="X628" s="486"/>
      <c r="Y628" s="442"/>
      <c r="Z628" s="491"/>
      <c r="AA628" s="524"/>
      <c r="AB628" s="494"/>
      <c r="AC628" s="436"/>
      <c r="AD628" s="495"/>
      <c r="AE628" s="496"/>
      <c r="AF628" s="531"/>
      <c r="AG628" s="491"/>
      <c r="AH628" s="525"/>
      <c r="AI628" s="491"/>
      <c r="AJ628" s="446"/>
      <c r="AK628" s="491"/>
      <c r="AL628" s="500"/>
      <c r="AM628" s="436"/>
      <c r="AN628" s="438"/>
      <c r="AO628" s="531"/>
      <c r="AP628" s="491"/>
      <c r="AQ628" s="438"/>
      <c r="AR628" s="438"/>
      <c r="AS628" s="438"/>
      <c r="AT628" s="448"/>
      <c r="AU628" s="452"/>
      <c r="AV628" s="438"/>
      <c r="AW628" s="438"/>
      <c r="AX628" s="450"/>
    </row>
    <row r="629">
      <c r="A629" s="435"/>
      <c r="B629" s="485"/>
      <c r="C629" s="486"/>
      <c r="D629" s="486"/>
      <c r="E629" s="486"/>
      <c r="F629" s="528"/>
      <c r="G629" s="486"/>
      <c r="H629" s="486"/>
      <c r="I629" s="491"/>
      <c r="J629" s="491"/>
      <c r="K629" s="491"/>
      <c r="L629" s="491"/>
      <c r="M629" s="486"/>
      <c r="N629" s="422"/>
      <c r="O629" s="422"/>
      <c r="P629" s="422"/>
      <c r="Q629" s="486"/>
      <c r="R629" s="491"/>
      <c r="S629" s="491"/>
      <c r="T629" s="491"/>
      <c r="U629" s="491"/>
      <c r="V629" s="491"/>
      <c r="W629" s="493"/>
      <c r="X629" s="486"/>
      <c r="Y629" s="442"/>
      <c r="Z629" s="491"/>
      <c r="AA629" s="524"/>
      <c r="AB629" s="494"/>
      <c r="AC629" s="436"/>
      <c r="AD629" s="495"/>
      <c r="AE629" s="496"/>
      <c r="AF629" s="531"/>
      <c r="AG629" s="491"/>
      <c r="AH629" s="525"/>
      <c r="AI629" s="491"/>
      <c r="AJ629" s="446"/>
      <c r="AK629" s="491"/>
      <c r="AL629" s="500"/>
      <c r="AM629" s="436"/>
      <c r="AN629" s="438"/>
      <c r="AO629" s="531"/>
      <c r="AP629" s="491"/>
      <c r="AQ629" s="438"/>
      <c r="AR629" s="438"/>
      <c r="AS629" s="438"/>
      <c r="AT629" s="448"/>
      <c r="AU629" s="449"/>
      <c r="AV629" s="438"/>
      <c r="AW629" s="438"/>
      <c r="AX629" s="450"/>
    </row>
    <row r="630">
      <c r="A630" s="435"/>
      <c r="B630" s="485"/>
      <c r="C630" s="486"/>
      <c r="D630" s="486"/>
      <c r="E630" s="486"/>
      <c r="F630" s="528"/>
      <c r="G630" s="486"/>
      <c r="H630" s="486"/>
      <c r="I630" s="491"/>
      <c r="J630" s="491"/>
      <c r="K630" s="491"/>
      <c r="L630" s="491"/>
      <c r="M630" s="486"/>
      <c r="N630" s="422"/>
      <c r="O630" s="422"/>
      <c r="P630" s="422"/>
      <c r="Q630" s="486"/>
      <c r="R630" s="491"/>
      <c r="S630" s="491"/>
      <c r="T630" s="491"/>
      <c r="U630" s="491"/>
      <c r="V630" s="491"/>
      <c r="W630" s="493"/>
      <c r="X630" s="486"/>
      <c r="Y630" s="442"/>
      <c r="Z630" s="491"/>
      <c r="AA630" s="524"/>
      <c r="AB630" s="494"/>
      <c r="AC630" s="436"/>
      <c r="AD630" s="495"/>
      <c r="AE630" s="496"/>
      <c r="AF630" s="531"/>
      <c r="AG630" s="491"/>
      <c r="AH630" s="525"/>
      <c r="AI630" s="491"/>
      <c r="AJ630" s="446"/>
      <c r="AK630" s="491"/>
      <c r="AL630" s="500"/>
      <c r="AM630" s="436"/>
      <c r="AN630" s="438"/>
      <c r="AO630" s="531"/>
      <c r="AP630" s="491"/>
      <c r="AQ630" s="438"/>
      <c r="AR630" s="438"/>
      <c r="AS630" s="438"/>
      <c r="AT630" s="448"/>
      <c r="AU630" s="452"/>
      <c r="AV630" s="438"/>
      <c r="AW630" s="438"/>
      <c r="AX630" s="450"/>
    </row>
    <row r="631">
      <c r="A631" s="435"/>
      <c r="B631" s="485"/>
      <c r="C631" s="486"/>
      <c r="D631" s="486"/>
      <c r="E631" s="486"/>
      <c r="F631" s="528"/>
      <c r="G631" s="486"/>
      <c r="H631" s="486"/>
      <c r="I631" s="491"/>
      <c r="J631" s="491"/>
      <c r="K631" s="491"/>
      <c r="L631" s="491"/>
      <c r="M631" s="486"/>
      <c r="N631" s="422"/>
      <c r="O631" s="422"/>
      <c r="P631" s="422"/>
      <c r="Q631" s="486"/>
      <c r="R631" s="491"/>
      <c r="S631" s="491"/>
      <c r="T631" s="491"/>
      <c r="U631" s="491"/>
      <c r="V631" s="491"/>
      <c r="W631" s="493"/>
      <c r="X631" s="486"/>
      <c r="Y631" s="442"/>
      <c r="Z631" s="491"/>
      <c r="AA631" s="524"/>
      <c r="AB631" s="494"/>
      <c r="AC631" s="436"/>
      <c r="AD631" s="495"/>
      <c r="AE631" s="496"/>
      <c r="AF631" s="531"/>
      <c r="AG631" s="491"/>
      <c r="AH631" s="525"/>
      <c r="AI631" s="491"/>
      <c r="AJ631" s="446"/>
      <c r="AK631" s="491"/>
      <c r="AL631" s="500"/>
      <c r="AM631" s="436"/>
      <c r="AN631" s="438"/>
      <c r="AO631" s="531"/>
      <c r="AP631" s="491"/>
      <c r="AQ631" s="438"/>
      <c r="AR631" s="438"/>
      <c r="AS631" s="438"/>
      <c r="AT631" s="448"/>
      <c r="AU631" s="449"/>
      <c r="AV631" s="438"/>
      <c r="AW631" s="438"/>
      <c r="AX631" s="450"/>
    </row>
    <row r="632">
      <c r="A632" s="435"/>
      <c r="B632" s="485"/>
      <c r="C632" s="486"/>
      <c r="D632" s="486"/>
      <c r="E632" s="486"/>
      <c r="F632" s="528"/>
      <c r="G632" s="486"/>
      <c r="H632" s="486"/>
      <c r="I632" s="491"/>
      <c r="J632" s="491"/>
      <c r="K632" s="491"/>
      <c r="L632" s="491"/>
      <c r="M632" s="486"/>
      <c r="N632" s="422"/>
      <c r="O632" s="422"/>
      <c r="P632" s="422"/>
      <c r="Q632" s="486"/>
      <c r="R632" s="491"/>
      <c r="S632" s="491"/>
      <c r="T632" s="491"/>
      <c r="U632" s="491"/>
      <c r="V632" s="491"/>
      <c r="W632" s="493"/>
      <c r="X632" s="486"/>
      <c r="Y632" s="442"/>
      <c r="Z632" s="491"/>
      <c r="AA632" s="524"/>
      <c r="AB632" s="494"/>
      <c r="AC632" s="436"/>
      <c r="AD632" s="495"/>
      <c r="AE632" s="496"/>
      <c r="AF632" s="531"/>
      <c r="AG632" s="491"/>
      <c r="AH632" s="525"/>
      <c r="AI632" s="491"/>
      <c r="AJ632" s="446"/>
      <c r="AK632" s="491"/>
      <c r="AL632" s="500"/>
      <c r="AM632" s="436"/>
      <c r="AN632" s="438"/>
      <c r="AO632" s="531"/>
      <c r="AP632" s="491"/>
      <c r="AQ632" s="438"/>
      <c r="AR632" s="438"/>
      <c r="AS632" s="438"/>
      <c r="AT632" s="448"/>
      <c r="AU632" s="452"/>
      <c r="AV632" s="438"/>
      <c r="AW632" s="438"/>
      <c r="AX632" s="450"/>
    </row>
    <row r="633">
      <c r="A633" s="435"/>
      <c r="B633" s="485"/>
      <c r="C633" s="486"/>
      <c r="D633" s="486"/>
      <c r="E633" s="486"/>
      <c r="F633" s="528"/>
      <c r="G633" s="486"/>
      <c r="H633" s="486"/>
      <c r="I633" s="491"/>
      <c r="J633" s="491"/>
      <c r="K633" s="491"/>
      <c r="L633" s="491"/>
      <c r="M633" s="486"/>
      <c r="N633" s="422"/>
      <c r="O633" s="422"/>
      <c r="P633" s="422"/>
      <c r="Q633" s="486"/>
      <c r="R633" s="491"/>
      <c r="S633" s="491"/>
      <c r="T633" s="491"/>
      <c r="U633" s="491"/>
      <c r="V633" s="491"/>
      <c r="W633" s="493"/>
      <c r="X633" s="486"/>
      <c r="Y633" s="442"/>
      <c r="Z633" s="491"/>
      <c r="AA633" s="524"/>
      <c r="AB633" s="494"/>
      <c r="AC633" s="436"/>
      <c r="AD633" s="495"/>
      <c r="AE633" s="496"/>
      <c r="AF633" s="531"/>
      <c r="AG633" s="491"/>
      <c r="AH633" s="525"/>
      <c r="AI633" s="491"/>
      <c r="AJ633" s="446"/>
      <c r="AK633" s="491"/>
      <c r="AL633" s="500"/>
      <c r="AM633" s="436"/>
      <c r="AN633" s="438"/>
      <c r="AO633" s="531"/>
      <c r="AP633" s="491"/>
      <c r="AQ633" s="438"/>
      <c r="AR633" s="438"/>
      <c r="AS633" s="438"/>
      <c r="AT633" s="448"/>
      <c r="AU633" s="449"/>
      <c r="AV633" s="438"/>
      <c r="AW633" s="438"/>
      <c r="AX633" s="450"/>
    </row>
    <row r="634">
      <c r="A634" s="435"/>
      <c r="B634" s="485"/>
      <c r="C634" s="486"/>
      <c r="D634" s="486"/>
      <c r="E634" s="486"/>
      <c r="F634" s="528"/>
      <c r="G634" s="486"/>
      <c r="H634" s="486"/>
      <c r="I634" s="491"/>
      <c r="J634" s="491"/>
      <c r="K634" s="491"/>
      <c r="L634" s="491"/>
      <c r="M634" s="486"/>
      <c r="N634" s="422"/>
      <c r="O634" s="422"/>
      <c r="P634" s="422"/>
      <c r="Q634" s="486"/>
      <c r="R634" s="491"/>
      <c r="S634" s="491"/>
      <c r="T634" s="491"/>
      <c r="U634" s="491"/>
      <c r="V634" s="491"/>
      <c r="W634" s="493"/>
      <c r="X634" s="486"/>
      <c r="Y634" s="442"/>
      <c r="Z634" s="491"/>
      <c r="AA634" s="524"/>
      <c r="AB634" s="494"/>
      <c r="AC634" s="436"/>
      <c r="AD634" s="495"/>
      <c r="AE634" s="496"/>
      <c r="AF634" s="531"/>
      <c r="AG634" s="491"/>
      <c r="AH634" s="525"/>
      <c r="AI634" s="491"/>
      <c r="AJ634" s="446"/>
      <c r="AK634" s="491"/>
      <c r="AL634" s="500"/>
      <c r="AM634" s="436"/>
      <c r="AN634" s="438"/>
      <c r="AO634" s="531"/>
      <c r="AP634" s="491"/>
      <c r="AQ634" s="438"/>
      <c r="AR634" s="438"/>
      <c r="AS634" s="438"/>
      <c r="AT634" s="448"/>
      <c r="AU634" s="452"/>
      <c r="AV634" s="438"/>
      <c r="AW634" s="438"/>
      <c r="AX634" s="450"/>
    </row>
    <row r="635">
      <c r="A635" s="435"/>
      <c r="B635" s="485"/>
      <c r="C635" s="486"/>
      <c r="D635" s="486"/>
      <c r="E635" s="486"/>
      <c r="F635" s="528"/>
      <c r="G635" s="486"/>
      <c r="H635" s="486"/>
      <c r="I635" s="491"/>
      <c r="J635" s="491"/>
      <c r="K635" s="491"/>
      <c r="L635" s="491"/>
      <c r="M635" s="486"/>
      <c r="N635" s="422"/>
      <c r="O635" s="422"/>
      <c r="P635" s="422"/>
      <c r="Q635" s="486"/>
      <c r="R635" s="491"/>
      <c r="S635" s="491"/>
      <c r="T635" s="491"/>
      <c r="U635" s="491"/>
      <c r="V635" s="491"/>
      <c r="W635" s="493"/>
      <c r="X635" s="486"/>
      <c r="Y635" s="442"/>
      <c r="Z635" s="491"/>
      <c r="AA635" s="524"/>
      <c r="AB635" s="494"/>
      <c r="AC635" s="436"/>
      <c r="AD635" s="495"/>
      <c r="AE635" s="496"/>
      <c r="AF635" s="531"/>
      <c r="AG635" s="491"/>
      <c r="AH635" s="525"/>
      <c r="AI635" s="491"/>
      <c r="AJ635" s="446"/>
      <c r="AK635" s="491"/>
      <c r="AL635" s="500"/>
      <c r="AM635" s="436"/>
      <c r="AN635" s="438"/>
      <c r="AO635" s="531"/>
      <c r="AP635" s="491"/>
      <c r="AQ635" s="438"/>
      <c r="AR635" s="438"/>
      <c r="AS635" s="438"/>
      <c r="AT635" s="448"/>
      <c r="AU635" s="449"/>
      <c r="AV635" s="438"/>
      <c r="AW635" s="438"/>
      <c r="AX635" s="450"/>
    </row>
    <row r="636">
      <c r="A636" s="435"/>
      <c r="B636" s="485"/>
      <c r="C636" s="486"/>
      <c r="D636" s="486"/>
      <c r="E636" s="486"/>
      <c r="F636" s="528"/>
      <c r="G636" s="486"/>
      <c r="H636" s="486"/>
      <c r="I636" s="491"/>
      <c r="J636" s="491"/>
      <c r="K636" s="491"/>
      <c r="L636" s="491"/>
      <c r="M636" s="486"/>
      <c r="N636" s="422"/>
      <c r="O636" s="422"/>
      <c r="P636" s="422"/>
      <c r="Q636" s="486"/>
      <c r="R636" s="491"/>
      <c r="S636" s="491"/>
      <c r="T636" s="491"/>
      <c r="U636" s="491"/>
      <c r="V636" s="491"/>
      <c r="W636" s="493"/>
      <c r="X636" s="486"/>
      <c r="Y636" s="442"/>
      <c r="Z636" s="491"/>
      <c r="AA636" s="524"/>
      <c r="AB636" s="494"/>
      <c r="AC636" s="436"/>
      <c r="AD636" s="495"/>
      <c r="AE636" s="496"/>
      <c r="AF636" s="531"/>
      <c r="AG636" s="491"/>
      <c r="AH636" s="525"/>
      <c r="AI636" s="491"/>
      <c r="AJ636" s="446"/>
      <c r="AK636" s="491"/>
      <c r="AL636" s="500"/>
      <c r="AM636" s="436"/>
      <c r="AN636" s="438"/>
      <c r="AO636" s="531"/>
      <c r="AP636" s="491"/>
      <c r="AQ636" s="438"/>
      <c r="AR636" s="438"/>
      <c r="AS636" s="438"/>
      <c r="AT636" s="448"/>
      <c r="AU636" s="452"/>
      <c r="AV636" s="438"/>
      <c r="AW636" s="438"/>
      <c r="AX636" s="450"/>
    </row>
    <row r="637">
      <c r="A637" s="435"/>
      <c r="B637" s="485"/>
      <c r="C637" s="486"/>
      <c r="D637" s="486"/>
      <c r="E637" s="486"/>
      <c r="F637" s="528"/>
      <c r="G637" s="486"/>
      <c r="H637" s="486"/>
      <c r="I637" s="491"/>
      <c r="J637" s="491"/>
      <c r="K637" s="491"/>
      <c r="L637" s="491"/>
      <c r="M637" s="486"/>
      <c r="N637" s="422"/>
      <c r="O637" s="422"/>
      <c r="P637" s="422"/>
      <c r="Q637" s="486"/>
      <c r="R637" s="491"/>
      <c r="S637" s="491"/>
      <c r="T637" s="491"/>
      <c r="U637" s="491"/>
      <c r="V637" s="491"/>
      <c r="W637" s="493"/>
      <c r="X637" s="486"/>
      <c r="Y637" s="442"/>
      <c r="Z637" s="491"/>
      <c r="AA637" s="524"/>
      <c r="AB637" s="494"/>
      <c r="AC637" s="436"/>
      <c r="AD637" s="495"/>
      <c r="AE637" s="496"/>
      <c r="AF637" s="531"/>
      <c r="AG637" s="491"/>
      <c r="AH637" s="525"/>
      <c r="AI637" s="491"/>
      <c r="AJ637" s="446"/>
      <c r="AK637" s="491"/>
      <c r="AL637" s="500"/>
      <c r="AM637" s="436"/>
      <c r="AN637" s="438"/>
      <c r="AO637" s="531"/>
      <c r="AP637" s="491"/>
      <c r="AQ637" s="438"/>
      <c r="AR637" s="438"/>
      <c r="AS637" s="438"/>
      <c r="AT637" s="448"/>
      <c r="AU637" s="449"/>
      <c r="AV637" s="438"/>
      <c r="AW637" s="438"/>
      <c r="AX637" s="450"/>
    </row>
    <row r="638">
      <c r="A638" s="435"/>
      <c r="B638" s="485"/>
      <c r="C638" s="486"/>
      <c r="D638" s="486"/>
      <c r="E638" s="486"/>
      <c r="F638" s="528"/>
      <c r="G638" s="486"/>
      <c r="H638" s="486"/>
      <c r="I638" s="491"/>
      <c r="J638" s="491"/>
      <c r="K638" s="491"/>
      <c r="L638" s="491"/>
      <c r="M638" s="486"/>
      <c r="N638" s="422"/>
      <c r="O638" s="422"/>
      <c r="P638" s="422"/>
      <c r="Q638" s="486"/>
      <c r="R638" s="491"/>
      <c r="S638" s="491"/>
      <c r="T638" s="491"/>
      <c r="U638" s="491"/>
      <c r="V638" s="491"/>
      <c r="W638" s="493"/>
      <c r="X638" s="486"/>
      <c r="Y638" s="442"/>
      <c r="Z638" s="491"/>
      <c r="AA638" s="524"/>
      <c r="AB638" s="494"/>
      <c r="AC638" s="436"/>
      <c r="AD638" s="495"/>
      <c r="AE638" s="496"/>
      <c r="AF638" s="531"/>
      <c r="AG638" s="491"/>
      <c r="AH638" s="525"/>
      <c r="AI638" s="491"/>
      <c r="AJ638" s="446"/>
      <c r="AK638" s="491"/>
      <c r="AL638" s="500"/>
      <c r="AM638" s="436"/>
      <c r="AN638" s="438"/>
      <c r="AO638" s="531"/>
      <c r="AP638" s="491"/>
      <c r="AQ638" s="438"/>
      <c r="AR638" s="438"/>
      <c r="AS638" s="438"/>
      <c r="AT638" s="448"/>
      <c r="AU638" s="452"/>
      <c r="AV638" s="438"/>
      <c r="AW638" s="438"/>
      <c r="AX638" s="450"/>
    </row>
    <row r="639">
      <c r="A639" s="435"/>
      <c r="B639" s="485"/>
      <c r="C639" s="486"/>
      <c r="D639" s="486"/>
      <c r="E639" s="486"/>
      <c r="F639" s="528"/>
      <c r="G639" s="486"/>
      <c r="H639" s="486"/>
      <c r="I639" s="491"/>
      <c r="J639" s="491"/>
      <c r="K639" s="491"/>
      <c r="L639" s="491"/>
      <c r="M639" s="486"/>
      <c r="N639" s="422"/>
      <c r="O639" s="422"/>
      <c r="P639" s="422"/>
      <c r="Q639" s="486"/>
      <c r="R639" s="491"/>
      <c r="S639" s="491"/>
      <c r="T639" s="491"/>
      <c r="U639" s="491"/>
      <c r="V639" s="491"/>
      <c r="W639" s="493"/>
      <c r="X639" s="486"/>
      <c r="Y639" s="442"/>
      <c r="Z639" s="491"/>
      <c r="AA639" s="524"/>
      <c r="AB639" s="494"/>
      <c r="AC639" s="436"/>
      <c r="AD639" s="495"/>
      <c r="AE639" s="496"/>
      <c r="AF639" s="531"/>
      <c r="AG639" s="491"/>
      <c r="AH639" s="525"/>
      <c r="AI639" s="491"/>
      <c r="AJ639" s="446"/>
      <c r="AK639" s="491"/>
      <c r="AL639" s="500"/>
      <c r="AM639" s="436"/>
      <c r="AN639" s="438"/>
      <c r="AO639" s="531"/>
      <c r="AP639" s="491"/>
      <c r="AQ639" s="438"/>
      <c r="AR639" s="438"/>
      <c r="AS639" s="438"/>
      <c r="AT639" s="448"/>
      <c r="AU639" s="449"/>
      <c r="AV639" s="438"/>
      <c r="AW639" s="438"/>
      <c r="AX639" s="450"/>
    </row>
    <row r="640">
      <c r="A640" s="435"/>
      <c r="B640" s="485"/>
      <c r="C640" s="486"/>
      <c r="D640" s="486"/>
      <c r="E640" s="486"/>
      <c r="F640" s="528"/>
      <c r="G640" s="486"/>
      <c r="H640" s="486"/>
      <c r="I640" s="491"/>
      <c r="J640" s="491"/>
      <c r="K640" s="491"/>
      <c r="L640" s="491"/>
      <c r="M640" s="486"/>
      <c r="N640" s="422"/>
      <c r="O640" s="422"/>
      <c r="P640" s="422"/>
      <c r="Q640" s="486"/>
      <c r="R640" s="491"/>
      <c r="S640" s="491"/>
      <c r="T640" s="491"/>
      <c r="U640" s="491"/>
      <c r="V640" s="491"/>
      <c r="W640" s="493"/>
      <c r="X640" s="486"/>
      <c r="Y640" s="442"/>
      <c r="Z640" s="491"/>
      <c r="AA640" s="524"/>
      <c r="AB640" s="494"/>
      <c r="AC640" s="436"/>
      <c r="AD640" s="495"/>
      <c r="AE640" s="496"/>
      <c r="AF640" s="531"/>
      <c r="AG640" s="491"/>
      <c r="AH640" s="525"/>
      <c r="AI640" s="491"/>
      <c r="AJ640" s="446"/>
      <c r="AK640" s="491"/>
      <c r="AL640" s="500"/>
      <c r="AM640" s="436"/>
      <c r="AN640" s="438"/>
      <c r="AO640" s="531"/>
      <c r="AP640" s="491"/>
      <c r="AQ640" s="438"/>
      <c r="AR640" s="438"/>
      <c r="AS640" s="438"/>
      <c r="AT640" s="448"/>
      <c r="AU640" s="452"/>
      <c r="AV640" s="438"/>
      <c r="AW640" s="438"/>
      <c r="AX640" s="450"/>
    </row>
    <row r="641">
      <c r="A641" s="435"/>
      <c r="B641" s="485"/>
      <c r="C641" s="486"/>
      <c r="D641" s="486"/>
      <c r="E641" s="486"/>
      <c r="F641" s="528"/>
      <c r="G641" s="486"/>
      <c r="H641" s="486"/>
      <c r="I641" s="491"/>
      <c r="J641" s="491"/>
      <c r="K641" s="491"/>
      <c r="L641" s="491"/>
      <c r="M641" s="486"/>
      <c r="N641" s="422"/>
      <c r="O641" s="422"/>
      <c r="P641" s="422"/>
      <c r="Q641" s="486"/>
      <c r="R641" s="491"/>
      <c r="S641" s="491"/>
      <c r="T641" s="491"/>
      <c r="U641" s="491"/>
      <c r="V641" s="491"/>
      <c r="W641" s="493"/>
      <c r="X641" s="486"/>
      <c r="Y641" s="442"/>
      <c r="Z641" s="491"/>
      <c r="AA641" s="524"/>
      <c r="AB641" s="494"/>
      <c r="AC641" s="436"/>
      <c r="AD641" s="495"/>
      <c r="AE641" s="496"/>
      <c r="AF641" s="531"/>
      <c r="AG641" s="491"/>
      <c r="AH641" s="525"/>
      <c r="AI641" s="491"/>
      <c r="AJ641" s="446"/>
      <c r="AK641" s="491"/>
      <c r="AL641" s="500"/>
      <c r="AM641" s="436"/>
      <c r="AN641" s="438"/>
      <c r="AO641" s="531"/>
      <c r="AP641" s="491"/>
      <c r="AQ641" s="438"/>
      <c r="AR641" s="438"/>
      <c r="AS641" s="438"/>
      <c r="AT641" s="448"/>
      <c r="AU641" s="449"/>
      <c r="AV641" s="438"/>
      <c r="AW641" s="438"/>
      <c r="AX641" s="450"/>
    </row>
    <row r="642">
      <c r="A642" s="435"/>
      <c r="B642" s="485"/>
      <c r="C642" s="486"/>
      <c r="D642" s="486"/>
      <c r="E642" s="486"/>
      <c r="F642" s="528"/>
      <c r="G642" s="486"/>
      <c r="H642" s="486"/>
      <c r="I642" s="491"/>
      <c r="J642" s="491"/>
      <c r="K642" s="491"/>
      <c r="L642" s="491"/>
      <c r="M642" s="486"/>
      <c r="N642" s="422"/>
      <c r="O642" s="422"/>
      <c r="P642" s="422"/>
      <c r="Q642" s="486"/>
      <c r="R642" s="491"/>
      <c r="S642" s="491"/>
      <c r="T642" s="491"/>
      <c r="U642" s="491"/>
      <c r="V642" s="491"/>
      <c r="W642" s="493"/>
      <c r="X642" s="486"/>
      <c r="Y642" s="442"/>
      <c r="Z642" s="491"/>
      <c r="AA642" s="524"/>
      <c r="AB642" s="494"/>
      <c r="AC642" s="436"/>
      <c r="AD642" s="495"/>
      <c r="AE642" s="496"/>
      <c r="AF642" s="531"/>
      <c r="AG642" s="491"/>
      <c r="AH642" s="525"/>
      <c r="AI642" s="491"/>
      <c r="AJ642" s="446"/>
      <c r="AK642" s="491"/>
      <c r="AL642" s="500"/>
      <c r="AM642" s="436"/>
      <c r="AN642" s="438"/>
      <c r="AO642" s="531"/>
      <c r="AP642" s="491"/>
      <c r="AQ642" s="438"/>
      <c r="AR642" s="438"/>
      <c r="AS642" s="438"/>
      <c r="AT642" s="448"/>
      <c r="AU642" s="452"/>
      <c r="AV642" s="438"/>
      <c r="AW642" s="438"/>
      <c r="AX642" s="450"/>
    </row>
    <row r="643">
      <c r="A643" s="435"/>
      <c r="B643" s="485"/>
      <c r="C643" s="486"/>
      <c r="D643" s="486"/>
      <c r="E643" s="486"/>
      <c r="F643" s="528"/>
      <c r="G643" s="486"/>
      <c r="H643" s="486"/>
      <c r="I643" s="491"/>
      <c r="J643" s="491"/>
      <c r="K643" s="491"/>
      <c r="L643" s="491"/>
      <c r="M643" s="486"/>
      <c r="N643" s="422"/>
      <c r="O643" s="422"/>
      <c r="P643" s="422"/>
      <c r="Q643" s="486"/>
      <c r="R643" s="491"/>
      <c r="S643" s="491"/>
      <c r="T643" s="491"/>
      <c r="U643" s="491"/>
      <c r="V643" s="491"/>
      <c r="W643" s="493"/>
      <c r="X643" s="486"/>
      <c r="Y643" s="442"/>
      <c r="Z643" s="491"/>
      <c r="AA643" s="524"/>
      <c r="AB643" s="494"/>
      <c r="AC643" s="436"/>
      <c r="AD643" s="495"/>
      <c r="AE643" s="496"/>
      <c r="AF643" s="531"/>
      <c r="AG643" s="491"/>
      <c r="AH643" s="525"/>
      <c r="AI643" s="491"/>
      <c r="AJ643" s="446"/>
      <c r="AK643" s="491"/>
      <c r="AL643" s="500"/>
      <c r="AM643" s="436"/>
      <c r="AN643" s="438"/>
      <c r="AO643" s="531"/>
      <c r="AP643" s="491"/>
      <c r="AQ643" s="438"/>
      <c r="AR643" s="438"/>
      <c r="AS643" s="438"/>
      <c r="AT643" s="448"/>
      <c r="AU643" s="449"/>
      <c r="AV643" s="438"/>
      <c r="AW643" s="438"/>
      <c r="AX643" s="450"/>
    </row>
    <row r="644">
      <c r="A644" s="435"/>
      <c r="B644" s="485"/>
      <c r="C644" s="486"/>
      <c r="D644" s="486"/>
      <c r="E644" s="486"/>
      <c r="F644" s="528"/>
      <c r="G644" s="486"/>
      <c r="H644" s="486"/>
      <c r="I644" s="491"/>
      <c r="J644" s="491"/>
      <c r="K644" s="491"/>
      <c r="L644" s="491"/>
      <c r="M644" s="486"/>
      <c r="N644" s="422"/>
      <c r="O644" s="422"/>
      <c r="P644" s="422"/>
      <c r="Q644" s="486"/>
      <c r="R644" s="491"/>
      <c r="S644" s="491"/>
      <c r="T644" s="491"/>
      <c r="U644" s="491"/>
      <c r="V644" s="491"/>
      <c r="W644" s="493"/>
      <c r="X644" s="486"/>
      <c r="Y644" s="442"/>
      <c r="Z644" s="491"/>
      <c r="AA644" s="524"/>
      <c r="AB644" s="494"/>
      <c r="AC644" s="436"/>
      <c r="AD644" s="495"/>
      <c r="AE644" s="496"/>
      <c r="AF644" s="531"/>
      <c r="AG644" s="491"/>
      <c r="AH644" s="525"/>
      <c r="AI644" s="491"/>
      <c r="AJ644" s="446"/>
      <c r="AK644" s="491"/>
      <c r="AL644" s="500"/>
      <c r="AM644" s="436"/>
      <c r="AN644" s="438"/>
      <c r="AO644" s="531"/>
      <c r="AP644" s="491"/>
      <c r="AQ644" s="438"/>
      <c r="AR644" s="438"/>
      <c r="AS644" s="438"/>
      <c r="AT644" s="448"/>
      <c r="AU644" s="452"/>
      <c r="AV644" s="438"/>
      <c r="AW644" s="438"/>
      <c r="AX644" s="450"/>
    </row>
    <row r="645">
      <c r="A645" s="435"/>
      <c r="B645" s="485"/>
      <c r="C645" s="486"/>
      <c r="D645" s="486"/>
      <c r="E645" s="486"/>
      <c r="F645" s="528"/>
      <c r="G645" s="486"/>
      <c r="H645" s="486"/>
      <c r="I645" s="491"/>
      <c r="J645" s="491"/>
      <c r="K645" s="491"/>
      <c r="L645" s="491"/>
      <c r="M645" s="486"/>
      <c r="N645" s="422"/>
      <c r="O645" s="422"/>
      <c r="P645" s="422"/>
      <c r="Q645" s="486"/>
      <c r="R645" s="491"/>
      <c r="S645" s="491"/>
      <c r="T645" s="491"/>
      <c r="U645" s="491"/>
      <c r="V645" s="491"/>
      <c r="W645" s="493"/>
      <c r="X645" s="486"/>
      <c r="Y645" s="442"/>
      <c r="Z645" s="491"/>
      <c r="AA645" s="524"/>
      <c r="AB645" s="494"/>
      <c r="AC645" s="436"/>
      <c r="AD645" s="495"/>
      <c r="AE645" s="496"/>
      <c r="AF645" s="531"/>
      <c r="AG645" s="491"/>
      <c r="AH645" s="525"/>
      <c r="AI645" s="491"/>
      <c r="AJ645" s="446"/>
      <c r="AK645" s="491"/>
      <c r="AL645" s="500"/>
      <c r="AM645" s="436"/>
      <c r="AN645" s="438"/>
      <c r="AO645" s="531"/>
      <c r="AP645" s="491"/>
      <c r="AQ645" s="438"/>
      <c r="AR645" s="438"/>
      <c r="AS645" s="438"/>
      <c r="AT645" s="448"/>
      <c r="AU645" s="449"/>
      <c r="AV645" s="438"/>
      <c r="AW645" s="438"/>
      <c r="AX645" s="450"/>
    </row>
    <row r="646">
      <c r="A646" s="435"/>
      <c r="B646" s="485"/>
      <c r="C646" s="486"/>
      <c r="D646" s="486"/>
      <c r="E646" s="486"/>
      <c r="F646" s="528"/>
      <c r="G646" s="486"/>
      <c r="H646" s="486"/>
      <c r="I646" s="491"/>
      <c r="J646" s="491"/>
      <c r="K646" s="491"/>
      <c r="L646" s="491"/>
      <c r="M646" s="486"/>
      <c r="N646" s="422"/>
      <c r="O646" s="422"/>
      <c r="P646" s="422"/>
      <c r="Q646" s="486"/>
      <c r="R646" s="491"/>
      <c r="S646" s="491"/>
      <c r="T646" s="491"/>
      <c r="U646" s="491"/>
      <c r="V646" s="491"/>
      <c r="W646" s="493"/>
      <c r="X646" s="486"/>
      <c r="Y646" s="442"/>
      <c r="Z646" s="491"/>
      <c r="AA646" s="524"/>
      <c r="AB646" s="494"/>
      <c r="AC646" s="436"/>
      <c r="AD646" s="495"/>
      <c r="AE646" s="496"/>
      <c r="AF646" s="531"/>
      <c r="AG646" s="491"/>
      <c r="AH646" s="525"/>
      <c r="AI646" s="491"/>
      <c r="AJ646" s="446"/>
      <c r="AK646" s="491"/>
      <c r="AL646" s="500"/>
      <c r="AM646" s="436"/>
      <c r="AN646" s="438"/>
      <c r="AO646" s="531"/>
      <c r="AP646" s="491"/>
      <c r="AQ646" s="438"/>
      <c r="AR646" s="438"/>
      <c r="AS646" s="438"/>
      <c r="AT646" s="448"/>
      <c r="AU646" s="452"/>
      <c r="AV646" s="438"/>
      <c r="AW646" s="438"/>
      <c r="AX646" s="450"/>
    </row>
    <row r="647">
      <c r="A647" s="435"/>
      <c r="B647" s="485"/>
      <c r="C647" s="486"/>
      <c r="D647" s="486"/>
      <c r="E647" s="486"/>
      <c r="F647" s="528"/>
      <c r="G647" s="486"/>
      <c r="H647" s="486"/>
      <c r="I647" s="491"/>
      <c r="J647" s="491"/>
      <c r="K647" s="491"/>
      <c r="L647" s="491"/>
      <c r="M647" s="486"/>
      <c r="N647" s="422"/>
      <c r="O647" s="422"/>
      <c r="P647" s="422"/>
      <c r="Q647" s="486"/>
      <c r="R647" s="491"/>
      <c r="S647" s="491"/>
      <c r="T647" s="491"/>
      <c r="U647" s="491"/>
      <c r="V647" s="491"/>
      <c r="W647" s="493"/>
      <c r="X647" s="486"/>
      <c r="Y647" s="442"/>
      <c r="Z647" s="491"/>
      <c r="AA647" s="524"/>
      <c r="AB647" s="494"/>
      <c r="AC647" s="436"/>
      <c r="AD647" s="495"/>
      <c r="AE647" s="496"/>
      <c r="AF647" s="531"/>
      <c r="AG647" s="491"/>
      <c r="AH647" s="525"/>
      <c r="AI647" s="491"/>
      <c r="AJ647" s="446"/>
      <c r="AK647" s="491"/>
      <c r="AL647" s="500"/>
      <c r="AM647" s="436"/>
      <c r="AN647" s="438"/>
      <c r="AO647" s="531"/>
      <c r="AP647" s="491"/>
      <c r="AQ647" s="438"/>
      <c r="AR647" s="438"/>
      <c r="AS647" s="438"/>
      <c r="AT647" s="448"/>
      <c r="AU647" s="449"/>
      <c r="AV647" s="438"/>
      <c r="AW647" s="438"/>
      <c r="AX647" s="450"/>
    </row>
    <row r="648">
      <c r="A648" s="435"/>
      <c r="B648" s="485"/>
      <c r="C648" s="486"/>
      <c r="D648" s="486"/>
      <c r="E648" s="486"/>
      <c r="F648" s="528"/>
      <c r="G648" s="486"/>
      <c r="H648" s="486"/>
      <c r="I648" s="491"/>
      <c r="J648" s="491"/>
      <c r="K648" s="491"/>
      <c r="L648" s="491"/>
      <c r="M648" s="486"/>
      <c r="N648" s="422"/>
      <c r="O648" s="422"/>
      <c r="P648" s="422"/>
      <c r="Q648" s="486"/>
      <c r="R648" s="491"/>
      <c r="S648" s="491"/>
      <c r="T648" s="491"/>
      <c r="U648" s="491"/>
      <c r="V648" s="491"/>
      <c r="W648" s="493"/>
      <c r="X648" s="486"/>
      <c r="Y648" s="442"/>
      <c r="Z648" s="491"/>
      <c r="AA648" s="524"/>
      <c r="AB648" s="494"/>
      <c r="AC648" s="436"/>
      <c r="AD648" s="495"/>
      <c r="AE648" s="496"/>
      <c r="AF648" s="531"/>
      <c r="AG648" s="491"/>
      <c r="AH648" s="525"/>
      <c r="AI648" s="491"/>
      <c r="AJ648" s="446"/>
      <c r="AK648" s="491"/>
      <c r="AL648" s="500"/>
      <c r="AM648" s="436"/>
      <c r="AN648" s="438"/>
      <c r="AO648" s="531"/>
      <c r="AP648" s="491"/>
      <c r="AQ648" s="438"/>
      <c r="AR648" s="438"/>
      <c r="AS648" s="438"/>
      <c r="AT648" s="448"/>
      <c r="AU648" s="452"/>
      <c r="AV648" s="438"/>
      <c r="AW648" s="438"/>
      <c r="AX648" s="450"/>
    </row>
    <row r="649">
      <c r="A649" s="435"/>
      <c r="B649" s="485"/>
      <c r="C649" s="486"/>
      <c r="D649" s="486"/>
      <c r="E649" s="486"/>
      <c r="F649" s="528"/>
      <c r="G649" s="486"/>
      <c r="H649" s="486"/>
      <c r="I649" s="491"/>
      <c r="J649" s="491"/>
      <c r="K649" s="491"/>
      <c r="L649" s="491"/>
      <c r="M649" s="486"/>
      <c r="N649" s="422"/>
      <c r="O649" s="422"/>
      <c r="P649" s="422"/>
      <c r="Q649" s="486"/>
      <c r="R649" s="491"/>
      <c r="S649" s="491"/>
      <c r="T649" s="491"/>
      <c r="U649" s="491"/>
      <c r="V649" s="491"/>
      <c r="W649" s="493"/>
      <c r="X649" s="486"/>
      <c r="Y649" s="442"/>
      <c r="Z649" s="491"/>
      <c r="AA649" s="524"/>
      <c r="AB649" s="494"/>
      <c r="AC649" s="436"/>
      <c r="AD649" s="495"/>
      <c r="AE649" s="496"/>
      <c r="AF649" s="531"/>
      <c r="AG649" s="491"/>
      <c r="AH649" s="525"/>
      <c r="AI649" s="491"/>
      <c r="AJ649" s="446"/>
      <c r="AK649" s="491"/>
      <c r="AL649" s="500"/>
      <c r="AM649" s="436"/>
      <c r="AN649" s="438"/>
      <c r="AO649" s="531"/>
      <c r="AP649" s="491"/>
      <c r="AQ649" s="438"/>
      <c r="AR649" s="438"/>
      <c r="AS649" s="438"/>
      <c r="AT649" s="448"/>
      <c r="AU649" s="449"/>
      <c r="AV649" s="438"/>
      <c r="AW649" s="438"/>
      <c r="AX649" s="450"/>
    </row>
    <row r="650">
      <c r="A650" s="435"/>
      <c r="B650" s="485"/>
      <c r="C650" s="486"/>
      <c r="D650" s="486"/>
      <c r="E650" s="486"/>
      <c r="F650" s="528"/>
      <c r="G650" s="486"/>
      <c r="H650" s="486"/>
      <c r="I650" s="491"/>
      <c r="J650" s="491"/>
      <c r="K650" s="491"/>
      <c r="L650" s="491"/>
      <c r="M650" s="486"/>
      <c r="N650" s="422"/>
      <c r="O650" s="422"/>
      <c r="P650" s="422"/>
      <c r="Q650" s="486"/>
      <c r="R650" s="491"/>
      <c r="S650" s="491"/>
      <c r="T650" s="491"/>
      <c r="U650" s="491"/>
      <c r="V650" s="491"/>
      <c r="W650" s="493"/>
      <c r="X650" s="486"/>
      <c r="Y650" s="442"/>
      <c r="Z650" s="491"/>
      <c r="AA650" s="524"/>
      <c r="AB650" s="494"/>
      <c r="AC650" s="436"/>
      <c r="AD650" s="495"/>
      <c r="AE650" s="496"/>
      <c r="AF650" s="531"/>
      <c r="AG650" s="491"/>
      <c r="AH650" s="525"/>
      <c r="AI650" s="491"/>
      <c r="AJ650" s="446"/>
      <c r="AK650" s="491"/>
      <c r="AL650" s="500"/>
      <c r="AM650" s="436"/>
      <c r="AN650" s="438"/>
      <c r="AO650" s="531"/>
      <c r="AP650" s="491"/>
      <c r="AQ650" s="438"/>
      <c r="AR650" s="438"/>
      <c r="AS650" s="438"/>
      <c r="AT650" s="448"/>
      <c r="AU650" s="452"/>
      <c r="AV650" s="438"/>
      <c r="AW650" s="438"/>
      <c r="AX650" s="450"/>
    </row>
    <row r="651">
      <c r="A651" s="435"/>
      <c r="B651" s="485"/>
      <c r="C651" s="486"/>
      <c r="D651" s="486"/>
      <c r="E651" s="486"/>
      <c r="F651" s="528"/>
      <c r="G651" s="486"/>
      <c r="H651" s="486"/>
      <c r="I651" s="491"/>
      <c r="J651" s="491"/>
      <c r="K651" s="491"/>
      <c r="L651" s="491"/>
      <c r="M651" s="486"/>
      <c r="N651" s="422"/>
      <c r="O651" s="422"/>
      <c r="P651" s="422"/>
      <c r="Q651" s="486"/>
      <c r="R651" s="491"/>
      <c r="S651" s="491"/>
      <c r="T651" s="491"/>
      <c r="U651" s="491"/>
      <c r="V651" s="491"/>
      <c r="W651" s="493"/>
      <c r="X651" s="486"/>
      <c r="Y651" s="442"/>
      <c r="Z651" s="491"/>
      <c r="AA651" s="524"/>
      <c r="AB651" s="494"/>
      <c r="AC651" s="436"/>
      <c r="AD651" s="495"/>
      <c r="AE651" s="496"/>
      <c r="AF651" s="531"/>
      <c r="AG651" s="491"/>
      <c r="AH651" s="525"/>
      <c r="AI651" s="491"/>
      <c r="AJ651" s="446"/>
      <c r="AK651" s="491"/>
      <c r="AL651" s="500"/>
      <c r="AM651" s="436"/>
      <c r="AN651" s="438"/>
      <c r="AO651" s="531"/>
      <c r="AP651" s="491"/>
      <c r="AQ651" s="438"/>
      <c r="AR651" s="438"/>
      <c r="AS651" s="438"/>
      <c r="AT651" s="448"/>
      <c r="AU651" s="449"/>
      <c r="AV651" s="438"/>
      <c r="AW651" s="438"/>
      <c r="AX651" s="450"/>
    </row>
    <row r="652">
      <c r="A652" s="435"/>
      <c r="B652" s="485"/>
      <c r="C652" s="486"/>
      <c r="D652" s="486"/>
      <c r="E652" s="486"/>
      <c r="F652" s="528"/>
      <c r="G652" s="486"/>
      <c r="H652" s="486"/>
      <c r="I652" s="491"/>
      <c r="J652" s="491"/>
      <c r="K652" s="491"/>
      <c r="L652" s="491"/>
      <c r="M652" s="486"/>
      <c r="N652" s="422"/>
      <c r="O652" s="422"/>
      <c r="P652" s="422"/>
      <c r="Q652" s="486"/>
      <c r="R652" s="491"/>
      <c r="S652" s="491"/>
      <c r="T652" s="491"/>
      <c r="U652" s="491"/>
      <c r="V652" s="491"/>
      <c r="W652" s="493"/>
      <c r="X652" s="486"/>
      <c r="Y652" s="442"/>
      <c r="Z652" s="491"/>
      <c r="AA652" s="524"/>
      <c r="AB652" s="494"/>
      <c r="AC652" s="436"/>
      <c r="AD652" s="495"/>
      <c r="AE652" s="496"/>
      <c r="AF652" s="531"/>
      <c r="AG652" s="491"/>
      <c r="AH652" s="525"/>
      <c r="AI652" s="491"/>
      <c r="AJ652" s="446"/>
      <c r="AK652" s="491"/>
      <c r="AL652" s="500"/>
      <c r="AM652" s="436"/>
      <c r="AN652" s="438"/>
      <c r="AO652" s="531"/>
      <c r="AP652" s="491"/>
      <c r="AQ652" s="438"/>
      <c r="AR652" s="438"/>
      <c r="AS652" s="438"/>
      <c r="AT652" s="448"/>
      <c r="AU652" s="452"/>
      <c r="AV652" s="438"/>
      <c r="AW652" s="438"/>
      <c r="AX652" s="450"/>
    </row>
    <row r="653">
      <c r="A653" s="435"/>
      <c r="B653" s="485"/>
      <c r="C653" s="486"/>
      <c r="D653" s="486"/>
      <c r="E653" s="486"/>
      <c r="F653" s="528"/>
      <c r="G653" s="486"/>
      <c r="H653" s="486"/>
      <c r="I653" s="491"/>
      <c r="J653" s="491"/>
      <c r="K653" s="491"/>
      <c r="L653" s="491"/>
      <c r="M653" s="486"/>
      <c r="N653" s="422"/>
      <c r="O653" s="422"/>
      <c r="P653" s="422"/>
      <c r="Q653" s="486"/>
      <c r="R653" s="491"/>
      <c r="S653" s="491"/>
      <c r="T653" s="491"/>
      <c r="U653" s="491"/>
      <c r="V653" s="491"/>
      <c r="W653" s="493"/>
      <c r="X653" s="486"/>
      <c r="Y653" s="442"/>
      <c r="Z653" s="491"/>
      <c r="AA653" s="524"/>
      <c r="AB653" s="494"/>
      <c r="AC653" s="436"/>
      <c r="AD653" s="495"/>
      <c r="AE653" s="496"/>
      <c r="AF653" s="531"/>
      <c r="AG653" s="491"/>
      <c r="AH653" s="525"/>
      <c r="AI653" s="491"/>
      <c r="AJ653" s="446"/>
      <c r="AK653" s="491"/>
      <c r="AL653" s="500"/>
      <c r="AM653" s="436"/>
      <c r="AN653" s="438"/>
      <c r="AO653" s="531"/>
      <c r="AP653" s="491"/>
      <c r="AQ653" s="438"/>
      <c r="AR653" s="438"/>
      <c r="AS653" s="438"/>
      <c r="AT653" s="448"/>
      <c r="AU653" s="449"/>
      <c r="AV653" s="438"/>
      <c r="AW653" s="438"/>
      <c r="AX653" s="450"/>
    </row>
    <row r="654">
      <c r="A654" s="435"/>
      <c r="B654" s="485"/>
      <c r="C654" s="486"/>
      <c r="D654" s="486"/>
      <c r="E654" s="486"/>
      <c r="F654" s="528"/>
      <c r="G654" s="486"/>
      <c r="H654" s="486"/>
      <c r="I654" s="491"/>
      <c r="J654" s="491"/>
      <c r="K654" s="491"/>
      <c r="L654" s="491"/>
      <c r="M654" s="486"/>
      <c r="N654" s="422"/>
      <c r="O654" s="422"/>
      <c r="P654" s="422"/>
      <c r="Q654" s="486"/>
      <c r="R654" s="491"/>
      <c r="S654" s="491"/>
      <c r="T654" s="491"/>
      <c r="U654" s="491"/>
      <c r="V654" s="491"/>
      <c r="W654" s="493"/>
      <c r="X654" s="486"/>
      <c r="Y654" s="442"/>
      <c r="Z654" s="491"/>
      <c r="AA654" s="524"/>
      <c r="AB654" s="494"/>
      <c r="AC654" s="436"/>
      <c r="AD654" s="495"/>
      <c r="AE654" s="496"/>
      <c r="AF654" s="531"/>
      <c r="AG654" s="491"/>
      <c r="AH654" s="525"/>
      <c r="AI654" s="491"/>
      <c r="AJ654" s="446"/>
      <c r="AK654" s="491"/>
      <c r="AL654" s="500"/>
      <c r="AM654" s="436"/>
      <c r="AN654" s="438"/>
      <c r="AO654" s="531"/>
      <c r="AP654" s="491"/>
      <c r="AQ654" s="438"/>
      <c r="AR654" s="438"/>
      <c r="AS654" s="438"/>
      <c r="AT654" s="448"/>
      <c r="AU654" s="452"/>
      <c r="AV654" s="438"/>
      <c r="AW654" s="438"/>
      <c r="AX654" s="450"/>
    </row>
    <row r="655">
      <c r="A655" s="435"/>
      <c r="B655" s="485"/>
      <c r="C655" s="486"/>
      <c r="D655" s="486"/>
      <c r="E655" s="486"/>
      <c r="F655" s="528"/>
      <c r="G655" s="486"/>
      <c r="H655" s="486"/>
      <c r="I655" s="491"/>
      <c r="J655" s="491"/>
      <c r="K655" s="491"/>
      <c r="L655" s="491"/>
      <c r="M655" s="486"/>
      <c r="N655" s="422"/>
      <c r="O655" s="422"/>
      <c r="P655" s="422"/>
      <c r="Q655" s="486"/>
      <c r="R655" s="491"/>
      <c r="S655" s="491"/>
      <c r="T655" s="491"/>
      <c r="U655" s="491"/>
      <c r="V655" s="491"/>
      <c r="W655" s="493"/>
      <c r="X655" s="486"/>
      <c r="Y655" s="442"/>
      <c r="Z655" s="491"/>
      <c r="AA655" s="524"/>
      <c r="AB655" s="494"/>
      <c r="AC655" s="436"/>
      <c r="AD655" s="495"/>
      <c r="AE655" s="496"/>
      <c r="AF655" s="531"/>
      <c r="AG655" s="491"/>
      <c r="AH655" s="525"/>
      <c r="AI655" s="491"/>
      <c r="AJ655" s="446"/>
      <c r="AK655" s="491"/>
      <c r="AL655" s="500"/>
      <c r="AM655" s="436"/>
      <c r="AN655" s="438"/>
      <c r="AO655" s="531"/>
      <c r="AP655" s="491"/>
      <c r="AQ655" s="438"/>
      <c r="AR655" s="438"/>
      <c r="AS655" s="438"/>
      <c r="AT655" s="448"/>
      <c r="AU655" s="449"/>
      <c r="AV655" s="438"/>
      <c r="AW655" s="438"/>
      <c r="AX655" s="450"/>
    </row>
    <row r="656">
      <c r="A656" s="435"/>
      <c r="B656" s="485"/>
      <c r="C656" s="486"/>
      <c r="D656" s="486"/>
      <c r="E656" s="486"/>
      <c r="F656" s="528"/>
      <c r="G656" s="486"/>
      <c r="H656" s="486"/>
      <c r="I656" s="491"/>
      <c r="J656" s="491"/>
      <c r="K656" s="491"/>
      <c r="L656" s="491"/>
      <c r="M656" s="486"/>
      <c r="N656" s="422"/>
      <c r="O656" s="422"/>
      <c r="P656" s="422"/>
      <c r="Q656" s="486"/>
      <c r="R656" s="491"/>
      <c r="S656" s="491"/>
      <c r="T656" s="491"/>
      <c r="U656" s="491"/>
      <c r="V656" s="491"/>
      <c r="W656" s="493"/>
      <c r="X656" s="486"/>
      <c r="Y656" s="442"/>
      <c r="Z656" s="491"/>
      <c r="AA656" s="524"/>
      <c r="AB656" s="494"/>
      <c r="AC656" s="436"/>
      <c r="AD656" s="495"/>
      <c r="AE656" s="496"/>
      <c r="AF656" s="531"/>
      <c r="AG656" s="491"/>
      <c r="AH656" s="525"/>
      <c r="AI656" s="491"/>
      <c r="AJ656" s="446"/>
      <c r="AK656" s="491"/>
      <c r="AL656" s="500"/>
      <c r="AM656" s="436"/>
      <c r="AN656" s="438"/>
      <c r="AO656" s="531"/>
      <c r="AP656" s="491"/>
      <c r="AQ656" s="438"/>
      <c r="AR656" s="438"/>
      <c r="AS656" s="438"/>
      <c r="AT656" s="448"/>
      <c r="AU656" s="452"/>
      <c r="AV656" s="438"/>
      <c r="AW656" s="438"/>
      <c r="AX656" s="450"/>
    </row>
    <row r="657">
      <c r="A657" s="435"/>
      <c r="B657" s="485"/>
      <c r="C657" s="486"/>
      <c r="D657" s="486"/>
      <c r="E657" s="486"/>
      <c r="F657" s="528"/>
      <c r="G657" s="486"/>
      <c r="H657" s="486"/>
      <c r="I657" s="491"/>
      <c r="J657" s="491"/>
      <c r="K657" s="491"/>
      <c r="L657" s="491"/>
      <c r="M657" s="486"/>
      <c r="N657" s="422"/>
      <c r="O657" s="422"/>
      <c r="P657" s="422"/>
      <c r="Q657" s="486"/>
      <c r="R657" s="491"/>
      <c r="S657" s="491"/>
      <c r="T657" s="491"/>
      <c r="U657" s="491"/>
      <c r="V657" s="491"/>
      <c r="W657" s="493"/>
      <c r="X657" s="486"/>
      <c r="Y657" s="442"/>
      <c r="Z657" s="491"/>
      <c r="AA657" s="524"/>
      <c r="AB657" s="494"/>
      <c r="AC657" s="436"/>
      <c r="AD657" s="495"/>
      <c r="AE657" s="496"/>
      <c r="AF657" s="531"/>
      <c r="AG657" s="491"/>
      <c r="AH657" s="525"/>
      <c r="AI657" s="491"/>
      <c r="AJ657" s="446"/>
      <c r="AK657" s="491"/>
      <c r="AL657" s="500"/>
      <c r="AM657" s="436"/>
      <c r="AN657" s="438"/>
      <c r="AO657" s="531"/>
      <c r="AP657" s="491"/>
      <c r="AQ657" s="438"/>
      <c r="AR657" s="438"/>
      <c r="AS657" s="438"/>
      <c r="AT657" s="448"/>
      <c r="AU657" s="449"/>
      <c r="AV657" s="438"/>
      <c r="AW657" s="438"/>
      <c r="AX657" s="450"/>
    </row>
    <row r="658">
      <c r="A658" s="435"/>
      <c r="B658" s="485"/>
      <c r="C658" s="486"/>
      <c r="D658" s="486"/>
      <c r="E658" s="486"/>
      <c r="F658" s="528"/>
      <c r="G658" s="486"/>
      <c r="H658" s="486"/>
      <c r="I658" s="491"/>
      <c r="J658" s="491"/>
      <c r="K658" s="491"/>
      <c r="L658" s="491"/>
      <c r="M658" s="486"/>
      <c r="N658" s="422"/>
      <c r="O658" s="422"/>
      <c r="P658" s="422"/>
      <c r="Q658" s="486"/>
      <c r="R658" s="491"/>
      <c r="S658" s="491"/>
      <c r="T658" s="491"/>
      <c r="U658" s="491"/>
      <c r="V658" s="491"/>
      <c r="W658" s="493"/>
      <c r="X658" s="486"/>
      <c r="Y658" s="442"/>
      <c r="Z658" s="491"/>
      <c r="AA658" s="524"/>
      <c r="AB658" s="494"/>
      <c r="AC658" s="436"/>
      <c r="AD658" s="495"/>
      <c r="AE658" s="496"/>
      <c r="AF658" s="531"/>
      <c r="AG658" s="491"/>
      <c r="AH658" s="525"/>
      <c r="AI658" s="491"/>
      <c r="AJ658" s="446"/>
      <c r="AK658" s="491"/>
      <c r="AL658" s="500"/>
      <c r="AM658" s="436"/>
      <c r="AN658" s="438"/>
      <c r="AO658" s="531"/>
      <c r="AP658" s="491"/>
      <c r="AQ658" s="438"/>
      <c r="AR658" s="438"/>
      <c r="AS658" s="438"/>
      <c r="AT658" s="448"/>
      <c r="AU658" s="452"/>
      <c r="AV658" s="438"/>
      <c r="AW658" s="438"/>
      <c r="AX658" s="450"/>
    </row>
    <row r="659">
      <c r="A659" s="435"/>
      <c r="B659" s="485"/>
      <c r="C659" s="486"/>
      <c r="D659" s="486"/>
      <c r="E659" s="486"/>
      <c r="F659" s="528"/>
      <c r="G659" s="486"/>
      <c r="H659" s="486"/>
      <c r="I659" s="491"/>
      <c r="J659" s="491"/>
      <c r="K659" s="491"/>
      <c r="L659" s="491"/>
      <c r="M659" s="486"/>
      <c r="N659" s="422"/>
      <c r="O659" s="422"/>
      <c r="P659" s="422"/>
      <c r="Q659" s="486"/>
      <c r="R659" s="491"/>
      <c r="S659" s="491"/>
      <c r="T659" s="491"/>
      <c r="U659" s="491"/>
      <c r="V659" s="491"/>
      <c r="W659" s="493"/>
      <c r="X659" s="486"/>
      <c r="Y659" s="442"/>
      <c r="Z659" s="491"/>
      <c r="AA659" s="524"/>
      <c r="AB659" s="494"/>
      <c r="AC659" s="436"/>
      <c r="AD659" s="495"/>
      <c r="AE659" s="496"/>
      <c r="AF659" s="531"/>
      <c r="AG659" s="491"/>
      <c r="AH659" s="525"/>
      <c r="AI659" s="491"/>
      <c r="AJ659" s="446"/>
      <c r="AK659" s="491"/>
      <c r="AL659" s="500"/>
      <c r="AM659" s="436"/>
      <c r="AN659" s="438"/>
      <c r="AO659" s="531"/>
      <c r="AP659" s="491"/>
      <c r="AQ659" s="438"/>
      <c r="AR659" s="438"/>
      <c r="AS659" s="438"/>
      <c r="AT659" s="448"/>
      <c r="AU659" s="449"/>
      <c r="AV659" s="438"/>
      <c r="AW659" s="438"/>
      <c r="AX659" s="450"/>
    </row>
    <row r="660">
      <c r="A660" s="435"/>
      <c r="B660" s="485"/>
      <c r="C660" s="486"/>
      <c r="D660" s="486"/>
      <c r="E660" s="486"/>
      <c r="F660" s="528"/>
      <c r="G660" s="486"/>
      <c r="H660" s="486"/>
      <c r="I660" s="491"/>
      <c r="J660" s="491"/>
      <c r="K660" s="491"/>
      <c r="L660" s="491"/>
      <c r="M660" s="486"/>
      <c r="N660" s="422"/>
      <c r="O660" s="422"/>
      <c r="P660" s="422"/>
      <c r="Q660" s="486"/>
      <c r="R660" s="491"/>
      <c r="S660" s="491"/>
      <c r="T660" s="491"/>
      <c r="U660" s="491"/>
      <c r="V660" s="491"/>
      <c r="W660" s="493"/>
      <c r="X660" s="486"/>
      <c r="Y660" s="442"/>
      <c r="Z660" s="491"/>
      <c r="AA660" s="524"/>
      <c r="AB660" s="494"/>
      <c r="AC660" s="436"/>
      <c r="AD660" s="495"/>
      <c r="AE660" s="496"/>
      <c r="AF660" s="531"/>
      <c r="AG660" s="491"/>
      <c r="AH660" s="525"/>
      <c r="AI660" s="491"/>
      <c r="AJ660" s="446"/>
      <c r="AK660" s="491"/>
      <c r="AL660" s="500"/>
      <c r="AM660" s="436"/>
      <c r="AN660" s="438"/>
      <c r="AO660" s="531"/>
      <c r="AP660" s="491"/>
      <c r="AQ660" s="438"/>
      <c r="AR660" s="438"/>
      <c r="AS660" s="438"/>
      <c r="AT660" s="448"/>
      <c r="AU660" s="452"/>
      <c r="AV660" s="438"/>
      <c r="AW660" s="438"/>
      <c r="AX660" s="450"/>
    </row>
    <row r="661">
      <c r="A661" s="435"/>
      <c r="B661" s="485"/>
      <c r="C661" s="486"/>
      <c r="D661" s="486"/>
      <c r="E661" s="486"/>
      <c r="F661" s="528"/>
      <c r="G661" s="486"/>
      <c r="H661" s="486"/>
      <c r="I661" s="491"/>
      <c r="J661" s="491"/>
      <c r="K661" s="491"/>
      <c r="L661" s="491"/>
      <c r="M661" s="486"/>
      <c r="N661" s="422"/>
      <c r="O661" s="422"/>
      <c r="P661" s="422"/>
      <c r="Q661" s="486"/>
      <c r="R661" s="491"/>
      <c r="S661" s="491"/>
      <c r="T661" s="491"/>
      <c r="U661" s="491"/>
      <c r="V661" s="491"/>
      <c r="W661" s="493"/>
      <c r="X661" s="486"/>
      <c r="Y661" s="442"/>
      <c r="Z661" s="491"/>
      <c r="AA661" s="524"/>
      <c r="AB661" s="494"/>
      <c r="AC661" s="436"/>
      <c r="AD661" s="495"/>
      <c r="AE661" s="496"/>
      <c r="AF661" s="531"/>
      <c r="AG661" s="491"/>
      <c r="AH661" s="525"/>
      <c r="AI661" s="491"/>
      <c r="AJ661" s="446"/>
      <c r="AK661" s="491"/>
      <c r="AL661" s="500"/>
      <c r="AM661" s="436"/>
      <c r="AN661" s="438"/>
      <c r="AO661" s="531"/>
      <c r="AP661" s="491"/>
      <c r="AQ661" s="438"/>
      <c r="AR661" s="438"/>
      <c r="AS661" s="438"/>
      <c r="AT661" s="448"/>
      <c r="AU661" s="449"/>
      <c r="AV661" s="438"/>
      <c r="AW661" s="438"/>
      <c r="AX661" s="450"/>
    </row>
    <row r="662">
      <c r="A662" s="435"/>
      <c r="B662" s="485"/>
      <c r="C662" s="486"/>
      <c r="D662" s="486"/>
      <c r="E662" s="486"/>
      <c r="F662" s="528"/>
      <c r="G662" s="486"/>
      <c r="H662" s="486"/>
      <c r="I662" s="491"/>
      <c r="J662" s="491"/>
      <c r="K662" s="491"/>
      <c r="L662" s="491"/>
      <c r="M662" s="486"/>
      <c r="N662" s="422"/>
      <c r="O662" s="422"/>
      <c r="P662" s="422"/>
      <c r="Q662" s="486"/>
      <c r="R662" s="491"/>
      <c r="S662" s="491"/>
      <c r="T662" s="491"/>
      <c r="U662" s="491"/>
      <c r="V662" s="491"/>
      <c r="W662" s="493"/>
      <c r="X662" s="486"/>
      <c r="Y662" s="442"/>
      <c r="Z662" s="491"/>
      <c r="AA662" s="524"/>
      <c r="AB662" s="494"/>
      <c r="AC662" s="436"/>
      <c r="AD662" s="495"/>
      <c r="AE662" s="496"/>
      <c r="AF662" s="531"/>
      <c r="AG662" s="491"/>
      <c r="AH662" s="525"/>
      <c r="AI662" s="491"/>
      <c r="AJ662" s="446"/>
      <c r="AK662" s="491"/>
      <c r="AL662" s="500"/>
      <c r="AM662" s="436"/>
      <c r="AN662" s="438"/>
      <c r="AO662" s="531"/>
      <c r="AP662" s="491"/>
      <c r="AQ662" s="438"/>
      <c r="AR662" s="438"/>
      <c r="AS662" s="438"/>
      <c r="AT662" s="448"/>
      <c r="AU662" s="452"/>
      <c r="AV662" s="438"/>
      <c r="AW662" s="438"/>
      <c r="AX662" s="450"/>
    </row>
    <row r="663">
      <c r="A663" s="435"/>
      <c r="B663" s="485"/>
      <c r="C663" s="486"/>
      <c r="D663" s="486"/>
      <c r="E663" s="486"/>
      <c r="F663" s="528"/>
      <c r="G663" s="486"/>
      <c r="H663" s="486"/>
      <c r="I663" s="491"/>
      <c r="J663" s="491"/>
      <c r="K663" s="491"/>
      <c r="L663" s="491"/>
      <c r="M663" s="486"/>
      <c r="N663" s="422"/>
      <c r="O663" s="422"/>
      <c r="P663" s="422"/>
      <c r="Q663" s="486"/>
      <c r="R663" s="491"/>
      <c r="S663" s="491"/>
      <c r="T663" s="491"/>
      <c r="U663" s="491"/>
      <c r="V663" s="491"/>
      <c r="W663" s="493"/>
      <c r="X663" s="486"/>
      <c r="Y663" s="442"/>
      <c r="Z663" s="491"/>
      <c r="AA663" s="524"/>
      <c r="AB663" s="494"/>
      <c r="AC663" s="436"/>
      <c r="AD663" s="495"/>
      <c r="AE663" s="496"/>
      <c r="AF663" s="531"/>
      <c r="AG663" s="491"/>
      <c r="AH663" s="525"/>
      <c r="AI663" s="491"/>
      <c r="AJ663" s="446"/>
      <c r="AK663" s="491"/>
      <c r="AL663" s="500"/>
      <c r="AM663" s="436"/>
      <c r="AN663" s="438"/>
      <c r="AO663" s="531"/>
      <c r="AP663" s="491"/>
      <c r="AQ663" s="438"/>
      <c r="AR663" s="438"/>
      <c r="AS663" s="438"/>
      <c r="AT663" s="448"/>
      <c r="AU663" s="449"/>
      <c r="AV663" s="438"/>
      <c r="AW663" s="438"/>
      <c r="AX663" s="450"/>
    </row>
    <row r="664">
      <c r="A664" s="435"/>
      <c r="B664" s="485"/>
      <c r="C664" s="486"/>
      <c r="D664" s="486"/>
      <c r="E664" s="486"/>
      <c r="F664" s="528"/>
      <c r="G664" s="486"/>
      <c r="H664" s="486"/>
      <c r="I664" s="491"/>
      <c r="J664" s="491"/>
      <c r="K664" s="491"/>
      <c r="L664" s="491"/>
      <c r="M664" s="486"/>
      <c r="N664" s="422"/>
      <c r="O664" s="422"/>
      <c r="P664" s="422"/>
      <c r="Q664" s="486"/>
      <c r="R664" s="491"/>
      <c r="S664" s="491"/>
      <c r="T664" s="491"/>
      <c r="U664" s="491"/>
      <c r="V664" s="491"/>
      <c r="W664" s="493"/>
      <c r="X664" s="486"/>
      <c r="Y664" s="442"/>
      <c r="Z664" s="491"/>
      <c r="AA664" s="524"/>
      <c r="AB664" s="494"/>
      <c r="AC664" s="436"/>
      <c r="AD664" s="495"/>
      <c r="AE664" s="496"/>
      <c r="AF664" s="531"/>
      <c r="AG664" s="491"/>
      <c r="AH664" s="525"/>
      <c r="AI664" s="491"/>
      <c r="AJ664" s="446"/>
      <c r="AK664" s="491"/>
      <c r="AL664" s="500"/>
      <c r="AM664" s="436"/>
      <c r="AN664" s="438"/>
      <c r="AO664" s="531"/>
      <c r="AP664" s="491"/>
      <c r="AQ664" s="438"/>
      <c r="AR664" s="438"/>
      <c r="AS664" s="438"/>
      <c r="AT664" s="448"/>
      <c r="AU664" s="452"/>
      <c r="AV664" s="438"/>
      <c r="AW664" s="438"/>
      <c r="AX664" s="450"/>
    </row>
    <row r="665">
      <c r="A665" s="435"/>
      <c r="B665" s="485"/>
      <c r="C665" s="486"/>
      <c r="D665" s="486"/>
      <c r="E665" s="486"/>
      <c r="F665" s="528"/>
      <c r="G665" s="486"/>
      <c r="H665" s="486"/>
      <c r="I665" s="491"/>
      <c r="J665" s="491"/>
      <c r="K665" s="491"/>
      <c r="L665" s="491"/>
      <c r="M665" s="486"/>
      <c r="N665" s="422"/>
      <c r="O665" s="422"/>
      <c r="P665" s="422"/>
      <c r="Q665" s="486"/>
      <c r="R665" s="491"/>
      <c r="S665" s="491"/>
      <c r="T665" s="491"/>
      <c r="U665" s="491"/>
      <c r="V665" s="491"/>
      <c r="W665" s="493"/>
      <c r="X665" s="486"/>
      <c r="Y665" s="442"/>
      <c r="Z665" s="491"/>
      <c r="AA665" s="524"/>
      <c r="AB665" s="494"/>
      <c r="AC665" s="436"/>
      <c r="AD665" s="495"/>
      <c r="AE665" s="496"/>
      <c r="AF665" s="531"/>
      <c r="AG665" s="491"/>
      <c r="AH665" s="525"/>
      <c r="AI665" s="491"/>
      <c r="AJ665" s="446"/>
      <c r="AK665" s="491"/>
      <c r="AL665" s="500"/>
      <c r="AM665" s="436"/>
      <c r="AN665" s="438"/>
      <c r="AO665" s="531"/>
      <c r="AP665" s="491"/>
      <c r="AQ665" s="438"/>
      <c r="AR665" s="438"/>
      <c r="AS665" s="438"/>
      <c r="AT665" s="448"/>
      <c r="AU665" s="449"/>
      <c r="AV665" s="438"/>
      <c r="AW665" s="438"/>
      <c r="AX665" s="450"/>
    </row>
    <row r="666">
      <c r="A666" s="435"/>
      <c r="B666" s="485"/>
      <c r="C666" s="486"/>
      <c r="D666" s="486"/>
      <c r="E666" s="486"/>
      <c r="F666" s="528"/>
      <c r="G666" s="486"/>
      <c r="H666" s="486"/>
      <c r="I666" s="491"/>
      <c r="J666" s="491"/>
      <c r="K666" s="491"/>
      <c r="L666" s="491"/>
      <c r="M666" s="486"/>
      <c r="N666" s="422"/>
      <c r="O666" s="422"/>
      <c r="P666" s="422"/>
      <c r="Q666" s="486"/>
      <c r="R666" s="491"/>
      <c r="S666" s="491"/>
      <c r="T666" s="491"/>
      <c r="U666" s="491"/>
      <c r="V666" s="491"/>
      <c r="W666" s="493"/>
      <c r="X666" s="486"/>
      <c r="Y666" s="442"/>
      <c r="Z666" s="491"/>
      <c r="AA666" s="524"/>
      <c r="AB666" s="494"/>
      <c r="AC666" s="436"/>
      <c r="AD666" s="495"/>
      <c r="AE666" s="496"/>
      <c r="AF666" s="531"/>
      <c r="AG666" s="491"/>
      <c r="AH666" s="525"/>
      <c r="AI666" s="491"/>
      <c r="AJ666" s="446"/>
      <c r="AK666" s="491"/>
      <c r="AL666" s="500"/>
      <c r="AM666" s="436"/>
      <c r="AN666" s="438"/>
      <c r="AO666" s="531"/>
      <c r="AP666" s="491"/>
      <c r="AQ666" s="438"/>
      <c r="AR666" s="438"/>
      <c r="AS666" s="438"/>
      <c r="AT666" s="448"/>
      <c r="AU666" s="452"/>
      <c r="AV666" s="438"/>
      <c r="AW666" s="438"/>
      <c r="AX666" s="450"/>
    </row>
    <row r="667">
      <c r="A667" s="435"/>
      <c r="B667" s="485"/>
      <c r="C667" s="486"/>
      <c r="D667" s="486"/>
      <c r="E667" s="486"/>
      <c r="F667" s="528"/>
      <c r="G667" s="486"/>
      <c r="H667" s="486"/>
      <c r="I667" s="491"/>
      <c r="J667" s="491"/>
      <c r="K667" s="491"/>
      <c r="L667" s="491"/>
      <c r="M667" s="486"/>
      <c r="N667" s="422"/>
      <c r="O667" s="422"/>
      <c r="P667" s="422"/>
      <c r="Q667" s="486"/>
      <c r="R667" s="491"/>
      <c r="S667" s="491"/>
      <c r="T667" s="491"/>
      <c r="U667" s="491"/>
      <c r="V667" s="491"/>
      <c r="W667" s="493"/>
      <c r="X667" s="486"/>
      <c r="Y667" s="442"/>
      <c r="Z667" s="491"/>
      <c r="AA667" s="524"/>
      <c r="AB667" s="494"/>
      <c r="AC667" s="436"/>
      <c r="AD667" s="495"/>
      <c r="AE667" s="496"/>
      <c r="AF667" s="531"/>
      <c r="AG667" s="491"/>
      <c r="AH667" s="525"/>
      <c r="AI667" s="491"/>
      <c r="AJ667" s="446"/>
      <c r="AK667" s="491"/>
      <c r="AL667" s="500"/>
      <c r="AM667" s="436"/>
      <c r="AN667" s="438"/>
      <c r="AO667" s="531"/>
      <c r="AP667" s="491"/>
      <c r="AQ667" s="438"/>
      <c r="AR667" s="438"/>
      <c r="AS667" s="438"/>
      <c r="AT667" s="448"/>
      <c r="AU667" s="449"/>
      <c r="AV667" s="438"/>
      <c r="AW667" s="438"/>
      <c r="AX667" s="450"/>
    </row>
    <row r="668">
      <c r="A668" s="435"/>
      <c r="B668" s="485"/>
      <c r="C668" s="486"/>
      <c r="D668" s="486"/>
      <c r="E668" s="486"/>
      <c r="F668" s="528"/>
      <c r="G668" s="486"/>
      <c r="H668" s="486"/>
      <c r="I668" s="491"/>
      <c r="J668" s="491"/>
      <c r="K668" s="491"/>
      <c r="L668" s="491"/>
      <c r="M668" s="486"/>
      <c r="N668" s="422"/>
      <c r="O668" s="422"/>
      <c r="P668" s="422"/>
      <c r="Q668" s="486"/>
      <c r="R668" s="491"/>
      <c r="S668" s="491"/>
      <c r="T668" s="491"/>
      <c r="U668" s="491"/>
      <c r="V668" s="491"/>
      <c r="W668" s="493"/>
      <c r="X668" s="486"/>
      <c r="Y668" s="442"/>
      <c r="Z668" s="491"/>
      <c r="AA668" s="524"/>
      <c r="AB668" s="494"/>
      <c r="AC668" s="436"/>
      <c r="AD668" s="495"/>
      <c r="AE668" s="496"/>
      <c r="AF668" s="531"/>
      <c r="AG668" s="491"/>
      <c r="AH668" s="525"/>
      <c r="AI668" s="491"/>
      <c r="AJ668" s="446"/>
      <c r="AK668" s="491"/>
      <c r="AL668" s="500"/>
      <c r="AM668" s="436"/>
      <c r="AN668" s="438"/>
      <c r="AO668" s="531"/>
      <c r="AP668" s="491"/>
      <c r="AQ668" s="438"/>
      <c r="AR668" s="438"/>
      <c r="AS668" s="438"/>
      <c r="AT668" s="448"/>
      <c r="AU668" s="452"/>
      <c r="AV668" s="438"/>
      <c r="AW668" s="438"/>
      <c r="AX668" s="450"/>
    </row>
    <row r="669">
      <c r="A669" s="435"/>
      <c r="B669" s="485"/>
      <c r="C669" s="486"/>
      <c r="D669" s="486"/>
      <c r="E669" s="486"/>
      <c r="F669" s="528"/>
      <c r="G669" s="486"/>
      <c r="H669" s="486"/>
      <c r="I669" s="491"/>
      <c r="J669" s="491"/>
      <c r="K669" s="491"/>
      <c r="L669" s="491"/>
      <c r="M669" s="486"/>
      <c r="N669" s="422"/>
      <c r="O669" s="422"/>
      <c r="P669" s="422"/>
      <c r="Q669" s="486"/>
      <c r="R669" s="491"/>
      <c r="S669" s="491"/>
      <c r="T669" s="491"/>
      <c r="U669" s="491"/>
      <c r="V669" s="491"/>
      <c r="W669" s="493"/>
      <c r="X669" s="486"/>
      <c r="Y669" s="442"/>
      <c r="Z669" s="491"/>
      <c r="AA669" s="524"/>
      <c r="AB669" s="494"/>
      <c r="AC669" s="436"/>
      <c r="AD669" s="495"/>
      <c r="AE669" s="496"/>
      <c r="AF669" s="531"/>
      <c r="AG669" s="491"/>
      <c r="AH669" s="525"/>
      <c r="AI669" s="491"/>
      <c r="AJ669" s="446"/>
      <c r="AK669" s="491"/>
      <c r="AL669" s="500"/>
      <c r="AM669" s="436"/>
      <c r="AN669" s="438"/>
      <c r="AO669" s="531"/>
      <c r="AP669" s="491"/>
      <c r="AQ669" s="438"/>
      <c r="AR669" s="438"/>
      <c r="AS669" s="438"/>
      <c r="AT669" s="448"/>
      <c r="AU669" s="449"/>
      <c r="AV669" s="438"/>
      <c r="AW669" s="438"/>
      <c r="AX669" s="450"/>
    </row>
    <row r="670">
      <c r="A670" s="435"/>
      <c r="B670" s="485"/>
      <c r="C670" s="486"/>
      <c r="D670" s="486"/>
      <c r="E670" s="486"/>
      <c r="F670" s="528"/>
      <c r="G670" s="486"/>
      <c r="H670" s="486"/>
      <c r="I670" s="491"/>
      <c r="J670" s="491"/>
      <c r="K670" s="491"/>
      <c r="L670" s="491"/>
      <c r="M670" s="486"/>
      <c r="N670" s="422"/>
      <c r="O670" s="422"/>
      <c r="P670" s="422"/>
      <c r="Q670" s="486"/>
      <c r="R670" s="491"/>
      <c r="S670" s="491"/>
      <c r="T670" s="491"/>
      <c r="U670" s="491"/>
      <c r="V670" s="491"/>
      <c r="W670" s="493"/>
      <c r="X670" s="486"/>
      <c r="Y670" s="442"/>
      <c r="Z670" s="491"/>
      <c r="AA670" s="524"/>
      <c r="AB670" s="494"/>
      <c r="AC670" s="436"/>
      <c r="AD670" s="495"/>
      <c r="AE670" s="496"/>
      <c r="AF670" s="531"/>
      <c r="AG670" s="491"/>
      <c r="AH670" s="525"/>
      <c r="AI670" s="491"/>
      <c r="AJ670" s="446"/>
      <c r="AK670" s="491"/>
      <c r="AL670" s="500"/>
      <c r="AM670" s="436"/>
      <c r="AN670" s="438"/>
      <c r="AO670" s="531"/>
      <c r="AP670" s="491"/>
      <c r="AQ670" s="438"/>
      <c r="AR670" s="438"/>
      <c r="AS670" s="438"/>
      <c r="AT670" s="448"/>
      <c r="AU670" s="452"/>
      <c r="AV670" s="438"/>
      <c r="AW670" s="438"/>
      <c r="AX670" s="450"/>
    </row>
    <row r="671">
      <c r="A671" s="435"/>
      <c r="B671" s="485"/>
      <c r="C671" s="486"/>
      <c r="D671" s="486"/>
      <c r="E671" s="486"/>
      <c r="F671" s="528"/>
      <c r="G671" s="486"/>
      <c r="H671" s="486"/>
      <c r="I671" s="491"/>
      <c r="J671" s="491"/>
      <c r="K671" s="491"/>
      <c r="L671" s="491"/>
      <c r="M671" s="486"/>
      <c r="N671" s="422"/>
      <c r="O671" s="422"/>
      <c r="P671" s="422"/>
      <c r="Q671" s="486"/>
      <c r="R671" s="491"/>
      <c r="S671" s="491"/>
      <c r="T671" s="491"/>
      <c r="U671" s="491"/>
      <c r="V671" s="491"/>
      <c r="W671" s="493"/>
      <c r="X671" s="486"/>
      <c r="Y671" s="442"/>
      <c r="Z671" s="491"/>
      <c r="AA671" s="524"/>
      <c r="AB671" s="494"/>
      <c r="AC671" s="436"/>
      <c r="AD671" s="495"/>
      <c r="AE671" s="496"/>
      <c r="AF671" s="531"/>
      <c r="AG671" s="491"/>
      <c r="AH671" s="525"/>
      <c r="AI671" s="491"/>
      <c r="AJ671" s="446"/>
      <c r="AK671" s="491"/>
      <c r="AL671" s="500"/>
      <c r="AM671" s="436"/>
      <c r="AN671" s="438"/>
      <c r="AO671" s="531"/>
      <c r="AP671" s="491"/>
      <c r="AQ671" s="438"/>
      <c r="AR671" s="438"/>
      <c r="AS671" s="438"/>
      <c r="AT671" s="448"/>
      <c r="AU671" s="449"/>
      <c r="AV671" s="438"/>
      <c r="AW671" s="438"/>
      <c r="AX671" s="450"/>
    </row>
    <row r="672">
      <c r="A672" s="435"/>
      <c r="B672" s="485"/>
      <c r="C672" s="486"/>
      <c r="D672" s="486"/>
      <c r="E672" s="486"/>
      <c r="F672" s="528"/>
      <c r="G672" s="486"/>
      <c r="H672" s="486"/>
      <c r="I672" s="491"/>
      <c r="J672" s="491"/>
      <c r="K672" s="491"/>
      <c r="L672" s="491"/>
      <c r="M672" s="486"/>
      <c r="N672" s="422"/>
      <c r="O672" s="422"/>
      <c r="P672" s="422"/>
      <c r="Q672" s="486"/>
      <c r="R672" s="491"/>
      <c r="S672" s="491"/>
      <c r="T672" s="491"/>
      <c r="U672" s="491"/>
      <c r="V672" s="491"/>
      <c r="W672" s="493"/>
      <c r="X672" s="486"/>
      <c r="Y672" s="442"/>
      <c r="Z672" s="491"/>
      <c r="AA672" s="524"/>
      <c r="AB672" s="494"/>
      <c r="AC672" s="436"/>
      <c r="AD672" s="495"/>
      <c r="AE672" s="496"/>
      <c r="AF672" s="531"/>
      <c r="AG672" s="491"/>
      <c r="AH672" s="525"/>
      <c r="AI672" s="491"/>
      <c r="AJ672" s="446"/>
      <c r="AK672" s="491"/>
      <c r="AL672" s="500"/>
      <c r="AM672" s="436"/>
      <c r="AN672" s="438"/>
      <c r="AO672" s="531"/>
      <c r="AP672" s="491"/>
      <c r="AQ672" s="438"/>
      <c r="AR672" s="438"/>
      <c r="AS672" s="438"/>
      <c r="AT672" s="448"/>
      <c r="AU672" s="452"/>
      <c r="AV672" s="438"/>
      <c r="AW672" s="438"/>
      <c r="AX672" s="450"/>
    </row>
    <row r="673">
      <c r="A673" s="435"/>
      <c r="B673" s="485"/>
      <c r="C673" s="486"/>
      <c r="D673" s="486"/>
      <c r="E673" s="486"/>
      <c r="F673" s="528"/>
      <c r="G673" s="486"/>
      <c r="H673" s="486"/>
      <c r="I673" s="491"/>
      <c r="J673" s="491"/>
      <c r="K673" s="491"/>
      <c r="L673" s="491"/>
      <c r="M673" s="486"/>
      <c r="N673" s="422"/>
      <c r="O673" s="422"/>
      <c r="P673" s="422"/>
      <c r="Q673" s="486"/>
      <c r="R673" s="491"/>
      <c r="S673" s="491"/>
      <c r="T673" s="491"/>
      <c r="U673" s="491"/>
      <c r="V673" s="491"/>
      <c r="W673" s="493"/>
      <c r="X673" s="486"/>
      <c r="Y673" s="442"/>
      <c r="Z673" s="491"/>
      <c r="AA673" s="524"/>
      <c r="AB673" s="494"/>
      <c r="AC673" s="436"/>
      <c r="AD673" s="495"/>
      <c r="AE673" s="496"/>
      <c r="AF673" s="531"/>
      <c r="AG673" s="491"/>
      <c r="AH673" s="525"/>
      <c r="AI673" s="491"/>
      <c r="AJ673" s="446"/>
      <c r="AK673" s="491"/>
      <c r="AL673" s="500"/>
      <c r="AM673" s="436"/>
      <c r="AN673" s="438"/>
      <c r="AO673" s="531"/>
      <c r="AP673" s="491"/>
      <c r="AQ673" s="438"/>
      <c r="AR673" s="438"/>
      <c r="AS673" s="438"/>
      <c r="AT673" s="448"/>
      <c r="AU673" s="449"/>
      <c r="AV673" s="438"/>
      <c r="AW673" s="438"/>
      <c r="AX673" s="450"/>
    </row>
    <row r="674">
      <c r="A674" s="435"/>
      <c r="B674" s="485"/>
      <c r="C674" s="486"/>
      <c r="D674" s="486"/>
      <c r="E674" s="486"/>
      <c r="F674" s="528"/>
      <c r="G674" s="486"/>
      <c r="H674" s="486"/>
      <c r="I674" s="491"/>
      <c r="J674" s="491"/>
      <c r="K674" s="491"/>
      <c r="L674" s="491"/>
      <c r="M674" s="486"/>
      <c r="N674" s="422"/>
      <c r="O674" s="422"/>
      <c r="P674" s="422"/>
      <c r="Q674" s="486"/>
      <c r="R674" s="491"/>
      <c r="S674" s="491"/>
      <c r="T674" s="491"/>
      <c r="U674" s="491"/>
      <c r="V674" s="491"/>
      <c r="W674" s="493"/>
      <c r="X674" s="486"/>
      <c r="Y674" s="442"/>
      <c r="Z674" s="491"/>
      <c r="AA674" s="524"/>
      <c r="AB674" s="494"/>
      <c r="AC674" s="436"/>
      <c r="AD674" s="495"/>
      <c r="AE674" s="496"/>
      <c r="AF674" s="531"/>
      <c r="AG674" s="491"/>
      <c r="AH674" s="525"/>
      <c r="AI674" s="491"/>
      <c r="AJ674" s="446"/>
      <c r="AK674" s="491"/>
      <c r="AL674" s="500"/>
      <c r="AM674" s="436"/>
      <c r="AN674" s="438"/>
      <c r="AO674" s="531"/>
      <c r="AP674" s="491"/>
      <c r="AQ674" s="438"/>
      <c r="AR674" s="438"/>
      <c r="AS674" s="438"/>
      <c r="AT674" s="448"/>
      <c r="AU674" s="452"/>
      <c r="AV674" s="438"/>
      <c r="AW674" s="438"/>
      <c r="AX674" s="450"/>
    </row>
    <row r="675">
      <c r="A675" s="435"/>
      <c r="B675" s="485"/>
      <c r="C675" s="486"/>
      <c r="D675" s="486"/>
      <c r="E675" s="486"/>
      <c r="F675" s="528"/>
      <c r="G675" s="486"/>
      <c r="H675" s="486"/>
      <c r="I675" s="491"/>
      <c r="J675" s="491"/>
      <c r="K675" s="491"/>
      <c r="L675" s="491"/>
      <c r="M675" s="486"/>
      <c r="N675" s="422"/>
      <c r="O675" s="422"/>
      <c r="P675" s="422"/>
      <c r="Q675" s="486"/>
      <c r="R675" s="491"/>
      <c r="S675" s="491"/>
      <c r="T675" s="491"/>
      <c r="U675" s="491"/>
      <c r="V675" s="491"/>
      <c r="W675" s="493"/>
      <c r="X675" s="486"/>
      <c r="Y675" s="442"/>
      <c r="Z675" s="491"/>
      <c r="AA675" s="524"/>
      <c r="AB675" s="494"/>
      <c r="AC675" s="436"/>
      <c r="AD675" s="495"/>
      <c r="AE675" s="496"/>
      <c r="AF675" s="531"/>
      <c r="AG675" s="491"/>
      <c r="AH675" s="525"/>
      <c r="AI675" s="491"/>
      <c r="AJ675" s="446"/>
      <c r="AK675" s="491"/>
      <c r="AL675" s="500"/>
      <c r="AM675" s="436"/>
      <c r="AN675" s="438"/>
      <c r="AO675" s="531"/>
      <c r="AP675" s="491"/>
      <c r="AQ675" s="438"/>
      <c r="AR675" s="438"/>
      <c r="AS675" s="438"/>
      <c r="AT675" s="448"/>
      <c r="AU675" s="449"/>
      <c r="AV675" s="438"/>
      <c r="AW675" s="438"/>
      <c r="AX675" s="450"/>
    </row>
    <row r="676">
      <c r="A676" s="435"/>
      <c r="B676" s="485"/>
      <c r="C676" s="486"/>
      <c r="D676" s="486"/>
      <c r="E676" s="486"/>
      <c r="F676" s="528"/>
      <c r="G676" s="486"/>
      <c r="H676" s="486"/>
      <c r="I676" s="491"/>
      <c r="J676" s="491"/>
      <c r="K676" s="491"/>
      <c r="L676" s="491"/>
      <c r="M676" s="486"/>
      <c r="N676" s="422"/>
      <c r="O676" s="422"/>
      <c r="P676" s="422"/>
      <c r="Q676" s="486"/>
      <c r="R676" s="491"/>
      <c r="S676" s="491"/>
      <c r="T676" s="491"/>
      <c r="U676" s="491"/>
      <c r="V676" s="491"/>
      <c r="W676" s="493"/>
      <c r="X676" s="486"/>
      <c r="Y676" s="442"/>
      <c r="Z676" s="491"/>
      <c r="AA676" s="524"/>
      <c r="AB676" s="494"/>
      <c r="AC676" s="436"/>
      <c r="AD676" s="495"/>
      <c r="AE676" s="496"/>
      <c r="AF676" s="531"/>
      <c r="AG676" s="491"/>
      <c r="AH676" s="525"/>
      <c r="AI676" s="491"/>
      <c r="AJ676" s="446"/>
      <c r="AK676" s="491"/>
      <c r="AL676" s="500"/>
      <c r="AM676" s="436"/>
      <c r="AN676" s="438"/>
      <c r="AO676" s="531"/>
      <c r="AP676" s="491"/>
      <c r="AQ676" s="438"/>
      <c r="AR676" s="438"/>
      <c r="AS676" s="438"/>
      <c r="AT676" s="448"/>
      <c r="AU676" s="452"/>
      <c r="AV676" s="438"/>
      <c r="AW676" s="438"/>
      <c r="AX676" s="450"/>
    </row>
    <row r="677">
      <c r="A677" s="435"/>
      <c r="B677" s="485"/>
      <c r="C677" s="486"/>
      <c r="D677" s="486"/>
      <c r="E677" s="486"/>
      <c r="F677" s="528"/>
      <c r="G677" s="486"/>
      <c r="H677" s="486"/>
      <c r="I677" s="491"/>
      <c r="J677" s="491"/>
      <c r="K677" s="491"/>
      <c r="L677" s="491"/>
      <c r="M677" s="486"/>
      <c r="N677" s="422"/>
      <c r="O677" s="422"/>
      <c r="P677" s="422"/>
      <c r="Q677" s="486"/>
      <c r="R677" s="491"/>
      <c r="S677" s="491"/>
      <c r="T677" s="491"/>
      <c r="U677" s="491"/>
      <c r="V677" s="491"/>
      <c r="W677" s="493"/>
      <c r="X677" s="486"/>
      <c r="Y677" s="442"/>
      <c r="Z677" s="491"/>
      <c r="AA677" s="524"/>
      <c r="AB677" s="494"/>
      <c r="AC677" s="436"/>
      <c r="AD677" s="495"/>
      <c r="AE677" s="496"/>
      <c r="AF677" s="531"/>
      <c r="AG677" s="491"/>
      <c r="AH677" s="525"/>
      <c r="AI677" s="491"/>
      <c r="AJ677" s="446"/>
      <c r="AK677" s="491"/>
      <c r="AL677" s="500"/>
      <c r="AM677" s="436"/>
      <c r="AN677" s="438"/>
      <c r="AO677" s="531"/>
      <c r="AP677" s="491"/>
      <c r="AQ677" s="438"/>
      <c r="AR677" s="438"/>
      <c r="AS677" s="438"/>
      <c r="AT677" s="448"/>
      <c r="AU677" s="449"/>
      <c r="AV677" s="438"/>
      <c r="AW677" s="438"/>
      <c r="AX677" s="450"/>
    </row>
    <row r="678">
      <c r="A678" s="435"/>
      <c r="B678" s="485"/>
      <c r="C678" s="486"/>
      <c r="D678" s="486"/>
      <c r="E678" s="486"/>
      <c r="F678" s="528"/>
      <c r="G678" s="486"/>
      <c r="H678" s="486"/>
      <c r="I678" s="491"/>
      <c r="J678" s="491"/>
      <c r="K678" s="491"/>
      <c r="L678" s="491"/>
      <c r="M678" s="486"/>
      <c r="N678" s="422"/>
      <c r="O678" s="422"/>
      <c r="P678" s="422"/>
      <c r="Q678" s="486"/>
      <c r="R678" s="491"/>
      <c r="S678" s="491"/>
      <c r="T678" s="491"/>
      <c r="U678" s="491"/>
      <c r="V678" s="491"/>
      <c r="W678" s="493"/>
      <c r="X678" s="486"/>
      <c r="Y678" s="442"/>
      <c r="Z678" s="491"/>
      <c r="AA678" s="524"/>
      <c r="AB678" s="494"/>
      <c r="AC678" s="436"/>
      <c r="AD678" s="495"/>
      <c r="AE678" s="496"/>
      <c r="AF678" s="531"/>
      <c r="AG678" s="491"/>
      <c r="AH678" s="525"/>
      <c r="AI678" s="491"/>
      <c r="AJ678" s="446"/>
      <c r="AK678" s="491"/>
      <c r="AL678" s="500"/>
      <c r="AM678" s="436"/>
      <c r="AN678" s="438"/>
      <c r="AO678" s="531"/>
      <c r="AP678" s="491"/>
      <c r="AQ678" s="438"/>
      <c r="AR678" s="438"/>
      <c r="AS678" s="438"/>
      <c r="AT678" s="448"/>
      <c r="AU678" s="452"/>
      <c r="AV678" s="438"/>
      <c r="AW678" s="438"/>
      <c r="AX678" s="450"/>
    </row>
    <row r="679">
      <c r="A679" s="435"/>
      <c r="B679" s="485"/>
      <c r="C679" s="486"/>
      <c r="D679" s="486"/>
      <c r="E679" s="486"/>
      <c r="F679" s="528"/>
      <c r="G679" s="486"/>
      <c r="H679" s="486"/>
      <c r="I679" s="491"/>
      <c r="J679" s="491"/>
      <c r="K679" s="491"/>
      <c r="L679" s="491"/>
      <c r="M679" s="486"/>
      <c r="N679" s="422"/>
      <c r="O679" s="422"/>
      <c r="P679" s="422"/>
      <c r="Q679" s="486"/>
      <c r="R679" s="491"/>
      <c r="S679" s="491"/>
      <c r="T679" s="491"/>
      <c r="U679" s="491"/>
      <c r="V679" s="491"/>
      <c r="W679" s="493"/>
      <c r="X679" s="486"/>
      <c r="Y679" s="442"/>
      <c r="Z679" s="491"/>
      <c r="AA679" s="524"/>
      <c r="AB679" s="494"/>
      <c r="AC679" s="436"/>
      <c r="AD679" s="495"/>
      <c r="AE679" s="496"/>
      <c r="AF679" s="531"/>
      <c r="AG679" s="491"/>
      <c r="AH679" s="525"/>
      <c r="AI679" s="491"/>
      <c r="AJ679" s="446"/>
      <c r="AK679" s="491"/>
      <c r="AL679" s="500"/>
      <c r="AM679" s="436"/>
      <c r="AN679" s="438"/>
      <c r="AO679" s="531"/>
      <c r="AP679" s="491"/>
      <c r="AQ679" s="438"/>
      <c r="AR679" s="438"/>
      <c r="AS679" s="438"/>
      <c r="AT679" s="448"/>
      <c r="AU679" s="449"/>
      <c r="AV679" s="438"/>
      <c r="AW679" s="438"/>
      <c r="AX679" s="450"/>
    </row>
    <row r="680">
      <c r="A680" s="435"/>
      <c r="B680" s="485"/>
      <c r="C680" s="486"/>
      <c r="D680" s="486"/>
      <c r="E680" s="486"/>
      <c r="F680" s="528"/>
      <c r="G680" s="486"/>
      <c r="H680" s="486"/>
      <c r="I680" s="491"/>
      <c r="J680" s="491"/>
      <c r="K680" s="491"/>
      <c r="L680" s="491"/>
      <c r="M680" s="486"/>
      <c r="N680" s="422"/>
      <c r="O680" s="422"/>
      <c r="P680" s="422"/>
      <c r="Q680" s="486"/>
      <c r="R680" s="491"/>
      <c r="S680" s="491"/>
      <c r="T680" s="491"/>
      <c r="U680" s="491"/>
      <c r="V680" s="491"/>
      <c r="W680" s="493"/>
      <c r="X680" s="486"/>
      <c r="Y680" s="442"/>
      <c r="Z680" s="491"/>
      <c r="AA680" s="524"/>
      <c r="AB680" s="494"/>
      <c r="AC680" s="436"/>
      <c r="AD680" s="495"/>
      <c r="AE680" s="496"/>
      <c r="AF680" s="531"/>
      <c r="AG680" s="491"/>
      <c r="AH680" s="525"/>
      <c r="AI680" s="491"/>
      <c r="AJ680" s="446"/>
      <c r="AK680" s="491"/>
      <c r="AL680" s="500"/>
      <c r="AM680" s="436"/>
      <c r="AN680" s="438"/>
      <c r="AO680" s="531"/>
      <c r="AP680" s="491"/>
      <c r="AQ680" s="438"/>
      <c r="AR680" s="438"/>
      <c r="AS680" s="438"/>
      <c r="AT680" s="448"/>
      <c r="AU680" s="452"/>
      <c r="AV680" s="438"/>
      <c r="AW680" s="438"/>
      <c r="AX680" s="450"/>
    </row>
    <row r="681">
      <c r="A681" s="435"/>
      <c r="B681" s="485"/>
      <c r="C681" s="486"/>
      <c r="D681" s="486"/>
      <c r="E681" s="486"/>
      <c r="F681" s="528"/>
      <c r="G681" s="486"/>
      <c r="H681" s="486"/>
      <c r="I681" s="491"/>
      <c r="J681" s="491"/>
      <c r="K681" s="491"/>
      <c r="L681" s="491"/>
      <c r="M681" s="486"/>
      <c r="N681" s="422"/>
      <c r="O681" s="422"/>
      <c r="P681" s="422"/>
      <c r="Q681" s="486"/>
      <c r="R681" s="491"/>
      <c r="S681" s="491"/>
      <c r="T681" s="491"/>
      <c r="U681" s="491"/>
      <c r="V681" s="491"/>
      <c r="W681" s="493"/>
      <c r="X681" s="486"/>
      <c r="Y681" s="442"/>
      <c r="Z681" s="491"/>
      <c r="AA681" s="524"/>
      <c r="AB681" s="494"/>
      <c r="AC681" s="436"/>
      <c r="AD681" s="495"/>
      <c r="AE681" s="496"/>
      <c r="AF681" s="531"/>
      <c r="AG681" s="491"/>
      <c r="AH681" s="525"/>
      <c r="AI681" s="491"/>
      <c r="AJ681" s="446"/>
      <c r="AK681" s="491"/>
      <c r="AL681" s="500"/>
      <c r="AM681" s="436"/>
      <c r="AN681" s="438"/>
      <c r="AO681" s="531"/>
      <c r="AP681" s="491"/>
      <c r="AQ681" s="438"/>
      <c r="AR681" s="438"/>
      <c r="AS681" s="438"/>
      <c r="AT681" s="448"/>
      <c r="AU681" s="449"/>
      <c r="AV681" s="438"/>
      <c r="AW681" s="438"/>
      <c r="AX681" s="450"/>
    </row>
    <row r="682">
      <c r="A682" s="435"/>
      <c r="B682" s="485"/>
      <c r="C682" s="486"/>
      <c r="D682" s="486"/>
      <c r="E682" s="486"/>
      <c r="F682" s="528"/>
      <c r="G682" s="486"/>
      <c r="H682" s="486"/>
      <c r="I682" s="491"/>
      <c r="J682" s="491"/>
      <c r="K682" s="491"/>
      <c r="L682" s="491"/>
      <c r="M682" s="486"/>
      <c r="N682" s="422"/>
      <c r="O682" s="422"/>
      <c r="P682" s="422"/>
      <c r="Q682" s="486"/>
      <c r="R682" s="491"/>
      <c r="S682" s="491"/>
      <c r="T682" s="491"/>
      <c r="U682" s="491"/>
      <c r="V682" s="491"/>
      <c r="W682" s="493"/>
      <c r="X682" s="486"/>
      <c r="Y682" s="442"/>
      <c r="Z682" s="491"/>
      <c r="AA682" s="524"/>
      <c r="AB682" s="494"/>
      <c r="AC682" s="436"/>
      <c r="AD682" s="495"/>
      <c r="AE682" s="496"/>
      <c r="AF682" s="531"/>
      <c r="AG682" s="491"/>
      <c r="AH682" s="525"/>
      <c r="AI682" s="491"/>
      <c r="AJ682" s="446"/>
      <c r="AK682" s="491"/>
      <c r="AL682" s="500"/>
      <c r="AM682" s="436"/>
      <c r="AN682" s="438"/>
      <c r="AO682" s="531"/>
      <c r="AP682" s="491"/>
      <c r="AQ682" s="438"/>
      <c r="AR682" s="438"/>
      <c r="AS682" s="438"/>
      <c r="AT682" s="448"/>
      <c r="AU682" s="452"/>
      <c r="AV682" s="438"/>
      <c r="AW682" s="438"/>
      <c r="AX682" s="450"/>
    </row>
    <row r="683">
      <c r="A683" s="435"/>
      <c r="B683" s="485"/>
      <c r="C683" s="486"/>
      <c r="D683" s="486"/>
      <c r="E683" s="486"/>
      <c r="F683" s="528"/>
      <c r="G683" s="486"/>
      <c r="H683" s="486"/>
      <c r="I683" s="491"/>
      <c r="J683" s="491"/>
      <c r="K683" s="491"/>
      <c r="L683" s="491"/>
      <c r="M683" s="486"/>
      <c r="N683" s="422"/>
      <c r="O683" s="422"/>
      <c r="P683" s="422"/>
      <c r="Q683" s="486"/>
      <c r="R683" s="491"/>
      <c r="S683" s="491"/>
      <c r="T683" s="491"/>
      <c r="U683" s="491"/>
      <c r="V683" s="491"/>
      <c r="W683" s="493"/>
      <c r="X683" s="486"/>
      <c r="Y683" s="442"/>
      <c r="Z683" s="491"/>
      <c r="AA683" s="524"/>
      <c r="AB683" s="494"/>
      <c r="AC683" s="436"/>
      <c r="AD683" s="495"/>
      <c r="AE683" s="496"/>
      <c r="AF683" s="531"/>
      <c r="AG683" s="491"/>
      <c r="AH683" s="525"/>
      <c r="AI683" s="491"/>
      <c r="AJ683" s="446"/>
      <c r="AK683" s="491"/>
      <c r="AL683" s="500"/>
      <c r="AM683" s="436"/>
      <c r="AN683" s="438"/>
      <c r="AO683" s="531"/>
      <c r="AP683" s="491"/>
      <c r="AQ683" s="438"/>
      <c r="AR683" s="438"/>
      <c r="AS683" s="438"/>
      <c r="AT683" s="448"/>
      <c r="AU683" s="449"/>
      <c r="AV683" s="438"/>
      <c r="AW683" s="438"/>
      <c r="AX683" s="450"/>
    </row>
    <row r="684">
      <c r="A684" s="435"/>
      <c r="B684" s="485"/>
      <c r="C684" s="486"/>
      <c r="D684" s="486"/>
      <c r="E684" s="486"/>
      <c r="F684" s="528"/>
      <c r="G684" s="486"/>
      <c r="H684" s="486"/>
      <c r="I684" s="491"/>
      <c r="J684" s="491"/>
      <c r="K684" s="491"/>
      <c r="L684" s="491"/>
      <c r="M684" s="486"/>
      <c r="N684" s="422"/>
      <c r="O684" s="422"/>
      <c r="P684" s="422"/>
      <c r="Q684" s="486"/>
      <c r="R684" s="491"/>
      <c r="S684" s="491"/>
      <c r="T684" s="491"/>
      <c r="U684" s="491"/>
      <c r="V684" s="491"/>
      <c r="W684" s="493"/>
      <c r="X684" s="486"/>
      <c r="Y684" s="442"/>
      <c r="Z684" s="491"/>
      <c r="AA684" s="524"/>
      <c r="AB684" s="494"/>
      <c r="AC684" s="436"/>
      <c r="AD684" s="495"/>
      <c r="AE684" s="496"/>
      <c r="AF684" s="531"/>
      <c r="AG684" s="491"/>
      <c r="AH684" s="525"/>
      <c r="AI684" s="491"/>
      <c r="AJ684" s="446"/>
      <c r="AK684" s="491"/>
      <c r="AL684" s="500"/>
      <c r="AM684" s="436"/>
      <c r="AN684" s="438"/>
      <c r="AO684" s="531"/>
      <c r="AP684" s="491"/>
      <c r="AQ684" s="438"/>
      <c r="AR684" s="438"/>
      <c r="AS684" s="438"/>
      <c r="AT684" s="448"/>
      <c r="AU684" s="452"/>
      <c r="AV684" s="438"/>
      <c r="AW684" s="438"/>
      <c r="AX684" s="450"/>
    </row>
    <row r="685">
      <c r="A685" s="435"/>
      <c r="B685" s="485"/>
      <c r="C685" s="486"/>
      <c r="D685" s="486"/>
      <c r="E685" s="486"/>
      <c r="F685" s="528"/>
      <c r="G685" s="486"/>
      <c r="H685" s="486"/>
      <c r="I685" s="491"/>
      <c r="J685" s="491"/>
      <c r="K685" s="491"/>
      <c r="L685" s="491"/>
      <c r="M685" s="486"/>
      <c r="N685" s="422"/>
      <c r="O685" s="422"/>
      <c r="P685" s="422"/>
      <c r="Q685" s="486"/>
      <c r="R685" s="491"/>
      <c r="S685" s="491"/>
      <c r="T685" s="491"/>
      <c r="U685" s="491"/>
      <c r="V685" s="491"/>
      <c r="W685" s="493"/>
      <c r="X685" s="486"/>
      <c r="Y685" s="442"/>
      <c r="Z685" s="491"/>
      <c r="AA685" s="524"/>
      <c r="AB685" s="494"/>
      <c r="AC685" s="436"/>
      <c r="AD685" s="495"/>
      <c r="AE685" s="496"/>
      <c r="AF685" s="531"/>
      <c r="AG685" s="491"/>
      <c r="AH685" s="525"/>
      <c r="AI685" s="491"/>
      <c r="AJ685" s="446"/>
      <c r="AK685" s="491"/>
      <c r="AL685" s="500"/>
      <c r="AM685" s="436"/>
      <c r="AN685" s="438"/>
      <c r="AO685" s="531"/>
      <c r="AP685" s="491"/>
      <c r="AQ685" s="438"/>
      <c r="AR685" s="438"/>
      <c r="AS685" s="438"/>
      <c r="AT685" s="448"/>
      <c r="AU685" s="449"/>
      <c r="AV685" s="438"/>
      <c r="AW685" s="438"/>
      <c r="AX685" s="450"/>
    </row>
    <row r="686">
      <c r="A686" s="435"/>
      <c r="B686" s="485"/>
      <c r="C686" s="486"/>
      <c r="D686" s="486"/>
      <c r="E686" s="486"/>
      <c r="F686" s="528"/>
      <c r="G686" s="486"/>
      <c r="H686" s="486"/>
      <c r="I686" s="491"/>
      <c r="J686" s="491"/>
      <c r="K686" s="491"/>
      <c r="L686" s="491"/>
      <c r="M686" s="486"/>
      <c r="N686" s="422"/>
      <c r="O686" s="422"/>
      <c r="P686" s="422"/>
      <c r="Q686" s="486"/>
      <c r="R686" s="491"/>
      <c r="S686" s="491"/>
      <c r="T686" s="491"/>
      <c r="U686" s="491"/>
      <c r="V686" s="491"/>
      <c r="W686" s="493"/>
      <c r="X686" s="486"/>
      <c r="Y686" s="442"/>
      <c r="Z686" s="491"/>
      <c r="AA686" s="524"/>
      <c r="AB686" s="494"/>
      <c r="AC686" s="436"/>
      <c r="AD686" s="495"/>
      <c r="AE686" s="496"/>
      <c r="AF686" s="531"/>
      <c r="AG686" s="491"/>
      <c r="AH686" s="525"/>
      <c r="AI686" s="491"/>
      <c r="AJ686" s="446"/>
      <c r="AK686" s="491"/>
      <c r="AL686" s="500"/>
      <c r="AM686" s="436"/>
      <c r="AN686" s="438"/>
      <c r="AO686" s="531"/>
      <c r="AP686" s="491"/>
      <c r="AQ686" s="438"/>
      <c r="AR686" s="438"/>
      <c r="AS686" s="438"/>
      <c r="AT686" s="448"/>
      <c r="AU686" s="452"/>
      <c r="AV686" s="438"/>
      <c r="AW686" s="438"/>
      <c r="AX686" s="450"/>
    </row>
    <row r="687">
      <c r="A687" s="435"/>
      <c r="B687" s="485"/>
      <c r="C687" s="486"/>
      <c r="D687" s="486"/>
      <c r="E687" s="486"/>
      <c r="F687" s="528"/>
      <c r="G687" s="486"/>
      <c r="H687" s="486"/>
      <c r="I687" s="491"/>
      <c r="J687" s="491"/>
      <c r="K687" s="491"/>
      <c r="L687" s="491"/>
      <c r="M687" s="486"/>
      <c r="N687" s="422"/>
      <c r="O687" s="422"/>
      <c r="P687" s="422"/>
      <c r="Q687" s="486"/>
      <c r="R687" s="491"/>
      <c r="S687" s="491"/>
      <c r="T687" s="491"/>
      <c r="U687" s="491"/>
      <c r="V687" s="491"/>
      <c r="W687" s="493"/>
      <c r="X687" s="486"/>
      <c r="Y687" s="442"/>
      <c r="Z687" s="491"/>
      <c r="AA687" s="524"/>
      <c r="AB687" s="494"/>
      <c r="AC687" s="436"/>
      <c r="AD687" s="495"/>
      <c r="AE687" s="496"/>
      <c r="AF687" s="531"/>
      <c r="AG687" s="491"/>
      <c r="AH687" s="525"/>
      <c r="AI687" s="491"/>
      <c r="AJ687" s="446"/>
      <c r="AK687" s="491"/>
      <c r="AL687" s="500"/>
      <c r="AM687" s="436"/>
      <c r="AN687" s="438"/>
      <c r="AO687" s="531"/>
      <c r="AP687" s="491"/>
      <c r="AQ687" s="438"/>
      <c r="AR687" s="438"/>
      <c r="AS687" s="438"/>
      <c r="AT687" s="448"/>
      <c r="AU687" s="449"/>
      <c r="AV687" s="438"/>
      <c r="AW687" s="438"/>
      <c r="AX687" s="450"/>
    </row>
    <row r="688">
      <c r="A688" s="435"/>
      <c r="B688" s="485"/>
      <c r="C688" s="486"/>
      <c r="D688" s="486"/>
      <c r="E688" s="486"/>
      <c r="F688" s="528"/>
      <c r="G688" s="486"/>
      <c r="H688" s="486"/>
      <c r="I688" s="491"/>
      <c r="J688" s="491"/>
      <c r="K688" s="491"/>
      <c r="L688" s="491"/>
      <c r="M688" s="486"/>
      <c r="N688" s="422"/>
      <c r="O688" s="422"/>
      <c r="P688" s="422"/>
      <c r="Q688" s="486"/>
      <c r="R688" s="491"/>
      <c r="S688" s="491"/>
      <c r="T688" s="491"/>
      <c r="U688" s="491"/>
      <c r="V688" s="491"/>
      <c r="W688" s="493"/>
      <c r="X688" s="486"/>
      <c r="Y688" s="442"/>
      <c r="Z688" s="491"/>
      <c r="AA688" s="524"/>
      <c r="AB688" s="494"/>
      <c r="AC688" s="436"/>
      <c r="AD688" s="495"/>
      <c r="AE688" s="496"/>
      <c r="AF688" s="531"/>
      <c r="AG688" s="491"/>
      <c r="AH688" s="525"/>
      <c r="AI688" s="491"/>
      <c r="AJ688" s="446"/>
      <c r="AK688" s="491"/>
      <c r="AL688" s="500"/>
      <c r="AM688" s="436"/>
      <c r="AN688" s="438"/>
      <c r="AO688" s="531"/>
      <c r="AP688" s="491"/>
      <c r="AQ688" s="438"/>
      <c r="AR688" s="438"/>
      <c r="AS688" s="438"/>
      <c r="AT688" s="448"/>
      <c r="AU688" s="452"/>
      <c r="AV688" s="438"/>
      <c r="AW688" s="438"/>
      <c r="AX688" s="450"/>
    </row>
    <row r="689">
      <c r="A689" s="435"/>
      <c r="B689" s="485"/>
      <c r="C689" s="486"/>
      <c r="D689" s="486"/>
      <c r="E689" s="486"/>
      <c r="F689" s="528"/>
      <c r="G689" s="486"/>
      <c r="H689" s="486"/>
      <c r="I689" s="491"/>
      <c r="J689" s="491"/>
      <c r="K689" s="491"/>
      <c r="L689" s="491"/>
      <c r="M689" s="486"/>
      <c r="N689" s="422"/>
      <c r="O689" s="422"/>
      <c r="P689" s="422"/>
      <c r="Q689" s="486"/>
      <c r="R689" s="491"/>
      <c r="S689" s="491"/>
      <c r="T689" s="491"/>
      <c r="U689" s="491"/>
      <c r="V689" s="491"/>
      <c r="W689" s="493"/>
      <c r="X689" s="486"/>
      <c r="Y689" s="442"/>
      <c r="Z689" s="491"/>
      <c r="AA689" s="524"/>
      <c r="AB689" s="494"/>
      <c r="AC689" s="436"/>
      <c r="AD689" s="495"/>
      <c r="AE689" s="496"/>
      <c r="AF689" s="531"/>
      <c r="AG689" s="491"/>
      <c r="AH689" s="525"/>
      <c r="AI689" s="491"/>
      <c r="AJ689" s="446"/>
      <c r="AK689" s="491"/>
      <c r="AL689" s="500"/>
      <c r="AM689" s="436"/>
      <c r="AN689" s="438"/>
      <c r="AO689" s="531"/>
      <c r="AP689" s="491"/>
      <c r="AQ689" s="438"/>
      <c r="AR689" s="438"/>
      <c r="AS689" s="438"/>
      <c r="AT689" s="448"/>
      <c r="AU689" s="449"/>
      <c r="AV689" s="438"/>
      <c r="AW689" s="438"/>
      <c r="AX689" s="450"/>
    </row>
    <row r="690">
      <c r="A690" s="435"/>
      <c r="B690" s="485"/>
      <c r="C690" s="486"/>
      <c r="D690" s="486"/>
      <c r="E690" s="486"/>
      <c r="F690" s="528"/>
      <c r="G690" s="486"/>
      <c r="H690" s="486"/>
      <c r="I690" s="491"/>
      <c r="J690" s="491"/>
      <c r="K690" s="491"/>
      <c r="L690" s="491"/>
      <c r="M690" s="486"/>
      <c r="N690" s="422"/>
      <c r="O690" s="422"/>
      <c r="P690" s="422"/>
      <c r="Q690" s="486"/>
      <c r="R690" s="491"/>
      <c r="S690" s="491"/>
      <c r="T690" s="491"/>
      <c r="U690" s="491"/>
      <c r="V690" s="491"/>
      <c r="W690" s="493"/>
      <c r="X690" s="486"/>
      <c r="Y690" s="442"/>
      <c r="Z690" s="491"/>
      <c r="AA690" s="524"/>
      <c r="AB690" s="494"/>
      <c r="AC690" s="436"/>
      <c r="AD690" s="495"/>
      <c r="AE690" s="496"/>
      <c r="AF690" s="531"/>
      <c r="AG690" s="491"/>
      <c r="AH690" s="525"/>
      <c r="AI690" s="491"/>
      <c r="AJ690" s="446"/>
      <c r="AK690" s="491"/>
      <c r="AL690" s="500"/>
      <c r="AM690" s="436"/>
      <c r="AN690" s="438"/>
      <c r="AO690" s="531"/>
      <c r="AP690" s="491"/>
      <c r="AQ690" s="438"/>
      <c r="AR690" s="438"/>
      <c r="AS690" s="438"/>
      <c r="AT690" s="448"/>
      <c r="AU690" s="452"/>
      <c r="AV690" s="438"/>
      <c r="AW690" s="438"/>
      <c r="AX690" s="450"/>
    </row>
    <row r="691">
      <c r="A691" s="435"/>
      <c r="B691" s="485"/>
      <c r="C691" s="486"/>
      <c r="D691" s="486"/>
      <c r="E691" s="486"/>
      <c r="F691" s="528"/>
      <c r="G691" s="486"/>
      <c r="H691" s="486"/>
      <c r="I691" s="491"/>
      <c r="J691" s="491"/>
      <c r="K691" s="491"/>
      <c r="L691" s="491"/>
      <c r="M691" s="486"/>
      <c r="N691" s="422"/>
      <c r="O691" s="422"/>
      <c r="P691" s="422"/>
      <c r="Q691" s="486"/>
      <c r="R691" s="491"/>
      <c r="S691" s="491"/>
      <c r="T691" s="491"/>
      <c r="U691" s="491"/>
      <c r="V691" s="491"/>
      <c r="W691" s="493"/>
      <c r="X691" s="486"/>
      <c r="Y691" s="442"/>
      <c r="Z691" s="491"/>
      <c r="AA691" s="524"/>
      <c r="AB691" s="494"/>
      <c r="AC691" s="436"/>
      <c r="AD691" s="495"/>
      <c r="AE691" s="496"/>
      <c r="AF691" s="531"/>
      <c r="AG691" s="491"/>
      <c r="AH691" s="525"/>
      <c r="AI691" s="491"/>
      <c r="AJ691" s="446"/>
      <c r="AK691" s="491"/>
      <c r="AL691" s="500"/>
      <c r="AM691" s="436"/>
      <c r="AN691" s="438"/>
      <c r="AO691" s="531"/>
      <c r="AP691" s="491"/>
      <c r="AQ691" s="438"/>
      <c r="AR691" s="438"/>
      <c r="AS691" s="438"/>
      <c r="AT691" s="448"/>
      <c r="AU691" s="449"/>
      <c r="AV691" s="438"/>
      <c r="AW691" s="438"/>
      <c r="AX691" s="450"/>
    </row>
    <row r="692">
      <c r="A692" s="435"/>
      <c r="B692" s="485"/>
      <c r="C692" s="486"/>
      <c r="D692" s="486"/>
      <c r="E692" s="486"/>
      <c r="F692" s="528"/>
      <c r="G692" s="486"/>
      <c r="H692" s="486"/>
      <c r="I692" s="491"/>
      <c r="J692" s="491"/>
      <c r="K692" s="491"/>
      <c r="L692" s="491"/>
      <c r="M692" s="486"/>
      <c r="N692" s="422"/>
      <c r="O692" s="422"/>
      <c r="P692" s="422"/>
      <c r="Q692" s="486"/>
      <c r="R692" s="491"/>
      <c r="S692" s="491"/>
      <c r="T692" s="491"/>
      <c r="U692" s="491"/>
      <c r="V692" s="491"/>
      <c r="W692" s="493"/>
      <c r="X692" s="486"/>
      <c r="Y692" s="442"/>
      <c r="Z692" s="491"/>
      <c r="AA692" s="524"/>
      <c r="AB692" s="494"/>
      <c r="AC692" s="436"/>
      <c r="AD692" s="495"/>
      <c r="AE692" s="496"/>
      <c r="AF692" s="531"/>
      <c r="AG692" s="491"/>
      <c r="AH692" s="525"/>
      <c r="AI692" s="491"/>
      <c r="AJ692" s="446"/>
      <c r="AK692" s="491"/>
      <c r="AL692" s="500"/>
      <c r="AM692" s="436"/>
      <c r="AN692" s="438"/>
      <c r="AO692" s="531"/>
      <c r="AP692" s="491"/>
      <c r="AQ692" s="438"/>
      <c r="AR692" s="438"/>
      <c r="AS692" s="438"/>
      <c r="AT692" s="448"/>
      <c r="AU692" s="452"/>
      <c r="AV692" s="438"/>
      <c r="AW692" s="438"/>
      <c r="AX692" s="450"/>
    </row>
    <row r="693">
      <c r="A693" s="435"/>
      <c r="B693" s="485"/>
      <c r="C693" s="486"/>
      <c r="D693" s="486"/>
      <c r="E693" s="486"/>
      <c r="F693" s="528"/>
      <c r="G693" s="486"/>
      <c r="H693" s="486"/>
      <c r="I693" s="491"/>
      <c r="J693" s="491"/>
      <c r="K693" s="491"/>
      <c r="L693" s="491"/>
      <c r="M693" s="486"/>
      <c r="N693" s="422"/>
      <c r="O693" s="422"/>
      <c r="P693" s="422"/>
      <c r="Q693" s="486"/>
      <c r="R693" s="491"/>
      <c r="S693" s="491"/>
      <c r="T693" s="491"/>
      <c r="U693" s="491"/>
      <c r="V693" s="491"/>
      <c r="W693" s="493"/>
      <c r="X693" s="486"/>
      <c r="Y693" s="442"/>
      <c r="Z693" s="491"/>
      <c r="AA693" s="524"/>
      <c r="AB693" s="494"/>
      <c r="AC693" s="436"/>
      <c r="AD693" s="495"/>
      <c r="AE693" s="496"/>
      <c r="AF693" s="531"/>
      <c r="AG693" s="491"/>
      <c r="AH693" s="525"/>
      <c r="AI693" s="491"/>
      <c r="AJ693" s="446"/>
      <c r="AK693" s="491"/>
      <c r="AL693" s="500"/>
      <c r="AM693" s="436"/>
      <c r="AN693" s="438"/>
      <c r="AO693" s="531"/>
      <c r="AP693" s="491"/>
      <c r="AQ693" s="438"/>
      <c r="AR693" s="438"/>
      <c r="AS693" s="438"/>
      <c r="AT693" s="448"/>
      <c r="AU693" s="449"/>
      <c r="AV693" s="438"/>
      <c r="AW693" s="438"/>
      <c r="AX693" s="450"/>
    </row>
    <row r="694">
      <c r="A694" s="435"/>
      <c r="B694" s="485"/>
      <c r="C694" s="486"/>
      <c r="D694" s="486"/>
      <c r="E694" s="486"/>
      <c r="F694" s="528"/>
      <c r="G694" s="486"/>
      <c r="H694" s="486"/>
      <c r="I694" s="491"/>
      <c r="J694" s="491"/>
      <c r="K694" s="491"/>
      <c r="L694" s="491"/>
      <c r="M694" s="486"/>
      <c r="N694" s="422"/>
      <c r="O694" s="422"/>
      <c r="P694" s="422"/>
      <c r="Q694" s="486"/>
      <c r="R694" s="491"/>
      <c r="S694" s="491"/>
      <c r="T694" s="491"/>
      <c r="U694" s="491"/>
      <c r="V694" s="491"/>
      <c r="W694" s="493"/>
      <c r="X694" s="486"/>
      <c r="Y694" s="442"/>
      <c r="Z694" s="491"/>
      <c r="AA694" s="524"/>
      <c r="AB694" s="494"/>
      <c r="AC694" s="436"/>
      <c r="AD694" s="495"/>
      <c r="AE694" s="496"/>
      <c r="AF694" s="531"/>
      <c r="AG694" s="491"/>
      <c r="AH694" s="525"/>
      <c r="AI694" s="491"/>
      <c r="AJ694" s="446"/>
      <c r="AK694" s="491"/>
      <c r="AL694" s="500"/>
      <c r="AM694" s="436"/>
      <c r="AN694" s="438"/>
      <c r="AO694" s="531"/>
      <c r="AP694" s="491"/>
      <c r="AQ694" s="438"/>
      <c r="AR694" s="438"/>
      <c r="AS694" s="438"/>
      <c r="AT694" s="448"/>
      <c r="AU694" s="452"/>
      <c r="AV694" s="438"/>
      <c r="AW694" s="438"/>
      <c r="AX694" s="450"/>
    </row>
    <row r="695">
      <c r="A695" s="435"/>
      <c r="B695" s="485"/>
      <c r="C695" s="486"/>
      <c r="D695" s="486"/>
      <c r="E695" s="486"/>
      <c r="F695" s="528"/>
      <c r="G695" s="486"/>
      <c r="H695" s="486"/>
      <c r="I695" s="491"/>
      <c r="J695" s="491"/>
      <c r="K695" s="491"/>
      <c r="L695" s="491"/>
      <c r="M695" s="486"/>
      <c r="N695" s="422"/>
      <c r="O695" s="422"/>
      <c r="P695" s="422"/>
      <c r="Q695" s="486"/>
      <c r="R695" s="491"/>
      <c r="S695" s="491"/>
      <c r="T695" s="491"/>
      <c r="U695" s="491"/>
      <c r="V695" s="491"/>
      <c r="W695" s="493"/>
      <c r="X695" s="486"/>
      <c r="Y695" s="442"/>
      <c r="Z695" s="491"/>
      <c r="AA695" s="524"/>
      <c r="AB695" s="494"/>
      <c r="AC695" s="436"/>
      <c r="AD695" s="495"/>
      <c r="AE695" s="496"/>
      <c r="AF695" s="531"/>
      <c r="AG695" s="491"/>
      <c r="AH695" s="525"/>
      <c r="AI695" s="491"/>
      <c r="AJ695" s="446"/>
      <c r="AK695" s="491"/>
      <c r="AL695" s="500"/>
      <c r="AM695" s="436"/>
      <c r="AN695" s="438"/>
      <c r="AO695" s="531"/>
      <c r="AP695" s="491"/>
      <c r="AQ695" s="438"/>
      <c r="AR695" s="438"/>
      <c r="AS695" s="438"/>
      <c r="AT695" s="448"/>
      <c r="AU695" s="449"/>
      <c r="AV695" s="438"/>
      <c r="AW695" s="438"/>
      <c r="AX695" s="450"/>
    </row>
    <row r="696">
      <c r="A696" s="435"/>
      <c r="B696" s="485"/>
      <c r="C696" s="486"/>
      <c r="D696" s="486"/>
      <c r="E696" s="486"/>
      <c r="F696" s="528"/>
      <c r="G696" s="486"/>
      <c r="H696" s="486"/>
      <c r="I696" s="491"/>
      <c r="J696" s="491"/>
      <c r="K696" s="491"/>
      <c r="L696" s="491"/>
      <c r="M696" s="486"/>
      <c r="N696" s="422"/>
      <c r="O696" s="422"/>
      <c r="P696" s="422"/>
      <c r="Q696" s="486"/>
      <c r="R696" s="491"/>
      <c r="S696" s="491"/>
      <c r="T696" s="491"/>
      <c r="U696" s="491"/>
      <c r="V696" s="491"/>
      <c r="W696" s="493"/>
      <c r="X696" s="486"/>
      <c r="Y696" s="442"/>
      <c r="Z696" s="491"/>
      <c r="AA696" s="524"/>
      <c r="AB696" s="494"/>
      <c r="AC696" s="436"/>
      <c r="AD696" s="495"/>
      <c r="AE696" s="496"/>
      <c r="AF696" s="531"/>
      <c r="AG696" s="491"/>
      <c r="AH696" s="525"/>
      <c r="AI696" s="491"/>
      <c r="AJ696" s="446"/>
      <c r="AK696" s="491"/>
      <c r="AL696" s="500"/>
      <c r="AM696" s="436"/>
      <c r="AN696" s="438"/>
      <c r="AO696" s="531"/>
      <c r="AP696" s="491"/>
      <c r="AQ696" s="438"/>
      <c r="AR696" s="438"/>
      <c r="AS696" s="438"/>
      <c r="AT696" s="448"/>
      <c r="AU696" s="452"/>
      <c r="AV696" s="438"/>
      <c r="AW696" s="438"/>
      <c r="AX696" s="450"/>
    </row>
    <row r="697">
      <c r="A697" s="435"/>
      <c r="B697" s="485"/>
      <c r="C697" s="486"/>
      <c r="D697" s="486"/>
      <c r="E697" s="486"/>
      <c r="F697" s="528"/>
      <c r="G697" s="486"/>
      <c r="H697" s="486"/>
      <c r="I697" s="491"/>
      <c r="J697" s="491"/>
      <c r="K697" s="491"/>
      <c r="L697" s="491"/>
      <c r="M697" s="486"/>
      <c r="N697" s="422"/>
      <c r="O697" s="422"/>
      <c r="P697" s="422"/>
      <c r="Q697" s="486"/>
      <c r="R697" s="491"/>
      <c r="S697" s="491"/>
      <c r="T697" s="491"/>
      <c r="U697" s="491"/>
      <c r="V697" s="491"/>
      <c r="W697" s="493"/>
      <c r="X697" s="486"/>
      <c r="Y697" s="442"/>
      <c r="Z697" s="491"/>
      <c r="AA697" s="524"/>
      <c r="AB697" s="494"/>
      <c r="AC697" s="436"/>
      <c r="AD697" s="495"/>
      <c r="AE697" s="496"/>
      <c r="AF697" s="531"/>
      <c r="AG697" s="491"/>
      <c r="AH697" s="525"/>
      <c r="AI697" s="491"/>
      <c r="AJ697" s="446"/>
      <c r="AK697" s="491"/>
      <c r="AL697" s="500"/>
      <c r="AM697" s="436"/>
      <c r="AN697" s="438"/>
      <c r="AO697" s="531"/>
      <c r="AP697" s="491"/>
      <c r="AQ697" s="438"/>
      <c r="AR697" s="438"/>
      <c r="AS697" s="438"/>
      <c r="AT697" s="448"/>
      <c r="AU697" s="449"/>
      <c r="AV697" s="438"/>
      <c r="AW697" s="438"/>
      <c r="AX697" s="450"/>
    </row>
    <row r="698">
      <c r="A698" s="435"/>
      <c r="B698" s="485"/>
      <c r="C698" s="486"/>
      <c r="D698" s="486"/>
      <c r="E698" s="486"/>
      <c r="F698" s="528"/>
      <c r="G698" s="486"/>
      <c r="H698" s="486"/>
      <c r="I698" s="491"/>
      <c r="J698" s="491"/>
      <c r="K698" s="491"/>
      <c r="L698" s="491"/>
      <c r="M698" s="486"/>
      <c r="N698" s="422"/>
      <c r="O698" s="422"/>
      <c r="P698" s="422"/>
      <c r="Q698" s="486"/>
      <c r="R698" s="491"/>
      <c r="S698" s="491"/>
      <c r="T698" s="491"/>
      <c r="U698" s="491"/>
      <c r="V698" s="491"/>
      <c r="W698" s="493"/>
      <c r="X698" s="486"/>
      <c r="Y698" s="442"/>
      <c r="Z698" s="491"/>
      <c r="AA698" s="524"/>
      <c r="AB698" s="494"/>
      <c r="AC698" s="436"/>
      <c r="AD698" s="495"/>
      <c r="AE698" s="496"/>
      <c r="AF698" s="531"/>
      <c r="AG698" s="491"/>
      <c r="AH698" s="525"/>
      <c r="AI698" s="491"/>
      <c r="AJ698" s="446"/>
      <c r="AK698" s="491"/>
      <c r="AL698" s="500"/>
      <c r="AM698" s="436"/>
      <c r="AN698" s="438"/>
      <c r="AO698" s="531"/>
      <c r="AP698" s="491"/>
      <c r="AQ698" s="438"/>
      <c r="AR698" s="438"/>
      <c r="AS698" s="438"/>
      <c r="AT698" s="448"/>
      <c r="AU698" s="452"/>
      <c r="AV698" s="438"/>
      <c r="AW698" s="438"/>
      <c r="AX698" s="450"/>
    </row>
    <row r="699">
      <c r="A699" s="435"/>
      <c r="B699" s="485"/>
      <c r="C699" s="486"/>
      <c r="D699" s="486"/>
      <c r="E699" s="486"/>
      <c r="F699" s="528"/>
      <c r="G699" s="486"/>
      <c r="H699" s="486"/>
      <c r="I699" s="491"/>
      <c r="J699" s="491"/>
      <c r="K699" s="491"/>
      <c r="L699" s="491"/>
      <c r="M699" s="486"/>
      <c r="N699" s="422"/>
      <c r="O699" s="422"/>
      <c r="P699" s="422"/>
      <c r="Q699" s="486"/>
      <c r="R699" s="491"/>
      <c r="S699" s="491"/>
      <c r="T699" s="491"/>
      <c r="U699" s="491"/>
      <c r="V699" s="491"/>
      <c r="W699" s="493"/>
      <c r="X699" s="486"/>
      <c r="Y699" s="442"/>
      <c r="Z699" s="491"/>
      <c r="AA699" s="524"/>
      <c r="AB699" s="494"/>
      <c r="AC699" s="436"/>
      <c r="AD699" s="495"/>
      <c r="AE699" s="496"/>
      <c r="AF699" s="531"/>
      <c r="AG699" s="491"/>
      <c r="AH699" s="525"/>
      <c r="AI699" s="491"/>
      <c r="AJ699" s="446"/>
      <c r="AK699" s="491"/>
      <c r="AL699" s="500"/>
      <c r="AM699" s="436"/>
      <c r="AN699" s="438"/>
      <c r="AO699" s="531"/>
      <c r="AP699" s="491"/>
      <c r="AQ699" s="438"/>
      <c r="AR699" s="438"/>
      <c r="AS699" s="438"/>
      <c r="AT699" s="448"/>
      <c r="AU699" s="449"/>
      <c r="AV699" s="438"/>
      <c r="AW699" s="438"/>
      <c r="AX699" s="450"/>
    </row>
    <row r="700">
      <c r="A700" s="435"/>
      <c r="B700" s="485"/>
      <c r="C700" s="486"/>
      <c r="D700" s="486"/>
      <c r="E700" s="486"/>
      <c r="F700" s="528"/>
      <c r="G700" s="486"/>
      <c r="H700" s="486"/>
      <c r="I700" s="491"/>
      <c r="J700" s="491"/>
      <c r="K700" s="491"/>
      <c r="L700" s="491"/>
      <c r="M700" s="486"/>
      <c r="N700" s="422"/>
      <c r="O700" s="422"/>
      <c r="P700" s="422"/>
      <c r="Q700" s="486"/>
      <c r="R700" s="491"/>
      <c r="S700" s="491"/>
      <c r="T700" s="491"/>
      <c r="U700" s="491"/>
      <c r="V700" s="491"/>
      <c r="W700" s="493"/>
      <c r="X700" s="486"/>
      <c r="Y700" s="442"/>
      <c r="Z700" s="491"/>
      <c r="AA700" s="524"/>
      <c r="AB700" s="494"/>
      <c r="AC700" s="436"/>
      <c r="AD700" s="495"/>
      <c r="AE700" s="496"/>
      <c r="AF700" s="531"/>
      <c r="AG700" s="491"/>
      <c r="AH700" s="525"/>
      <c r="AI700" s="491"/>
      <c r="AJ700" s="446"/>
      <c r="AK700" s="491"/>
      <c r="AL700" s="500"/>
      <c r="AM700" s="436"/>
      <c r="AN700" s="438"/>
      <c r="AO700" s="531"/>
      <c r="AP700" s="491"/>
      <c r="AQ700" s="438"/>
      <c r="AR700" s="438"/>
      <c r="AS700" s="438"/>
      <c r="AT700" s="448"/>
      <c r="AU700" s="452"/>
      <c r="AV700" s="438"/>
      <c r="AW700" s="438"/>
      <c r="AX700" s="450"/>
    </row>
    <row r="701">
      <c r="A701" s="435"/>
      <c r="B701" s="485"/>
      <c r="C701" s="486"/>
      <c r="D701" s="486"/>
      <c r="E701" s="486"/>
      <c r="F701" s="528"/>
      <c r="G701" s="486"/>
      <c r="H701" s="486"/>
      <c r="I701" s="491"/>
      <c r="J701" s="491"/>
      <c r="K701" s="491"/>
      <c r="L701" s="491"/>
      <c r="M701" s="486"/>
      <c r="N701" s="422"/>
      <c r="O701" s="422"/>
      <c r="P701" s="422"/>
      <c r="Q701" s="486"/>
      <c r="R701" s="491"/>
      <c r="S701" s="491"/>
      <c r="T701" s="491"/>
      <c r="U701" s="491"/>
      <c r="V701" s="491"/>
      <c r="W701" s="493"/>
      <c r="X701" s="486"/>
      <c r="Y701" s="442"/>
      <c r="Z701" s="491"/>
      <c r="AA701" s="524"/>
      <c r="AB701" s="494"/>
      <c r="AC701" s="436"/>
      <c r="AD701" s="495"/>
      <c r="AE701" s="496"/>
      <c r="AF701" s="531"/>
      <c r="AG701" s="491"/>
      <c r="AH701" s="525"/>
      <c r="AI701" s="491"/>
      <c r="AJ701" s="446"/>
      <c r="AK701" s="491"/>
      <c r="AL701" s="500"/>
      <c r="AM701" s="436"/>
      <c r="AN701" s="438"/>
      <c r="AO701" s="531"/>
      <c r="AP701" s="491"/>
      <c r="AQ701" s="438"/>
      <c r="AR701" s="438"/>
      <c r="AS701" s="438"/>
      <c r="AT701" s="448"/>
      <c r="AU701" s="449"/>
      <c r="AV701" s="438"/>
      <c r="AW701" s="438"/>
      <c r="AX701" s="450"/>
    </row>
    <row r="702">
      <c r="A702" s="435"/>
      <c r="B702" s="485"/>
      <c r="C702" s="486"/>
      <c r="D702" s="486"/>
      <c r="E702" s="486"/>
      <c r="F702" s="528"/>
      <c r="G702" s="486"/>
      <c r="H702" s="486"/>
      <c r="I702" s="491"/>
      <c r="J702" s="491"/>
      <c r="K702" s="491"/>
      <c r="L702" s="491"/>
      <c r="M702" s="486"/>
      <c r="N702" s="422"/>
      <c r="O702" s="422"/>
      <c r="P702" s="422"/>
      <c r="Q702" s="486"/>
      <c r="R702" s="491"/>
      <c r="S702" s="491"/>
      <c r="T702" s="491"/>
      <c r="U702" s="491"/>
      <c r="V702" s="491"/>
      <c r="W702" s="493"/>
      <c r="X702" s="486"/>
      <c r="Y702" s="442"/>
      <c r="Z702" s="491"/>
      <c r="AA702" s="524"/>
      <c r="AB702" s="494"/>
      <c r="AC702" s="436"/>
      <c r="AD702" s="495"/>
      <c r="AE702" s="496"/>
      <c r="AF702" s="531"/>
      <c r="AG702" s="491"/>
      <c r="AH702" s="525"/>
      <c r="AI702" s="491"/>
      <c r="AJ702" s="446"/>
      <c r="AK702" s="491"/>
      <c r="AL702" s="500"/>
      <c r="AM702" s="436"/>
      <c r="AN702" s="438"/>
      <c r="AO702" s="531"/>
      <c r="AP702" s="491"/>
      <c r="AQ702" s="438"/>
      <c r="AR702" s="438"/>
      <c r="AS702" s="438"/>
      <c r="AT702" s="448"/>
      <c r="AU702" s="452"/>
      <c r="AV702" s="438"/>
      <c r="AW702" s="438"/>
      <c r="AX702" s="450"/>
    </row>
    <row r="703">
      <c r="A703" s="435"/>
      <c r="B703" s="485"/>
      <c r="C703" s="486"/>
      <c r="D703" s="486"/>
      <c r="E703" s="486"/>
      <c r="F703" s="528"/>
      <c r="G703" s="486"/>
      <c r="H703" s="486"/>
      <c r="I703" s="491"/>
      <c r="J703" s="491"/>
      <c r="K703" s="491"/>
      <c r="L703" s="491"/>
      <c r="M703" s="486"/>
      <c r="N703" s="422"/>
      <c r="O703" s="422"/>
      <c r="P703" s="422"/>
      <c r="Q703" s="486"/>
      <c r="R703" s="491"/>
      <c r="S703" s="491"/>
      <c r="T703" s="491"/>
      <c r="U703" s="491"/>
      <c r="V703" s="491"/>
      <c r="W703" s="493"/>
      <c r="X703" s="486"/>
      <c r="Y703" s="442"/>
      <c r="Z703" s="491"/>
      <c r="AA703" s="524"/>
      <c r="AB703" s="494"/>
      <c r="AC703" s="436"/>
      <c r="AD703" s="495"/>
      <c r="AE703" s="496"/>
      <c r="AF703" s="531"/>
      <c r="AG703" s="491"/>
      <c r="AH703" s="525"/>
      <c r="AI703" s="491"/>
      <c r="AJ703" s="446"/>
      <c r="AK703" s="491"/>
      <c r="AL703" s="500"/>
      <c r="AM703" s="436"/>
      <c r="AN703" s="438"/>
      <c r="AO703" s="531"/>
      <c r="AP703" s="491"/>
      <c r="AQ703" s="438"/>
      <c r="AR703" s="438"/>
      <c r="AS703" s="438"/>
      <c r="AT703" s="448"/>
      <c r="AU703" s="449"/>
      <c r="AV703" s="438"/>
      <c r="AW703" s="438"/>
      <c r="AX703" s="450"/>
    </row>
    <row r="704">
      <c r="A704" s="435"/>
      <c r="B704" s="485"/>
      <c r="C704" s="486"/>
      <c r="D704" s="486"/>
      <c r="E704" s="486"/>
      <c r="F704" s="528"/>
      <c r="G704" s="486"/>
      <c r="H704" s="486"/>
      <c r="I704" s="491"/>
      <c r="J704" s="491"/>
      <c r="K704" s="491"/>
      <c r="L704" s="491"/>
      <c r="M704" s="486"/>
      <c r="N704" s="422"/>
      <c r="O704" s="422"/>
      <c r="P704" s="422"/>
      <c r="Q704" s="486"/>
      <c r="R704" s="491"/>
      <c r="S704" s="491"/>
      <c r="T704" s="491"/>
      <c r="U704" s="491"/>
      <c r="V704" s="491"/>
      <c r="W704" s="493"/>
      <c r="X704" s="486"/>
      <c r="Y704" s="442"/>
      <c r="Z704" s="491"/>
      <c r="AA704" s="524"/>
      <c r="AB704" s="494"/>
      <c r="AC704" s="436"/>
      <c r="AD704" s="495"/>
      <c r="AE704" s="496"/>
      <c r="AF704" s="531"/>
      <c r="AG704" s="491"/>
      <c r="AH704" s="525"/>
      <c r="AI704" s="491"/>
      <c r="AJ704" s="446"/>
      <c r="AK704" s="491"/>
      <c r="AL704" s="500"/>
      <c r="AM704" s="436"/>
      <c r="AN704" s="438"/>
      <c r="AO704" s="531"/>
      <c r="AP704" s="491"/>
      <c r="AQ704" s="438"/>
      <c r="AR704" s="438"/>
      <c r="AS704" s="438"/>
      <c r="AT704" s="448"/>
      <c r="AU704" s="452"/>
      <c r="AV704" s="438"/>
      <c r="AW704" s="438"/>
      <c r="AX704" s="450"/>
    </row>
    <row r="705">
      <c r="A705" s="435"/>
      <c r="B705" s="485"/>
      <c r="C705" s="486"/>
      <c r="D705" s="486"/>
      <c r="E705" s="486"/>
      <c r="F705" s="528"/>
      <c r="G705" s="486"/>
      <c r="H705" s="486"/>
      <c r="I705" s="491"/>
      <c r="J705" s="491"/>
      <c r="K705" s="491"/>
      <c r="L705" s="491"/>
      <c r="M705" s="486"/>
      <c r="N705" s="422"/>
      <c r="O705" s="422"/>
      <c r="P705" s="422"/>
      <c r="Q705" s="486"/>
      <c r="R705" s="491"/>
      <c r="S705" s="491"/>
      <c r="T705" s="491"/>
      <c r="U705" s="491"/>
      <c r="V705" s="491"/>
      <c r="W705" s="493"/>
      <c r="X705" s="486"/>
      <c r="Y705" s="442"/>
      <c r="Z705" s="491"/>
      <c r="AA705" s="524"/>
      <c r="AB705" s="494"/>
      <c r="AC705" s="436"/>
      <c r="AD705" s="495"/>
      <c r="AE705" s="496"/>
      <c r="AF705" s="531"/>
      <c r="AG705" s="491"/>
      <c r="AH705" s="525"/>
      <c r="AI705" s="491"/>
      <c r="AJ705" s="446"/>
      <c r="AK705" s="491"/>
      <c r="AL705" s="500"/>
      <c r="AM705" s="436"/>
      <c r="AN705" s="438"/>
      <c r="AO705" s="531"/>
      <c r="AP705" s="491"/>
      <c r="AQ705" s="438"/>
      <c r="AR705" s="438"/>
      <c r="AS705" s="438"/>
      <c r="AT705" s="448"/>
      <c r="AU705" s="449"/>
      <c r="AV705" s="438"/>
      <c r="AW705" s="438"/>
      <c r="AX705" s="450"/>
    </row>
    <row r="706">
      <c r="A706" s="435"/>
      <c r="B706" s="485"/>
      <c r="C706" s="486"/>
      <c r="D706" s="486"/>
      <c r="E706" s="486"/>
      <c r="F706" s="528"/>
      <c r="G706" s="486"/>
      <c r="H706" s="486"/>
      <c r="I706" s="491"/>
      <c r="J706" s="491"/>
      <c r="K706" s="491"/>
      <c r="L706" s="491"/>
      <c r="M706" s="486"/>
      <c r="N706" s="422"/>
      <c r="O706" s="422"/>
      <c r="P706" s="422"/>
      <c r="Q706" s="486"/>
      <c r="R706" s="491"/>
      <c r="S706" s="491"/>
      <c r="T706" s="491"/>
      <c r="U706" s="491"/>
      <c r="V706" s="491"/>
      <c r="W706" s="493"/>
      <c r="X706" s="486"/>
      <c r="Y706" s="442"/>
      <c r="Z706" s="491"/>
      <c r="AA706" s="524"/>
      <c r="AB706" s="494"/>
      <c r="AC706" s="436"/>
      <c r="AD706" s="495"/>
      <c r="AE706" s="496"/>
      <c r="AF706" s="531"/>
      <c r="AG706" s="491"/>
      <c r="AH706" s="525"/>
      <c r="AI706" s="491"/>
      <c r="AJ706" s="446"/>
      <c r="AK706" s="491"/>
      <c r="AL706" s="500"/>
      <c r="AM706" s="436"/>
      <c r="AN706" s="438"/>
      <c r="AO706" s="531"/>
      <c r="AP706" s="491"/>
      <c r="AQ706" s="438"/>
      <c r="AR706" s="438"/>
      <c r="AS706" s="438"/>
      <c r="AT706" s="448"/>
      <c r="AU706" s="452"/>
      <c r="AV706" s="438"/>
      <c r="AW706" s="438"/>
      <c r="AX706" s="450"/>
    </row>
    <row r="707">
      <c r="A707" s="435"/>
      <c r="B707" s="485"/>
      <c r="C707" s="486"/>
      <c r="D707" s="486"/>
      <c r="E707" s="486"/>
      <c r="F707" s="528"/>
      <c r="G707" s="486"/>
      <c r="H707" s="486"/>
      <c r="I707" s="491"/>
      <c r="J707" s="491"/>
      <c r="K707" s="491"/>
      <c r="L707" s="491"/>
      <c r="M707" s="486"/>
      <c r="N707" s="422"/>
      <c r="O707" s="422"/>
      <c r="P707" s="422"/>
      <c r="Q707" s="486"/>
      <c r="R707" s="491"/>
      <c r="S707" s="491"/>
      <c r="T707" s="491"/>
      <c r="U707" s="491"/>
      <c r="V707" s="491"/>
      <c r="W707" s="493"/>
      <c r="X707" s="486"/>
      <c r="Y707" s="442"/>
      <c r="Z707" s="491"/>
      <c r="AA707" s="524"/>
      <c r="AB707" s="494"/>
      <c r="AC707" s="436"/>
      <c r="AD707" s="495"/>
      <c r="AE707" s="496"/>
      <c r="AF707" s="531"/>
      <c r="AG707" s="491"/>
      <c r="AH707" s="525"/>
      <c r="AI707" s="491"/>
      <c r="AJ707" s="446"/>
      <c r="AK707" s="491"/>
      <c r="AL707" s="500"/>
      <c r="AM707" s="436"/>
      <c r="AN707" s="438"/>
      <c r="AO707" s="531"/>
      <c r="AP707" s="491"/>
      <c r="AQ707" s="438"/>
      <c r="AR707" s="438"/>
      <c r="AS707" s="438"/>
      <c r="AT707" s="448"/>
      <c r="AU707" s="449"/>
      <c r="AV707" s="438"/>
      <c r="AW707" s="438"/>
      <c r="AX707" s="450"/>
    </row>
    <row r="708">
      <c r="A708" s="435"/>
      <c r="B708" s="485"/>
      <c r="C708" s="486"/>
      <c r="D708" s="486"/>
      <c r="E708" s="486"/>
      <c r="F708" s="528"/>
      <c r="G708" s="486"/>
      <c r="H708" s="486"/>
      <c r="I708" s="491"/>
      <c r="J708" s="491"/>
      <c r="K708" s="491"/>
      <c r="L708" s="491"/>
      <c r="M708" s="486"/>
      <c r="N708" s="422"/>
      <c r="O708" s="422"/>
      <c r="P708" s="422"/>
      <c r="Q708" s="486"/>
      <c r="R708" s="491"/>
      <c r="S708" s="491"/>
      <c r="T708" s="491"/>
      <c r="U708" s="491"/>
      <c r="V708" s="491"/>
      <c r="W708" s="493"/>
      <c r="X708" s="486"/>
      <c r="Y708" s="442"/>
      <c r="Z708" s="491"/>
      <c r="AA708" s="524"/>
      <c r="AB708" s="494"/>
      <c r="AC708" s="436"/>
      <c r="AD708" s="495"/>
      <c r="AE708" s="496"/>
      <c r="AF708" s="531"/>
      <c r="AG708" s="491"/>
      <c r="AH708" s="525"/>
      <c r="AI708" s="491"/>
      <c r="AJ708" s="446"/>
      <c r="AK708" s="491"/>
      <c r="AL708" s="500"/>
      <c r="AM708" s="436"/>
      <c r="AN708" s="438"/>
      <c r="AO708" s="531"/>
      <c r="AP708" s="491"/>
      <c r="AQ708" s="438"/>
      <c r="AR708" s="438"/>
      <c r="AS708" s="438"/>
      <c r="AT708" s="448"/>
      <c r="AU708" s="452"/>
      <c r="AV708" s="438"/>
      <c r="AW708" s="438"/>
      <c r="AX708" s="450"/>
    </row>
    <row r="709">
      <c r="A709" s="435"/>
      <c r="B709" s="485"/>
      <c r="C709" s="486"/>
      <c r="D709" s="486"/>
      <c r="E709" s="486"/>
      <c r="F709" s="528"/>
      <c r="G709" s="486"/>
      <c r="H709" s="486"/>
      <c r="I709" s="491"/>
      <c r="J709" s="491"/>
      <c r="K709" s="491"/>
      <c r="L709" s="491"/>
      <c r="M709" s="486"/>
      <c r="N709" s="422"/>
      <c r="O709" s="422"/>
      <c r="P709" s="422"/>
      <c r="Q709" s="486"/>
      <c r="R709" s="491"/>
      <c r="S709" s="491"/>
      <c r="T709" s="491"/>
      <c r="U709" s="491"/>
      <c r="V709" s="491"/>
      <c r="W709" s="493"/>
      <c r="X709" s="486"/>
      <c r="Y709" s="442"/>
      <c r="Z709" s="491"/>
      <c r="AA709" s="524"/>
      <c r="AB709" s="494"/>
      <c r="AC709" s="436"/>
      <c r="AD709" s="495"/>
      <c r="AE709" s="496"/>
      <c r="AF709" s="531"/>
      <c r="AG709" s="491"/>
      <c r="AH709" s="525"/>
      <c r="AI709" s="491"/>
      <c r="AJ709" s="446"/>
      <c r="AK709" s="491"/>
      <c r="AL709" s="500"/>
      <c r="AM709" s="436"/>
      <c r="AN709" s="438"/>
      <c r="AO709" s="531"/>
      <c r="AP709" s="491"/>
      <c r="AQ709" s="438"/>
      <c r="AR709" s="438"/>
      <c r="AS709" s="438"/>
      <c r="AT709" s="448"/>
      <c r="AU709" s="449"/>
      <c r="AV709" s="438"/>
      <c r="AW709" s="438"/>
      <c r="AX709" s="450"/>
    </row>
    <row r="710">
      <c r="A710" s="435"/>
      <c r="B710" s="485"/>
      <c r="C710" s="486"/>
      <c r="D710" s="486"/>
      <c r="E710" s="486"/>
      <c r="F710" s="528"/>
      <c r="G710" s="486"/>
      <c r="H710" s="486"/>
      <c r="I710" s="491"/>
      <c r="J710" s="491"/>
      <c r="K710" s="491"/>
      <c r="L710" s="491"/>
      <c r="M710" s="486"/>
      <c r="N710" s="422"/>
      <c r="O710" s="422"/>
      <c r="P710" s="422"/>
      <c r="Q710" s="486"/>
      <c r="R710" s="491"/>
      <c r="S710" s="491"/>
      <c r="T710" s="491"/>
      <c r="U710" s="491"/>
      <c r="V710" s="491"/>
      <c r="W710" s="493"/>
      <c r="X710" s="486"/>
      <c r="Y710" s="442"/>
      <c r="Z710" s="491"/>
      <c r="AA710" s="524"/>
      <c r="AB710" s="494"/>
      <c r="AC710" s="436"/>
      <c r="AD710" s="495"/>
      <c r="AE710" s="496"/>
      <c r="AF710" s="531"/>
      <c r="AG710" s="491"/>
      <c r="AH710" s="525"/>
      <c r="AI710" s="491"/>
      <c r="AJ710" s="446"/>
      <c r="AK710" s="491"/>
      <c r="AL710" s="500"/>
      <c r="AM710" s="436"/>
      <c r="AN710" s="438"/>
      <c r="AO710" s="531"/>
      <c r="AP710" s="491"/>
      <c r="AQ710" s="438"/>
      <c r="AR710" s="438"/>
      <c r="AS710" s="438"/>
      <c r="AT710" s="448"/>
      <c r="AU710" s="452"/>
      <c r="AV710" s="438"/>
      <c r="AW710" s="438"/>
      <c r="AX710" s="450"/>
    </row>
    <row r="711">
      <c r="A711" s="435"/>
      <c r="B711" s="485"/>
      <c r="C711" s="486"/>
      <c r="D711" s="486"/>
      <c r="E711" s="486"/>
      <c r="F711" s="528"/>
      <c r="G711" s="486"/>
      <c r="H711" s="486"/>
      <c r="I711" s="491"/>
      <c r="J711" s="491"/>
      <c r="K711" s="491"/>
      <c r="L711" s="491"/>
      <c r="M711" s="486"/>
      <c r="N711" s="422"/>
      <c r="O711" s="422"/>
      <c r="P711" s="422"/>
      <c r="Q711" s="486"/>
      <c r="R711" s="491"/>
      <c r="S711" s="491"/>
      <c r="T711" s="491"/>
      <c r="U711" s="491"/>
      <c r="V711" s="491"/>
      <c r="W711" s="493"/>
      <c r="X711" s="486"/>
      <c r="Y711" s="442"/>
      <c r="Z711" s="491"/>
      <c r="AA711" s="524"/>
      <c r="AB711" s="494"/>
      <c r="AC711" s="436"/>
      <c r="AD711" s="495"/>
      <c r="AE711" s="496"/>
      <c r="AF711" s="531"/>
      <c r="AG711" s="491"/>
      <c r="AH711" s="525"/>
      <c r="AI711" s="491"/>
      <c r="AJ711" s="446"/>
      <c r="AK711" s="491"/>
      <c r="AL711" s="500"/>
      <c r="AM711" s="436"/>
      <c r="AN711" s="438"/>
      <c r="AO711" s="531"/>
      <c r="AP711" s="491"/>
      <c r="AQ711" s="438"/>
      <c r="AR711" s="438"/>
      <c r="AS711" s="438"/>
      <c r="AT711" s="448"/>
      <c r="AU711" s="449"/>
      <c r="AV711" s="438"/>
      <c r="AW711" s="438"/>
      <c r="AX711" s="450"/>
    </row>
    <row r="712">
      <c r="A712" s="435"/>
      <c r="B712" s="485"/>
      <c r="C712" s="486"/>
      <c r="D712" s="486"/>
      <c r="E712" s="486"/>
      <c r="F712" s="528"/>
      <c r="G712" s="486"/>
      <c r="H712" s="486"/>
      <c r="I712" s="491"/>
      <c r="J712" s="491"/>
      <c r="K712" s="491"/>
      <c r="L712" s="491"/>
      <c r="M712" s="486"/>
      <c r="N712" s="422"/>
      <c r="O712" s="422"/>
      <c r="P712" s="422"/>
      <c r="Q712" s="486"/>
      <c r="R712" s="491"/>
      <c r="S712" s="491"/>
      <c r="T712" s="491"/>
      <c r="U712" s="491"/>
      <c r="V712" s="491"/>
      <c r="W712" s="493"/>
      <c r="X712" s="486"/>
      <c r="Y712" s="442"/>
      <c r="Z712" s="491"/>
      <c r="AA712" s="524"/>
      <c r="AB712" s="494"/>
      <c r="AC712" s="436"/>
      <c r="AD712" s="495"/>
      <c r="AE712" s="496"/>
      <c r="AF712" s="531"/>
      <c r="AG712" s="491"/>
      <c r="AH712" s="525"/>
      <c r="AI712" s="491"/>
      <c r="AJ712" s="446"/>
      <c r="AK712" s="491"/>
      <c r="AL712" s="500"/>
      <c r="AM712" s="436"/>
      <c r="AN712" s="438"/>
      <c r="AO712" s="531"/>
      <c r="AP712" s="491"/>
      <c r="AQ712" s="438"/>
      <c r="AR712" s="438"/>
      <c r="AS712" s="438"/>
      <c r="AT712" s="448"/>
      <c r="AU712" s="452"/>
      <c r="AV712" s="438"/>
      <c r="AW712" s="438"/>
      <c r="AX712" s="450"/>
    </row>
    <row r="713">
      <c r="A713" s="435"/>
      <c r="B713" s="485"/>
      <c r="C713" s="486"/>
      <c r="D713" s="486"/>
      <c r="E713" s="486"/>
      <c r="F713" s="528"/>
      <c r="G713" s="486"/>
      <c r="H713" s="486"/>
      <c r="I713" s="491"/>
      <c r="J713" s="491"/>
      <c r="K713" s="491"/>
      <c r="L713" s="491"/>
      <c r="M713" s="486"/>
      <c r="N713" s="422"/>
      <c r="O713" s="422"/>
      <c r="P713" s="422"/>
      <c r="Q713" s="486"/>
      <c r="R713" s="491"/>
      <c r="S713" s="491"/>
      <c r="T713" s="491"/>
      <c r="U713" s="491"/>
      <c r="V713" s="491"/>
      <c r="W713" s="493"/>
      <c r="X713" s="486"/>
      <c r="Y713" s="442"/>
      <c r="Z713" s="491"/>
      <c r="AA713" s="524"/>
      <c r="AB713" s="494"/>
      <c r="AC713" s="436"/>
      <c r="AD713" s="495"/>
      <c r="AE713" s="496"/>
      <c r="AF713" s="531"/>
      <c r="AG713" s="491"/>
      <c r="AH713" s="525"/>
      <c r="AI713" s="491"/>
      <c r="AJ713" s="446"/>
      <c r="AK713" s="491"/>
      <c r="AL713" s="500"/>
      <c r="AM713" s="436"/>
      <c r="AN713" s="438"/>
      <c r="AO713" s="531"/>
      <c r="AP713" s="491"/>
      <c r="AQ713" s="438"/>
      <c r="AR713" s="438"/>
      <c r="AS713" s="438"/>
      <c r="AT713" s="448"/>
      <c r="AU713" s="449"/>
      <c r="AV713" s="438"/>
      <c r="AW713" s="438"/>
      <c r="AX713" s="450"/>
    </row>
    <row r="714">
      <c r="A714" s="435"/>
      <c r="B714" s="485"/>
      <c r="C714" s="486"/>
      <c r="D714" s="486"/>
      <c r="E714" s="486"/>
      <c r="F714" s="528"/>
      <c r="G714" s="486"/>
      <c r="H714" s="486"/>
      <c r="I714" s="491"/>
      <c r="J714" s="491"/>
      <c r="K714" s="491"/>
      <c r="L714" s="491"/>
      <c r="M714" s="486"/>
      <c r="N714" s="422"/>
      <c r="O714" s="422"/>
      <c r="P714" s="422"/>
      <c r="Q714" s="486"/>
      <c r="R714" s="491"/>
      <c r="S714" s="491"/>
      <c r="T714" s="491"/>
      <c r="U714" s="491"/>
      <c r="V714" s="491"/>
      <c r="W714" s="493"/>
      <c r="X714" s="486"/>
      <c r="Y714" s="442"/>
      <c r="Z714" s="491"/>
      <c r="AA714" s="524"/>
      <c r="AB714" s="494"/>
      <c r="AC714" s="436"/>
      <c r="AD714" s="495"/>
      <c r="AE714" s="496"/>
      <c r="AF714" s="531"/>
      <c r="AG714" s="491"/>
      <c r="AH714" s="525"/>
      <c r="AI714" s="491"/>
      <c r="AJ714" s="446"/>
      <c r="AK714" s="491"/>
      <c r="AL714" s="500"/>
      <c r="AM714" s="436"/>
      <c r="AN714" s="438"/>
      <c r="AO714" s="531"/>
      <c r="AP714" s="491"/>
      <c r="AQ714" s="438"/>
      <c r="AR714" s="438"/>
      <c r="AS714" s="438"/>
      <c r="AT714" s="448"/>
      <c r="AU714" s="452"/>
      <c r="AV714" s="438"/>
      <c r="AW714" s="438"/>
      <c r="AX714" s="450"/>
    </row>
    <row r="715">
      <c r="A715" s="435"/>
      <c r="B715" s="485"/>
      <c r="C715" s="486"/>
      <c r="D715" s="486"/>
      <c r="E715" s="486"/>
      <c r="F715" s="528"/>
      <c r="G715" s="486"/>
      <c r="H715" s="486"/>
      <c r="I715" s="491"/>
      <c r="J715" s="491"/>
      <c r="K715" s="491"/>
      <c r="L715" s="491"/>
      <c r="M715" s="486"/>
      <c r="N715" s="422"/>
      <c r="O715" s="422"/>
      <c r="P715" s="422"/>
      <c r="Q715" s="486"/>
      <c r="R715" s="491"/>
      <c r="S715" s="491"/>
      <c r="T715" s="491"/>
      <c r="U715" s="491"/>
      <c r="V715" s="491"/>
      <c r="W715" s="493"/>
      <c r="X715" s="486"/>
      <c r="Y715" s="442"/>
      <c r="Z715" s="491"/>
      <c r="AA715" s="524"/>
      <c r="AB715" s="494"/>
      <c r="AC715" s="436"/>
      <c r="AD715" s="495"/>
      <c r="AE715" s="496"/>
      <c r="AF715" s="531"/>
      <c r="AG715" s="491"/>
      <c r="AH715" s="525"/>
      <c r="AI715" s="491"/>
      <c r="AJ715" s="446"/>
      <c r="AK715" s="491"/>
      <c r="AL715" s="500"/>
      <c r="AM715" s="436"/>
      <c r="AN715" s="438"/>
      <c r="AO715" s="531"/>
      <c r="AP715" s="491"/>
      <c r="AQ715" s="438"/>
      <c r="AR715" s="438"/>
      <c r="AS715" s="438"/>
      <c r="AT715" s="448"/>
      <c r="AU715" s="449"/>
      <c r="AV715" s="438"/>
      <c r="AW715" s="438"/>
      <c r="AX715" s="450"/>
    </row>
    <row r="716">
      <c r="A716" s="435"/>
      <c r="B716" s="485"/>
      <c r="C716" s="486"/>
      <c r="D716" s="486"/>
      <c r="E716" s="486"/>
      <c r="F716" s="528"/>
      <c r="G716" s="486"/>
      <c r="H716" s="486"/>
      <c r="I716" s="491"/>
      <c r="J716" s="491"/>
      <c r="K716" s="491"/>
      <c r="L716" s="491"/>
      <c r="M716" s="486"/>
      <c r="N716" s="422"/>
      <c r="O716" s="422"/>
      <c r="P716" s="422"/>
      <c r="Q716" s="486"/>
      <c r="R716" s="491"/>
      <c r="S716" s="491"/>
      <c r="T716" s="491"/>
      <c r="U716" s="491"/>
      <c r="V716" s="491"/>
      <c r="W716" s="493"/>
      <c r="X716" s="486"/>
      <c r="Y716" s="442"/>
      <c r="Z716" s="491"/>
      <c r="AA716" s="524"/>
      <c r="AB716" s="494"/>
      <c r="AC716" s="436"/>
      <c r="AD716" s="495"/>
      <c r="AE716" s="496"/>
      <c r="AF716" s="531"/>
      <c r="AG716" s="491"/>
      <c r="AH716" s="525"/>
      <c r="AI716" s="491"/>
      <c r="AJ716" s="446"/>
      <c r="AK716" s="491"/>
      <c r="AL716" s="500"/>
      <c r="AM716" s="436"/>
      <c r="AN716" s="438"/>
      <c r="AO716" s="531"/>
      <c r="AP716" s="491"/>
      <c r="AQ716" s="438"/>
      <c r="AR716" s="438"/>
      <c r="AS716" s="438"/>
      <c r="AT716" s="448"/>
      <c r="AU716" s="452"/>
      <c r="AV716" s="438"/>
      <c r="AW716" s="438"/>
      <c r="AX716" s="450"/>
    </row>
    <row r="717">
      <c r="A717" s="435"/>
      <c r="B717" s="485"/>
      <c r="C717" s="486"/>
      <c r="D717" s="486"/>
      <c r="E717" s="486"/>
      <c r="F717" s="528"/>
      <c r="G717" s="486"/>
      <c r="H717" s="486"/>
      <c r="I717" s="491"/>
      <c r="J717" s="491"/>
      <c r="K717" s="491"/>
      <c r="L717" s="491"/>
      <c r="M717" s="486"/>
      <c r="N717" s="422"/>
      <c r="O717" s="422"/>
      <c r="P717" s="422"/>
      <c r="Q717" s="486"/>
      <c r="R717" s="491"/>
      <c r="S717" s="491"/>
      <c r="T717" s="491"/>
      <c r="U717" s="491"/>
      <c r="V717" s="491"/>
      <c r="W717" s="493"/>
      <c r="X717" s="486"/>
      <c r="Y717" s="442"/>
      <c r="Z717" s="491"/>
      <c r="AA717" s="524"/>
      <c r="AB717" s="494"/>
      <c r="AC717" s="436"/>
      <c r="AD717" s="495"/>
      <c r="AE717" s="496"/>
      <c r="AF717" s="531"/>
      <c r="AG717" s="491"/>
      <c r="AH717" s="525"/>
      <c r="AI717" s="491"/>
      <c r="AJ717" s="446"/>
      <c r="AK717" s="491"/>
      <c r="AL717" s="500"/>
      <c r="AM717" s="436"/>
      <c r="AN717" s="438"/>
      <c r="AO717" s="531"/>
      <c r="AP717" s="491"/>
      <c r="AQ717" s="438"/>
      <c r="AR717" s="438"/>
      <c r="AS717" s="438"/>
      <c r="AT717" s="448"/>
      <c r="AU717" s="449"/>
      <c r="AV717" s="438"/>
      <c r="AW717" s="438"/>
      <c r="AX717" s="450"/>
    </row>
    <row r="718">
      <c r="A718" s="435"/>
      <c r="B718" s="485"/>
      <c r="C718" s="486"/>
      <c r="D718" s="486"/>
      <c r="E718" s="486"/>
      <c r="F718" s="528"/>
      <c r="G718" s="486"/>
      <c r="H718" s="486"/>
      <c r="I718" s="491"/>
      <c r="J718" s="491"/>
      <c r="K718" s="491"/>
      <c r="L718" s="491"/>
      <c r="M718" s="486"/>
      <c r="N718" s="422"/>
      <c r="O718" s="422"/>
      <c r="P718" s="422"/>
      <c r="Q718" s="486"/>
      <c r="R718" s="491"/>
      <c r="S718" s="491"/>
      <c r="T718" s="491"/>
      <c r="U718" s="491"/>
      <c r="V718" s="491"/>
      <c r="W718" s="493"/>
      <c r="X718" s="486"/>
      <c r="Y718" s="442"/>
      <c r="Z718" s="491"/>
      <c r="AA718" s="524"/>
      <c r="AB718" s="494"/>
      <c r="AC718" s="436"/>
      <c r="AD718" s="495"/>
      <c r="AE718" s="496"/>
      <c r="AF718" s="531"/>
      <c r="AG718" s="491"/>
      <c r="AH718" s="525"/>
      <c r="AI718" s="491"/>
      <c r="AJ718" s="446"/>
      <c r="AK718" s="491"/>
      <c r="AL718" s="500"/>
      <c r="AM718" s="436"/>
      <c r="AN718" s="438"/>
      <c r="AO718" s="531"/>
      <c r="AP718" s="491"/>
      <c r="AQ718" s="438"/>
      <c r="AR718" s="438"/>
      <c r="AS718" s="438"/>
      <c r="AT718" s="448"/>
      <c r="AU718" s="452"/>
      <c r="AV718" s="438"/>
      <c r="AW718" s="438"/>
      <c r="AX718" s="450"/>
    </row>
    <row r="719">
      <c r="A719" s="435"/>
      <c r="B719" s="485"/>
      <c r="C719" s="486"/>
      <c r="D719" s="486"/>
      <c r="E719" s="486"/>
      <c r="F719" s="528"/>
      <c r="G719" s="486"/>
      <c r="H719" s="486"/>
      <c r="I719" s="491"/>
      <c r="J719" s="491"/>
      <c r="K719" s="491"/>
      <c r="L719" s="491"/>
      <c r="M719" s="486"/>
      <c r="N719" s="422"/>
      <c r="O719" s="422"/>
      <c r="P719" s="422"/>
      <c r="Q719" s="486"/>
      <c r="R719" s="491"/>
      <c r="S719" s="491"/>
      <c r="T719" s="491"/>
      <c r="U719" s="491"/>
      <c r="V719" s="491"/>
      <c r="W719" s="493"/>
      <c r="X719" s="486"/>
      <c r="Y719" s="442"/>
      <c r="Z719" s="491"/>
      <c r="AA719" s="524"/>
      <c r="AB719" s="494"/>
      <c r="AC719" s="436"/>
      <c r="AD719" s="495"/>
      <c r="AE719" s="496"/>
      <c r="AF719" s="531"/>
      <c r="AG719" s="491"/>
      <c r="AH719" s="525"/>
      <c r="AI719" s="491"/>
      <c r="AJ719" s="446"/>
      <c r="AK719" s="491"/>
      <c r="AL719" s="500"/>
      <c r="AM719" s="436"/>
      <c r="AN719" s="438"/>
      <c r="AO719" s="531"/>
      <c r="AP719" s="491"/>
      <c r="AQ719" s="438"/>
      <c r="AR719" s="438"/>
      <c r="AS719" s="438"/>
      <c r="AT719" s="448"/>
      <c r="AU719" s="449"/>
      <c r="AV719" s="438"/>
      <c r="AW719" s="438"/>
      <c r="AX719" s="450"/>
    </row>
    <row r="720">
      <c r="A720" s="435"/>
      <c r="B720" s="485"/>
      <c r="C720" s="486"/>
      <c r="D720" s="486"/>
      <c r="E720" s="486"/>
      <c r="F720" s="528"/>
      <c r="G720" s="486"/>
      <c r="H720" s="486"/>
      <c r="I720" s="491"/>
      <c r="J720" s="491"/>
      <c r="K720" s="491"/>
      <c r="L720" s="491"/>
      <c r="M720" s="486"/>
      <c r="N720" s="422"/>
      <c r="O720" s="422"/>
      <c r="P720" s="422"/>
      <c r="Q720" s="486"/>
      <c r="R720" s="491"/>
      <c r="S720" s="491"/>
      <c r="T720" s="491"/>
      <c r="U720" s="491"/>
      <c r="V720" s="491"/>
      <c r="W720" s="493"/>
      <c r="X720" s="486"/>
      <c r="Y720" s="442"/>
      <c r="Z720" s="491"/>
      <c r="AA720" s="524"/>
      <c r="AB720" s="494"/>
      <c r="AC720" s="436"/>
      <c r="AD720" s="495"/>
      <c r="AE720" s="496"/>
      <c r="AF720" s="531"/>
      <c r="AG720" s="491"/>
      <c r="AH720" s="525"/>
      <c r="AI720" s="491"/>
      <c r="AJ720" s="446"/>
      <c r="AK720" s="491"/>
      <c r="AL720" s="500"/>
      <c r="AM720" s="436"/>
      <c r="AN720" s="438"/>
      <c r="AO720" s="531"/>
      <c r="AP720" s="491"/>
      <c r="AQ720" s="438"/>
      <c r="AR720" s="438"/>
      <c r="AS720" s="438"/>
      <c r="AT720" s="448"/>
      <c r="AU720" s="452"/>
      <c r="AV720" s="438"/>
      <c r="AW720" s="438"/>
      <c r="AX720" s="450"/>
    </row>
    <row r="721">
      <c r="A721" s="435"/>
      <c r="B721" s="485"/>
      <c r="C721" s="486"/>
      <c r="D721" s="486"/>
      <c r="E721" s="486"/>
      <c r="F721" s="528"/>
      <c r="G721" s="486"/>
      <c r="H721" s="486"/>
      <c r="I721" s="491"/>
      <c r="J721" s="491"/>
      <c r="K721" s="491"/>
      <c r="L721" s="491"/>
      <c r="M721" s="486"/>
      <c r="N721" s="422"/>
      <c r="O721" s="422"/>
      <c r="P721" s="422"/>
      <c r="Q721" s="486"/>
      <c r="R721" s="491"/>
      <c r="S721" s="491"/>
      <c r="T721" s="491"/>
      <c r="U721" s="491"/>
      <c r="V721" s="491"/>
      <c r="W721" s="493"/>
      <c r="X721" s="486"/>
      <c r="Y721" s="442"/>
      <c r="Z721" s="491"/>
      <c r="AA721" s="524"/>
      <c r="AB721" s="494"/>
      <c r="AC721" s="436"/>
      <c r="AD721" s="495"/>
      <c r="AE721" s="496"/>
      <c r="AF721" s="531"/>
      <c r="AG721" s="491"/>
      <c r="AH721" s="525"/>
      <c r="AI721" s="491"/>
      <c r="AJ721" s="446"/>
      <c r="AK721" s="491"/>
      <c r="AL721" s="500"/>
      <c r="AM721" s="436"/>
      <c r="AN721" s="438"/>
      <c r="AO721" s="531"/>
      <c r="AP721" s="491"/>
      <c r="AQ721" s="438"/>
      <c r="AR721" s="438"/>
      <c r="AS721" s="438"/>
      <c r="AT721" s="448"/>
      <c r="AU721" s="449"/>
      <c r="AV721" s="438"/>
      <c r="AW721" s="438"/>
      <c r="AX721" s="450"/>
    </row>
    <row r="722">
      <c r="A722" s="435"/>
      <c r="B722" s="485"/>
      <c r="C722" s="486"/>
      <c r="D722" s="486"/>
      <c r="E722" s="486"/>
      <c r="F722" s="528"/>
      <c r="G722" s="486"/>
      <c r="H722" s="486"/>
      <c r="I722" s="491"/>
      <c r="J722" s="491"/>
      <c r="K722" s="491"/>
      <c r="L722" s="491"/>
      <c r="M722" s="486"/>
      <c r="N722" s="422"/>
      <c r="O722" s="422"/>
      <c r="P722" s="422"/>
      <c r="Q722" s="486"/>
      <c r="R722" s="491"/>
      <c r="S722" s="491"/>
      <c r="T722" s="491"/>
      <c r="U722" s="491"/>
      <c r="V722" s="491"/>
      <c r="W722" s="493"/>
      <c r="X722" s="486"/>
      <c r="Y722" s="442"/>
      <c r="Z722" s="491"/>
      <c r="AA722" s="524"/>
      <c r="AB722" s="494"/>
      <c r="AC722" s="436"/>
      <c r="AD722" s="495"/>
      <c r="AE722" s="496"/>
      <c r="AF722" s="531"/>
      <c r="AG722" s="491"/>
      <c r="AH722" s="525"/>
      <c r="AI722" s="491"/>
      <c r="AJ722" s="446"/>
      <c r="AK722" s="491"/>
      <c r="AL722" s="500"/>
      <c r="AM722" s="436"/>
      <c r="AN722" s="438"/>
      <c r="AO722" s="531"/>
      <c r="AP722" s="491"/>
      <c r="AQ722" s="438"/>
      <c r="AR722" s="438"/>
      <c r="AS722" s="438"/>
      <c r="AT722" s="448"/>
      <c r="AU722" s="452"/>
      <c r="AV722" s="438"/>
      <c r="AW722" s="438"/>
      <c r="AX722" s="450"/>
    </row>
    <row r="723">
      <c r="A723" s="435"/>
      <c r="B723" s="485"/>
      <c r="C723" s="486"/>
      <c r="D723" s="486"/>
      <c r="E723" s="486"/>
      <c r="F723" s="528"/>
      <c r="G723" s="486"/>
      <c r="H723" s="486"/>
      <c r="I723" s="491"/>
      <c r="J723" s="491"/>
      <c r="K723" s="491"/>
      <c r="L723" s="491"/>
      <c r="M723" s="486"/>
      <c r="N723" s="422"/>
      <c r="O723" s="422"/>
      <c r="P723" s="422"/>
      <c r="Q723" s="486"/>
      <c r="R723" s="491"/>
      <c r="S723" s="491"/>
      <c r="T723" s="491"/>
      <c r="U723" s="491"/>
      <c r="V723" s="491"/>
      <c r="W723" s="493"/>
      <c r="X723" s="486"/>
      <c r="Y723" s="442"/>
      <c r="Z723" s="491"/>
      <c r="AA723" s="524"/>
      <c r="AB723" s="494"/>
      <c r="AC723" s="436"/>
      <c r="AD723" s="495"/>
      <c r="AE723" s="496"/>
      <c r="AF723" s="531"/>
      <c r="AG723" s="491"/>
      <c r="AH723" s="525"/>
      <c r="AI723" s="491"/>
      <c r="AJ723" s="446"/>
      <c r="AK723" s="491"/>
      <c r="AL723" s="500"/>
      <c r="AM723" s="436"/>
      <c r="AN723" s="438"/>
      <c r="AO723" s="531"/>
      <c r="AP723" s="491"/>
      <c r="AQ723" s="438"/>
      <c r="AR723" s="438"/>
      <c r="AS723" s="438"/>
      <c r="AT723" s="448"/>
      <c r="AU723" s="449"/>
      <c r="AV723" s="438"/>
      <c r="AW723" s="438"/>
      <c r="AX723" s="450"/>
    </row>
    <row r="724">
      <c r="A724" s="435"/>
      <c r="B724" s="485"/>
      <c r="C724" s="486"/>
      <c r="D724" s="486"/>
      <c r="E724" s="486"/>
      <c r="F724" s="528"/>
      <c r="G724" s="486"/>
      <c r="H724" s="486"/>
      <c r="I724" s="491"/>
      <c r="J724" s="491"/>
      <c r="K724" s="491"/>
      <c r="L724" s="491"/>
      <c r="M724" s="486"/>
      <c r="N724" s="422"/>
      <c r="O724" s="422"/>
      <c r="P724" s="422"/>
      <c r="Q724" s="486"/>
      <c r="R724" s="491"/>
      <c r="S724" s="491"/>
      <c r="T724" s="491"/>
      <c r="U724" s="491"/>
      <c r="V724" s="491"/>
      <c r="W724" s="493"/>
      <c r="X724" s="486"/>
      <c r="Y724" s="442"/>
      <c r="Z724" s="491"/>
      <c r="AA724" s="524"/>
      <c r="AB724" s="494"/>
      <c r="AC724" s="436"/>
      <c r="AD724" s="495"/>
      <c r="AE724" s="496"/>
      <c r="AF724" s="531"/>
      <c r="AG724" s="491"/>
      <c r="AH724" s="525"/>
      <c r="AI724" s="491"/>
      <c r="AJ724" s="446"/>
      <c r="AK724" s="491"/>
      <c r="AL724" s="500"/>
      <c r="AM724" s="436"/>
      <c r="AN724" s="438"/>
      <c r="AO724" s="531"/>
      <c r="AP724" s="491"/>
      <c r="AQ724" s="438"/>
      <c r="AR724" s="438"/>
      <c r="AS724" s="438"/>
      <c r="AT724" s="448"/>
      <c r="AU724" s="452"/>
      <c r="AV724" s="438"/>
      <c r="AW724" s="438"/>
      <c r="AX724" s="450"/>
    </row>
    <row r="725">
      <c r="A725" s="435"/>
      <c r="B725" s="485"/>
      <c r="C725" s="486"/>
      <c r="D725" s="486"/>
      <c r="E725" s="486"/>
      <c r="F725" s="528"/>
      <c r="G725" s="486"/>
      <c r="H725" s="486"/>
      <c r="I725" s="491"/>
      <c r="J725" s="491"/>
      <c r="K725" s="491"/>
      <c r="L725" s="491"/>
      <c r="M725" s="486"/>
      <c r="N725" s="422"/>
      <c r="O725" s="422"/>
      <c r="P725" s="422"/>
      <c r="Q725" s="486"/>
      <c r="R725" s="491"/>
      <c r="S725" s="491"/>
      <c r="T725" s="491"/>
      <c r="U725" s="491"/>
      <c r="V725" s="491"/>
      <c r="W725" s="493"/>
      <c r="X725" s="486"/>
      <c r="Y725" s="442"/>
      <c r="Z725" s="491"/>
      <c r="AA725" s="524"/>
      <c r="AB725" s="494"/>
      <c r="AC725" s="436"/>
      <c r="AD725" s="495"/>
      <c r="AE725" s="496"/>
      <c r="AF725" s="531"/>
      <c r="AG725" s="491"/>
      <c r="AH725" s="525"/>
      <c r="AI725" s="491"/>
      <c r="AJ725" s="446"/>
      <c r="AK725" s="491"/>
      <c r="AL725" s="500"/>
      <c r="AM725" s="436"/>
      <c r="AN725" s="438"/>
      <c r="AO725" s="531"/>
      <c r="AP725" s="491"/>
      <c r="AQ725" s="438"/>
      <c r="AR725" s="438"/>
      <c r="AS725" s="438"/>
      <c r="AT725" s="448"/>
      <c r="AU725" s="449"/>
      <c r="AV725" s="438"/>
      <c r="AW725" s="438"/>
      <c r="AX725" s="450"/>
    </row>
    <row r="726">
      <c r="A726" s="435"/>
      <c r="B726" s="485"/>
      <c r="C726" s="486"/>
      <c r="D726" s="486"/>
      <c r="E726" s="486"/>
      <c r="F726" s="528"/>
      <c r="G726" s="486"/>
      <c r="H726" s="486"/>
      <c r="I726" s="491"/>
      <c r="J726" s="491"/>
      <c r="K726" s="491"/>
      <c r="L726" s="491"/>
      <c r="M726" s="486"/>
      <c r="N726" s="422"/>
      <c r="O726" s="422"/>
      <c r="P726" s="422"/>
      <c r="Q726" s="486"/>
      <c r="R726" s="491"/>
      <c r="S726" s="491"/>
      <c r="T726" s="491"/>
      <c r="U726" s="491"/>
      <c r="V726" s="491"/>
      <c r="W726" s="493"/>
      <c r="X726" s="486"/>
      <c r="Y726" s="442"/>
      <c r="Z726" s="491"/>
      <c r="AA726" s="524"/>
      <c r="AB726" s="494"/>
      <c r="AC726" s="436"/>
      <c r="AD726" s="495"/>
      <c r="AE726" s="496"/>
      <c r="AF726" s="531"/>
      <c r="AG726" s="491"/>
      <c r="AH726" s="525"/>
      <c r="AI726" s="491"/>
      <c r="AJ726" s="446"/>
      <c r="AK726" s="491"/>
      <c r="AL726" s="500"/>
      <c r="AM726" s="436"/>
      <c r="AN726" s="438"/>
      <c r="AO726" s="531"/>
      <c r="AP726" s="491"/>
      <c r="AQ726" s="438"/>
      <c r="AR726" s="438"/>
      <c r="AS726" s="438"/>
      <c r="AT726" s="448"/>
      <c r="AU726" s="452"/>
      <c r="AV726" s="438"/>
      <c r="AW726" s="438"/>
      <c r="AX726" s="450"/>
    </row>
    <row r="727">
      <c r="A727" s="435"/>
      <c r="B727" s="485"/>
      <c r="C727" s="486"/>
      <c r="D727" s="486"/>
      <c r="E727" s="486"/>
      <c r="F727" s="528"/>
      <c r="G727" s="486"/>
      <c r="H727" s="486"/>
      <c r="I727" s="491"/>
      <c r="J727" s="491"/>
      <c r="K727" s="491"/>
      <c r="L727" s="491"/>
      <c r="M727" s="486"/>
      <c r="N727" s="422"/>
      <c r="O727" s="422"/>
      <c r="P727" s="422"/>
      <c r="Q727" s="486"/>
      <c r="R727" s="491"/>
      <c r="S727" s="491"/>
      <c r="T727" s="491"/>
      <c r="U727" s="491"/>
      <c r="V727" s="491"/>
      <c r="W727" s="493"/>
      <c r="X727" s="486"/>
      <c r="Y727" s="442"/>
      <c r="Z727" s="491"/>
      <c r="AA727" s="524"/>
      <c r="AB727" s="494"/>
      <c r="AC727" s="436"/>
      <c r="AD727" s="495"/>
      <c r="AE727" s="496"/>
      <c r="AF727" s="531"/>
      <c r="AG727" s="491"/>
      <c r="AH727" s="525"/>
      <c r="AI727" s="491"/>
      <c r="AJ727" s="446"/>
      <c r="AK727" s="491"/>
      <c r="AL727" s="500"/>
      <c r="AM727" s="436"/>
      <c r="AN727" s="438"/>
      <c r="AO727" s="531"/>
      <c r="AP727" s="491"/>
      <c r="AQ727" s="438"/>
      <c r="AR727" s="438"/>
      <c r="AS727" s="438"/>
      <c r="AT727" s="448"/>
      <c r="AU727" s="449"/>
      <c r="AV727" s="438"/>
      <c r="AW727" s="438"/>
      <c r="AX727" s="450"/>
    </row>
    <row r="728">
      <c r="A728" s="435"/>
      <c r="B728" s="485"/>
      <c r="C728" s="486"/>
      <c r="D728" s="486"/>
      <c r="E728" s="486"/>
      <c r="F728" s="528"/>
      <c r="G728" s="486"/>
      <c r="H728" s="486"/>
      <c r="I728" s="491"/>
      <c r="J728" s="491"/>
      <c r="K728" s="491"/>
      <c r="L728" s="491"/>
      <c r="M728" s="486"/>
      <c r="N728" s="422"/>
      <c r="O728" s="422"/>
      <c r="P728" s="422"/>
      <c r="Q728" s="486"/>
      <c r="R728" s="491"/>
      <c r="S728" s="491"/>
      <c r="T728" s="491"/>
      <c r="U728" s="491"/>
      <c r="V728" s="491"/>
      <c r="W728" s="493"/>
      <c r="X728" s="486"/>
      <c r="Y728" s="442"/>
      <c r="Z728" s="491"/>
      <c r="AA728" s="524"/>
      <c r="AB728" s="494"/>
      <c r="AC728" s="436"/>
      <c r="AD728" s="495"/>
      <c r="AE728" s="496"/>
      <c r="AF728" s="531"/>
      <c r="AG728" s="491"/>
      <c r="AH728" s="525"/>
      <c r="AI728" s="491"/>
      <c r="AJ728" s="446"/>
      <c r="AK728" s="491"/>
      <c r="AL728" s="500"/>
      <c r="AM728" s="436"/>
      <c r="AN728" s="438"/>
      <c r="AO728" s="531"/>
      <c r="AP728" s="491"/>
      <c r="AQ728" s="438"/>
      <c r="AR728" s="438"/>
      <c r="AS728" s="438"/>
      <c r="AT728" s="448"/>
      <c r="AU728" s="452"/>
      <c r="AV728" s="438"/>
      <c r="AW728" s="438"/>
      <c r="AX728" s="450"/>
    </row>
    <row r="729">
      <c r="A729" s="435"/>
      <c r="B729" s="485"/>
      <c r="C729" s="486"/>
      <c r="D729" s="486"/>
      <c r="E729" s="486"/>
      <c r="F729" s="528"/>
      <c r="G729" s="486"/>
      <c r="H729" s="486"/>
      <c r="I729" s="491"/>
      <c r="J729" s="491"/>
      <c r="K729" s="491"/>
      <c r="L729" s="491"/>
      <c r="M729" s="486"/>
      <c r="N729" s="422"/>
      <c r="O729" s="422"/>
      <c r="P729" s="422"/>
      <c r="Q729" s="486"/>
      <c r="R729" s="491"/>
      <c r="S729" s="491"/>
      <c r="T729" s="491"/>
      <c r="U729" s="491"/>
      <c r="V729" s="491"/>
      <c r="W729" s="493"/>
      <c r="X729" s="486"/>
      <c r="Y729" s="442"/>
      <c r="Z729" s="491"/>
      <c r="AA729" s="524"/>
      <c r="AB729" s="494"/>
      <c r="AC729" s="436"/>
      <c r="AD729" s="495"/>
      <c r="AE729" s="496"/>
      <c r="AF729" s="531"/>
      <c r="AG729" s="491"/>
      <c r="AH729" s="525"/>
      <c r="AI729" s="491"/>
      <c r="AJ729" s="446"/>
      <c r="AK729" s="491"/>
      <c r="AL729" s="500"/>
      <c r="AM729" s="436"/>
      <c r="AN729" s="438"/>
      <c r="AO729" s="531"/>
      <c r="AP729" s="491"/>
      <c r="AQ729" s="438"/>
      <c r="AR729" s="438"/>
      <c r="AS729" s="438"/>
      <c r="AT729" s="448"/>
      <c r="AU729" s="449"/>
      <c r="AV729" s="438"/>
      <c r="AW729" s="438"/>
      <c r="AX729" s="450"/>
    </row>
    <row r="730">
      <c r="A730" s="435"/>
      <c r="B730" s="485"/>
      <c r="C730" s="486"/>
      <c r="D730" s="486"/>
      <c r="E730" s="486"/>
      <c r="F730" s="528"/>
      <c r="G730" s="486"/>
      <c r="H730" s="486"/>
      <c r="I730" s="491"/>
      <c r="J730" s="491"/>
      <c r="K730" s="491"/>
      <c r="L730" s="491"/>
      <c r="M730" s="486"/>
      <c r="N730" s="422"/>
      <c r="O730" s="422"/>
      <c r="P730" s="422"/>
      <c r="Q730" s="486"/>
      <c r="R730" s="491"/>
      <c r="S730" s="491"/>
      <c r="T730" s="491"/>
      <c r="U730" s="491"/>
      <c r="V730" s="491"/>
      <c r="W730" s="493"/>
      <c r="X730" s="486"/>
      <c r="Y730" s="442"/>
      <c r="Z730" s="491"/>
      <c r="AA730" s="524"/>
      <c r="AB730" s="494"/>
      <c r="AC730" s="436"/>
      <c r="AD730" s="495"/>
      <c r="AE730" s="496"/>
      <c r="AF730" s="531"/>
      <c r="AG730" s="491"/>
      <c r="AH730" s="525"/>
      <c r="AI730" s="491"/>
      <c r="AJ730" s="446"/>
      <c r="AK730" s="491"/>
      <c r="AL730" s="500"/>
      <c r="AM730" s="436"/>
      <c r="AN730" s="438"/>
      <c r="AO730" s="531"/>
      <c r="AP730" s="491"/>
      <c r="AQ730" s="438"/>
      <c r="AR730" s="438"/>
      <c r="AS730" s="438"/>
      <c r="AT730" s="448"/>
      <c r="AU730" s="452"/>
      <c r="AV730" s="438"/>
      <c r="AW730" s="438"/>
      <c r="AX730" s="450"/>
    </row>
    <row r="731">
      <c r="A731" s="435"/>
      <c r="B731" s="485"/>
      <c r="C731" s="486"/>
      <c r="D731" s="486"/>
      <c r="E731" s="486"/>
      <c r="F731" s="528"/>
      <c r="G731" s="486"/>
      <c r="H731" s="486"/>
      <c r="I731" s="491"/>
      <c r="J731" s="491"/>
      <c r="K731" s="491"/>
      <c r="L731" s="491"/>
      <c r="M731" s="486"/>
      <c r="N731" s="422"/>
      <c r="O731" s="422"/>
      <c r="P731" s="422"/>
      <c r="Q731" s="486"/>
      <c r="R731" s="491"/>
      <c r="S731" s="491"/>
      <c r="T731" s="491"/>
      <c r="U731" s="491"/>
      <c r="V731" s="491"/>
      <c r="W731" s="493"/>
      <c r="X731" s="486"/>
      <c r="Y731" s="442"/>
      <c r="Z731" s="491"/>
      <c r="AA731" s="524"/>
      <c r="AB731" s="494"/>
      <c r="AC731" s="436"/>
      <c r="AD731" s="495"/>
      <c r="AE731" s="496"/>
      <c r="AF731" s="531"/>
      <c r="AG731" s="491"/>
      <c r="AH731" s="525"/>
      <c r="AI731" s="491"/>
      <c r="AJ731" s="446"/>
      <c r="AK731" s="491"/>
      <c r="AL731" s="500"/>
      <c r="AM731" s="436"/>
      <c r="AN731" s="438"/>
      <c r="AO731" s="531"/>
      <c r="AP731" s="491"/>
      <c r="AQ731" s="438"/>
      <c r="AR731" s="438"/>
      <c r="AS731" s="438"/>
      <c r="AT731" s="448"/>
      <c r="AU731" s="449"/>
      <c r="AV731" s="438"/>
      <c r="AW731" s="438"/>
      <c r="AX731" s="450"/>
    </row>
    <row r="732">
      <c r="A732" s="435"/>
      <c r="B732" s="485"/>
      <c r="C732" s="486"/>
      <c r="D732" s="486"/>
      <c r="E732" s="486"/>
      <c r="F732" s="528"/>
      <c r="G732" s="486"/>
      <c r="H732" s="486"/>
      <c r="I732" s="491"/>
      <c r="J732" s="491"/>
      <c r="K732" s="491"/>
      <c r="L732" s="491"/>
      <c r="M732" s="486"/>
      <c r="N732" s="422"/>
      <c r="O732" s="422"/>
      <c r="P732" s="422"/>
      <c r="Q732" s="486"/>
      <c r="R732" s="491"/>
      <c r="S732" s="491"/>
      <c r="T732" s="491"/>
      <c r="U732" s="491"/>
      <c r="V732" s="491"/>
      <c r="W732" s="493"/>
      <c r="X732" s="486"/>
      <c r="Y732" s="442"/>
      <c r="Z732" s="491"/>
      <c r="AA732" s="524"/>
      <c r="AB732" s="494"/>
      <c r="AC732" s="436"/>
      <c r="AD732" s="495"/>
      <c r="AE732" s="496"/>
      <c r="AF732" s="531"/>
      <c r="AG732" s="491"/>
      <c r="AH732" s="525"/>
      <c r="AI732" s="491"/>
      <c r="AJ732" s="446"/>
      <c r="AK732" s="491"/>
      <c r="AL732" s="500"/>
      <c r="AM732" s="436"/>
      <c r="AN732" s="438"/>
      <c r="AO732" s="531"/>
      <c r="AP732" s="491"/>
      <c r="AQ732" s="438"/>
      <c r="AR732" s="438"/>
      <c r="AS732" s="438"/>
      <c r="AT732" s="448"/>
      <c r="AU732" s="452"/>
      <c r="AV732" s="438"/>
      <c r="AW732" s="438"/>
      <c r="AX732" s="450"/>
    </row>
    <row r="733">
      <c r="A733" s="435"/>
      <c r="B733" s="485"/>
      <c r="C733" s="486"/>
      <c r="D733" s="486"/>
      <c r="E733" s="486"/>
      <c r="F733" s="528"/>
      <c r="G733" s="486"/>
      <c r="H733" s="486"/>
      <c r="I733" s="491"/>
      <c r="J733" s="491"/>
      <c r="K733" s="491"/>
      <c r="L733" s="491"/>
      <c r="M733" s="486"/>
      <c r="N733" s="422"/>
      <c r="O733" s="422"/>
      <c r="P733" s="422"/>
      <c r="Q733" s="486"/>
      <c r="R733" s="491"/>
      <c r="S733" s="491"/>
      <c r="T733" s="491"/>
      <c r="U733" s="491"/>
      <c r="V733" s="491"/>
      <c r="W733" s="493"/>
      <c r="X733" s="486"/>
      <c r="Y733" s="442"/>
      <c r="Z733" s="491"/>
      <c r="AA733" s="524"/>
      <c r="AB733" s="494"/>
      <c r="AC733" s="436"/>
      <c r="AD733" s="495"/>
      <c r="AE733" s="496"/>
      <c r="AF733" s="531"/>
      <c r="AG733" s="491"/>
      <c r="AH733" s="525"/>
      <c r="AI733" s="491"/>
      <c r="AJ733" s="446"/>
      <c r="AK733" s="491"/>
      <c r="AL733" s="500"/>
      <c r="AM733" s="436"/>
      <c r="AN733" s="438"/>
      <c r="AO733" s="531"/>
      <c r="AP733" s="491"/>
      <c r="AQ733" s="438"/>
      <c r="AR733" s="438"/>
      <c r="AS733" s="438"/>
      <c r="AT733" s="448"/>
      <c r="AU733" s="449"/>
      <c r="AV733" s="438"/>
      <c r="AW733" s="438"/>
      <c r="AX733" s="450"/>
    </row>
    <row r="734">
      <c r="A734" s="435"/>
      <c r="B734" s="485"/>
      <c r="C734" s="486"/>
      <c r="D734" s="486"/>
      <c r="E734" s="486"/>
      <c r="F734" s="528"/>
      <c r="G734" s="486"/>
      <c r="H734" s="486"/>
      <c r="I734" s="491"/>
      <c r="J734" s="491"/>
      <c r="K734" s="491"/>
      <c r="L734" s="491"/>
      <c r="M734" s="486"/>
      <c r="N734" s="422"/>
      <c r="O734" s="422"/>
      <c r="P734" s="422"/>
      <c r="Q734" s="486"/>
      <c r="R734" s="491"/>
      <c r="S734" s="491"/>
      <c r="T734" s="491"/>
      <c r="U734" s="491"/>
      <c r="V734" s="491"/>
      <c r="W734" s="493"/>
      <c r="X734" s="486"/>
      <c r="Y734" s="442"/>
      <c r="Z734" s="491"/>
      <c r="AA734" s="524"/>
      <c r="AB734" s="494"/>
      <c r="AC734" s="436"/>
      <c r="AD734" s="495"/>
      <c r="AE734" s="496"/>
      <c r="AF734" s="531"/>
      <c r="AG734" s="491"/>
      <c r="AH734" s="525"/>
      <c r="AI734" s="491"/>
      <c r="AJ734" s="446"/>
      <c r="AK734" s="491"/>
      <c r="AL734" s="500"/>
      <c r="AM734" s="436"/>
      <c r="AN734" s="438"/>
      <c r="AO734" s="531"/>
      <c r="AP734" s="491"/>
      <c r="AQ734" s="438"/>
      <c r="AR734" s="438"/>
      <c r="AS734" s="438"/>
      <c r="AT734" s="448"/>
      <c r="AU734" s="452"/>
      <c r="AV734" s="438"/>
      <c r="AW734" s="438"/>
      <c r="AX734" s="450"/>
    </row>
    <row r="735">
      <c r="A735" s="435"/>
      <c r="B735" s="485"/>
      <c r="C735" s="486"/>
      <c r="D735" s="486"/>
      <c r="E735" s="486"/>
      <c r="F735" s="528"/>
      <c r="G735" s="486"/>
      <c r="H735" s="486"/>
      <c r="I735" s="491"/>
      <c r="J735" s="491"/>
      <c r="K735" s="491"/>
      <c r="L735" s="491"/>
      <c r="M735" s="486"/>
      <c r="N735" s="422"/>
      <c r="O735" s="422"/>
      <c r="P735" s="422"/>
      <c r="Q735" s="486"/>
      <c r="R735" s="491"/>
      <c r="S735" s="491"/>
      <c r="T735" s="491"/>
      <c r="U735" s="491"/>
      <c r="V735" s="491"/>
      <c r="W735" s="493"/>
      <c r="X735" s="486"/>
      <c r="Y735" s="442"/>
      <c r="Z735" s="491"/>
      <c r="AA735" s="524"/>
      <c r="AB735" s="494"/>
      <c r="AC735" s="436"/>
      <c r="AD735" s="495"/>
      <c r="AE735" s="496"/>
      <c r="AF735" s="531"/>
      <c r="AG735" s="491"/>
      <c r="AH735" s="525"/>
      <c r="AI735" s="491"/>
      <c r="AJ735" s="446"/>
      <c r="AK735" s="491"/>
      <c r="AL735" s="500"/>
      <c r="AM735" s="436"/>
      <c r="AN735" s="438"/>
      <c r="AO735" s="531"/>
      <c r="AP735" s="491"/>
      <c r="AQ735" s="438"/>
      <c r="AR735" s="438"/>
      <c r="AS735" s="438"/>
      <c r="AT735" s="448"/>
      <c r="AU735" s="449"/>
      <c r="AV735" s="438"/>
      <c r="AW735" s="438"/>
      <c r="AX735" s="450"/>
    </row>
    <row r="736">
      <c r="A736" s="435"/>
      <c r="B736" s="485"/>
      <c r="C736" s="486"/>
      <c r="D736" s="486"/>
      <c r="E736" s="486"/>
      <c r="F736" s="528"/>
      <c r="G736" s="486"/>
      <c r="H736" s="486"/>
      <c r="I736" s="491"/>
      <c r="J736" s="491"/>
      <c r="K736" s="491"/>
      <c r="L736" s="491"/>
      <c r="M736" s="486"/>
      <c r="N736" s="422"/>
      <c r="O736" s="422"/>
      <c r="P736" s="422"/>
      <c r="Q736" s="486"/>
      <c r="R736" s="491"/>
      <c r="S736" s="491"/>
      <c r="T736" s="491"/>
      <c r="U736" s="491"/>
      <c r="V736" s="491"/>
      <c r="W736" s="493"/>
      <c r="X736" s="486"/>
      <c r="Y736" s="442"/>
      <c r="Z736" s="491"/>
      <c r="AA736" s="524"/>
      <c r="AB736" s="494"/>
      <c r="AC736" s="436"/>
      <c r="AD736" s="495"/>
      <c r="AE736" s="496"/>
      <c r="AF736" s="531"/>
      <c r="AG736" s="491"/>
      <c r="AH736" s="525"/>
      <c r="AI736" s="491"/>
      <c r="AJ736" s="446"/>
      <c r="AK736" s="491"/>
      <c r="AL736" s="500"/>
      <c r="AM736" s="436"/>
      <c r="AN736" s="438"/>
      <c r="AO736" s="531"/>
      <c r="AP736" s="491"/>
      <c r="AQ736" s="438"/>
      <c r="AR736" s="438"/>
      <c r="AS736" s="438"/>
      <c r="AT736" s="448"/>
      <c r="AU736" s="452"/>
      <c r="AV736" s="438"/>
      <c r="AW736" s="438"/>
      <c r="AX736" s="450"/>
    </row>
    <row r="737">
      <c r="A737" s="435"/>
      <c r="B737" s="485"/>
      <c r="C737" s="486"/>
      <c r="D737" s="486"/>
      <c r="E737" s="486"/>
      <c r="F737" s="528"/>
      <c r="G737" s="486"/>
      <c r="H737" s="486"/>
      <c r="I737" s="491"/>
      <c r="J737" s="491"/>
      <c r="K737" s="491"/>
      <c r="L737" s="491"/>
      <c r="M737" s="486"/>
      <c r="N737" s="422"/>
      <c r="O737" s="422"/>
      <c r="P737" s="422"/>
      <c r="Q737" s="486"/>
      <c r="R737" s="491"/>
      <c r="S737" s="491"/>
      <c r="T737" s="491"/>
      <c r="U737" s="491"/>
      <c r="V737" s="491"/>
      <c r="W737" s="493"/>
      <c r="X737" s="486"/>
      <c r="Y737" s="442"/>
      <c r="Z737" s="491"/>
      <c r="AA737" s="524"/>
      <c r="AB737" s="494"/>
      <c r="AC737" s="436"/>
      <c r="AD737" s="495"/>
      <c r="AE737" s="496"/>
      <c r="AF737" s="531"/>
      <c r="AG737" s="491"/>
      <c r="AH737" s="525"/>
      <c r="AI737" s="491"/>
      <c r="AJ737" s="446"/>
      <c r="AK737" s="491"/>
      <c r="AL737" s="500"/>
      <c r="AM737" s="436"/>
      <c r="AN737" s="438"/>
      <c r="AO737" s="531"/>
      <c r="AP737" s="491"/>
      <c r="AQ737" s="438"/>
      <c r="AR737" s="438"/>
      <c r="AS737" s="438"/>
      <c r="AT737" s="448"/>
      <c r="AU737" s="449"/>
      <c r="AV737" s="438"/>
      <c r="AW737" s="438"/>
      <c r="AX737" s="450"/>
    </row>
    <row r="738">
      <c r="A738" s="435"/>
      <c r="B738" s="485"/>
      <c r="C738" s="486"/>
      <c r="D738" s="486"/>
      <c r="E738" s="486"/>
      <c r="F738" s="528"/>
      <c r="G738" s="486"/>
      <c r="H738" s="486"/>
      <c r="I738" s="491"/>
      <c r="J738" s="491"/>
      <c r="K738" s="491"/>
      <c r="L738" s="491"/>
      <c r="M738" s="486"/>
      <c r="N738" s="422"/>
      <c r="O738" s="422"/>
      <c r="P738" s="422"/>
      <c r="Q738" s="486"/>
      <c r="R738" s="491"/>
      <c r="S738" s="491"/>
      <c r="T738" s="491"/>
      <c r="U738" s="491"/>
      <c r="V738" s="491"/>
      <c r="W738" s="493"/>
      <c r="X738" s="486"/>
      <c r="Y738" s="442"/>
      <c r="Z738" s="491"/>
      <c r="AA738" s="524"/>
      <c r="AB738" s="494"/>
      <c r="AC738" s="436"/>
      <c r="AD738" s="495"/>
      <c r="AE738" s="496"/>
      <c r="AF738" s="531"/>
      <c r="AG738" s="491"/>
      <c r="AH738" s="525"/>
      <c r="AI738" s="491"/>
      <c r="AJ738" s="446"/>
      <c r="AK738" s="491"/>
      <c r="AL738" s="500"/>
      <c r="AM738" s="436"/>
      <c r="AN738" s="438"/>
      <c r="AO738" s="531"/>
      <c r="AP738" s="491"/>
      <c r="AQ738" s="438"/>
      <c r="AR738" s="438"/>
      <c r="AS738" s="438"/>
      <c r="AT738" s="448"/>
      <c r="AU738" s="452"/>
      <c r="AV738" s="438"/>
      <c r="AW738" s="438"/>
      <c r="AX738" s="450"/>
    </row>
    <row r="739">
      <c r="A739" s="435"/>
      <c r="B739" s="485"/>
      <c r="C739" s="486"/>
      <c r="D739" s="486"/>
      <c r="E739" s="486"/>
      <c r="F739" s="528"/>
      <c r="G739" s="486"/>
      <c r="H739" s="486"/>
      <c r="I739" s="491"/>
      <c r="J739" s="491"/>
      <c r="K739" s="491"/>
      <c r="L739" s="491"/>
      <c r="M739" s="486"/>
      <c r="N739" s="422"/>
      <c r="O739" s="422"/>
      <c r="P739" s="422"/>
      <c r="Q739" s="486"/>
      <c r="R739" s="491"/>
      <c r="S739" s="491"/>
      <c r="T739" s="491"/>
      <c r="U739" s="491"/>
      <c r="V739" s="491"/>
      <c r="W739" s="493"/>
      <c r="X739" s="486"/>
      <c r="Y739" s="442"/>
      <c r="Z739" s="491"/>
      <c r="AA739" s="524"/>
      <c r="AB739" s="494"/>
      <c r="AC739" s="436"/>
      <c r="AD739" s="495"/>
      <c r="AE739" s="496"/>
      <c r="AF739" s="531"/>
      <c r="AG739" s="491"/>
      <c r="AH739" s="525"/>
      <c r="AI739" s="491"/>
      <c r="AJ739" s="446"/>
      <c r="AK739" s="491"/>
      <c r="AL739" s="500"/>
      <c r="AM739" s="436"/>
      <c r="AN739" s="438"/>
      <c r="AO739" s="531"/>
      <c r="AP739" s="491"/>
      <c r="AQ739" s="438"/>
      <c r="AR739" s="438"/>
      <c r="AS739" s="438"/>
      <c r="AT739" s="448"/>
      <c r="AU739" s="449"/>
      <c r="AV739" s="438"/>
      <c r="AW739" s="438"/>
      <c r="AX739" s="450"/>
    </row>
    <row r="740">
      <c r="A740" s="435"/>
      <c r="B740" s="485"/>
      <c r="C740" s="486"/>
      <c r="D740" s="486"/>
      <c r="E740" s="486"/>
      <c r="F740" s="528"/>
      <c r="G740" s="486"/>
      <c r="H740" s="486"/>
      <c r="I740" s="491"/>
      <c r="J740" s="491"/>
      <c r="K740" s="491"/>
      <c r="L740" s="491"/>
      <c r="M740" s="486"/>
      <c r="N740" s="422"/>
      <c r="O740" s="422"/>
      <c r="P740" s="422"/>
      <c r="Q740" s="486"/>
      <c r="R740" s="491"/>
      <c r="S740" s="491"/>
      <c r="T740" s="491"/>
      <c r="U740" s="491"/>
      <c r="V740" s="491"/>
      <c r="W740" s="493"/>
      <c r="X740" s="486"/>
      <c r="Y740" s="442"/>
      <c r="Z740" s="491"/>
      <c r="AA740" s="524"/>
      <c r="AB740" s="494"/>
      <c r="AC740" s="436"/>
      <c r="AD740" s="495"/>
      <c r="AE740" s="496"/>
      <c r="AF740" s="531"/>
      <c r="AG740" s="491"/>
      <c r="AH740" s="525"/>
      <c r="AI740" s="491"/>
      <c r="AJ740" s="446"/>
      <c r="AK740" s="491"/>
      <c r="AL740" s="500"/>
      <c r="AM740" s="436"/>
      <c r="AN740" s="438"/>
      <c r="AO740" s="531"/>
      <c r="AP740" s="491"/>
      <c r="AQ740" s="438"/>
      <c r="AR740" s="438"/>
      <c r="AS740" s="438"/>
      <c r="AT740" s="448"/>
      <c r="AU740" s="452"/>
      <c r="AV740" s="438"/>
      <c r="AW740" s="438"/>
      <c r="AX740" s="450"/>
    </row>
    <row r="741">
      <c r="A741" s="435"/>
      <c r="B741" s="485"/>
      <c r="C741" s="486"/>
      <c r="D741" s="486"/>
      <c r="E741" s="486"/>
      <c r="F741" s="528"/>
      <c r="G741" s="486"/>
      <c r="H741" s="486"/>
      <c r="I741" s="491"/>
      <c r="J741" s="491"/>
      <c r="K741" s="491"/>
      <c r="L741" s="491"/>
      <c r="M741" s="486"/>
      <c r="N741" s="422"/>
      <c r="O741" s="422"/>
      <c r="P741" s="422"/>
      <c r="Q741" s="486"/>
      <c r="R741" s="491"/>
      <c r="S741" s="491"/>
      <c r="T741" s="491"/>
      <c r="U741" s="491"/>
      <c r="V741" s="491"/>
      <c r="W741" s="493"/>
      <c r="X741" s="486"/>
      <c r="Y741" s="442"/>
      <c r="Z741" s="491"/>
      <c r="AA741" s="524"/>
      <c r="AB741" s="494"/>
      <c r="AC741" s="436"/>
      <c r="AD741" s="495"/>
      <c r="AE741" s="496"/>
      <c r="AF741" s="531"/>
      <c r="AG741" s="491"/>
      <c r="AH741" s="525"/>
      <c r="AI741" s="491"/>
      <c r="AJ741" s="446"/>
      <c r="AK741" s="491"/>
      <c r="AL741" s="500"/>
      <c r="AM741" s="436"/>
      <c r="AN741" s="438"/>
      <c r="AO741" s="531"/>
      <c r="AP741" s="491"/>
      <c r="AQ741" s="438"/>
      <c r="AR741" s="438"/>
      <c r="AS741" s="438"/>
      <c r="AT741" s="448"/>
      <c r="AU741" s="449"/>
      <c r="AV741" s="438"/>
      <c r="AW741" s="438"/>
      <c r="AX741" s="450"/>
    </row>
    <row r="742">
      <c r="A742" s="435"/>
      <c r="B742" s="485"/>
      <c r="C742" s="486"/>
      <c r="D742" s="486"/>
      <c r="E742" s="486"/>
      <c r="F742" s="528"/>
      <c r="G742" s="486"/>
      <c r="H742" s="486"/>
      <c r="I742" s="491"/>
      <c r="J742" s="491"/>
      <c r="K742" s="491"/>
      <c r="L742" s="491"/>
      <c r="M742" s="486"/>
      <c r="N742" s="422"/>
      <c r="O742" s="422"/>
      <c r="P742" s="422"/>
      <c r="Q742" s="486"/>
      <c r="R742" s="491"/>
      <c r="S742" s="491"/>
      <c r="T742" s="491"/>
      <c r="U742" s="491"/>
      <c r="V742" s="491"/>
      <c r="W742" s="493"/>
      <c r="X742" s="486"/>
      <c r="Y742" s="442"/>
      <c r="Z742" s="491"/>
      <c r="AA742" s="524"/>
      <c r="AB742" s="494"/>
      <c r="AC742" s="436"/>
      <c r="AD742" s="495"/>
      <c r="AE742" s="496"/>
      <c r="AF742" s="531"/>
      <c r="AG742" s="491"/>
      <c r="AH742" s="525"/>
      <c r="AI742" s="491"/>
      <c r="AJ742" s="446"/>
      <c r="AK742" s="491"/>
      <c r="AL742" s="500"/>
      <c r="AM742" s="436"/>
      <c r="AN742" s="438"/>
      <c r="AO742" s="531"/>
      <c r="AP742" s="491"/>
      <c r="AQ742" s="438"/>
      <c r="AR742" s="438"/>
      <c r="AS742" s="438"/>
      <c r="AT742" s="448"/>
      <c r="AU742" s="452"/>
      <c r="AV742" s="438"/>
      <c r="AW742" s="438"/>
      <c r="AX742" s="450"/>
    </row>
    <row r="743">
      <c r="A743" s="435"/>
      <c r="B743" s="485"/>
      <c r="C743" s="486"/>
      <c r="D743" s="486"/>
      <c r="E743" s="486"/>
      <c r="F743" s="528"/>
      <c r="G743" s="486"/>
      <c r="H743" s="486"/>
      <c r="I743" s="491"/>
      <c r="J743" s="491"/>
      <c r="K743" s="491"/>
      <c r="L743" s="491"/>
      <c r="M743" s="486"/>
      <c r="N743" s="422"/>
      <c r="O743" s="422"/>
      <c r="P743" s="422"/>
      <c r="Q743" s="486"/>
      <c r="R743" s="491"/>
      <c r="S743" s="491"/>
      <c r="T743" s="491"/>
      <c r="U743" s="491"/>
      <c r="V743" s="491"/>
      <c r="W743" s="493"/>
      <c r="X743" s="486"/>
      <c r="Y743" s="442"/>
      <c r="Z743" s="491"/>
      <c r="AA743" s="524"/>
      <c r="AB743" s="494"/>
      <c r="AC743" s="436"/>
      <c r="AD743" s="495"/>
      <c r="AE743" s="496"/>
      <c r="AF743" s="531"/>
      <c r="AG743" s="491"/>
      <c r="AH743" s="525"/>
      <c r="AI743" s="491"/>
      <c r="AJ743" s="446"/>
      <c r="AK743" s="491"/>
      <c r="AL743" s="500"/>
      <c r="AM743" s="436"/>
      <c r="AN743" s="438"/>
      <c r="AO743" s="531"/>
      <c r="AP743" s="491"/>
      <c r="AQ743" s="438"/>
      <c r="AR743" s="438"/>
      <c r="AS743" s="438"/>
      <c r="AT743" s="448"/>
      <c r="AU743" s="449"/>
      <c r="AV743" s="438"/>
      <c r="AW743" s="438"/>
      <c r="AX743" s="450"/>
    </row>
    <row r="744">
      <c r="A744" s="435"/>
      <c r="B744" s="485"/>
      <c r="C744" s="486"/>
      <c r="D744" s="486"/>
      <c r="E744" s="486"/>
      <c r="F744" s="528"/>
      <c r="G744" s="486"/>
      <c r="H744" s="486"/>
      <c r="I744" s="491"/>
      <c r="J744" s="491"/>
      <c r="K744" s="491"/>
      <c r="L744" s="491"/>
      <c r="M744" s="486"/>
      <c r="N744" s="422"/>
      <c r="O744" s="422"/>
      <c r="P744" s="422"/>
      <c r="Q744" s="486"/>
      <c r="R744" s="491"/>
      <c r="S744" s="491"/>
      <c r="T744" s="491"/>
      <c r="U744" s="491"/>
      <c r="V744" s="491"/>
      <c r="W744" s="493"/>
      <c r="X744" s="486"/>
      <c r="Y744" s="442"/>
      <c r="Z744" s="491"/>
      <c r="AA744" s="524"/>
      <c r="AB744" s="494"/>
      <c r="AC744" s="436"/>
      <c r="AD744" s="495"/>
      <c r="AE744" s="496"/>
      <c r="AF744" s="531"/>
      <c r="AG744" s="491"/>
      <c r="AH744" s="525"/>
      <c r="AI744" s="491"/>
      <c r="AJ744" s="446"/>
      <c r="AK744" s="491"/>
      <c r="AL744" s="500"/>
      <c r="AM744" s="436"/>
      <c r="AN744" s="438"/>
      <c r="AO744" s="531"/>
      <c r="AP744" s="491"/>
      <c r="AQ744" s="438"/>
      <c r="AR744" s="438"/>
      <c r="AS744" s="438"/>
      <c r="AT744" s="448"/>
      <c r="AU744" s="452"/>
      <c r="AV744" s="438"/>
      <c r="AW744" s="438"/>
      <c r="AX744" s="450"/>
    </row>
    <row r="745">
      <c r="A745" s="435"/>
      <c r="B745" s="485"/>
      <c r="C745" s="486"/>
      <c r="D745" s="486"/>
      <c r="E745" s="486"/>
      <c r="F745" s="528"/>
      <c r="G745" s="486"/>
      <c r="H745" s="486"/>
      <c r="I745" s="491"/>
      <c r="J745" s="491"/>
      <c r="K745" s="491"/>
      <c r="L745" s="491"/>
      <c r="M745" s="486"/>
      <c r="N745" s="422"/>
      <c r="O745" s="422"/>
      <c r="P745" s="422"/>
      <c r="Q745" s="486"/>
      <c r="R745" s="491"/>
      <c r="S745" s="491"/>
      <c r="T745" s="491"/>
      <c r="U745" s="491"/>
      <c r="V745" s="491"/>
      <c r="W745" s="493"/>
      <c r="X745" s="486"/>
      <c r="Y745" s="442"/>
      <c r="Z745" s="491"/>
      <c r="AA745" s="524"/>
      <c r="AB745" s="494"/>
      <c r="AC745" s="436"/>
      <c r="AD745" s="495"/>
      <c r="AE745" s="496"/>
      <c r="AF745" s="531"/>
      <c r="AG745" s="491"/>
      <c r="AH745" s="525"/>
      <c r="AI745" s="491"/>
      <c r="AJ745" s="446"/>
      <c r="AK745" s="491"/>
      <c r="AL745" s="500"/>
      <c r="AM745" s="436"/>
      <c r="AN745" s="438"/>
      <c r="AO745" s="531"/>
      <c r="AP745" s="491"/>
      <c r="AQ745" s="438"/>
      <c r="AR745" s="438"/>
      <c r="AS745" s="438"/>
      <c r="AT745" s="448"/>
      <c r="AU745" s="449"/>
      <c r="AV745" s="438"/>
      <c r="AW745" s="438"/>
      <c r="AX745" s="450"/>
    </row>
    <row r="746">
      <c r="A746" s="435"/>
      <c r="B746" s="485"/>
      <c r="C746" s="486"/>
      <c r="D746" s="486"/>
      <c r="E746" s="486"/>
      <c r="F746" s="528"/>
      <c r="G746" s="486"/>
      <c r="H746" s="486"/>
      <c r="I746" s="491"/>
      <c r="J746" s="491"/>
      <c r="K746" s="491"/>
      <c r="L746" s="491"/>
      <c r="M746" s="486"/>
      <c r="N746" s="422"/>
      <c r="O746" s="422"/>
      <c r="P746" s="422"/>
      <c r="Q746" s="486"/>
      <c r="R746" s="491"/>
      <c r="S746" s="491"/>
      <c r="T746" s="491"/>
      <c r="U746" s="491"/>
      <c r="V746" s="491"/>
      <c r="W746" s="493"/>
      <c r="X746" s="486"/>
      <c r="Y746" s="442"/>
      <c r="Z746" s="491"/>
      <c r="AA746" s="524"/>
      <c r="AB746" s="494"/>
      <c r="AC746" s="436"/>
      <c r="AD746" s="495"/>
      <c r="AE746" s="496"/>
      <c r="AF746" s="531"/>
      <c r="AG746" s="491"/>
      <c r="AH746" s="525"/>
      <c r="AI746" s="491"/>
      <c r="AJ746" s="446"/>
      <c r="AK746" s="491"/>
      <c r="AL746" s="500"/>
      <c r="AM746" s="436"/>
      <c r="AN746" s="438"/>
      <c r="AO746" s="531"/>
      <c r="AP746" s="491"/>
      <c r="AQ746" s="438"/>
      <c r="AR746" s="438"/>
      <c r="AS746" s="438"/>
      <c r="AT746" s="448"/>
      <c r="AU746" s="452"/>
      <c r="AV746" s="438"/>
      <c r="AW746" s="438"/>
      <c r="AX746" s="450"/>
    </row>
    <row r="747">
      <c r="A747" s="435"/>
      <c r="B747" s="485"/>
      <c r="C747" s="486"/>
      <c r="D747" s="486"/>
      <c r="E747" s="486"/>
      <c r="F747" s="528"/>
      <c r="G747" s="486"/>
      <c r="H747" s="486"/>
      <c r="I747" s="491"/>
      <c r="J747" s="491"/>
      <c r="K747" s="491"/>
      <c r="L747" s="491"/>
      <c r="M747" s="486"/>
      <c r="N747" s="422"/>
      <c r="O747" s="422"/>
      <c r="P747" s="422"/>
      <c r="Q747" s="486"/>
      <c r="R747" s="491"/>
      <c r="S747" s="491"/>
      <c r="T747" s="491"/>
      <c r="U747" s="491"/>
      <c r="V747" s="491"/>
      <c r="W747" s="493"/>
      <c r="X747" s="486"/>
      <c r="Y747" s="442"/>
      <c r="Z747" s="491"/>
      <c r="AA747" s="524"/>
      <c r="AB747" s="494"/>
      <c r="AC747" s="436"/>
      <c r="AD747" s="495"/>
      <c r="AE747" s="496"/>
      <c r="AF747" s="531"/>
      <c r="AG747" s="491"/>
      <c r="AH747" s="525"/>
      <c r="AI747" s="491"/>
      <c r="AJ747" s="446"/>
      <c r="AK747" s="491"/>
      <c r="AL747" s="500"/>
      <c r="AM747" s="436"/>
      <c r="AN747" s="438"/>
      <c r="AO747" s="531"/>
      <c r="AP747" s="491"/>
      <c r="AQ747" s="438"/>
      <c r="AR747" s="438"/>
      <c r="AS747" s="438"/>
      <c r="AT747" s="448"/>
      <c r="AU747" s="449"/>
      <c r="AV747" s="438"/>
      <c r="AW747" s="438"/>
      <c r="AX747" s="450"/>
    </row>
    <row r="748">
      <c r="A748" s="435"/>
      <c r="B748" s="485"/>
      <c r="C748" s="486"/>
      <c r="D748" s="486"/>
      <c r="E748" s="486"/>
      <c r="F748" s="528"/>
      <c r="G748" s="486"/>
      <c r="H748" s="486"/>
      <c r="I748" s="491"/>
      <c r="J748" s="491"/>
      <c r="K748" s="491"/>
      <c r="L748" s="491"/>
      <c r="M748" s="486"/>
      <c r="N748" s="422"/>
      <c r="O748" s="422"/>
      <c r="P748" s="422"/>
      <c r="Q748" s="486"/>
      <c r="R748" s="491"/>
      <c r="S748" s="491"/>
      <c r="T748" s="491"/>
      <c r="U748" s="491"/>
      <c r="V748" s="491"/>
      <c r="W748" s="493"/>
      <c r="X748" s="486"/>
      <c r="Y748" s="442"/>
      <c r="Z748" s="491"/>
      <c r="AA748" s="524"/>
      <c r="AB748" s="494"/>
      <c r="AC748" s="436"/>
      <c r="AD748" s="495"/>
      <c r="AE748" s="496"/>
      <c r="AF748" s="531"/>
      <c r="AG748" s="491"/>
      <c r="AH748" s="525"/>
      <c r="AI748" s="491"/>
      <c r="AJ748" s="446"/>
      <c r="AK748" s="491"/>
      <c r="AL748" s="500"/>
      <c r="AM748" s="436"/>
      <c r="AN748" s="438"/>
      <c r="AO748" s="531"/>
      <c r="AP748" s="491"/>
      <c r="AQ748" s="438"/>
      <c r="AR748" s="438"/>
      <c r="AS748" s="438"/>
      <c r="AT748" s="448"/>
      <c r="AU748" s="452"/>
      <c r="AV748" s="438"/>
      <c r="AW748" s="438"/>
      <c r="AX748" s="450"/>
    </row>
    <row r="749">
      <c r="A749" s="435"/>
      <c r="B749" s="485"/>
      <c r="C749" s="486"/>
      <c r="D749" s="486"/>
      <c r="E749" s="486"/>
      <c r="F749" s="528"/>
      <c r="G749" s="486"/>
      <c r="H749" s="486"/>
      <c r="I749" s="491"/>
      <c r="J749" s="491"/>
      <c r="K749" s="491"/>
      <c r="L749" s="491"/>
      <c r="M749" s="486"/>
      <c r="N749" s="422"/>
      <c r="O749" s="422"/>
      <c r="P749" s="422"/>
      <c r="Q749" s="486"/>
      <c r="R749" s="491"/>
      <c r="S749" s="491"/>
      <c r="T749" s="491"/>
      <c r="U749" s="491"/>
      <c r="V749" s="491"/>
      <c r="W749" s="493"/>
      <c r="X749" s="486"/>
      <c r="Y749" s="442"/>
      <c r="Z749" s="491"/>
      <c r="AA749" s="524"/>
      <c r="AB749" s="494"/>
      <c r="AC749" s="436"/>
      <c r="AD749" s="495"/>
      <c r="AE749" s="496"/>
      <c r="AF749" s="531"/>
      <c r="AG749" s="491"/>
      <c r="AH749" s="525"/>
      <c r="AI749" s="491"/>
      <c r="AJ749" s="446"/>
      <c r="AK749" s="491"/>
      <c r="AL749" s="500"/>
      <c r="AM749" s="436"/>
      <c r="AN749" s="438"/>
      <c r="AO749" s="531"/>
      <c r="AP749" s="491"/>
      <c r="AQ749" s="438"/>
      <c r="AR749" s="438"/>
      <c r="AS749" s="438"/>
      <c r="AT749" s="448"/>
      <c r="AU749" s="449"/>
      <c r="AV749" s="438"/>
      <c r="AW749" s="438"/>
      <c r="AX749" s="450"/>
    </row>
    <row r="750">
      <c r="A750" s="435"/>
      <c r="B750" s="485"/>
      <c r="C750" s="486"/>
      <c r="D750" s="486"/>
      <c r="E750" s="486"/>
      <c r="F750" s="528"/>
      <c r="G750" s="486"/>
      <c r="H750" s="486"/>
      <c r="I750" s="491"/>
      <c r="J750" s="491"/>
      <c r="K750" s="491"/>
      <c r="L750" s="491"/>
      <c r="M750" s="486"/>
      <c r="N750" s="422"/>
      <c r="O750" s="422"/>
      <c r="P750" s="422"/>
      <c r="Q750" s="486"/>
      <c r="R750" s="491"/>
      <c r="S750" s="491"/>
      <c r="T750" s="491"/>
      <c r="U750" s="491"/>
      <c r="V750" s="491"/>
      <c r="W750" s="493"/>
      <c r="X750" s="486"/>
      <c r="Y750" s="442"/>
      <c r="Z750" s="491"/>
      <c r="AA750" s="524"/>
      <c r="AB750" s="494"/>
      <c r="AC750" s="436"/>
      <c r="AD750" s="495"/>
      <c r="AE750" s="496"/>
      <c r="AF750" s="531"/>
      <c r="AG750" s="491"/>
      <c r="AH750" s="525"/>
      <c r="AI750" s="491"/>
      <c r="AJ750" s="446"/>
      <c r="AK750" s="491"/>
      <c r="AL750" s="500"/>
      <c r="AM750" s="436"/>
      <c r="AN750" s="438"/>
      <c r="AO750" s="531"/>
      <c r="AP750" s="491"/>
      <c r="AQ750" s="438"/>
      <c r="AR750" s="438"/>
      <c r="AS750" s="438"/>
      <c r="AT750" s="448"/>
      <c r="AU750" s="452"/>
      <c r="AV750" s="438"/>
      <c r="AW750" s="438"/>
      <c r="AX750" s="450"/>
    </row>
    <row r="751">
      <c r="A751" s="435"/>
      <c r="B751" s="485"/>
      <c r="C751" s="486"/>
      <c r="D751" s="486"/>
      <c r="E751" s="486"/>
      <c r="F751" s="528"/>
      <c r="G751" s="486"/>
      <c r="H751" s="486"/>
      <c r="I751" s="491"/>
      <c r="J751" s="491"/>
      <c r="K751" s="491"/>
      <c r="L751" s="491"/>
      <c r="M751" s="486"/>
      <c r="N751" s="422"/>
      <c r="O751" s="422"/>
      <c r="P751" s="422"/>
      <c r="Q751" s="486"/>
      <c r="R751" s="491"/>
      <c r="S751" s="491"/>
      <c r="T751" s="491"/>
      <c r="U751" s="491"/>
      <c r="V751" s="491"/>
      <c r="W751" s="493"/>
      <c r="X751" s="486"/>
      <c r="Y751" s="442"/>
      <c r="Z751" s="491"/>
      <c r="AA751" s="524"/>
      <c r="AB751" s="494"/>
      <c r="AC751" s="436"/>
      <c r="AD751" s="495"/>
      <c r="AE751" s="496"/>
      <c r="AF751" s="531"/>
      <c r="AG751" s="491"/>
      <c r="AH751" s="525"/>
      <c r="AI751" s="491"/>
      <c r="AJ751" s="446"/>
      <c r="AK751" s="491"/>
      <c r="AL751" s="500"/>
      <c r="AM751" s="436"/>
      <c r="AN751" s="438"/>
      <c r="AO751" s="531"/>
      <c r="AP751" s="491"/>
      <c r="AQ751" s="438"/>
      <c r="AR751" s="438"/>
      <c r="AS751" s="438"/>
      <c r="AT751" s="448"/>
      <c r="AU751" s="449"/>
      <c r="AV751" s="438"/>
      <c r="AW751" s="438"/>
      <c r="AX751" s="450"/>
    </row>
    <row r="752">
      <c r="A752" s="435"/>
      <c r="B752" s="485"/>
      <c r="C752" s="486"/>
      <c r="D752" s="486"/>
      <c r="E752" s="486"/>
      <c r="F752" s="528"/>
      <c r="G752" s="486"/>
      <c r="H752" s="486"/>
      <c r="I752" s="491"/>
      <c r="J752" s="491"/>
      <c r="K752" s="491"/>
      <c r="L752" s="491"/>
      <c r="M752" s="486"/>
      <c r="N752" s="422"/>
      <c r="O752" s="422"/>
      <c r="P752" s="422"/>
      <c r="Q752" s="486"/>
      <c r="R752" s="491"/>
      <c r="S752" s="491"/>
      <c r="T752" s="491"/>
      <c r="U752" s="491"/>
      <c r="V752" s="491"/>
      <c r="W752" s="493"/>
      <c r="X752" s="486"/>
      <c r="Y752" s="442"/>
      <c r="Z752" s="491"/>
      <c r="AA752" s="524"/>
      <c r="AB752" s="494"/>
      <c r="AC752" s="436"/>
      <c r="AD752" s="495"/>
      <c r="AE752" s="496"/>
      <c r="AF752" s="531"/>
      <c r="AG752" s="491"/>
      <c r="AH752" s="525"/>
      <c r="AI752" s="491"/>
      <c r="AJ752" s="446"/>
      <c r="AK752" s="491"/>
      <c r="AL752" s="500"/>
      <c r="AM752" s="436"/>
      <c r="AN752" s="438"/>
      <c r="AO752" s="531"/>
      <c r="AP752" s="491"/>
      <c r="AQ752" s="438"/>
      <c r="AR752" s="438"/>
      <c r="AS752" s="438"/>
      <c r="AT752" s="448"/>
      <c r="AU752" s="452"/>
      <c r="AV752" s="438"/>
      <c r="AW752" s="438"/>
      <c r="AX752" s="450"/>
    </row>
    <row r="753">
      <c r="A753" s="435"/>
      <c r="B753" s="485"/>
      <c r="C753" s="486"/>
      <c r="D753" s="486"/>
      <c r="E753" s="486"/>
      <c r="F753" s="528"/>
      <c r="G753" s="486"/>
      <c r="H753" s="486"/>
      <c r="I753" s="491"/>
      <c r="J753" s="491"/>
      <c r="K753" s="491"/>
      <c r="L753" s="491"/>
      <c r="M753" s="486"/>
      <c r="N753" s="422"/>
      <c r="O753" s="422"/>
      <c r="P753" s="422"/>
      <c r="Q753" s="486"/>
      <c r="R753" s="491"/>
      <c r="S753" s="491"/>
      <c r="T753" s="491"/>
      <c r="U753" s="491"/>
      <c r="V753" s="491"/>
      <c r="W753" s="493"/>
      <c r="X753" s="486"/>
      <c r="Y753" s="442"/>
      <c r="Z753" s="491"/>
      <c r="AA753" s="524"/>
      <c r="AB753" s="494"/>
      <c r="AC753" s="436"/>
      <c r="AD753" s="495"/>
      <c r="AE753" s="496"/>
      <c r="AF753" s="531"/>
      <c r="AG753" s="491"/>
      <c r="AH753" s="525"/>
      <c r="AI753" s="491"/>
      <c r="AJ753" s="446"/>
      <c r="AK753" s="491"/>
      <c r="AL753" s="500"/>
      <c r="AM753" s="436"/>
      <c r="AN753" s="438"/>
      <c r="AO753" s="531"/>
      <c r="AP753" s="491"/>
      <c r="AQ753" s="438"/>
      <c r="AR753" s="438"/>
      <c r="AS753" s="438"/>
      <c r="AT753" s="448"/>
      <c r="AU753" s="449"/>
      <c r="AV753" s="438"/>
      <c r="AW753" s="438"/>
      <c r="AX753" s="450"/>
    </row>
    <row r="754">
      <c r="A754" s="435"/>
      <c r="B754" s="485"/>
      <c r="C754" s="486"/>
      <c r="D754" s="486"/>
      <c r="E754" s="486"/>
      <c r="F754" s="528"/>
      <c r="G754" s="486"/>
      <c r="H754" s="486"/>
      <c r="I754" s="491"/>
      <c r="J754" s="491"/>
      <c r="K754" s="491"/>
      <c r="L754" s="491"/>
      <c r="M754" s="486"/>
      <c r="N754" s="422"/>
      <c r="O754" s="422"/>
      <c r="P754" s="422"/>
      <c r="Q754" s="486"/>
      <c r="R754" s="491"/>
      <c r="S754" s="491"/>
      <c r="T754" s="491"/>
      <c r="U754" s="491"/>
      <c r="V754" s="491"/>
      <c r="W754" s="493"/>
      <c r="X754" s="486"/>
      <c r="Y754" s="442"/>
      <c r="Z754" s="491"/>
      <c r="AA754" s="524"/>
      <c r="AB754" s="494"/>
      <c r="AC754" s="436"/>
      <c r="AD754" s="495"/>
      <c r="AE754" s="496"/>
      <c r="AF754" s="531"/>
      <c r="AG754" s="491"/>
      <c r="AH754" s="525"/>
      <c r="AI754" s="491"/>
      <c r="AJ754" s="446"/>
      <c r="AK754" s="491"/>
      <c r="AL754" s="500"/>
      <c r="AM754" s="436"/>
      <c r="AN754" s="438"/>
      <c r="AO754" s="531"/>
      <c r="AP754" s="491"/>
      <c r="AQ754" s="438"/>
      <c r="AR754" s="438"/>
      <c r="AS754" s="438"/>
      <c r="AT754" s="448"/>
      <c r="AU754" s="452"/>
      <c r="AV754" s="438"/>
      <c r="AW754" s="438"/>
      <c r="AX754" s="450"/>
    </row>
    <row r="755">
      <c r="A755" s="435"/>
      <c r="B755" s="485"/>
      <c r="C755" s="486"/>
      <c r="D755" s="486"/>
      <c r="E755" s="486"/>
      <c r="F755" s="528"/>
      <c r="G755" s="486"/>
      <c r="H755" s="486"/>
      <c r="I755" s="491"/>
      <c r="J755" s="491"/>
      <c r="K755" s="491"/>
      <c r="L755" s="491"/>
      <c r="M755" s="486"/>
      <c r="N755" s="422"/>
      <c r="O755" s="422"/>
      <c r="P755" s="422"/>
      <c r="Q755" s="486"/>
      <c r="R755" s="491"/>
      <c r="S755" s="491"/>
      <c r="T755" s="491"/>
      <c r="U755" s="491"/>
      <c r="V755" s="491"/>
      <c r="W755" s="493"/>
      <c r="X755" s="486"/>
      <c r="Y755" s="442"/>
      <c r="Z755" s="491"/>
      <c r="AA755" s="524"/>
      <c r="AB755" s="494"/>
      <c r="AC755" s="436"/>
      <c r="AD755" s="495"/>
      <c r="AE755" s="496"/>
      <c r="AF755" s="531"/>
      <c r="AG755" s="491"/>
      <c r="AH755" s="525"/>
      <c r="AI755" s="491"/>
      <c r="AJ755" s="446"/>
      <c r="AK755" s="491"/>
      <c r="AL755" s="500"/>
      <c r="AM755" s="436"/>
      <c r="AN755" s="438"/>
      <c r="AO755" s="531"/>
      <c r="AP755" s="491"/>
      <c r="AQ755" s="438"/>
      <c r="AR755" s="438"/>
      <c r="AS755" s="438"/>
      <c r="AT755" s="448"/>
      <c r="AU755" s="449"/>
      <c r="AV755" s="438"/>
      <c r="AW755" s="438"/>
      <c r="AX755" s="450"/>
    </row>
    <row r="756">
      <c r="A756" s="435"/>
      <c r="B756" s="485"/>
      <c r="C756" s="486"/>
      <c r="D756" s="486"/>
      <c r="E756" s="486"/>
      <c r="F756" s="528"/>
      <c r="G756" s="486"/>
      <c r="H756" s="486"/>
      <c r="I756" s="491"/>
      <c r="J756" s="491"/>
      <c r="K756" s="491"/>
      <c r="L756" s="491"/>
      <c r="M756" s="486"/>
      <c r="N756" s="422"/>
      <c r="O756" s="422"/>
      <c r="P756" s="422"/>
      <c r="Q756" s="486"/>
      <c r="R756" s="491"/>
      <c r="S756" s="491"/>
      <c r="T756" s="491"/>
      <c r="U756" s="491"/>
      <c r="V756" s="491"/>
      <c r="W756" s="493"/>
      <c r="X756" s="486"/>
      <c r="Y756" s="442"/>
      <c r="Z756" s="491"/>
      <c r="AA756" s="524"/>
      <c r="AB756" s="494"/>
      <c r="AC756" s="436"/>
      <c r="AD756" s="495"/>
      <c r="AE756" s="496"/>
      <c r="AF756" s="531"/>
      <c r="AG756" s="491"/>
      <c r="AH756" s="525"/>
      <c r="AI756" s="491"/>
      <c r="AJ756" s="446"/>
      <c r="AK756" s="491"/>
      <c r="AL756" s="500"/>
      <c r="AM756" s="436"/>
      <c r="AN756" s="438"/>
      <c r="AO756" s="531"/>
      <c r="AP756" s="491"/>
      <c r="AQ756" s="438"/>
      <c r="AR756" s="438"/>
      <c r="AS756" s="438"/>
      <c r="AT756" s="448"/>
      <c r="AU756" s="452"/>
      <c r="AV756" s="438"/>
      <c r="AW756" s="438"/>
      <c r="AX756" s="450"/>
    </row>
    <row r="757">
      <c r="A757" s="435"/>
      <c r="B757" s="485"/>
      <c r="C757" s="486"/>
      <c r="D757" s="486"/>
      <c r="E757" s="486"/>
      <c r="F757" s="528"/>
      <c r="G757" s="486"/>
      <c r="H757" s="486"/>
      <c r="I757" s="491"/>
      <c r="J757" s="491"/>
      <c r="K757" s="491"/>
      <c r="L757" s="491"/>
      <c r="M757" s="486"/>
      <c r="N757" s="422"/>
      <c r="O757" s="422"/>
      <c r="P757" s="422"/>
      <c r="Q757" s="486"/>
      <c r="R757" s="491"/>
      <c r="S757" s="491"/>
      <c r="T757" s="491"/>
      <c r="U757" s="491"/>
      <c r="V757" s="491"/>
      <c r="W757" s="493"/>
      <c r="X757" s="486"/>
      <c r="Y757" s="442"/>
      <c r="Z757" s="491"/>
      <c r="AA757" s="524"/>
      <c r="AB757" s="494"/>
      <c r="AC757" s="436"/>
      <c r="AD757" s="495"/>
      <c r="AE757" s="496"/>
      <c r="AF757" s="531"/>
      <c r="AG757" s="491"/>
      <c r="AH757" s="525"/>
      <c r="AI757" s="491"/>
      <c r="AJ757" s="446"/>
      <c r="AK757" s="491"/>
      <c r="AL757" s="500"/>
      <c r="AM757" s="436"/>
      <c r="AN757" s="438"/>
      <c r="AO757" s="531"/>
      <c r="AP757" s="491"/>
      <c r="AQ757" s="438"/>
      <c r="AR757" s="438"/>
      <c r="AS757" s="438"/>
      <c r="AT757" s="448"/>
      <c r="AU757" s="449"/>
      <c r="AV757" s="438"/>
      <c r="AW757" s="438"/>
      <c r="AX757" s="450"/>
    </row>
    <row r="758">
      <c r="A758" s="435"/>
      <c r="B758" s="485"/>
      <c r="C758" s="486"/>
      <c r="D758" s="486"/>
      <c r="E758" s="486"/>
      <c r="F758" s="528"/>
      <c r="G758" s="486"/>
      <c r="H758" s="486"/>
      <c r="I758" s="491"/>
      <c r="J758" s="491"/>
      <c r="K758" s="491"/>
      <c r="L758" s="491"/>
      <c r="M758" s="486"/>
      <c r="N758" s="422"/>
      <c r="O758" s="422"/>
      <c r="P758" s="422"/>
      <c r="Q758" s="486"/>
      <c r="R758" s="491"/>
      <c r="S758" s="491"/>
      <c r="T758" s="491"/>
      <c r="U758" s="491"/>
      <c r="V758" s="491"/>
      <c r="W758" s="493"/>
      <c r="X758" s="486"/>
      <c r="Y758" s="442"/>
      <c r="Z758" s="491"/>
      <c r="AA758" s="524"/>
      <c r="AB758" s="494"/>
      <c r="AC758" s="436"/>
      <c r="AD758" s="495"/>
      <c r="AE758" s="496"/>
      <c r="AF758" s="531"/>
      <c r="AG758" s="491"/>
      <c r="AH758" s="525"/>
      <c r="AI758" s="491"/>
      <c r="AJ758" s="446"/>
      <c r="AK758" s="491"/>
      <c r="AL758" s="500"/>
      <c r="AM758" s="436"/>
      <c r="AN758" s="438"/>
      <c r="AO758" s="531"/>
      <c r="AP758" s="491"/>
      <c r="AQ758" s="438"/>
      <c r="AR758" s="438"/>
      <c r="AS758" s="438"/>
      <c r="AT758" s="448"/>
      <c r="AU758" s="452"/>
      <c r="AV758" s="438"/>
      <c r="AW758" s="438"/>
      <c r="AX758" s="450"/>
    </row>
    <row r="759">
      <c r="A759" s="435"/>
      <c r="B759" s="485"/>
      <c r="C759" s="486"/>
      <c r="D759" s="486"/>
      <c r="E759" s="486"/>
      <c r="F759" s="528"/>
      <c r="G759" s="486"/>
      <c r="H759" s="486"/>
      <c r="I759" s="491"/>
      <c r="J759" s="491"/>
      <c r="K759" s="491"/>
      <c r="L759" s="491"/>
      <c r="M759" s="486"/>
      <c r="N759" s="422"/>
      <c r="O759" s="422"/>
      <c r="P759" s="422"/>
      <c r="Q759" s="486"/>
      <c r="R759" s="491"/>
      <c r="S759" s="491"/>
      <c r="T759" s="491"/>
      <c r="U759" s="491"/>
      <c r="V759" s="491"/>
      <c r="W759" s="493"/>
      <c r="X759" s="486"/>
      <c r="Y759" s="442"/>
      <c r="Z759" s="491"/>
      <c r="AA759" s="524"/>
      <c r="AB759" s="494"/>
      <c r="AC759" s="436"/>
      <c r="AD759" s="495"/>
      <c r="AE759" s="496"/>
      <c r="AF759" s="531"/>
      <c r="AG759" s="491"/>
      <c r="AH759" s="525"/>
      <c r="AI759" s="491"/>
      <c r="AJ759" s="446"/>
      <c r="AK759" s="491"/>
      <c r="AL759" s="500"/>
      <c r="AM759" s="436"/>
      <c r="AN759" s="438"/>
      <c r="AO759" s="531"/>
      <c r="AP759" s="491"/>
      <c r="AQ759" s="438"/>
      <c r="AR759" s="438"/>
      <c r="AS759" s="438"/>
      <c r="AT759" s="448"/>
      <c r="AU759" s="449"/>
      <c r="AV759" s="438"/>
      <c r="AW759" s="438"/>
      <c r="AX759" s="450"/>
    </row>
    <row r="760">
      <c r="A760" s="435"/>
      <c r="B760" s="485"/>
      <c r="C760" s="486"/>
      <c r="D760" s="486"/>
      <c r="E760" s="486"/>
      <c r="F760" s="528"/>
      <c r="G760" s="486"/>
      <c r="H760" s="486"/>
      <c r="I760" s="491"/>
      <c r="J760" s="491"/>
      <c r="K760" s="491"/>
      <c r="L760" s="491"/>
      <c r="M760" s="486"/>
      <c r="N760" s="422"/>
      <c r="O760" s="422"/>
      <c r="P760" s="422"/>
      <c r="Q760" s="486"/>
      <c r="R760" s="491"/>
      <c r="S760" s="491"/>
      <c r="T760" s="491"/>
      <c r="U760" s="491"/>
      <c r="V760" s="491"/>
      <c r="W760" s="493"/>
      <c r="X760" s="486"/>
      <c r="Y760" s="442"/>
      <c r="Z760" s="491"/>
      <c r="AA760" s="524"/>
      <c r="AB760" s="494"/>
      <c r="AC760" s="436"/>
      <c r="AD760" s="495"/>
      <c r="AE760" s="496"/>
      <c r="AF760" s="531"/>
      <c r="AG760" s="491"/>
      <c r="AH760" s="525"/>
      <c r="AI760" s="491"/>
      <c r="AJ760" s="446"/>
      <c r="AK760" s="491"/>
      <c r="AL760" s="500"/>
      <c r="AM760" s="436"/>
      <c r="AN760" s="438"/>
      <c r="AO760" s="531"/>
      <c r="AP760" s="491"/>
      <c r="AQ760" s="438"/>
      <c r="AR760" s="438"/>
      <c r="AS760" s="438"/>
      <c r="AT760" s="448"/>
      <c r="AU760" s="452"/>
      <c r="AV760" s="438"/>
      <c r="AW760" s="438"/>
      <c r="AX760" s="450"/>
    </row>
    <row r="761">
      <c r="A761" s="435"/>
      <c r="B761" s="485"/>
      <c r="C761" s="486"/>
      <c r="D761" s="486"/>
      <c r="E761" s="486"/>
      <c r="F761" s="528"/>
      <c r="G761" s="486"/>
      <c r="H761" s="486"/>
      <c r="I761" s="491"/>
      <c r="J761" s="491"/>
      <c r="K761" s="491"/>
      <c r="L761" s="491"/>
      <c r="M761" s="486"/>
      <c r="N761" s="422"/>
      <c r="O761" s="422"/>
      <c r="P761" s="422"/>
      <c r="Q761" s="486"/>
      <c r="R761" s="491"/>
      <c r="S761" s="491"/>
      <c r="T761" s="491"/>
      <c r="U761" s="491"/>
      <c r="V761" s="491"/>
      <c r="W761" s="493"/>
      <c r="X761" s="486"/>
      <c r="Y761" s="442"/>
      <c r="Z761" s="491"/>
      <c r="AA761" s="524"/>
      <c r="AB761" s="494"/>
      <c r="AC761" s="436"/>
      <c r="AD761" s="495"/>
      <c r="AE761" s="496"/>
      <c r="AF761" s="531"/>
      <c r="AG761" s="491"/>
      <c r="AH761" s="525"/>
      <c r="AI761" s="491"/>
      <c r="AJ761" s="446"/>
      <c r="AK761" s="491"/>
      <c r="AL761" s="500"/>
      <c r="AM761" s="436"/>
      <c r="AN761" s="438"/>
      <c r="AO761" s="531"/>
      <c r="AP761" s="491"/>
      <c r="AQ761" s="438"/>
      <c r="AR761" s="438"/>
      <c r="AS761" s="438"/>
      <c r="AT761" s="448"/>
      <c r="AU761" s="449"/>
      <c r="AV761" s="438"/>
      <c r="AW761" s="438"/>
      <c r="AX761" s="450"/>
    </row>
    <row r="762">
      <c r="A762" s="435"/>
      <c r="B762" s="485"/>
      <c r="C762" s="486"/>
      <c r="D762" s="486"/>
      <c r="E762" s="486"/>
      <c r="F762" s="528"/>
      <c r="G762" s="486"/>
      <c r="H762" s="486"/>
      <c r="I762" s="491"/>
      <c r="J762" s="491"/>
      <c r="K762" s="491"/>
      <c r="L762" s="491"/>
      <c r="M762" s="486"/>
      <c r="N762" s="422"/>
      <c r="O762" s="422"/>
      <c r="P762" s="422"/>
      <c r="Q762" s="486"/>
      <c r="R762" s="491"/>
      <c r="S762" s="491"/>
      <c r="T762" s="491"/>
      <c r="U762" s="491"/>
      <c r="V762" s="491"/>
      <c r="W762" s="493"/>
      <c r="X762" s="486"/>
      <c r="Y762" s="442"/>
      <c r="Z762" s="491"/>
      <c r="AA762" s="524"/>
      <c r="AB762" s="494"/>
      <c r="AC762" s="436"/>
      <c r="AD762" s="495"/>
      <c r="AE762" s="496"/>
      <c r="AF762" s="531"/>
      <c r="AG762" s="491"/>
      <c r="AH762" s="525"/>
      <c r="AI762" s="491"/>
      <c r="AJ762" s="446"/>
      <c r="AK762" s="491"/>
      <c r="AL762" s="500"/>
      <c r="AM762" s="436"/>
      <c r="AN762" s="438"/>
      <c r="AO762" s="531"/>
      <c r="AP762" s="491"/>
      <c r="AQ762" s="438"/>
      <c r="AR762" s="438"/>
      <c r="AS762" s="438"/>
      <c r="AT762" s="448"/>
      <c r="AU762" s="452"/>
      <c r="AV762" s="438"/>
      <c r="AW762" s="438"/>
      <c r="AX762" s="450"/>
    </row>
    <row r="763">
      <c r="A763" s="435"/>
      <c r="B763" s="485"/>
      <c r="C763" s="486"/>
      <c r="D763" s="486"/>
      <c r="E763" s="486"/>
      <c r="F763" s="528"/>
      <c r="G763" s="486"/>
      <c r="H763" s="486"/>
      <c r="I763" s="491"/>
      <c r="J763" s="491"/>
      <c r="K763" s="491"/>
      <c r="L763" s="491"/>
      <c r="M763" s="486"/>
      <c r="N763" s="422"/>
      <c r="O763" s="422"/>
      <c r="P763" s="422"/>
      <c r="Q763" s="486"/>
      <c r="R763" s="491"/>
      <c r="S763" s="491"/>
      <c r="T763" s="491"/>
      <c r="U763" s="491"/>
      <c r="V763" s="491"/>
      <c r="W763" s="493"/>
      <c r="X763" s="486"/>
      <c r="Y763" s="442"/>
      <c r="Z763" s="491"/>
      <c r="AA763" s="524"/>
      <c r="AB763" s="494"/>
      <c r="AC763" s="436"/>
      <c r="AD763" s="495"/>
      <c r="AE763" s="496"/>
      <c r="AF763" s="531"/>
      <c r="AG763" s="491"/>
      <c r="AH763" s="525"/>
      <c r="AI763" s="491"/>
      <c r="AJ763" s="446"/>
      <c r="AK763" s="491"/>
      <c r="AL763" s="500"/>
      <c r="AM763" s="436"/>
      <c r="AN763" s="438"/>
      <c r="AO763" s="531"/>
      <c r="AP763" s="491"/>
      <c r="AQ763" s="438"/>
      <c r="AR763" s="438"/>
      <c r="AS763" s="438"/>
      <c r="AT763" s="448"/>
      <c r="AU763" s="449"/>
      <c r="AV763" s="438"/>
      <c r="AW763" s="438"/>
      <c r="AX763" s="450"/>
    </row>
    <row r="764">
      <c r="A764" s="435"/>
      <c r="B764" s="485"/>
      <c r="C764" s="486"/>
      <c r="D764" s="486"/>
      <c r="E764" s="486"/>
      <c r="F764" s="528"/>
      <c r="G764" s="486"/>
      <c r="H764" s="486"/>
      <c r="I764" s="491"/>
      <c r="J764" s="491"/>
      <c r="K764" s="491"/>
      <c r="L764" s="491"/>
      <c r="M764" s="486"/>
      <c r="N764" s="422"/>
      <c r="O764" s="422"/>
      <c r="P764" s="422"/>
      <c r="Q764" s="486"/>
      <c r="R764" s="491"/>
      <c r="S764" s="491"/>
      <c r="T764" s="491"/>
      <c r="U764" s="491"/>
      <c r="V764" s="491"/>
      <c r="W764" s="493"/>
      <c r="X764" s="486"/>
      <c r="Y764" s="442"/>
      <c r="Z764" s="491"/>
      <c r="AA764" s="524"/>
      <c r="AB764" s="494"/>
      <c r="AC764" s="436"/>
      <c r="AD764" s="495"/>
      <c r="AE764" s="496"/>
      <c r="AF764" s="531"/>
      <c r="AG764" s="491"/>
      <c r="AH764" s="525"/>
      <c r="AI764" s="491"/>
      <c r="AJ764" s="446"/>
      <c r="AK764" s="491"/>
      <c r="AL764" s="500"/>
      <c r="AM764" s="436"/>
      <c r="AN764" s="438"/>
      <c r="AO764" s="531"/>
      <c r="AP764" s="491"/>
      <c r="AQ764" s="438"/>
      <c r="AR764" s="438"/>
      <c r="AS764" s="438"/>
      <c r="AT764" s="448"/>
      <c r="AU764" s="452"/>
      <c r="AV764" s="438"/>
      <c r="AW764" s="438"/>
      <c r="AX764" s="450"/>
    </row>
    <row r="765">
      <c r="A765" s="435"/>
      <c r="B765" s="485"/>
      <c r="C765" s="486"/>
      <c r="D765" s="486"/>
      <c r="E765" s="486"/>
      <c r="F765" s="528"/>
      <c r="G765" s="486"/>
      <c r="H765" s="486"/>
      <c r="I765" s="491"/>
      <c r="J765" s="491"/>
      <c r="K765" s="491"/>
      <c r="L765" s="491"/>
      <c r="M765" s="486"/>
      <c r="N765" s="422"/>
      <c r="O765" s="422"/>
      <c r="P765" s="422"/>
      <c r="Q765" s="486"/>
      <c r="R765" s="491"/>
      <c r="S765" s="491"/>
      <c r="T765" s="491"/>
      <c r="U765" s="491"/>
      <c r="V765" s="491"/>
      <c r="W765" s="493"/>
      <c r="X765" s="486"/>
      <c r="Y765" s="442"/>
      <c r="Z765" s="491"/>
      <c r="AA765" s="524"/>
      <c r="AB765" s="494"/>
      <c r="AC765" s="436"/>
      <c r="AD765" s="495"/>
      <c r="AE765" s="496"/>
      <c r="AF765" s="531"/>
      <c r="AG765" s="491"/>
      <c r="AH765" s="525"/>
      <c r="AI765" s="491"/>
      <c r="AJ765" s="446"/>
      <c r="AK765" s="491"/>
      <c r="AL765" s="500"/>
      <c r="AM765" s="436"/>
      <c r="AN765" s="438"/>
      <c r="AO765" s="531"/>
      <c r="AP765" s="491"/>
      <c r="AQ765" s="438"/>
      <c r="AR765" s="438"/>
      <c r="AS765" s="438"/>
      <c r="AT765" s="448"/>
      <c r="AU765" s="449"/>
      <c r="AV765" s="438"/>
      <c r="AW765" s="438"/>
      <c r="AX765" s="450"/>
    </row>
    <row r="766">
      <c r="A766" s="435"/>
      <c r="B766" s="485"/>
      <c r="C766" s="486"/>
      <c r="D766" s="486"/>
      <c r="E766" s="486"/>
      <c r="F766" s="528"/>
      <c r="G766" s="486"/>
      <c r="H766" s="486"/>
      <c r="I766" s="491"/>
      <c r="J766" s="491"/>
      <c r="K766" s="491"/>
      <c r="L766" s="491"/>
      <c r="M766" s="486"/>
      <c r="N766" s="422"/>
      <c r="O766" s="422"/>
      <c r="P766" s="422"/>
      <c r="Q766" s="486"/>
      <c r="R766" s="491"/>
      <c r="S766" s="491"/>
      <c r="T766" s="491"/>
      <c r="U766" s="491"/>
      <c r="V766" s="491"/>
      <c r="W766" s="493"/>
      <c r="X766" s="486"/>
      <c r="Y766" s="442"/>
      <c r="Z766" s="491"/>
      <c r="AA766" s="524"/>
      <c r="AB766" s="494"/>
      <c r="AC766" s="436"/>
      <c r="AD766" s="495"/>
      <c r="AE766" s="496"/>
      <c r="AF766" s="531"/>
      <c r="AG766" s="491"/>
      <c r="AH766" s="525"/>
      <c r="AI766" s="491"/>
      <c r="AJ766" s="446"/>
      <c r="AK766" s="491"/>
      <c r="AL766" s="500"/>
      <c r="AM766" s="436"/>
      <c r="AN766" s="438"/>
      <c r="AO766" s="531"/>
      <c r="AP766" s="491"/>
      <c r="AQ766" s="438"/>
      <c r="AR766" s="438"/>
      <c r="AS766" s="438"/>
      <c r="AT766" s="448"/>
      <c r="AU766" s="452"/>
      <c r="AV766" s="438"/>
      <c r="AW766" s="438"/>
      <c r="AX766" s="450"/>
    </row>
    <row r="767">
      <c r="A767" s="435"/>
      <c r="B767" s="485"/>
      <c r="C767" s="486"/>
      <c r="D767" s="486"/>
      <c r="E767" s="486"/>
      <c r="F767" s="528"/>
      <c r="G767" s="486"/>
      <c r="H767" s="486"/>
      <c r="I767" s="491"/>
      <c r="J767" s="491"/>
      <c r="K767" s="491"/>
      <c r="L767" s="491"/>
      <c r="M767" s="486"/>
      <c r="N767" s="422"/>
      <c r="O767" s="422"/>
      <c r="P767" s="422"/>
      <c r="Q767" s="486"/>
      <c r="R767" s="491"/>
      <c r="S767" s="491"/>
      <c r="T767" s="491"/>
      <c r="U767" s="491"/>
      <c r="V767" s="491"/>
      <c r="W767" s="493"/>
      <c r="X767" s="486"/>
      <c r="Y767" s="442"/>
      <c r="Z767" s="491"/>
      <c r="AA767" s="524"/>
      <c r="AB767" s="494"/>
      <c r="AC767" s="436"/>
      <c r="AD767" s="495"/>
      <c r="AE767" s="496"/>
      <c r="AF767" s="531"/>
      <c r="AG767" s="491"/>
      <c r="AH767" s="525"/>
      <c r="AI767" s="491"/>
      <c r="AJ767" s="446"/>
      <c r="AK767" s="491"/>
      <c r="AL767" s="500"/>
      <c r="AM767" s="436"/>
      <c r="AN767" s="438"/>
      <c r="AO767" s="531"/>
      <c r="AP767" s="491"/>
      <c r="AQ767" s="438"/>
      <c r="AR767" s="438"/>
      <c r="AS767" s="438"/>
      <c r="AT767" s="448"/>
      <c r="AU767" s="449"/>
      <c r="AV767" s="438"/>
      <c r="AW767" s="438"/>
      <c r="AX767" s="450"/>
    </row>
    <row r="768">
      <c r="A768" s="435"/>
      <c r="B768" s="485"/>
      <c r="C768" s="486"/>
      <c r="D768" s="486"/>
      <c r="E768" s="486"/>
      <c r="F768" s="528"/>
      <c r="G768" s="486"/>
      <c r="H768" s="486"/>
      <c r="I768" s="491"/>
      <c r="J768" s="491"/>
      <c r="K768" s="491"/>
      <c r="L768" s="491"/>
      <c r="M768" s="486"/>
      <c r="N768" s="422"/>
      <c r="O768" s="422"/>
      <c r="P768" s="422"/>
      <c r="Q768" s="486"/>
      <c r="R768" s="491"/>
      <c r="S768" s="491"/>
      <c r="T768" s="491"/>
      <c r="U768" s="491"/>
      <c r="V768" s="491"/>
      <c r="W768" s="493"/>
      <c r="X768" s="486"/>
      <c r="Y768" s="442"/>
      <c r="Z768" s="491"/>
      <c r="AA768" s="524"/>
      <c r="AB768" s="494"/>
      <c r="AC768" s="436"/>
      <c r="AD768" s="495"/>
      <c r="AE768" s="496"/>
      <c r="AF768" s="531"/>
      <c r="AG768" s="491"/>
      <c r="AH768" s="525"/>
      <c r="AI768" s="491"/>
      <c r="AJ768" s="446"/>
      <c r="AK768" s="491"/>
      <c r="AL768" s="500"/>
      <c r="AM768" s="436"/>
      <c r="AN768" s="438"/>
      <c r="AO768" s="531"/>
      <c r="AP768" s="491"/>
      <c r="AQ768" s="438"/>
      <c r="AR768" s="438"/>
      <c r="AS768" s="438"/>
      <c r="AT768" s="448"/>
      <c r="AU768" s="452"/>
      <c r="AV768" s="438"/>
      <c r="AW768" s="438"/>
      <c r="AX768" s="450"/>
    </row>
    <row r="769">
      <c r="A769" s="435"/>
      <c r="B769" s="485"/>
      <c r="C769" s="486"/>
      <c r="D769" s="486"/>
      <c r="E769" s="486"/>
      <c r="F769" s="528"/>
      <c r="G769" s="486"/>
      <c r="H769" s="486"/>
      <c r="I769" s="491"/>
      <c r="J769" s="491"/>
      <c r="K769" s="491"/>
      <c r="L769" s="491"/>
      <c r="M769" s="486"/>
      <c r="N769" s="422"/>
      <c r="O769" s="422"/>
      <c r="P769" s="422"/>
      <c r="Q769" s="486"/>
      <c r="R769" s="491"/>
      <c r="S769" s="491"/>
      <c r="T769" s="491"/>
      <c r="U769" s="491"/>
      <c r="V769" s="491"/>
      <c r="W769" s="493"/>
      <c r="X769" s="486"/>
      <c r="Y769" s="442"/>
      <c r="Z769" s="491"/>
      <c r="AA769" s="524"/>
      <c r="AB769" s="494"/>
      <c r="AC769" s="436"/>
      <c r="AD769" s="495"/>
      <c r="AE769" s="496"/>
      <c r="AF769" s="531"/>
      <c r="AG769" s="491"/>
      <c r="AH769" s="525"/>
      <c r="AI769" s="491"/>
      <c r="AJ769" s="446"/>
      <c r="AK769" s="491"/>
      <c r="AL769" s="500"/>
      <c r="AM769" s="436"/>
      <c r="AN769" s="438"/>
      <c r="AO769" s="531"/>
      <c r="AP769" s="491"/>
      <c r="AQ769" s="438"/>
      <c r="AR769" s="438"/>
      <c r="AS769" s="438"/>
      <c r="AT769" s="448"/>
      <c r="AU769" s="449"/>
      <c r="AV769" s="438"/>
      <c r="AW769" s="438"/>
      <c r="AX769" s="450"/>
    </row>
    <row r="770">
      <c r="A770" s="435"/>
      <c r="B770" s="485"/>
      <c r="C770" s="486"/>
      <c r="D770" s="486"/>
      <c r="E770" s="486"/>
      <c r="F770" s="528"/>
      <c r="G770" s="486"/>
      <c r="H770" s="486"/>
      <c r="I770" s="491"/>
      <c r="J770" s="491"/>
      <c r="K770" s="491"/>
      <c r="L770" s="491"/>
      <c r="M770" s="486"/>
      <c r="N770" s="422"/>
      <c r="O770" s="422"/>
      <c r="P770" s="422"/>
      <c r="Q770" s="486"/>
      <c r="R770" s="491"/>
      <c r="S770" s="491"/>
      <c r="T770" s="491"/>
      <c r="U770" s="491"/>
      <c r="V770" s="491"/>
      <c r="W770" s="493"/>
      <c r="X770" s="486"/>
      <c r="Y770" s="442"/>
      <c r="Z770" s="491"/>
      <c r="AA770" s="524"/>
      <c r="AB770" s="494"/>
      <c r="AC770" s="436"/>
      <c r="AD770" s="495"/>
      <c r="AE770" s="496"/>
      <c r="AF770" s="531"/>
      <c r="AG770" s="491"/>
      <c r="AH770" s="525"/>
      <c r="AI770" s="491"/>
      <c r="AJ770" s="446"/>
      <c r="AK770" s="491"/>
      <c r="AL770" s="500"/>
      <c r="AM770" s="436"/>
      <c r="AN770" s="438"/>
      <c r="AO770" s="531"/>
      <c r="AP770" s="491"/>
      <c r="AQ770" s="438"/>
      <c r="AR770" s="438"/>
      <c r="AS770" s="438"/>
      <c r="AT770" s="448"/>
      <c r="AU770" s="452"/>
      <c r="AV770" s="438"/>
      <c r="AW770" s="438"/>
      <c r="AX770" s="450"/>
    </row>
    <row r="771">
      <c r="A771" s="435"/>
      <c r="B771" s="485"/>
      <c r="C771" s="486"/>
      <c r="D771" s="486"/>
      <c r="E771" s="486"/>
      <c r="F771" s="528"/>
      <c r="G771" s="486"/>
      <c r="H771" s="486"/>
      <c r="I771" s="491"/>
      <c r="J771" s="491"/>
      <c r="K771" s="491"/>
      <c r="L771" s="491"/>
      <c r="M771" s="486"/>
      <c r="N771" s="422"/>
      <c r="O771" s="422"/>
      <c r="P771" s="422"/>
      <c r="Q771" s="486"/>
      <c r="R771" s="491"/>
      <c r="S771" s="491"/>
      <c r="T771" s="491"/>
      <c r="U771" s="491"/>
      <c r="V771" s="491"/>
      <c r="W771" s="493"/>
      <c r="X771" s="486"/>
      <c r="Y771" s="442"/>
      <c r="Z771" s="491"/>
      <c r="AA771" s="524"/>
      <c r="AB771" s="494"/>
      <c r="AC771" s="436"/>
      <c r="AD771" s="495"/>
      <c r="AE771" s="496"/>
      <c r="AF771" s="531"/>
      <c r="AG771" s="491"/>
      <c r="AH771" s="525"/>
      <c r="AI771" s="491"/>
      <c r="AJ771" s="446"/>
      <c r="AK771" s="491"/>
      <c r="AL771" s="500"/>
      <c r="AM771" s="436"/>
      <c r="AN771" s="438"/>
      <c r="AO771" s="531"/>
      <c r="AP771" s="491"/>
      <c r="AQ771" s="438"/>
      <c r="AR771" s="438"/>
      <c r="AS771" s="438"/>
      <c r="AT771" s="448"/>
      <c r="AU771" s="449"/>
      <c r="AV771" s="438"/>
      <c r="AW771" s="438"/>
      <c r="AX771" s="450"/>
    </row>
    <row r="772">
      <c r="A772" s="435"/>
      <c r="B772" s="485"/>
      <c r="C772" s="486"/>
      <c r="D772" s="486"/>
      <c r="E772" s="486"/>
      <c r="F772" s="528"/>
      <c r="G772" s="486"/>
      <c r="H772" s="486"/>
      <c r="I772" s="491"/>
      <c r="J772" s="491"/>
      <c r="K772" s="491"/>
      <c r="L772" s="491"/>
      <c r="M772" s="486"/>
      <c r="N772" s="422"/>
      <c r="O772" s="422"/>
      <c r="P772" s="422"/>
      <c r="Q772" s="486"/>
      <c r="R772" s="491"/>
      <c r="S772" s="491"/>
      <c r="T772" s="491"/>
      <c r="U772" s="491"/>
      <c r="V772" s="491"/>
      <c r="W772" s="493"/>
      <c r="X772" s="486"/>
      <c r="Y772" s="442"/>
      <c r="Z772" s="491"/>
      <c r="AA772" s="524"/>
      <c r="AB772" s="494"/>
      <c r="AC772" s="436"/>
      <c r="AD772" s="495"/>
      <c r="AE772" s="496"/>
      <c r="AF772" s="531"/>
      <c r="AG772" s="491"/>
      <c r="AH772" s="525"/>
      <c r="AI772" s="491"/>
      <c r="AJ772" s="446"/>
      <c r="AK772" s="491"/>
      <c r="AL772" s="500"/>
      <c r="AM772" s="436"/>
      <c r="AN772" s="438"/>
      <c r="AO772" s="531"/>
      <c r="AP772" s="491"/>
      <c r="AQ772" s="438"/>
      <c r="AR772" s="438"/>
      <c r="AS772" s="438"/>
      <c r="AT772" s="448"/>
      <c r="AU772" s="452"/>
      <c r="AV772" s="438"/>
      <c r="AW772" s="438"/>
      <c r="AX772" s="450"/>
    </row>
    <row r="773">
      <c r="A773" s="435"/>
      <c r="B773" s="485"/>
      <c r="C773" s="486"/>
      <c r="D773" s="486"/>
      <c r="E773" s="486"/>
      <c r="F773" s="528"/>
      <c r="G773" s="486"/>
      <c r="H773" s="486"/>
      <c r="I773" s="491"/>
      <c r="J773" s="491"/>
      <c r="K773" s="491"/>
      <c r="L773" s="491"/>
      <c r="M773" s="486"/>
      <c r="N773" s="422"/>
      <c r="O773" s="422"/>
      <c r="P773" s="422"/>
      <c r="Q773" s="486"/>
      <c r="R773" s="491"/>
      <c r="S773" s="491"/>
      <c r="T773" s="491"/>
      <c r="U773" s="491"/>
      <c r="V773" s="491"/>
      <c r="W773" s="493"/>
      <c r="X773" s="486"/>
      <c r="Y773" s="442"/>
      <c r="Z773" s="491"/>
      <c r="AA773" s="524"/>
      <c r="AB773" s="494"/>
      <c r="AC773" s="436"/>
      <c r="AD773" s="495"/>
      <c r="AE773" s="496"/>
      <c r="AF773" s="531"/>
      <c r="AG773" s="491"/>
      <c r="AH773" s="525"/>
      <c r="AI773" s="491"/>
      <c r="AJ773" s="446"/>
      <c r="AK773" s="491"/>
      <c r="AL773" s="500"/>
      <c r="AM773" s="436"/>
      <c r="AN773" s="438"/>
      <c r="AO773" s="531"/>
      <c r="AP773" s="491"/>
      <c r="AQ773" s="438"/>
      <c r="AR773" s="438"/>
      <c r="AS773" s="438"/>
      <c r="AT773" s="448"/>
      <c r="AU773" s="449"/>
      <c r="AV773" s="438"/>
      <c r="AW773" s="438"/>
      <c r="AX773" s="450"/>
    </row>
    <row r="774">
      <c r="A774" s="435"/>
      <c r="B774" s="485"/>
      <c r="C774" s="486"/>
      <c r="D774" s="486"/>
      <c r="E774" s="486"/>
      <c r="F774" s="528"/>
      <c r="G774" s="486"/>
      <c r="H774" s="486"/>
      <c r="I774" s="491"/>
      <c r="J774" s="491"/>
      <c r="K774" s="491"/>
      <c r="L774" s="491"/>
      <c r="M774" s="486"/>
      <c r="N774" s="422"/>
      <c r="O774" s="422"/>
      <c r="P774" s="422"/>
      <c r="Q774" s="486"/>
      <c r="R774" s="491"/>
      <c r="S774" s="491"/>
      <c r="T774" s="491"/>
      <c r="U774" s="491"/>
      <c r="V774" s="491"/>
      <c r="W774" s="493"/>
      <c r="X774" s="486"/>
      <c r="Y774" s="442"/>
      <c r="Z774" s="491"/>
      <c r="AA774" s="524"/>
      <c r="AB774" s="494"/>
      <c r="AC774" s="436"/>
      <c r="AD774" s="495"/>
      <c r="AE774" s="496"/>
      <c r="AF774" s="531"/>
      <c r="AG774" s="491"/>
      <c r="AH774" s="525"/>
      <c r="AI774" s="491"/>
      <c r="AJ774" s="446"/>
      <c r="AK774" s="491"/>
      <c r="AL774" s="500"/>
      <c r="AM774" s="436"/>
      <c r="AN774" s="438"/>
      <c r="AO774" s="531"/>
      <c r="AP774" s="491"/>
      <c r="AQ774" s="438"/>
      <c r="AR774" s="438"/>
      <c r="AS774" s="438"/>
      <c r="AT774" s="448"/>
      <c r="AU774" s="452"/>
      <c r="AV774" s="438"/>
      <c r="AW774" s="438"/>
      <c r="AX774" s="450"/>
    </row>
    <row r="775">
      <c r="A775" s="435"/>
      <c r="B775" s="485"/>
      <c r="C775" s="486"/>
      <c r="D775" s="486"/>
      <c r="E775" s="486"/>
      <c r="F775" s="528"/>
      <c r="G775" s="486"/>
      <c r="H775" s="486"/>
      <c r="I775" s="491"/>
      <c r="J775" s="491"/>
      <c r="K775" s="491"/>
      <c r="L775" s="491"/>
      <c r="M775" s="486"/>
      <c r="N775" s="422"/>
      <c r="O775" s="422"/>
      <c r="P775" s="422"/>
      <c r="Q775" s="486"/>
      <c r="R775" s="491"/>
      <c r="S775" s="491"/>
      <c r="T775" s="491"/>
      <c r="U775" s="491"/>
      <c r="V775" s="491"/>
      <c r="W775" s="493"/>
      <c r="X775" s="486"/>
      <c r="Y775" s="442"/>
      <c r="Z775" s="491"/>
      <c r="AA775" s="524"/>
      <c r="AB775" s="494"/>
      <c r="AC775" s="436"/>
      <c r="AD775" s="495"/>
      <c r="AE775" s="496"/>
      <c r="AF775" s="531"/>
      <c r="AG775" s="491"/>
      <c r="AH775" s="525"/>
      <c r="AI775" s="491"/>
      <c r="AJ775" s="446"/>
      <c r="AK775" s="491"/>
      <c r="AL775" s="500"/>
      <c r="AM775" s="436"/>
      <c r="AN775" s="438"/>
      <c r="AO775" s="531"/>
      <c r="AP775" s="491"/>
      <c r="AQ775" s="438"/>
      <c r="AR775" s="438"/>
      <c r="AS775" s="438"/>
      <c r="AT775" s="448"/>
      <c r="AU775" s="449"/>
      <c r="AV775" s="438"/>
      <c r="AW775" s="438"/>
      <c r="AX775" s="450"/>
    </row>
    <row r="776">
      <c r="A776" s="435"/>
      <c r="B776" s="485"/>
      <c r="C776" s="486"/>
      <c r="D776" s="486"/>
      <c r="E776" s="486"/>
      <c r="F776" s="528"/>
      <c r="G776" s="486"/>
      <c r="H776" s="486"/>
      <c r="I776" s="491"/>
      <c r="J776" s="491"/>
      <c r="K776" s="491"/>
      <c r="L776" s="491"/>
      <c r="M776" s="486"/>
      <c r="N776" s="422"/>
      <c r="O776" s="422"/>
      <c r="P776" s="422"/>
      <c r="Q776" s="486"/>
      <c r="R776" s="491"/>
      <c r="S776" s="491"/>
      <c r="T776" s="491"/>
      <c r="U776" s="491"/>
      <c r="V776" s="491"/>
      <c r="W776" s="493"/>
      <c r="X776" s="486"/>
      <c r="Y776" s="442"/>
      <c r="Z776" s="491"/>
      <c r="AA776" s="524"/>
      <c r="AB776" s="494"/>
      <c r="AC776" s="436"/>
      <c r="AD776" s="495"/>
      <c r="AE776" s="496"/>
      <c r="AF776" s="531"/>
      <c r="AG776" s="491"/>
      <c r="AH776" s="525"/>
      <c r="AI776" s="491"/>
      <c r="AJ776" s="446"/>
      <c r="AK776" s="491"/>
      <c r="AL776" s="500"/>
      <c r="AM776" s="436"/>
      <c r="AN776" s="438"/>
      <c r="AO776" s="531"/>
      <c r="AP776" s="491"/>
      <c r="AQ776" s="438"/>
      <c r="AR776" s="438"/>
      <c r="AS776" s="438"/>
      <c r="AT776" s="448"/>
      <c r="AU776" s="452"/>
      <c r="AV776" s="438"/>
      <c r="AW776" s="438"/>
      <c r="AX776" s="450"/>
    </row>
    <row r="777">
      <c r="A777" s="435"/>
      <c r="B777" s="485"/>
      <c r="C777" s="486"/>
      <c r="D777" s="486"/>
      <c r="E777" s="486"/>
      <c r="F777" s="528"/>
      <c r="G777" s="486"/>
      <c r="H777" s="486"/>
      <c r="I777" s="491"/>
      <c r="J777" s="491"/>
      <c r="K777" s="491"/>
      <c r="L777" s="491"/>
      <c r="M777" s="486"/>
      <c r="N777" s="422"/>
      <c r="O777" s="422"/>
      <c r="P777" s="422"/>
      <c r="Q777" s="486"/>
      <c r="R777" s="491"/>
      <c r="S777" s="491"/>
      <c r="T777" s="491"/>
      <c r="U777" s="491"/>
      <c r="V777" s="491"/>
      <c r="W777" s="493"/>
      <c r="X777" s="486"/>
      <c r="Y777" s="442"/>
      <c r="Z777" s="491"/>
      <c r="AA777" s="524"/>
      <c r="AB777" s="494"/>
      <c r="AC777" s="436"/>
      <c r="AD777" s="495"/>
      <c r="AE777" s="496"/>
      <c r="AF777" s="531"/>
      <c r="AG777" s="491"/>
      <c r="AH777" s="525"/>
      <c r="AI777" s="491"/>
      <c r="AJ777" s="446"/>
      <c r="AK777" s="491"/>
      <c r="AL777" s="500"/>
      <c r="AM777" s="436"/>
      <c r="AN777" s="438"/>
      <c r="AO777" s="531"/>
      <c r="AP777" s="491"/>
      <c r="AQ777" s="438"/>
      <c r="AR777" s="438"/>
      <c r="AS777" s="438"/>
      <c r="AT777" s="448"/>
      <c r="AU777" s="449"/>
      <c r="AV777" s="438"/>
      <c r="AW777" s="438"/>
      <c r="AX777" s="450"/>
    </row>
    <row r="778">
      <c r="A778" s="435"/>
      <c r="B778" s="485"/>
      <c r="C778" s="486"/>
      <c r="D778" s="486"/>
      <c r="E778" s="486"/>
      <c r="F778" s="528"/>
      <c r="G778" s="486"/>
      <c r="H778" s="486"/>
      <c r="I778" s="491"/>
      <c r="J778" s="491"/>
      <c r="K778" s="491"/>
      <c r="L778" s="491"/>
      <c r="M778" s="486"/>
      <c r="N778" s="422"/>
      <c r="O778" s="422"/>
      <c r="P778" s="422"/>
      <c r="Q778" s="486"/>
      <c r="R778" s="491"/>
      <c r="S778" s="491"/>
      <c r="T778" s="491"/>
      <c r="U778" s="491"/>
      <c r="V778" s="491"/>
      <c r="W778" s="493"/>
      <c r="X778" s="486"/>
      <c r="Y778" s="442"/>
      <c r="Z778" s="491"/>
      <c r="AA778" s="524"/>
      <c r="AB778" s="494"/>
      <c r="AC778" s="436"/>
      <c r="AD778" s="495"/>
      <c r="AE778" s="496"/>
      <c r="AF778" s="531"/>
      <c r="AG778" s="491"/>
      <c r="AH778" s="525"/>
      <c r="AI778" s="491"/>
      <c r="AJ778" s="446"/>
      <c r="AK778" s="491"/>
      <c r="AL778" s="500"/>
      <c r="AM778" s="436"/>
      <c r="AN778" s="438"/>
      <c r="AO778" s="531"/>
      <c r="AP778" s="491"/>
      <c r="AQ778" s="438"/>
      <c r="AR778" s="438"/>
      <c r="AS778" s="438"/>
      <c r="AT778" s="448"/>
      <c r="AU778" s="452"/>
      <c r="AV778" s="438"/>
      <c r="AW778" s="438"/>
      <c r="AX778" s="450"/>
    </row>
    <row r="779">
      <c r="A779" s="435"/>
      <c r="B779" s="485"/>
      <c r="C779" s="486"/>
      <c r="D779" s="486"/>
      <c r="E779" s="486"/>
      <c r="F779" s="528"/>
      <c r="G779" s="486"/>
      <c r="H779" s="486"/>
      <c r="I779" s="491"/>
      <c r="J779" s="491"/>
      <c r="K779" s="491"/>
      <c r="L779" s="491"/>
      <c r="M779" s="486"/>
      <c r="N779" s="422"/>
      <c r="O779" s="422"/>
      <c r="P779" s="422"/>
      <c r="Q779" s="486"/>
      <c r="R779" s="491"/>
      <c r="S779" s="491"/>
      <c r="T779" s="491"/>
      <c r="U779" s="491"/>
      <c r="V779" s="491"/>
      <c r="W779" s="493"/>
      <c r="X779" s="486"/>
      <c r="Y779" s="442"/>
      <c r="Z779" s="491"/>
      <c r="AA779" s="524"/>
      <c r="AB779" s="494"/>
      <c r="AC779" s="436"/>
      <c r="AD779" s="495"/>
      <c r="AE779" s="496"/>
      <c r="AF779" s="531"/>
      <c r="AG779" s="491"/>
      <c r="AH779" s="525"/>
      <c r="AI779" s="491"/>
      <c r="AJ779" s="446"/>
      <c r="AK779" s="491"/>
      <c r="AL779" s="500"/>
      <c r="AM779" s="436"/>
      <c r="AN779" s="438"/>
      <c r="AO779" s="531"/>
      <c r="AP779" s="491"/>
      <c r="AQ779" s="438"/>
      <c r="AR779" s="438"/>
      <c r="AS779" s="438"/>
      <c r="AT779" s="448"/>
      <c r="AU779" s="449"/>
      <c r="AV779" s="438"/>
      <c r="AW779" s="438"/>
      <c r="AX779" s="450"/>
    </row>
    <row r="780">
      <c r="A780" s="435"/>
      <c r="B780" s="485"/>
      <c r="C780" s="486"/>
      <c r="D780" s="486"/>
      <c r="E780" s="486"/>
      <c r="F780" s="528"/>
      <c r="G780" s="486"/>
      <c r="H780" s="486"/>
      <c r="I780" s="491"/>
      <c r="J780" s="491"/>
      <c r="K780" s="491"/>
      <c r="L780" s="491"/>
      <c r="M780" s="486"/>
      <c r="N780" s="422"/>
      <c r="O780" s="422"/>
      <c r="P780" s="422"/>
      <c r="Q780" s="486"/>
      <c r="R780" s="491"/>
      <c r="S780" s="491"/>
      <c r="T780" s="491"/>
      <c r="U780" s="491"/>
      <c r="V780" s="491"/>
      <c r="W780" s="493"/>
      <c r="X780" s="486"/>
      <c r="Y780" s="442"/>
      <c r="Z780" s="491"/>
      <c r="AA780" s="524"/>
      <c r="AB780" s="494"/>
      <c r="AC780" s="436"/>
      <c r="AD780" s="495"/>
      <c r="AE780" s="496"/>
      <c r="AF780" s="531"/>
      <c r="AG780" s="491"/>
      <c r="AH780" s="525"/>
      <c r="AI780" s="491"/>
      <c r="AJ780" s="446"/>
      <c r="AK780" s="491"/>
      <c r="AL780" s="500"/>
      <c r="AM780" s="436"/>
      <c r="AN780" s="438"/>
      <c r="AO780" s="531"/>
      <c r="AP780" s="491"/>
      <c r="AQ780" s="438"/>
      <c r="AR780" s="438"/>
      <c r="AS780" s="438"/>
      <c r="AT780" s="448"/>
      <c r="AU780" s="452"/>
      <c r="AV780" s="438"/>
      <c r="AW780" s="438"/>
      <c r="AX780" s="450"/>
    </row>
    <row r="781">
      <c r="A781" s="435"/>
      <c r="B781" s="485"/>
      <c r="C781" s="486"/>
      <c r="D781" s="486"/>
      <c r="E781" s="486"/>
      <c r="F781" s="528"/>
      <c r="G781" s="486"/>
      <c r="H781" s="486"/>
      <c r="I781" s="491"/>
      <c r="J781" s="491"/>
      <c r="K781" s="491"/>
      <c r="L781" s="491"/>
      <c r="M781" s="486"/>
      <c r="N781" s="422"/>
      <c r="O781" s="422"/>
      <c r="P781" s="422"/>
      <c r="Q781" s="486"/>
      <c r="R781" s="491"/>
      <c r="S781" s="491"/>
      <c r="T781" s="491"/>
      <c r="U781" s="491"/>
      <c r="V781" s="491"/>
      <c r="W781" s="493"/>
      <c r="X781" s="486"/>
      <c r="Y781" s="442"/>
      <c r="Z781" s="491"/>
      <c r="AA781" s="524"/>
      <c r="AB781" s="494"/>
      <c r="AC781" s="436"/>
      <c r="AD781" s="495"/>
      <c r="AE781" s="496"/>
      <c r="AF781" s="531"/>
      <c r="AG781" s="491"/>
      <c r="AH781" s="525"/>
      <c r="AI781" s="491"/>
      <c r="AJ781" s="446"/>
      <c r="AK781" s="491"/>
      <c r="AL781" s="500"/>
      <c r="AM781" s="436"/>
      <c r="AN781" s="438"/>
      <c r="AO781" s="531"/>
      <c r="AP781" s="491"/>
      <c r="AQ781" s="438"/>
      <c r="AR781" s="438"/>
      <c r="AS781" s="438"/>
      <c r="AT781" s="448"/>
      <c r="AU781" s="449"/>
      <c r="AV781" s="438"/>
      <c r="AW781" s="438"/>
      <c r="AX781" s="450"/>
    </row>
    <row r="782">
      <c r="A782" s="435"/>
      <c r="B782" s="485"/>
      <c r="C782" s="486"/>
      <c r="D782" s="486"/>
      <c r="E782" s="486"/>
      <c r="F782" s="528"/>
      <c r="G782" s="486"/>
      <c r="H782" s="486"/>
      <c r="I782" s="491"/>
      <c r="J782" s="491"/>
      <c r="K782" s="491"/>
      <c r="L782" s="491"/>
      <c r="M782" s="486"/>
      <c r="N782" s="422"/>
      <c r="O782" s="422"/>
      <c r="P782" s="422"/>
      <c r="Q782" s="486"/>
      <c r="R782" s="491"/>
      <c r="S782" s="491"/>
      <c r="T782" s="491"/>
      <c r="U782" s="491"/>
      <c r="V782" s="491"/>
      <c r="W782" s="493"/>
      <c r="X782" s="486"/>
      <c r="Y782" s="442"/>
      <c r="Z782" s="491"/>
      <c r="AA782" s="524"/>
      <c r="AB782" s="494"/>
      <c r="AC782" s="436"/>
      <c r="AD782" s="495"/>
      <c r="AE782" s="496"/>
      <c r="AF782" s="531"/>
      <c r="AG782" s="491"/>
      <c r="AH782" s="525"/>
      <c r="AI782" s="491"/>
      <c r="AJ782" s="446"/>
      <c r="AK782" s="491"/>
      <c r="AL782" s="500"/>
      <c r="AM782" s="436"/>
      <c r="AN782" s="438"/>
      <c r="AO782" s="531"/>
      <c r="AP782" s="491"/>
      <c r="AQ782" s="438"/>
      <c r="AR782" s="438"/>
      <c r="AS782" s="438"/>
      <c r="AT782" s="448"/>
      <c r="AU782" s="452"/>
      <c r="AV782" s="438"/>
      <c r="AW782" s="438"/>
      <c r="AX782" s="450"/>
    </row>
    <row r="783">
      <c r="A783" s="435"/>
      <c r="B783" s="485"/>
      <c r="C783" s="486"/>
      <c r="D783" s="486"/>
      <c r="E783" s="486"/>
      <c r="F783" s="528"/>
      <c r="G783" s="486"/>
      <c r="H783" s="486"/>
      <c r="I783" s="491"/>
      <c r="J783" s="491"/>
      <c r="K783" s="491"/>
      <c r="L783" s="491"/>
      <c r="M783" s="486"/>
      <c r="N783" s="422"/>
      <c r="O783" s="422"/>
      <c r="P783" s="422"/>
      <c r="Q783" s="486"/>
      <c r="R783" s="491"/>
      <c r="S783" s="491"/>
      <c r="T783" s="491"/>
      <c r="U783" s="491"/>
      <c r="V783" s="491"/>
      <c r="W783" s="493"/>
      <c r="X783" s="486"/>
      <c r="Y783" s="442"/>
      <c r="Z783" s="491"/>
      <c r="AA783" s="524"/>
      <c r="AB783" s="494"/>
      <c r="AC783" s="436"/>
      <c r="AD783" s="495"/>
      <c r="AE783" s="496"/>
      <c r="AF783" s="531"/>
      <c r="AG783" s="491"/>
      <c r="AH783" s="525"/>
      <c r="AI783" s="491"/>
      <c r="AJ783" s="446"/>
      <c r="AK783" s="491"/>
      <c r="AL783" s="500"/>
      <c r="AM783" s="436"/>
      <c r="AN783" s="438"/>
      <c r="AO783" s="531"/>
      <c r="AP783" s="491"/>
      <c r="AQ783" s="438"/>
      <c r="AR783" s="438"/>
      <c r="AS783" s="438"/>
      <c r="AT783" s="448"/>
      <c r="AU783" s="449"/>
      <c r="AV783" s="438"/>
      <c r="AW783" s="438"/>
      <c r="AX783" s="450"/>
    </row>
    <row r="784">
      <c r="A784" s="435"/>
      <c r="B784" s="485"/>
      <c r="C784" s="486"/>
      <c r="D784" s="486"/>
      <c r="E784" s="486"/>
      <c r="F784" s="528"/>
      <c r="G784" s="486"/>
      <c r="H784" s="486"/>
      <c r="I784" s="491"/>
      <c r="J784" s="491"/>
      <c r="K784" s="491"/>
      <c r="L784" s="491"/>
      <c r="M784" s="486"/>
      <c r="N784" s="422"/>
      <c r="O784" s="422"/>
      <c r="P784" s="422"/>
      <c r="Q784" s="486"/>
      <c r="R784" s="491"/>
      <c r="S784" s="491"/>
      <c r="T784" s="491"/>
      <c r="U784" s="491"/>
      <c r="V784" s="491"/>
      <c r="W784" s="493"/>
      <c r="X784" s="486"/>
      <c r="Y784" s="442"/>
      <c r="Z784" s="491"/>
      <c r="AA784" s="524"/>
      <c r="AB784" s="494"/>
      <c r="AC784" s="436"/>
      <c r="AD784" s="495"/>
      <c r="AE784" s="496"/>
      <c r="AF784" s="531"/>
      <c r="AG784" s="491"/>
      <c r="AH784" s="525"/>
      <c r="AI784" s="491"/>
      <c r="AJ784" s="446"/>
      <c r="AK784" s="491"/>
      <c r="AL784" s="500"/>
      <c r="AM784" s="436"/>
      <c r="AN784" s="438"/>
      <c r="AO784" s="531"/>
      <c r="AP784" s="491"/>
      <c r="AQ784" s="438"/>
      <c r="AR784" s="438"/>
      <c r="AS784" s="438"/>
      <c r="AT784" s="448"/>
      <c r="AU784" s="452"/>
      <c r="AV784" s="438"/>
      <c r="AW784" s="438"/>
      <c r="AX784" s="450"/>
    </row>
    <row r="785">
      <c r="A785" s="435"/>
      <c r="B785" s="485"/>
      <c r="C785" s="486"/>
      <c r="D785" s="486"/>
      <c r="E785" s="486"/>
      <c r="F785" s="528"/>
      <c r="G785" s="486"/>
      <c r="H785" s="486"/>
      <c r="I785" s="491"/>
      <c r="J785" s="491"/>
      <c r="K785" s="491"/>
      <c r="L785" s="491"/>
      <c r="M785" s="486"/>
      <c r="N785" s="422"/>
      <c r="O785" s="422"/>
      <c r="P785" s="422"/>
      <c r="Q785" s="486"/>
      <c r="R785" s="491"/>
      <c r="S785" s="491"/>
      <c r="T785" s="491"/>
      <c r="U785" s="491"/>
      <c r="V785" s="491"/>
      <c r="W785" s="493"/>
      <c r="X785" s="486"/>
      <c r="Y785" s="442"/>
      <c r="Z785" s="491"/>
      <c r="AA785" s="524"/>
      <c r="AB785" s="494"/>
      <c r="AC785" s="436"/>
      <c r="AD785" s="495"/>
      <c r="AE785" s="496"/>
      <c r="AF785" s="531"/>
      <c r="AG785" s="491"/>
      <c r="AH785" s="525"/>
      <c r="AI785" s="491"/>
      <c r="AJ785" s="446"/>
      <c r="AK785" s="491"/>
      <c r="AL785" s="500"/>
      <c r="AM785" s="436"/>
      <c r="AN785" s="438"/>
      <c r="AO785" s="531"/>
      <c r="AP785" s="491"/>
      <c r="AQ785" s="438"/>
      <c r="AR785" s="438"/>
      <c r="AS785" s="438"/>
      <c r="AT785" s="448"/>
      <c r="AU785" s="449"/>
      <c r="AV785" s="438"/>
      <c r="AW785" s="438"/>
      <c r="AX785" s="450"/>
    </row>
    <row r="786">
      <c r="A786" s="435"/>
      <c r="B786" s="485"/>
      <c r="C786" s="486"/>
      <c r="D786" s="486"/>
      <c r="E786" s="486"/>
      <c r="F786" s="528"/>
      <c r="G786" s="486"/>
      <c r="H786" s="486"/>
      <c r="I786" s="491"/>
      <c r="J786" s="491"/>
      <c r="K786" s="491"/>
      <c r="L786" s="491"/>
      <c r="M786" s="486"/>
      <c r="N786" s="422"/>
      <c r="O786" s="422"/>
      <c r="P786" s="422"/>
      <c r="Q786" s="486"/>
      <c r="R786" s="491"/>
      <c r="S786" s="491"/>
      <c r="T786" s="491"/>
      <c r="U786" s="491"/>
      <c r="V786" s="491"/>
      <c r="W786" s="493"/>
      <c r="X786" s="486"/>
      <c r="Y786" s="442"/>
      <c r="Z786" s="491"/>
      <c r="AA786" s="524"/>
      <c r="AB786" s="494"/>
      <c r="AC786" s="436"/>
      <c r="AD786" s="495"/>
      <c r="AE786" s="496"/>
      <c r="AF786" s="531"/>
      <c r="AG786" s="491"/>
      <c r="AH786" s="525"/>
      <c r="AI786" s="491"/>
      <c r="AJ786" s="446"/>
      <c r="AK786" s="491"/>
      <c r="AL786" s="500"/>
      <c r="AM786" s="436"/>
      <c r="AN786" s="438"/>
      <c r="AO786" s="531"/>
      <c r="AP786" s="491"/>
      <c r="AQ786" s="438"/>
      <c r="AR786" s="438"/>
      <c r="AS786" s="438"/>
      <c r="AT786" s="448"/>
      <c r="AU786" s="452"/>
      <c r="AV786" s="438"/>
      <c r="AW786" s="438"/>
      <c r="AX786" s="450"/>
    </row>
    <row r="787">
      <c r="A787" s="435"/>
      <c r="B787" s="485"/>
      <c r="C787" s="486"/>
      <c r="D787" s="486"/>
      <c r="E787" s="486"/>
      <c r="F787" s="528"/>
      <c r="G787" s="486"/>
      <c r="H787" s="486"/>
      <c r="I787" s="491"/>
      <c r="J787" s="491"/>
      <c r="K787" s="491"/>
      <c r="L787" s="491"/>
      <c r="M787" s="486"/>
      <c r="N787" s="422"/>
      <c r="O787" s="422"/>
      <c r="P787" s="422"/>
      <c r="Q787" s="486"/>
      <c r="R787" s="491"/>
      <c r="S787" s="491"/>
      <c r="T787" s="491"/>
      <c r="U787" s="491"/>
      <c r="V787" s="491"/>
      <c r="W787" s="493"/>
      <c r="X787" s="486"/>
      <c r="Y787" s="442"/>
      <c r="Z787" s="491"/>
      <c r="AA787" s="524"/>
      <c r="AB787" s="494"/>
      <c r="AC787" s="436"/>
      <c r="AD787" s="495"/>
      <c r="AE787" s="496"/>
      <c r="AF787" s="531"/>
      <c r="AG787" s="491"/>
      <c r="AH787" s="525"/>
      <c r="AI787" s="491"/>
      <c r="AJ787" s="446"/>
      <c r="AK787" s="491"/>
      <c r="AL787" s="500"/>
      <c r="AM787" s="436"/>
      <c r="AN787" s="438"/>
      <c r="AO787" s="531"/>
      <c r="AP787" s="491"/>
      <c r="AQ787" s="438"/>
      <c r="AR787" s="438"/>
      <c r="AS787" s="438"/>
      <c r="AT787" s="448"/>
      <c r="AU787" s="449"/>
      <c r="AV787" s="438"/>
      <c r="AW787" s="438"/>
      <c r="AX787" s="450"/>
    </row>
    <row r="788">
      <c r="A788" s="435"/>
      <c r="B788" s="485"/>
      <c r="C788" s="486"/>
      <c r="D788" s="486"/>
      <c r="E788" s="486"/>
      <c r="F788" s="528"/>
      <c r="G788" s="486"/>
      <c r="H788" s="486"/>
      <c r="I788" s="491"/>
      <c r="J788" s="491"/>
      <c r="K788" s="491"/>
      <c r="L788" s="491"/>
      <c r="M788" s="486"/>
      <c r="N788" s="422"/>
      <c r="O788" s="422"/>
      <c r="P788" s="422"/>
      <c r="Q788" s="486"/>
      <c r="R788" s="491"/>
      <c r="S788" s="491"/>
      <c r="T788" s="491"/>
      <c r="U788" s="491"/>
      <c r="V788" s="491"/>
      <c r="W788" s="493"/>
      <c r="X788" s="486"/>
      <c r="Y788" s="442"/>
      <c r="Z788" s="491"/>
      <c r="AA788" s="524"/>
      <c r="AB788" s="494"/>
      <c r="AC788" s="436"/>
      <c r="AD788" s="495"/>
      <c r="AE788" s="496"/>
      <c r="AF788" s="531"/>
      <c r="AG788" s="491"/>
      <c r="AH788" s="525"/>
      <c r="AI788" s="491"/>
      <c r="AJ788" s="446"/>
      <c r="AK788" s="491"/>
      <c r="AL788" s="500"/>
      <c r="AM788" s="436"/>
      <c r="AN788" s="438"/>
      <c r="AO788" s="531"/>
      <c r="AP788" s="491"/>
      <c r="AQ788" s="438"/>
      <c r="AR788" s="438"/>
      <c r="AS788" s="438"/>
      <c r="AT788" s="448"/>
      <c r="AU788" s="452"/>
      <c r="AV788" s="438"/>
      <c r="AW788" s="438"/>
      <c r="AX788" s="450"/>
    </row>
    <row r="789">
      <c r="A789" s="435"/>
      <c r="B789" s="485"/>
      <c r="C789" s="486"/>
      <c r="D789" s="486"/>
      <c r="E789" s="486"/>
      <c r="F789" s="528"/>
      <c r="G789" s="486"/>
      <c r="H789" s="486"/>
      <c r="I789" s="491"/>
      <c r="J789" s="491"/>
      <c r="K789" s="491"/>
      <c r="L789" s="491"/>
      <c r="M789" s="486"/>
      <c r="N789" s="422"/>
      <c r="O789" s="422"/>
      <c r="P789" s="422"/>
      <c r="Q789" s="486"/>
      <c r="R789" s="491"/>
      <c r="S789" s="491"/>
      <c r="T789" s="491"/>
      <c r="U789" s="491"/>
      <c r="V789" s="491"/>
      <c r="W789" s="493"/>
      <c r="X789" s="486"/>
      <c r="Y789" s="442"/>
      <c r="Z789" s="491"/>
      <c r="AA789" s="524"/>
      <c r="AB789" s="494"/>
      <c r="AC789" s="436"/>
      <c r="AD789" s="495"/>
      <c r="AE789" s="496"/>
      <c r="AF789" s="531"/>
      <c r="AG789" s="491"/>
      <c r="AH789" s="525"/>
      <c r="AI789" s="491"/>
      <c r="AJ789" s="446"/>
      <c r="AK789" s="491"/>
      <c r="AL789" s="500"/>
      <c r="AM789" s="436"/>
      <c r="AN789" s="438"/>
      <c r="AO789" s="531"/>
      <c r="AP789" s="491"/>
      <c r="AQ789" s="438"/>
      <c r="AR789" s="438"/>
      <c r="AS789" s="438"/>
      <c r="AT789" s="448"/>
      <c r="AU789" s="449"/>
      <c r="AV789" s="438"/>
      <c r="AW789" s="438"/>
      <c r="AX789" s="450"/>
    </row>
    <row r="790">
      <c r="A790" s="435"/>
      <c r="B790" s="485"/>
      <c r="C790" s="486"/>
      <c r="D790" s="486"/>
      <c r="E790" s="486"/>
      <c r="F790" s="528"/>
      <c r="G790" s="486"/>
      <c r="H790" s="486"/>
      <c r="I790" s="491"/>
      <c r="J790" s="491"/>
      <c r="K790" s="491"/>
      <c r="L790" s="491"/>
      <c r="M790" s="486"/>
      <c r="N790" s="422"/>
      <c r="O790" s="422"/>
      <c r="P790" s="422"/>
      <c r="Q790" s="486"/>
      <c r="R790" s="491"/>
      <c r="S790" s="491"/>
      <c r="T790" s="491"/>
      <c r="U790" s="491"/>
      <c r="V790" s="491"/>
      <c r="W790" s="493"/>
      <c r="X790" s="486"/>
      <c r="Y790" s="442"/>
      <c r="Z790" s="491"/>
      <c r="AA790" s="524"/>
      <c r="AB790" s="494"/>
      <c r="AC790" s="436"/>
      <c r="AD790" s="495"/>
      <c r="AE790" s="496"/>
      <c r="AF790" s="531"/>
      <c r="AG790" s="491"/>
      <c r="AH790" s="525"/>
      <c r="AI790" s="491"/>
      <c r="AJ790" s="446"/>
      <c r="AK790" s="491"/>
      <c r="AL790" s="500"/>
      <c r="AM790" s="436"/>
      <c r="AN790" s="438"/>
      <c r="AO790" s="531"/>
      <c r="AP790" s="491"/>
      <c r="AQ790" s="438"/>
      <c r="AR790" s="438"/>
      <c r="AS790" s="438"/>
      <c r="AT790" s="448"/>
      <c r="AU790" s="452"/>
      <c r="AV790" s="438"/>
      <c r="AW790" s="438"/>
      <c r="AX790" s="450"/>
    </row>
    <row r="791">
      <c r="A791" s="435"/>
      <c r="B791" s="485"/>
      <c r="C791" s="486"/>
      <c r="D791" s="486"/>
      <c r="E791" s="486"/>
      <c r="F791" s="528"/>
      <c r="G791" s="486"/>
      <c r="H791" s="486"/>
      <c r="I791" s="491"/>
      <c r="J791" s="491"/>
      <c r="K791" s="491"/>
      <c r="L791" s="491"/>
      <c r="M791" s="486"/>
      <c r="N791" s="422"/>
      <c r="O791" s="422"/>
      <c r="P791" s="422"/>
      <c r="Q791" s="486"/>
      <c r="R791" s="491"/>
      <c r="S791" s="491"/>
      <c r="T791" s="491"/>
      <c r="U791" s="491"/>
      <c r="V791" s="491"/>
      <c r="W791" s="493"/>
      <c r="X791" s="486"/>
      <c r="Y791" s="442"/>
      <c r="Z791" s="491"/>
      <c r="AA791" s="524"/>
      <c r="AB791" s="494"/>
      <c r="AC791" s="436"/>
      <c r="AD791" s="495"/>
      <c r="AE791" s="496"/>
      <c r="AF791" s="531"/>
      <c r="AG791" s="491"/>
      <c r="AH791" s="525"/>
      <c r="AI791" s="491"/>
      <c r="AJ791" s="446"/>
      <c r="AK791" s="491"/>
      <c r="AL791" s="500"/>
      <c r="AM791" s="436"/>
      <c r="AN791" s="438"/>
      <c r="AO791" s="531"/>
      <c r="AP791" s="491"/>
      <c r="AQ791" s="438"/>
      <c r="AR791" s="438"/>
      <c r="AS791" s="438"/>
      <c r="AT791" s="448"/>
      <c r="AU791" s="449"/>
      <c r="AV791" s="438"/>
      <c r="AW791" s="438"/>
      <c r="AX791" s="450"/>
    </row>
    <row r="792">
      <c r="A792" s="435"/>
      <c r="B792" s="485"/>
      <c r="C792" s="486"/>
      <c r="D792" s="486"/>
      <c r="E792" s="486"/>
      <c r="F792" s="528"/>
      <c r="G792" s="486"/>
      <c r="H792" s="486"/>
      <c r="I792" s="491"/>
      <c r="J792" s="491"/>
      <c r="K792" s="491"/>
      <c r="L792" s="491"/>
      <c r="M792" s="486"/>
      <c r="N792" s="422"/>
      <c r="O792" s="422"/>
      <c r="P792" s="422"/>
      <c r="Q792" s="486"/>
      <c r="R792" s="491"/>
      <c r="S792" s="491"/>
      <c r="T792" s="491"/>
      <c r="U792" s="491"/>
      <c r="V792" s="491"/>
      <c r="W792" s="493"/>
      <c r="X792" s="486"/>
      <c r="Y792" s="442"/>
      <c r="Z792" s="491"/>
      <c r="AA792" s="524"/>
      <c r="AB792" s="494"/>
      <c r="AC792" s="436"/>
      <c r="AD792" s="495"/>
      <c r="AE792" s="496"/>
      <c r="AF792" s="531"/>
      <c r="AG792" s="491"/>
      <c r="AH792" s="525"/>
      <c r="AI792" s="491"/>
      <c r="AJ792" s="446"/>
      <c r="AK792" s="491"/>
      <c r="AL792" s="500"/>
      <c r="AM792" s="436"/>
      <c r="AN792" s="438"/>
      <c r="AO792" s="531"/>
      <c r="AP792" s="491"/>
      <c r="AQ792" s="438"/>
      <c r="AR792" s="438"/>
      <c r="AS792" s="438"/>
      <c r="AT792" s="448"/>
      <c r="AU792" s="452"/>
      <c r="AV792" s="438"/>
      <c r="AW792" s="438"/>
      <c r="AX792" s="450"/>
    </row>
    <row r="793">
      <c r="A793" s="435"/>
      <c r="B793" s="485"/>
      <c r="C793" s="486"/>
      <c r="D793" s="486"/>
      <c r="E793" s="486"/>
      <c r="F793" s="528"/>
      <c r="G793" s="486"/>
      <c r="H793" s="486"/>
      <c r="I793" s="491"/>
      <c r="J793" s="491"/>
      <c r="K793" s="491"/>
      <c r="L793" s="491"/>
      <c r="M793" s="486"/>
      <c r="N793" s="422"/>
      <c r="O793" s="422"/>
      <c r="P793" s="422"/>
      <c r="Q793" s="486"/>
      <c r="R793" s="491"/>
      <c r="S793" s="491"/>
      <c r="T793" s="491"/>
      <c r="U793" s="491"/>
      <c r="V793" s="491"/>
      <c r="W793" s="493"/>
      <c r="X793" s="486"/>
      <c r="Y793" s="442"/>
      <c r="Z793" s="491"/>
      <c r="AA793" s="524"/>
      <c r="AB793" s="494"/>
      <c r="AC793" s="436"/>
      <c r="AD793" s="495"/>
      <c r="AE793" s="496"/>
      <c r="AF793" s="531"/>
      <c r="AG793" s="491"/>
      <c r="AH793" s="525"/>
      <c r="AI793" s="491"/>
      <c r="AJ793" s="446"/>
      <c r="AK793" s="491"/>
      <c r="AL793" s="500"/>
      <c r="AM793" s="436"/>
      <c r="AN793" s="438"/>
      <c r="AO793" s="531"/>
      <c r="AP793" s="491"/>
      <c r="AQ793" s="438"/>
      <c r="AR793" s="438"/>
      <c r="AS793" s="438"/>
      <c r="AT793" s="448"/>
      <c r="AU793" s="449"/>
      <c r="AV793" s="438"/>
      <c r="AW793" s="438"/>
      <c r="AX793" s="450"/>
    </row>
    <row r="794">
      <c r="A794" s="435"/>
      <c r="B794" s="485"/>
      <c r="C794" s="486"/>
      <c r="D794" s="486"/>
      <c r="E794" s="486"/>
      <c r="F794" s="528"/>
      <c r="G794" s="486"/>
      <c r="H794" s="486"/>
      <c r="I794" s="491"/>
      <c r="J794" s="491"/>
      <c r="K794" s="491"/>
      <c r="L794" s="491"/>
      <c r="M794" s="486"/>
      <c r="N794" s="422"/>
      <c r="O794" s="422"/>
      <c r="P794" s="422"/>
      <c r="Q794" s="486"/>
      <c r="R794" s="491"/>
      <c r="S794" s="491"/>
      <c r="T794" s="491"/>
      <c r="U794" s="491"/>
      <c r="V794" s="491"/>
      <c r="W794" s="493"/>
      <c r="X794" s="486"/>
      <c r="Y794" s="442"/>
      <c r="Z794" s="491"/>
      <c r="AA794" s="524"/>
      <c r="AB794" s="494"/>
      <c r="AC794" s="436"/>
      <c r="AD794" s="495"/>
      <c r="AE794" s="496"/>
      <c r="AF794" s="531"/>
      <c r="AG794" s="491"/>
      <c r="AH794" s="525"/>
      <c r="AI794" s="491"/>
      <c r="AJ794" s="446"/>
      <c r="AK794" s="491"/>
      <c r="AL794" s="500"/>
      <c r="AM794" s="436"/>
      <c r="AN794" s="438"/>
      <c r="AO794" s="531"/>
      <c r="AP794" s="491"/>
      <c r="AQ794" s="438"/>
      <c r="AR794" s="438"/>
      <c r="AS794" s="438"/>
      <c r="AT794" s="448"/>
      <c r="AU794" s="452"/>
      <c r="AV794" s="438"/>
      <c r="AW794" s="438"/>
      <c r="AX794" s="450"/>
    </row>
    <row r="795">
      <c r="A795" s="435"/>
      <c r="B795" s="485"/>
      <c r="C795" s="486"/>
      <c r="D795" s="486"/>
      <c r="E795" s="486"/>
      <c r="F795" s="528"/>
      <c r="G795" s="486"/>
      <c r="H795" s="486"/>
      <c r="I795" s="491"/>
      <c r="J795" s="491"/>
      <c r="K795" s="491"/>
      <c r="L795" s="491"/>
      <c r="M795" s="486"/>
      <c r="N795" s="422"/>
      <c r="O795" s="422"/>
      <c r="P795" s="422"/>
      <c r="Q795" s="486"/>
      <c r="R795" s="491"/>
      <c r="S795" s="491"/>
      <c r="T795" s="491"/>
      <c r="U795" s="491"/>
      <c r="V795" s="491"/>
      <c r="W795" s="493"/>
      <c r="X795" s="486"/>
      <c r="Y795" s="442"/>
      <c r="Z795" s="491"/>
      <c r="AA795" s="524"/>
      <c r="AB795" s="494"/>
      <c r="AC795" s="436"/>
      <c r="AD795" s="495"/>
      <c r="AE795" s="496"/>
      <c r="AF795" s="531"/>
      <c r="AG795" s="491"/>
      <c r="AH795" s="525"/>
      <c r="AI795" s="491"/>
      <c r="AJ795" s="446"/>
      <c r="AK795" s="491"/>
      <c r="AL795" s="500"/>
      <c r="AM795" s="436"/>
      <c r="AN795" s="438"/>
      <c r="AO795" s="531"/>
      <c r="AP795" s="491"/>
      <c r="AQ795" s="438"/>
      <c r="AR795" s="438"/>
      <c r="AS795" s="438"/>
      <c r="AT795" s="448"/>
      <c r="AU795" s="449"/>
      <c r="AV795" s="438"/>
      <c r="AW795" s="438"/>
      <c r="AX795" s="450"/>
    </row>
    <row r="796">
      <c r="A796" s="435"/>
      <c r="B796" s="485"/>
      <c r="C796" s="486"/>
      <c r="D796" s="486"/>
      <c r="E796" s="486"/>
      <c r="F796" s="528"/>
      <c r="G796" s="486"/>
      <c r="H796" s="486"/>
      <c r="I796" s="491"/>
      <c r="J796" s="491"/>
      <c r="K796" s="491"/>
      <c r="L796" s="491"/>
      <c r="M796" s="486"/>
      <c r="N796" s="422"/>
      <c r="O796" s="422"/>
      <c r="P796" s="422"/>
      <c r="Q796" s="486"/>
      <c r="R796" s="491"/>
      <c r="S796" s="491"/>
      <c r="T796" s="491"/>
      <c r="U796" s="491"/>
      <c r="V796" s="491"/>
      <c r="W796" s="493"/>
      <c r="X796" s="486"/>
      <c r="Y796" s="442"/>
      <c r="Z796" s="491"/>
      <c r="AA796" s="524"/>
      <c r="AB796" s="494"/>
      <c r="AC796" s="436"/>
      <c r="AD796" s="495"/>
      <c r="AE796" s="496"/>
      <c r="AF796" s="531"/>
      <c r="AG796" s="491"/>
      <c r="AH796" s="525"/>
      <c r="AI796" s="491"/>
      <c r="AJ796" s="446"/>
      <c r="AK796" s="491"/>
      <c r="AL796" s="500"/>
      <c r="AM796" s="436"/>
      <c r="AN796" s="438"/>
      <c r="AO796" s="531"/>
      <c r="AP796" s="491"/>
      <c r="AQ796" s="438"/>
      <c r="AR796" s="438"/>
      <c r="AS796" s="438"/>
      <c r="AT796" s="448"/>
      <c r="AU796" s="452"/>
      <c r="AV796" s="438"/>
      <c r="AW796" s="438"/>
      <c r="AX796" s="450"/>
    </row>
    <row r="797">
      <c r="A797" s="435"/>
      <c r="B797" s="485"/>
      <c r="C797" s="486"/>
      <c r="D797" s="486"/>
      <c r="E797" s="486"/>
      <c r="F797" s="528"/>
      <c r="G797" s="486"/>
      <c r="H797" s="486"/>
      <c r="I797" s="491"/>
      <c r="J797" s="491"/>
      <c r="K797" s="491"/>
      <c r="L797" s="491"/>
      <c r="M797" s="486"/>
      <c r="N797" s="422"/>
      <c r="O797" s="422"/>
      <c r="P797" s="422"/>
      <c r="Q797" s="486"/>
      <c r="R797" s="491"/>
      <c r="S797" s="491"/>
      <c r="T797" s="491"/>
      <c r="U797" s="491"/>
      <c r="V797" s="491"/>
      <c r="W797" s="493"/>
      <c r="X797" s="486"/>
      <c r="Y797" s="442"/>
      <c r="Z797" s="491"/>
      <c r="AA797" s="524"/>
      <c r="AB797" s="494"/>
      <c r="AC797" s="436"/>
      <c r="AD797" s="495"/>
      <c r="AE797" s="496"/>
      <c r="AF797" s="531"/>
      <c r="AG797" s="491"/>
      <c r="AH797" s="525"/>
      <c r="AI797" s="491"/>
      <c r="AJ797" s="446"/>
      <c r="AK797" s="491"/>
      <c r="AL797" s="500"/>
      <c r="AM797" s="436"/>
      <c r="AN797" s="438"/>
      <c r="AO797" s="531"/>
      <c r="AP797" s="491"/>
      <c r="AQ797" s="438"/>
      <c r="AR797" s="438"/>
      <c r="AS797" s="438"/>
      <c r="AT797" s="448"/>
      <c r="AU797" s="449"/>
      <c r="AV797" s="438"/>
      <c r="AW797" s="438"/>
      <c r="AX797" s="450"/>
    </row>
    <row r="798">
      <c r="A798" s="435"/>
      <c r="B798" s="485"/>
      <c r="C798" s="486"/>
      <c r="D798" s="486"/>
      <c r="E798" s="486"/>
      <c r="F798" s="528"/>
      <c r="G798" s="486"/>
      <c r="H798" s="486"/>
      <c r="I798" s="491"/>
      <c r="J798" s="491"/>
      <c r="K798" s="491"/>
      <c r="L798" s="491"/>
      <c r="M798" s="486"/>
      <c r="N798" s="422"/>
      <c r="O798" s="422"/>
      <c r="P798" s="422"/>
      <c r="Q798" s="486"/>
      <c r="R798" s="491"/>
      <c r="S798" s="491"/>
      <c r="T798" s="491"/>
      <c r="U798" s="491"/>
      <c r="V798" s="491"/>
      <c r="W798" s="493"/>
      <c r="X798" s="486"/>
      <c r="Y798" s="442"/>
      <c r="Z798" s="491"/>
      <c r="AA798" s="524"/>
      <c r="AB798" s="494"/>
      <c r="AC798" s="436"/>
      <c r="AD798" s="495"/>
      <c r="AE798" s="496"/>
      <c r="AF798" s="531"/>
      <c r="AG798" s="491"/>
      <c r="AH798" s="525"/>
      <c r="AI798" s="491"/>
      <c r="AJ798" s="446"/>
      <c r="AK798" s="491"/>
      <c r="AL798" s="500"/>
      <c r="AM798" s="436"/>
      <c r="AN798" s="438"/>
      <c r="AO798" s="531"/>
      <c r="AP798" s="491"/>
      <c r="AQ798" s="438"/>
      <c r="AR798" s="438"/>
      <c r="AS798" s="438"/>
      <c r="AT798" s="448"/>
      <c r="AU798" s="452"/>
      <c r="AV798" s="438"/>
      <c r="AW798" s="438"/>
      <c r="AX798" s="450"/>
    </row>
    <row r="799">
      <c r="A799" s="435"/>
      <c r="B799" s="485"/>
      <c r="C799" s="486"/>
      <c r="D799" s="486"/>
      <c r="E799" s="486"/>
      <c r="F799" s="528"/>
      <c r="G799" s="486"/>
      <c r="H799" s="486"/>
      <c r="I799" s="491"/>
      <c r="J799" s="491"/>
      <c r="K799" s="491"/>
      <c r="L799" s="491"/>
      <c r="M799" s="486"/>
      <c r="N799" s="422"/>
      <c r="O799" s="422"/>
      <c r="P799" s="422"/>
      <c r="Q799" s="486"/>
      <c r="R799" s="491"/>
      <c r="S799" s="491"/>
      <c r="T799" s="491"/>
      <c r="U799" s="491"/>
      <c r="V799" s="491"/>
      <c r="W799" s="493"/>
      <c r="X799" s="486"/>
      <c r="Y799" s="442"/>
      <c r="Z799" s="491"/>
      <c r="AA799" s="524"/>
      <c r="AB799" s="494"/>
      <c r="AC799" s="436"/>
      <c r="AD799" s="495"/>
      <c r="AE799" s="496"/>
      <c r="AF799" s="531"/>
      <c r="AG799" s="491"/>
      <c r="AH799" s="525"/>
      <c r="AI799" s="491"/>
      <c r="AJ799" s="446"/>
      <c r="AK799" s="491"/>
      <c r="AL799" s="500"/>
      <c r="AM799" s="436"/>
      <c r="AN799" s="438"/>
      <c r="AO799" s="531"/>
      <c r="AP799" s="491"/>
      <c r="AQ799" s="438"/>
      <c r="AR799" s="438"/>
      <c r="AS799" s="438"/>
      <c r="AT799" s="448"/>
      <c r="AU799" s="449"/>
      <c r="AV799" s="438"/>
      <c r="AW799" s="438"/>
      <c r="AX799" s="450"/>
    </row>
    <row r="800">
      <c r="A800" s="435"/>
      <c r="B800" s="485"/>
      <c r="C800" s="486"/>
      <c r="D800" s="486"/>
      <c r="E800" s="486"/>
      <c r="F800" s="528"/>
      <c r="G800" s="486"/>
      <c r="H800" s="486"/>
      <c r="I800" s="491"/>
      <c r="J800" s="491"/>
      <c r="K800" s="491"/>
      <c r="L800" s="491"/>
      <c r="M800" s="486"/>
      <c r="N800" s="422"/>
      <c r="O800" s="422"/>
      <c r="P800" s="422"/>
      <c r="Q800" s="486"/>
      <c r="R800" s="491"/>
      <c r="S800" s="491"/>
      <c r="T800" s="491"/>
      <c r="U800" s="491"/>
      <c r="V800" s="491"/>
      <c r="W800" s="493"/>
      <c r="X800" s="486"/>
      <c r="Y800" s="442"/>
      <c r="Z800" s="491"/>
      <c r="AA800" s="524"/>
      <c r="AB800" s="494"/>
      <c r="AC800" s="436"/>
      <c r="AD800" s="495"/>
      <c r="AE800" s="496"/>
      <c r="AF800" s="531"/>
      <c r="AG800" s="491"/>
      <c r="AH800" s="525"/>
      <c r="AI800" s="491"/>
      <c r="AJ800" s="446"/>
      <c r="AK800" s="491"/>
      <c r="AL800" s="500"/>
      <c r="AM800" s="436"/>
      <c r="AN800" s="438"/>
      <c r="AO800" s="531"/>
      <c r="AP800" s="491"/>
      <c r="AQ800" s="438"/>
      <c r="AR800" s="438"/>
      <c r="AS800" s="438"/>
      <c r="AT800" s="448"/>
      <c r="AU800" s="452"/>
      <c r="AV800" s="438"/>
      <c r="AW800" s="438"/>
      <c r="AX800" s="450"/>
    </row>
    <row r="801">
      <c r="A801" s="435"/>
      <c r="B801" s="485"/>
      <c r="C801" s="486"/>
      <c r="D801" s="486"/>
      <c r="E801" s="486"/>
      <c r="F801" s="528"/>
      <c r="G801" s="486"/>
      <c r="H801" s="486"/>
      <c r="I801" s="491"/>
      <c r="J801" s="491"/>
      <c r="K801" s="491"/>
      <c r="L801" s="491"/>
      <c r="M801" s="486"/>
      <c r="N801" s="422"/>
      <c r="O801" s="422"/>
      <c r="P801" s="422"/>
      <c r="Q801" s="486"/>
      <c r="R801" s="491"/>
      <c r="S801" s="491"/>
      <c r="T801" s="491"/>
      <c r="U801" s="491"/>
      <c r="V801" s="491"/>
      <c r="W801" s="493"/>
      <c r="X801" s="486"/>
      <c r="Y801" s="442"/>
      <c r="Z801" s="491"/>
      <c r="AA801" s="524"/>
      <c r="AB801" s="494"/>
      <c r="AC801" s="436"/>
      <c r="AD801" s="495"/>
      <c r="AE801" s="496"/>
      <c r="AF801" s="531"/>
      <c r="AG801" s="491"/>
      <c r="AH801" s="525"/>
      <c r="AI801" s="491"/>
      <c r="AJ801" s="446"/>
      <c r="AK801" s="491"/>
      <c r="AL801" s="500"/>
      <c r="AM801" s="436"/>
      <c r="AN801" s="438"/>
      <c r="AO801" s="531"/>
      <c r="AP801" s="491"/>
      <c r="AQ801" s="438"/>
      <c r="AR801" s="438"/>
      <c r="AS801" s="438"/>
      <c r="AT801" s="448"/>
      <c r="AU801" s="449"/>
      <c r="AV801" s="438"/>
      <c r="AW801" s="438"/>
      <c r="AX801" s="450"/>
    </row>
    <row r="802">
      <c r="A802" s="435"/>
      <c r="B802" s="485"/>
      <c r="C802" s="486"/>
      <c r="D802" s="486"/>
      <c r="E802" s="486"/>
      <c r="F802" s="528"/>
      <c r="G802" s="486"/>
      <c r="H802" s="486"/>
      <c r="I802" s="491"/>
      <c r="J802" s="491"/>
      <c r="K802" s="491"/>
      <c r="L802" s="491"/>
      <c r="M802" s="486"/>
      <c r="N802" s="422"/>
      <c r="O802" s="422"/>
      <c r="P802" s="422"/>
      <c r="Q802" s="486"/>
      <c r="R802" s="491"/>
      <c r="S802" s="491"/>
      <c r="T802" s="491"/>
      <c r="U802" s="491"/>
      <c r="V802" s="491"/>
      <c r="W802" s="493"/>
      <c r="X802" s="486"/>
      <c r="Y802" s="442"/>
      <c r="Z802" s="491"/>
      <c r="AA802" s="524"/>
      <c r="AB802" s="494"/>
      <c r="AC802" s="436"/>
      <c r="AD802" s="495"/>
      <c r="AE802" s="496"/>
      <c r="AF802" s="531"/>
      <c r="AG802" s="491"/>
      <c r="AH802" s="525"/>
      <c r="AI802" s="491"/>
      <c r="AJ802" s="446"/>
      <c r="AK802" s="491"/>
      <c r="AL802" s="500"/>
      <c r="AM802" s="436"/>
      <c r="AN802" s="438"/>
      <c r="AO802" s="531"/>
      <c r="AP802" s="491"/>
      <c r="AQ802" s="438"/>
      <c r="AR802" s="438"/>
      <c r="AS802" s="438"/>
      <c r="AT802" s="448"/>
      <c r="AU802" s="452"/>
      <c r="AV802" s="438"/>
      <c r="AW802" s="438"/>
      <c r="AX802" s="450"/>
    </row>
    <row r="803">
      <c r="A803" s="435"/>
      <c r="B803" s="485"/>
      <c r="C803" s="486"/>
      <c r="D803" s="486"/>
      <c r="E803" s="486"/>
      <c r="F803" s="528"/>
      <c r="G803" s="486"/>
      <c r="H803" s="486"/>
      <c r="I803" s="491"/>
      <c r="J803" s="491"/>
      <c r="K803" s="491"/>
      <c r="L803" s="491"/>
      <c r="M803" s="486"/>
      <c r="N803" s="422"/>
      <c r="O803" s="422"/>
      <c r="P803" s="422"/>
      <c r="Q803" s="486"/>
      <c r="R803" s="491"/>
      <c r="S803" s="491"/>
      <c r="T803" s="491"/>
      <c r="U803" s="491"/>
      <c r="V803" s="491"/>
      <c r="W803" s="493"/>
      <c r="X803" s="486"/>
      <c r="Y803" s="442"/>
      <c r="Z803" s="491"/>
      <c r="AA803" s="524"/>
      <c r="AB803" s="494"/>
      <c r="AC803" s="436"/>
      <c r="AD803" s="495"/>
      <c r="AE803" s="496"/>
      <c r="AF803" s="531"/>
      <c r="AG803" s="491"/>
      <c r="AH803" s="525"/>
      <c r="AI803" s="491"/>
      <c r="AJ803" s="446"/>
      <c r="AK803" s="491"/>
      <c r="AL803" s="500"/>
      <c r="AM803" s="436"/>
      <c r="AN803" s="438"/>
      <c r="AO803" s="531"/>
      <c r="AP803" s="491"/>
      <c r="AQ803" s="438"/>
      <c r="AR803" s="438"/>
      <c r="AS803" s="438"/>
      <c r="AT803" s="448"/>
      <c r="AU803" s="449"/>
      <c r="AV803" s="438"/>
      <c r="AW803" s="438"/>
      <c r="AX803" s="450"/>
    </row>
    <row r="804">
      <c r="A804" s="435"/>
      <c r="B804" s="485"/>
      <c r="C804" s="486"/>
      <c r="D804" s="486"/>
      <c r="E804" s="486"/>
      <c r="F804" s="528"/>
      <c r="G804" s="486"/>
      <c r="H804" s="486"/>
      <c r="I804" s="491"/>
      <c r="J804" s="491"/>
      <c r="K804" s="491"/>
      <c r="L804" s="491"/>
      <c r="M804" s="486"/>
      <c r="N804" s="422"/>
      <c r="O804" s="422"/>
      <c r="P804" s="422"/>
      <c r="Q804" s="486"/>
      <c r="R804" s="491"/>
      <c r="S804" s="491"/>
      <c r="T804" s="491"/>
      <c r="U804" s="491"/>
      <c r="V804" s="491"/>
      <c r="W804" s="493"/>
      <c r="X804" s="486"/>
      <c r="Y804" s="442"/>
      <c r="Z804" s="491"/>
      <c r="AA804" s="524"/>
      <c r="AB804" s="494"/>
      <c r="AC804" s="436"/>
      <c r="AD804" s="495"/>
      <c r="AE804" s="496"/>
      <c r="AF804" s="531"/>
      <c r="AG804" s="491"/>
      <c r="AH804" s="525"/>
      <c r="AI804" s="491"/>
      <c r="AJ804" s="446"/>
      <c r="AK804" s="491"/>
      <c r="AL804" s="500"/>
      <c r="AM804" s="436"/>
      <c r="AN804" s="438"/>
      <c r="AO804" s="531"/>
      <c r="AP804" s="491"/>
      <c r="AQ804" s="438"/>
      <c r="AR804" s="438"/>
      <c r="AS804" s="438"/>
      <c r="AT804" s="448"/>
      <c r="AU804" s="452"/>
      <c r="AV804" s="438"/>
      <c r="AW804" s="438"/>
      <c r="AX804" s="450"/>
    </row>
    <row r="805">
      <c r="A805" s="435"/>
      <c r="B805" s="485"/>
      <c r="C805" s="486"/>
      <c r="D805" s="486"/>
      <c r="E805" s="486"/>
      <c r="F805" s="528"/>
      <c r="G805" s="486"/>
      <c r="H805" s="486"/>
      <c r="I805" s="491"/>
      <c r="J805" s="491"/>
      <c r="K805" s="491"/>
      <c r="L805" s="491"/>
      <c r="M805" s="486"/>
      <c r="N805" s="422"/>
      <c r="O805" s="422"/>
      <c r="P805" s="422"/>
      <c r="Q805" s="486"/>
      <c r="R805" s="491"/>
      <c r="S805" s="491"/>
      <c r="T805" s="491"/>
      <c r="U805" s="491"/>
      <c r="V805" s="491"/>
      <c r="W805" s="493"/>
      <c r="X805" s="486"/>
      <c r="Y805" s="442"/>
      <c r="Z805" s="491"/>
      <c r="AA805" s="524"/>
      <c r="AB805" s="494"/>
      <c r="AC805" s="436"/>
      <c r="AD805" s="495"/>
      <c r="AE805" s="496"/>
      <c r="AF805" s="531"/>
      <c r="AG805" s="491"/>
      <c r="AH805" s="525"/>
      <c r="AI805" s="491"/>
      <c r="AJ805" s="446"/>
      <c r="AK805" s="491"/>
      <c r="AL805" s="500"/>
      <c r="AM805" s="436"/>
      <c r="AN805" s="438"/>
      <c r="AO805" s="531"/>
      <c r="AP805" s="491"/>
      <c r="AQ805" s="438"/>
      <c r="AR805" s="438"/>
      <c r="AS805" s="438"/>
      <c r="AT805" s="448"/>
      <c r="AU805" s="449"/>
      <c r="AV805" s="438"/>
      <c r="AW805" s="438"/>
      <c r="AX805" s="450"/>
    </row>
    <row r="806">
      <c r="A806" s="435"/>
      <c r="B806" s="485"/>
      <c r="C806" s="486"/>
      <c r="D806" s="486"/>
      <c r="E806" s="486"/>
      <c r="F806" s="528"/>
      <c r="G806" s="486"/>
      <c r="H806" s="486"/>
      <c r="I806" s="491"/>
      <c r="J806" s="491"/>
      <c r="K806" s="491"/>
      <c r="L806" s="491"/>
      <c r="M806" s="486"/>
      <c r="N806" s="422"/>
      <c r="O806" s="422"/>
      <c r="P806" s="422"/>
      <c r="Q806" s="486"/>
      <c r="R806" s="491"/>
      <c r="S806" s="491"/>
      <c r="T806" s="491"/>
      <c r="U806" s="491"/>
      <c r="V806" s="491"/>
      <c r="W806" s="493"/>
      <c r="X806" s="486"/>
      <c r="Y806" s="442"/>
      <c r="Z806" s="491"/>
      <c r="AA806" s="524"/>
      <c r="AB806" s="494"/>
      <c r="AC806" s="436"/>
      <c r="AD806" s="495"/>
      <c r="AE806" s="496"/>
      <c r="AF806" s="531"/>
      <c r="AG806" s="491"/>
      <c r="AH806" s="525"/>
      <c r="AI806" s="491"/>
      <c r="AJ806" s="446"/>
      <c r="AK806" s="491"/>
      <c r="AL806" s="500"/>
      <c r="AM806" s="436"/>
      <c r="AN806" s="438"/>
      <c r="AO806" s="531"/>
      <c r="AP806" s="491"/>
      <c r="AQ806" s="438"/>
      <c r="AR806" s="438"/>
      <c r="AS806" s="438"/>
      <c r="AT806" s="448"/>
      <c r="AU806" s="452"/>
      <c r="AV806" s="438"/>
      <c r="AW806" s="438"/>
      <c r="AX806" s="450"/>
    </row>
    <row r="807">
      <c r="A807" s="435"/>
      <c r="B807" s="485"/>
      <c r="C807" s="486"/>
      <c r="D807" s="486"/>
      <c r="E807" s="486"/>
      <c r="F807" s="528"/>
      <c r="G807" s="486"/>
      <c r="H807" s="486"/>
      <c r="I807" s="491"/>
      <c r="J807" s="491"/>
      <c r="K807" s="491"/>
      <c r="L807" s="491"/>
      <c r="M807" s="486"/>
      <c r="N807" s="422"/>
      <c r="O807" s="422"/>
      <c r="P807" s="422"/>
      <c r="Q807" s="486"/>
      <c r="R807" s="491"/>
      <c r="S807" s="491"/>
      <c r="T807" s="491"/>
      <c r="U807" s="491"/>
      <c r="V807" s="491"/>
      <c r="W807" s="493"/>
      <c r="X807" s="486"/>
      <c r="Y807" s="442"/>
      <c r="Z807" s="491"/>
      <c r="AA807" s="524"/>
      <c r="AB807" s="494"/>
      <c r="AC807" s="436"/>
      <c r="AD807" s="495"/>
      <c r="AE807" s="496"/>
      <c r="AF807" s="531"/>
      <c r="AG807" s="491"/>
      <c r="AH807" s="525"/>
      <c r="AI807" s="491"/>
      <c r="AJ807" s="446"/>
      <c r="AK807" s="491"/>
      <c r="AL807" s="500"/>
      <c r="AM807" s="436"/>
      <c r="AN807" s="438"/>
      <c r="AO807" s="531"/>
      <c r="AP807" s="491"/>
      <c r="AQ807" s="438"/>
      <c r="AR807" s="438"/>
      <c r="AS807" s="438"/>
      <c r="AT807" s="448"/>
      <c r="AU807" s="449"/>
      <c r="AV807" s="438"/>
      <c r="AW807" s="438"/>
      <c r="AX807" s="450"/>
    </row>
    <row r="808">
      <c r="A808" s="435"/>
      <c r="B808" s="485"/>
      <c r="C808" s="486"/>
      <c r="D808" s="486"/>
      <c r="E808" s="486"/>
      <c r="F808" s="528"/>
      <c r="G808" s="486"/>
      <c r="H808" s="486"/>
      <c r="I808" s="491"/>
      <c r="J808" s="491"/>
      <c r="K808" s="491"/>
      <c r="L808" s="491"/>
      <c r="M808" s="486"/>
      <c r="N808" s="422"/>
      <c r="O808" s="422"/>
      <c r="P808" s="422"/>
      <c r="Q808" s="486"/>
      <c r="R808" s="491"/>
      <c r="S808" s="491"/>
      <c r="T808" s="491"/>
      <c r="U808" s="491"/>
      <c r="V808" s="491"/>
      <c r="W808" s="493"/>
      <c r="X808" s="486"/>
      <c r="Y808" s="442"/>
      <c r="Z808" s="491"/>
      <c r="AA808" s="524"/>
      <c r="AB808" s="494"/>
      <c r="AC808" s="436"/>
      <c r="AD808" s="495"/>
      <c r="AE808" s="496"/>
      <c r="AF808" s="531"/>
      <c r="AG808" s="491"/>
      <c r="AH808" s="525"/>
      <c r="AI808" s="491"/>
      <c r="AJ808" s="446"/>
      <c r="AK808" s="491"/>
      <c r="AL808" s="500"/>
      <c r="AM808" s="436"/>
      <c r="AN808" s="438"/>
      <c r="AO808" s="531"/>
      <c r="AP808" s="491"/>
      <c r="AQ808" s="438"/>
      <c r="AR808" s="438"/>
      <c r="AS808" s="438"/>
      <c r="AT808" s="448"/>
      <c r="AU808" s="452"/>
      <c r="AV808" s="438"/>
      <c r="AW808" s="438"/>
      <c r="AX808" s="450"/>
    </row>
    <row r="809">
      <c r="A809" s="435"/>
      <c r="B809" s="485"/>
      <c r="C809" s="486"/>
      <c r="D809" s="486"/>
      <c r="E809" s="486"/>
      <c r="F809" s="528"/>
      <c r="G809" s="486"/>
      <c r="H809" s="486"/>
      <c r="I809" s="491"/>
      <c r="J809" s="491"/>
      <c r="K809" s="491"/>
      <c r="L809" s="491"/>
      <c r="M809" s="486"/>
      <c r="N809" s="422"/>
      <c r="O809" s="422"/>
      <c r="P809" s="422"/>
      <c r="Q809" s="486"/>
      <c r="R809" s="491"/>
      <c r="S809" s="491"/>
      <c r="T809" s="491"/>
      <c r="U809" s="491"/>
      <c r="V809" s="491"/>
      <c r="W809" s="493"/>
      <c r="X809" s="486"/>
      <c r="Y809" s="442"/>
      <c r="Z809" s="491"/>
      <c r="AA809" s="524"/>
      <c r="AB809" s="494"/>
      <c r="AC809" s="436"/>
      <c r="AD809" s="495"/>
      <c r="AE809" s="496"/>
      <c r="AF809" s="531"/>
      <c r="AG809" s="491"/>
      <c r="AH809" s="525"/>
      <c r="AI809" s="491"/>
      <c r="AJ809" s="446"/>
      <c r="AK809" s="491"/>
      <c r="AL809" s="500"/>
      <c r="AM809" s="436"/>
      <c r="AN809" s="438"/>
      <c r="AO809" s="531"/>
      <c r="AP809" s="491"/>
      <c r="AQ809" s="438"/>
      <c r="AR809" s="438"/>
      <c r="AS809" s="438"/>
      <c r="AT809" s="448"/>
      <c r="AU809" s="449"/>
      <c r="AV809" s="438"/>
      <c r="AW809" s="438"/>
      <c r="AX809" s="450"/>
    </row>
    <row r="810">
      <c r="A810" s="435"/>
      <c r="B810" s="485"/>
      <c r="C810" s="486"/>
      <c r="D810" s="486"/>
      <c r="E810" s="486"/>
      <c r="F810" s="528"/>
      <c r="G810" s="486"/>
      <c r="H810" s="486"/>
      <c r="I810" s="491"/>
      <c r="J810" s="491"/>
      <c r="K810" s="491"/>
      <c r="L810" s="491"/>
      <c r="M810" s="486"/>
      <c r="N810" s="422"/>
      <c r="O810" s="422"/>
      <c r="P810" s="422"/>
      <c r="Q810" s="486"/>
      <c r="R810" s="491"/>
      <c r="S810" s="491"/>
      <c r="T810" s="491"/>
      <c r="U810" s="491"/>
      <c r="V810" s="491"/>
      <c r="W810" s="493"/>
      <c r="X810" s="486"/>
      <c r="Y810" s="442"/>
      <c r="Z810" s="491"/>
      <c r="AA810" s="524"/>
      <c r="AB810" s="494"/>
      <c r="AC810" s="436"/>
      <c r="AD810" s="495"/>
      <c r="AE810" s="496"/>
      <c r="AF810" s="531"/>
      <c r="AG810" s="491"/>
      <c r="AH810" s="525"/>
      <c r="AI810" s="491"/>
      <c r="AJ810" s="446"/>
      <c r="AK810" s="491"/>
      <c r="AL810" s="500"/>
      <c r="AM810" s="436"/>
      <c r="AN810" s="438"/>
      <c r="AO810" s="531"/>
      <c r="AP810" s="491"/>
      <c r="AQ810" s="438"/>
      <c r="AR810" s="438"/>
      <c r="AS810" s="438"/>
      <c r="AT810" s="448"/>
      <c r="AU810" s="452"/>
      <c r="AV810" s="438"/>
      <c r="AW810" s="438"/>
      <c r="AX810" s="450"/>
    </row>
    <row r="811">
      <c r="A811" s="435"/>
      <c r="B811" s="485"/>
      <c r="C811" s="486"/>
      <c r="D811" s="486"/>
      <c r="E811" s="486"/>
      <c r="F811" s="528"/>
      <c r="G811" s="486"/>
      <c r="H811" s="486"/>
      <c r="I811" s="491"/>
      <c r="J811" s="491"/>
      <c r="K811" s="491"/>
      <c r="L811" s="491"/>
      <c r="M811" s="486"/>
      <c r="N811" s="422"/>
      <c r="O811" s="422"/>
      <c r="P811" s="422"/>
      <c r="Q811" s="486"/>
      <c r="R811" s="491"/>
      <c r="S811" s="491"/>
      <c r="T811" s="491"/>
      <c r="U811" s="491"/>
      <c r="V811" s="491"/>
      <c r="W811" s="493"/>
      <c r="X811" s="486"/>
      <c r="Y811" s="442"/>
      <c r="Z811" s="491"/>
      <c r="AA811" s="524"/>
      <c r="AB811" s="494"/>
      <c r="AC811" s="436"/>
      <c r="AD811" s="495"/>
      <c r="AE811" s="496"/>
      <c r="AF811" s="531"/>
      <c r="AG811" s="491"/>
      <c r="AH811" s="525"/>
      <c r="AI811" s="491"/>
      <c r="AJ811" s="446"/>
      <c r="AK811" s="491"/>
      <c r="AL811" s="500"/>
      <c r="AM811" s="436"/>
      <c r="AN811" s="438"/>
      <c r="AO811" s="531"/>
      <c r="AP811" s="491"/>
      <c r="AQ811" s="438"/>
      <c r="AR811" s="438"/>
      <c r="AS811" s="438"/>
      <c r="AT811" s="448"/>
      <c r="AU811" s="449"/>
      <c r="AV811" s="438"/>
      <c r="AW811" s="438"/>
      <c r="AX811" s="450"/>
    </row>
    <row r="812">
      <c r="A812" s="435"/>
      <c r="B812" s="485"/>
      <c r="C812" s="486"/>
      <c r="D812" s="486"/>
      <c r="E812" s="486"/>
      <c r="F812" s="528"/>
      <c r="G812" s="486"/>
      <c r="H812" s="486"/>
      <c r="I812" s="491"/>
      <c r="J812" s="491"/>
      <c r="K812" s="491"/>
      <c r="L812" s="491"/>
      <c r="M812" s="486"/>
      <c r="N812" s="422"/>
      <c r="O812" s="422"/>
      <c r="P812" s="422"/>
      <c r="Q812" s="486"/>
      <c r="R812" s="491"/>
      <c r="S812" s="491"/>
      <c r="T812" s="491"/>
      <c r="U812" s="491"/>
      <c r="V812" s="491"/>
      <c r="W812" s="493"/>
      <c r="X812" s="486"/>
      <c r="Y812" s="442"/>
      <c r="Z812" s="491"/>
      <c r="AA812" s="524"/>
      <c r="AB812" s="494"/>
      <c r="AC812" s="436"/>
      <c r="AD812" s="495"/>
      <c r="AE812" s="496"/>
      <c r="AF812" s="531"/>
      <c r="AG812" s="491"/>
      <c r="AH812" s="525"/>
      <c r="AI812" s="491"/>
      <c r="AJ812" s="446"/>
      <c r="AK812" s="491"/>
      <c r="AL812" s="500"/>
      <c r="AM812" s="436"/>
      <c r="AN812" s="438"/>
      <c r="AO812" s="531"/>
      <c r="AP812" s="491"/>
      <c r="AQ812" s="438"/>
      <c r="AR812" s="438"/>
      <c r="AS812" s="438"/>
      <c r="AT812" s="448"/>
      <c r="AU812" s="452"/>
      <c r="AV812" s="438"/>
      <c r="AW812" s="438"/>
      <c r="AX812" s="450"/>
    </row>
    <row r="813">
      <c r="A813" s="435"/>
      <c r="B813" s="485"/>
      <c r="C813" s="486"/>
      <c r="D813" s="486"/>
      <c r="E813" s="486"/>
      <c r="F813" s="528"/>
      <c r="G813" s="486"/>
      <c r="H813" s="486"/>
      <c r="I813" s="491"/>
      <c r="J813" s="491"/>
      <c r="K813" s="491"/>
      <c r="L813" s="491"/>
      <c r="M813" s="486"/>
      <c r="N813" s="422"/>
      <c r="O813" s="422"/>
      <c r="P813" s="422"/>
      <c r="Q813" s="486"/>
      <c r="R813" s="491"/>
      <c r="S813" s="491"/>
      <c r="T813" s="491"/>
      <c r="U813" s="491"/>
      <c r="V813" s="491"/>
      <c r="W813" s="493"/>
      <c r="X813" s="486"/>
      <c r="Y813" s="442"/>
      <c r="Z813" s="491"/>
      <c r="AA813" s="524"/>
      <c r="AB813" s="494"/>
      <c r="AC813" s="436"/>
      <c r="AD813" s="495"/>
      <c r="AE813" s="496"/>
      <c r="AF813" s="531"/>
      <c r="AG813" s="491"/>
      <c r="AH813" s="525"/>
      <c r="AI813" s="491"/>
      <c r="AJ813" s="446"/>
      <c r="AK813" s="491"/>
      <c r="AL813" s="500"/>
      <c r="AM813" s="436"/>
      <c r="AN813" s="438"/>
      <c r="AO813" s="531"/>
      <c r="AP813" s="491"/>
      <c r="AQ813" s="438"/>
      <c r="AR813" s="438"/>
      <c r="AS813" s="438"/>
      <c r="AT813" s="448"/>
      <c r="AU813" s="449"/>
      <c r="AV813" s="438"/>
      <c r="AW813" s="438"/>
      <c r="AX813" s="450"/>
    </row>
    <row r="814">
      <c r="A814" s="435"/>
      <c r="B814" s="485"/>
      <c r="C814" s="486"/>
      <c r="D814" s="486"/>
      <c r="E814" s="486"/>
      <c r="F814" s="528"/>
      <c r="G814" s="486"/>
      <c r="H814" s="486"/>
      <c r="I814" s="491"/>
      <c r="J814" s="491"/>
      <c r="K814" s="491"/>
      <c r="L814" s="491"/>
      <c r="M814" s="486"/>
      <c r="N814" s="422"/>
      <c r="O814" s="422"/>
      <c r="P814" s="422"/>
      <c r="Q814" s="486"/>
      <c r="R814" s="491"/>
      <c r="S814" s="491"/>
      <c r="T814" s="491"/>
      <c r="U814" s="491"/>
      <c r="V814" s="491"/>
      <c r="W814" s="493"/>
      <c r="X814" s="486"/>
      <c r="Y814" s="442"/>
      <c r="Z814" s="491"/>
      <c r="AA814" s="524"/>
      <c r="AB814" s="494"/>
      <c r="AC814" s="436"/>
      <c r="AD814" s="495"/>
      <c r="AE814" s="496"/>
      <c r="AF814" s="531"/>
      <c r="AG814" s="491"/>
      <c r="AH814" s="525"/>
      <c r="AI814" s="491"/>
      <c r="AJ814" s="446"/>
      <c r="AK814" s="491"/>
      <c r="AL814" s="500"/>
      <c r="AM814" s="436"/>
      <c r="AN814" s="438"/>
      <c r="AO814" s="531"/>
      <c r="AP814" s="491"/>
      <c r="AQ814" s="438"/>
      <c r="AR814" s="438"/>
      <c r="AS814" s="438"/>
      <c r="AT814" s="448"/>
      <c r="AU814" s="452"/>
      <c r="AV814" s="438"/>
      <c r="AW814" s="438"/>
      <c r="AX814" s="450"/>
    </row>
    <row r="815">
      <c r="A815" s="435"/>
      <c r="B815" s="485"/>
      <c r="C815" s="486"/>
      <c r="D815" s="486"/>
      <c r="E815" s="486"/>
      <c r="F815" s="528"/>
      <c r="G815" s="486"/>
      <c r="H815" s="486"/>
      <c r="I815" s="491"/>
      <c r="J815" s="491"/>
      <c r="K815" s="491"/>
      <c r="L815" s="491"/>
      <c r="M815" s="486"/>
      <c r="N815" s="422"/>
      <c r="O815" s="422"/>
      <c r="P815" s="422"/>
      <c r="Q815" s="486"/>
      <c r="R815" s="491"/>
      <c r="S815" s="491"/>
      <c r="T815" s="491"/>
      <c r="U815" s="491"/>
      <c r="V815" s="491"/>
      <c r="W815" s="493"/>
      <c r="X815" s="486"/>
      <c r="Y815" s="442"/>
      <c r="Z815" s="491"/>
      <c r="AA815" s="524"/>
      <c r="AB815" s="494"/>
      <c r="AC815" s="436"/>
      <c r="AD815" s="495"/>
      <c r="AE815" s="496"/>
      <c r="AF815" s="531"/>
      <c r="AG815" s="491"/>
      <c r="AH815" s="525"/>
      <c r="AI815" s="491"/>
      <c r="AJ815" s="446"/>
      <c r="AK815" s="491"/>
      <c r="AL815" s="500"/>
      <c r="AM815" s="436"/>
      <c r="AN815" s="438"/>
      <c r="AO815" s="531"/>
      <c r="AP815" s="491"/>
      <c r="AQ815" s="438"/>
      <c r="AR815" s="438"/>
      <c r="AS815" s="438"/>
      <c r="AT815" s="448"/>
      <c r="AU815" s="449"/>
      <c r="AV815" s="438"/>
      <c r="AW815" s="438"/>
      <c r="AX815" s="450"/>
    </row>
    <row r="816">
      <c r="A816" s="435"/>
      <c r="B816" s="485"/>
      <c r="C816" s="486"/>
      <c r="D816" s="486"/>
      <c r="E816" s="486"/>
      <c r="F816" s="528"/>
      <c r="G816" s="486"/>
      <c r="H816" s="486"/>
      <c r="I816" s="491"/>
      <c r="J816" s="491"/>
      <c r="K816" s="491"/>
      <c r="L816" s="491"/>
      <c r="M816" s="486"/>
      <c r="N816" s="422"/>
      <c r="O816" s="422"/>
      <c r="P816" s="422"/>
      <c r="Q816" s="486"/>
      <c r="R816" s="491"/>
      <c r="S816" s="491"/>
      <c r="T816" s="491"/>
      <c r="U816" s="491"/>
      <c r="V816" s="491"/>
      <c r="W816" s="493"/>
      <c r="X816" s="486"/>
      <c r="Y816" s="442"/>
      <c r="Z816" s="491"/>
      <c r="AA816" s="524"/>
      <c r="AB816" s="494"/>
      <c r="AC816" s="436"/>
      <c r="AD816" s="495"/>
      <c r="AE816" s="496"/>
      <c r="AF816" s="531"/>
      <c r="AG816" s="491"/>
      <c r="AH816" s="525"/>
      <c r="AI816" s="491"/>
      <c r="AJ816" s="446"/>
      <c r="AK816" s="491"/>
      <c r="AL816" s="500"/>
      <c r="AM816" s="436"/>
      <c r="AN816" s="438"/>
      <c r="AO816" s="531"/>
      <c r="AP816" s="491"/>
      <c r="AQ816" s="438"/>
      <c r="AR816" s="438"/>
      <c r="AS816" s="438"/>
      <c r="AT816" s="448"/>
      <c r="AU816" s="452"/>
      <c r="AV816" s="438"/>
      <c r="AW816" s="438"/>
      <c r="AX816" s="450"/>
    </row>
    <row r="817">
      <c r="A817" s="435"/>
      <c r="B817" s="485"/>
      <c r="C817" s="486"/>
      <c r="D817" s="486"/>
      <c r="E817" s="486"/>
      <c r="F817" s="528"/>
      <c r="G817" s="486"/>
      <c r="H817" s="486"/>
      <c r="I817" s="491"/>
      <c r="J817" s="491"/>
      <c r="K817" s="491"/>
      <c r="L817" s="491"/>
      <c r="M817" s="486"/>
      <c r="N817" s="422"/>
      <c r="O817" s="422"/>
      <c r="P817" s="422"/>
      <c r="Q817" s="486"/>
      <c r="R817" s="491"/>
      <c r="S817" s="491"/>
      <c r="T817" s="491"/>
      <c r="U817" s="491"/>
      <c r="V817" s="491"/>
      <c r="W817" s="493"/>
      <c r="X817" s="486"/>
      <c r="Y817" s="442"/>
      <c r="Z817" s="491"/>
      <c r="AA817" s="524"/>
      <c r="AB817" s="494"/>
      <c r="AC817" s="436"/>
      <c r="AD817" s="495"/>
      <c r="AE817" s="496"/>
      <c r="AF817" s="531"/>
      <c r="AG817" s="491"/>
      <c r="AH817" s="525"/>
      <c r="AI817" s="491"/>
      <c r="AJ817" s="446"/>
      <c r="AK817" s="491"/>
      <c r="AL817" s="500"/>
      <c r="AM817" s="436"/>
      <c r="AN817" s="438"/>
      <c r="AO817" s="531"/>
      <c r="AP817" s="491"/>
      <c r="AQ817" s="438"/>
      <c r="AR817" s="438"/>
      <c r="AS817" s="438"/>
      <c r="AT817" s="448"/>
      <c r="AU817" s="449"/>
      <c r="AV817" s="438"/>
      <c r="AW817" s="438"/>
      <c r="AX817" s="450"/>
    </row>
    <row r="818">
      <c r="A818" s="435"/>
      <c r="B818" s="485"/>
      <c r="C818" s="486"/>
      <c r="D818" s="486"/>
      <c r="E818" s="486"/>
      <c r="F818" s="528"/>
      <c r="G818" s="486"/>
      <c r="H818" s="486"/>
      <c r="I818" s="491"/>
      <c r="J818" s="491"/>
      <c r="K818" s="491"/>
      <c r="L818" s="491"/>
      <c r="M818" s="486"/>
      <c r="N818" s="422"/>
      <c r="O818" s="422"/>
      <c r="P818" s="422"/>
      <c r="Q818" s="486"/>
      <c r="R818" s="491"/>
      <c r="S818" s="491"/>
      <c r="T818" s="491"/>
      <c r="U818" s="491"/>
      <c r="V818" s="491"/>
      <c r="W818" s="493"/>
      <c r="X818" s="486"/>
      <c r="Y818" s="442"/>
      <c r="Z818" s="491"/>
      <c r="AA818" s="524"/>
      <c r="AB818" s="494"/>
      <c r="AC818" s="436"/>
      <c r="AD818" s="495"/>
      <c r="AE818" s="496"/>
      <c r="AF818" s="531"/>
      <c r="AG818" s="491"/>
      <c r="AH818" s="525"/>
      <c r="AI818" s="491"/>
      <c r="AJ818" s="446"/>
      <c r="AK818" s="491"/>
      <c r="AL818" s="500"/>
      <c r="AM818" s="436"/>
      <c r="AN818" s="438"/>
      <c r="AO818" s="531"/>
      <c r="AP818" s="491"/>
      <c r="AQ818" s="438"/>
      <c r="AR818" s="438"/>
      <c r="AS818" s="438"/>
      <c r="AT818" s="448"/>
      <c r="AU818" s="452"/>
      <c r="AV818" s="438"/>
      <c r="AW818" s="438"/>
      <c r="AX818" s="450"/>
    </row>
    <row r="819">
      <c r="A819" s="435"/>
      <c r="B819" s="485"/>
      <c r="C819" s="486"/>
      <c r="D819" s="486"/>
      <c r="E819" s="486"/>
      <c r="F819" s="528"/>
      <c r="G819" s="486"/>
      <c r="H819" s="486"/>
      <c r="I819" s="491"/>
      <c r="J819" s="491"/>
      <c r="K819" s="491"/>
      <c r="L819" s="491"/>
      <c r="M819" s="486"/>
      <c r="N819" s="422"/>
      <c r="O819" s="422"/>
      <c r="P819" s="422"/>
      <c r="Q819" s="486"/>
      <c r="R819" s="491"/>
      <c r="S819" s="491"/>
      <c r="T819" s="491"/>
      <c r="U819" s="491"/>
      <c r="V819" s="491"/>
      <c r="W819" s="493"/>
      <c r="X819" s="486"/>
      <c r="Y819" s="442"/>
      <c r="Z819" s="491"/>
      <c r="AA819" s="524"/>
      <c r="AB819" s="494"/>
      <c r="AC819" s="436"/>
      <c r="AD819" s="495"/>
      <c r="AE819" s="496"/>
      <c r="AF819" s="531"/>
      <c r="AG819" s="491"/>
      <c r="AH819" s="525"/>
      <c r="AI819" s="491"/>
      <c r="AJ819" s="446"/>
      <c r="AK819" s="491"/>
      <c r="AL819" s="500"/>
      <c r="AM819" s="436"/>
      <c r="AN819" s="438"/>
      <c r="AO819" s="531"/>
      <c r="AP819" s="491"/>
      <c r="AQ819" s="438"/>
      <c r="AR819" s="438"/>
      <c r="AS819" s="438"/>
      <c r="AT819" s="448"/>
      <c r="AU819" s="449"/>
      <c r="AV819" s="438"/>
      <c r="AW819" s="438"/>
      <c r="AX819" s="450"/>
    </row>
    <row r="820">
      <c r="A820" s="435"/>
      <c r="B820" s="485"/>
      <c r="C820" s="486"/>
      <c r="D820" s="486"/>
      <c r="E820" s="486"/>
      <c r="F820" s="528"/>
      <c r="G820" s="486"/>
      <c r="H820" s="486"/>
      <c r="I820" s="491"/>
      <c r="J820" s="491"/>
      <c r="K820" s="491"/>
      <c r="L820" s="491"/>
      <c r="M820" s="486"/>
      <c r="N820" s="422"/>
      <c r="O820" s="422"/>
      <c r="P820" s="422"/>
      <c r="Q820" s="486"/>
      <c r="R820" s="491"/>
      <c r="S820" s="491"/>
      <c r="T820" s="491"/>
      <c r="U820" s="491"/>
      <c r="V820" s="491"/>
      <c r="W820" s="493"/>
      <c r="X820" s="486"/>
      <c r="Y820" s="442"/>
      <c r="Z820" s="491"/>
      <c r="AA820" s="524"/>
      <c r="AB820" s="494"/>
      <c r="AC820" s="436"/>
      <c r="AD820" s="495"/>
      <c r="AE820" s="496"/>
      <c r="AF820" s="531"/>
      <c r="AG820" s="491"/>
      <c r="AH820" s="525"/>
      <c r="AI820" s="491"/>
      <c r="AJ820" s="446"/>
      <c r="AK820" s="491"/>
      <c r="AL820" s="500"/>
      <c r="AM820" s="436"/>
      <c r="AN820" s="438"/>
      <c r="AO820" s="531"/>
      <c r="AP820" s="491"/>
      <c r="AQ820" s="438"/>
      <c r="AR820" s="438"/>
      <c r="AS820" s="438"/>
      <c r="AT820" s="448"/>
      <c r="AU820" s="452"/>
      <c r="AV820" s="438"/>
      <c r="AW820" s="438"/>
      <c r="AX820" s="450"/>
    </row>
    <row r="821">
      <c r="A821" s="435"/>
      <c r="B821" s="485"/>
      <c r="C821" s="486"/>
      <c r="D821" s="486"/>
      <c r="E821" s="486"/>
      <c r="F821" s="528"/>
      <c r="G821" s="486"/>
      <c r="H821" s="486"/>
      <c r="I821" s="491"/>
      <c r="J821" s="491"/>
      <c r="K821" s="491"/>
      <c r="L821" s="491"/>
      <c r="M821" s="486"/>
      <c r="N821" s="422"/>
      <c r="O821" s="422"/>
      <c r="P821" s="422"/>
      <c r="Q821" s="486"/>
      <c r="R821" s="491"/>
      <c r="S821" s="491"/>
      <c r="T821" s="491"/>
      <c r="U821" s="491"/>
      <c r="V821" s="491"/>
      <c r="W821" s="493"/>
      <c r="X821" s="486"/>
      <c r="Y821" s="442"/>
      <c r="Z821" s="491"/>
      <c r="AA821" s="524"/>
      <c r="AB821" s="494"/>
      <c r="AC821" s="436"/>
      <c r="AD821" s="495"/>
      <c r="AE821" s="496"/>
      <c r="AF821" s="531"/>
      <c r="AG821" s="491"/>
      <c r="AH821" s="525"/>
      <c r="AI821" s="491"/>
      <c r="AJ821" s="446"/>
      <c r="AK821" s="491"/>
      <c r="AL821" s="500"/>
      <c r="AM821" s="436"/>
      <c r="AN821" s="438"/>
      <c r="AO821" s="531"/>
      <c r="AP821" s="491"/>
      <c r="AQ821" s="438"/>
      <c r="AR821" s="438"/>
      <c r="AS821" s="438"/>
      <c r="AT821" s="448"/>
      <c r="AU821" s="449"/>
      <c r="AV821" s="438"/>
      <c r="AW821" s="438"/>
      <c r="AX821" s="450"/>
    </row>
    <row r="822">
      <c r="A822" s="435"/>
      <c r="B822" s="485"/>
      <c r="C822" s="486"/>
      <c r="D822" s="486"/>
      <c r="E822" s="486"/>
      <c r="F822" s="528"/>
      <c r="G822" s="486"/>
      <c r="H822" s="486"/>
      <c r="I822" s="491"/>
      <c r="J822" s="491"/>
      <c r="K822" s="491"/>
      <c r="L822" s="491"/>
      <c r="M822" s="486"/>
      <c r="N822" s="422"/>
      <c r="O822" s="422"/>
      <c r="P822" s="422"/>
      <c r="Q822" s="486"/>
      <c r="R822" s="491"/>
      <c r="S822" s="491"/>
      <c r="T822" s="491"/>
      <c r="U822" s="491"/>
      <c r="V822" s="491"/>
      <c r="W822" s="493"/>
      <c r="X822" s="486"/>
      <c r="Y822" s="442"/>
      <c r="Z822" s="491"/>
      <c r="AA822" s="524"/>
      <c r="AB822" s="494"/>
      <c r="AC822" s="436"/>
      <c r="AD822" s="495"/>
      <c r="AE822" s="496"/>
      <c r="AF822" s="531"/>
      <c r="AG822" s="491"/>
      <c r="AH822" s="525"/>
      <c r="AI822" s="491"/>
      <c r="AJ822" s="446"/>
      <c r="AK822" s="491"/>
      <c r="AL822" s="500"/>
      <c r="AM822" s="436"/>
      <c r="AN822" s="438"/>
      <c r="AO822" s="531"/>
      <c r="AP822" s="491"/>
      <c r="AQ822" s="438"/>
      <c r="AR822" s="438"/>
      <c r="AS822" s="438"/>
      <c r="AT822" s="448"/>
      <c r="AU822" s="452"/>
      <c r="AV822" s="438"/>
      <c r="AW822" s="438"/>
      <c r="AX822" s="450"/>
    </row>
    <row r="823">
      <c r="A823" s="435"/>
      <c r="B823" s="485"/>
      <c r="C823" s="486"/>
      <c r="D823" s="486"/>
      <c r="E823" s="486"/>
      <c r="F823" s="528"/>
      <c r="G823" s="486"/>
      <c r="H823" s="486"/>
      <c r="I823" s="491"/>
      <c r="J823" s="491"/>
      <c r="K823" s="491"/>
      <c r="L823" s="491"/>
      <c r="M823" s="486"/>
      <c r="N823" s="422"/>
      <c r="O823" s="422"/>
      <c r="P823" s="422"/>
      <c r="Q823" s="486"/>
      <c r="R823" s="491"/>
      <c r="S823" s="491"/>
      <c r="T823" s="491"/>
      <c r="U823" s="491"/>
      <c r="V823" s="491"/>
      <c r="W823" s="493"/>
      <c r="X823" s="486"/>
      <c r="Y823" s="442"/>
      <c r="Z823" s="491"/>
      <c r="AA823" s="524"/>
      <c r="AB823" s="494"/>
      <c r="AC823" s="436"/>
      <c r="AD823" s="495"/>
      <c r="AE823" s="496"/>
      <c r="AF823" s="531"/>
      <c r="AG823" s="491"/>
      <c r="AH823" s="525"/>
      <c r="AI823" s="491"/>
      <c r="AJ823" s="446"/>
      <c r="AK823" s="491"/>
      <c r="AL823" s="500"/>
      <c r="AM823" s="436"/>
      <c r="AN823" s="438"/>
      <c r="AO823" s="531"/>
      <c r="AP823" s="491"/>
      <c r="AQ823" s="438"/>
      <c r="AR823" s="438"/>
      <c r="AS823" s="438"/>
      <c r="AT823" s="448"/>
      <c r="AU823" s="449"/>
      <c r="AV823" s="438"/>
      <c r="AW823" s="438"/>
      <c r="AX823" s="450"/>
    </row>
    <row r="824">
      <c r="A824" s="435"/>
      <c r="B824" s="485"/>
      <c r="C824" s="486"/>
      <c r="D824" s="486"/>
      <c r="E824" s="486"/>
      <c r="F824" s="528"/>
      <c r="G824" s="486"/>
      <c r="H824" s="486"/>
      <c r="I824" s="491"/>
      <c r="J824" s="491"/>
      <c r="K824" s="491"/>
      <c r="L824" s="491"/>
      <c r="M824" s="486"/>
      <c r="N824" s="422"/>
      <c r="O824" s="422"/>
      <c r="P824" s="422"/>
      <c r="Q824" s="486"/>
      <c r="R824" s="491"/>
      <c r="S824" s="491"/>
      <c r="T824" s="491"/>
      <c r="U824" s="491"/>
      <c r="V824" s="491"/>
      <c r="W824" s="493"/>
      <c r="X824" s="486"/>
      <c r="Y824" s="442"/>
      <c r="Z824" s="491"/>
      <c r="AA824" s="524"/>
      <c r="AB824" s="494"/>
      <c r="AC824" s="436"/>
      <c r="AD824" s="495"/>
      <c r="AE824" s="496"/>
      <c r="AF824" s="531"/>
      <c r="AG824" s="491"/>
      <c r="AH824" s="525"/>
      <c r="AI824" s="491"/>
      <c r="AJ824" s="446"/>
      <c r="AK824" s="491"/>
      <c r="AL824" s="500"/>
      <c r="AM824" s="436"/>
      <c r="AN824" s="438"/>
      <c r="AO824" s="531"/>
      <c r="AP824" s="491"/>
      <c r="AQ824" s="438"/>
      <c r="AR824" s="438"/>
      <c r="AS824" s="438"/>
      <c r="AT824" s="448"/>
      <c r="AU824" s="452"/>
      <c r="AV824" s="438"/>
      <c r="AW824" s="438"/>
      <c r="AX824" s="450"/>
    </row>
    <row r="825">
      <c r="A825" s="435"/>
      <c r="B825" s="485"/>
      <c r="C825" s="486"/>
      <c r="D825" s="486"/>
      <c r="E825" s="486"/>
      <c r="F825" s="528"/>
      <c r="G825" s="486"/>
      <c r="H825" s="486"/>
      <c r="I825" s="491"/>
      <c r="J825" s="491"/>
      <c r="K825" s="491"/>
      <c r="L825" s="491"/>
      <c r="M825" s="486"/>
      <c r="N825" s="422"/>
      <c r="O825" s="422"/>
      <c r="P825" s="422"/>
      <c r="Q825" s="486"/>
      <c r="R825" s="491"/>
      <c r="S825" s="491"/>
      <c r="T825" s="491"/>
      <c r="U825" s="491"/>
      <c r="V825" s="491"/>
      <c r="W825" s="493"/>
      <c r="X825" s="486"/>
      <c r="Y825" s="442"/>
      <c r="Z825" s="491"/>
      <c r="AA825" s="524"/>
      <c r="AB825" s="494"/>
      <c r="AC825" s="436"/>
      <c r="AD825" s="495"/>
      <c r="AE825" s="496"/>
      <c r="AF825" s="531"/>
      <c r="AG825" s="491"/>
      <c r="AH825" s="525"/>
      <c r="AI825" s="491"/>
      <c r="AJ825" s="446"/>
      <c r="AK825" s="491"/>
      <c r="AL825" s="500"/>
      <c r="AM825" s="436"/>
      <c r="AN825" s="438"/>
      <c r="AO825" s="531"/>
      <c r="AP825" s="491"/>
      <c r="AQ825" s="438"/>
      <c r="AR825" s="438"/>
      <c r="AS825" s="438"/>
      <c r="AT825" s="448"/>
      <c r="AU825" s="449"/>
      <c r="AV825" s="438"/>
      <c r="AW825" s="438"/>
      <c r="AX825" s="450"/>
    </row>
    <row r="826">
      <c r="A826" s="435"/>
      <c r="B826" s="485"/>
      <c r="C826" s="486"/>
      <c r="D826" s="486"/>
      <c r="E826" s="486"/>
      <c r="F826" s="528"/>
      <c r="G826" s="486"/>
      <c r="H826" s="486"/>
      <c r="I826" s="491"/>
      <c r="J826" s="491"/>
      <c r="K826" s="491"/>
      <c r="L826" s="491"/>
      <c r="M826" s="486"/>
      <c r="N826" s="422"/>
      <c r="O826" s="422"/>
      <c r="P826" s="422"/>
      <c r="Q826" s="486"/>
      <c r="R826" s="491"/>
      <c r="S826" s="491"/>
      <c r="T826" s="491"/>
      <c r="U826" s="491"/>
      <c r="V826" s="491"/>
      <c r="W826" s="493"/>
      <c r="X826" s="486"/>
      <c r="Y826" s="442"/>
      <c r="Z826" s="491"/>
      <c r="AA826" s="524"/>
      <c r="AB826" s="494"/>
      <c r="AC826" s="436"/>
      <c r="AD826" s="495"/>
      <c r="AE826" s="496"/>
      <c r="AF826" s="531"/>
      <c r="AG826" s="491"/>
      <c r="AH826" s="525"/>
      <c r="AI826" s="491"/>
      <c r="AJ826" s="446"/>
      <c r="AK826" s="491"/>
      <c r="AL826" s="500"/>
      <c r="AM826" s="436"/>
      <c r="AN826" s="438"/>
      <c r="AO826" s="531"/>
      <c r="AP826" s="491"/>
      <c r="AQ826" s="438"/>
      <c r="AR826" s="438"/>
      <c r="AS826" s="438"/>
      <c r="AT826" s="448"/>
      <c r="AU826" s="452"/>
      <c r="AV826" s="438"/>
      <c r="AW826" s="438"/>
      <c r="AX826" s="450"/>
    </row>
    <row r="827">
      <c r="A827" s="435"/>
      <c r="B827" s="485"/>
      <c r="C827" s="486"/>
      <c r="D827" s="486"/>
      <c r="E827" s="486"/>
      <c r="F827" s="528"/>
      <c r="G827" s="486"/>
      <c r="H827" s="486"/>
      <c r="I827" s="491"/>
      <c r="J827" s="491"/>
      <c r="K827" s="491"/>
      <c r="L827" s="491"/>
      <c r="M827" s="486"/>
      <c r="N827" s="422"/>
      <c r="O827" s="422"/>
      <c r="P827" s="422"/>
      <c r="Q827" s="486"/>
      <c r="R827" s="491"/>
      <c r="S827" s="491"/>
      <c r="T827" s="491"/>
      <c r="U827" s="491"/>
      <c r="V827" s="491"/>
      <c r="W827" s="493"/>
      <c r="X827" s="486"/>
      <c r="Y827" s="442"/>
      <c r="Z827" s="491"/>
      <c r="AA827" s="524"/>
      <c r="AB827" s="494"/>
      <c r="AC827" s="436"/>
      <c r="AD827" s="495"/>
      <c r="AE827" s="496"/>
      <c r="AF827" s="531"/>
      <c r="AG827" s="491"/>
      <c r="AH827" s="525"/>
      <c r="AI827" s="491"/>
      <c r="AJ827" s="446"/>
      <c r="AK827" s="491"/>
      <c r="AL827" s="500"/>
      <c r="AM827" s="436"/>
      <c r="AN827" s="438"/>
      <c r="AO827" s="531"/>
      <c r="AP827" s="491"/>
      <c r="AQ827" s="438"/>
      <c r="AR827" s="438"/>
      <c r="AS827" s="438"/>
      <c r="AT827" s="448"/>
      <c r="AU827" s="449"/>
      <c r="AV827" s="438"/>
      <c r="AW827" s="438"/>
      <c r="AX827" s="450"/>
    </row>
    <row r="828">
      <c r="A828" s="435"/>
      <c r="B828" s="485"/>
      <c r="C828" s="486"/>
      <c r="D828" s="486"/>
      <c r="E828" s="486"/>
      <c r="F828" s="528"/>
      <c r="G828" s="486"/>
      <c r="H828" s="486"/>
      <c r="I828" s="491"/>
      <c r="J828" s="491"/>
      <c r="K828" s="491"/>
      <c r="L828" s="491"/>
      <c r="M828" s="486"/>
      <c r="N828" s="422"/>
      <c r="O828" s="422"/>
      <c r="P828" s="422"/>
      <c r="Q828" s="486"/>
      <c r="R828" s="491"/>
      <c r="S828" s="491"/>
      <c r="T828" s="491"/>
      <c r="U828" s="491"/>
      <c r="V828" s="491"/>
      <c r="W828" s="493"/>
      <c r="X828" s="486"/>
      <c r="Y828" s="442"/>
      <c r="Z828" s="491"/>
      <c r="AA828" s="524"/>
      <c r="AB828" s="494"/>
      <c r="AC828" s="436"/>
      <c r="AD828" s="495"/>
      <c r="AE828" s="496"/>
      <c r="AF828" s="531"/>
      <c r="AG828" s="491"/>
      <c r="AH828" s="525"/>
      <c r="AI828" s="491"/>
      <c r="AJ828" s="446"/>
      <c r="AK828" s="491"/>
      <c r="AL828" s="500"/>
      <c r="AM828" s="436"/>
      <c r="AN828" s="438"/>
      <c r="AO828" s="531"/>
      <c r="AP828" s="491"/>
      <c r="AQ828" s="438"/>
      <c r="AR828" s="438"/>
      <c r="AS828" s="438"/>
      <c r="AT828" s="448"/>
      <c r="AU828" s="452"/>
      <c r="AV828" s="438"/>
      <c r="AW828" s="438"/>
      <c r="AX828" s="450"/>
    </row>
    <row r="829">
      <c r="A829" s="435"/>
      <c r="B829" s="485"/>
      <c r="C829" s="486"/>
      <c r="D829" s="486"/>
      <c r="E829" s="486"/>
      <c r="F829" s="528"/>
      <c r="G829" s="486"/>
      <c r="H829" s="486"/>
      <c r="I829" s="491"/>
      <c r="J829" s="491"/>
      <c r="K829" s="491"/>
      <c r="L829" s="491"/>
      <c r="M829" s="486"/>
      <c r="N829" s="422"/>
      <c r="O829" s="422"/>
      <c r="P829" s="422"/>
      <c r="Q829" s="486"/>
      <c r="R829" s="491"/>
      <c r="S829" s="491"/>
      <c r="T829" s="491"/>
      <c r="U829" s="491"/>
      <c r="V829" s="491"/>
      <c r="W829" s="493"/>
      <c r="X829" s="486"/>
      <c r="Y829" s="442"/>
      <c r="Z829" s="491"/>
      <c r="AA829" s="524"/>
      <c r="AB829" s="494"/>
      <c r="AC829" s="436"/>
      <c r="AD829" s="495"/>
      <c r="AE829" s="496"/>
      <c r="AF829" s="531"/>
      <c r="AG829" s="491"/>
      <c r="AH829" s="525"/>
      <c r="AI829" s="491"/>
      <c r="AJ829" s="446"/>
      <c r="AK829" s="491"/>
      <c r="AL829" s="500"/>
      <c r="AM829" s="436"/>
      <c r="AN829" s="438"/>
      <c r="AO829" s="531"/>
      <c r="AP829" s="491"/>
      <c r="AQ829" s="438"/>
      <c r="AR829" s="438"/>
      <c r="AS829" s="438"/>
      <c r="AT829" s="448"/>
      <c r="AU829" s="449"/>
      <c r="AV829" s="438"/>
      <c r="AW829" s="438"/>
      <c r="AX829" s="450"/>
    </row>
    <row r="830">
      <c r="A830" s="435"/>
      <c r="B830" s="485"/>
      <c r="C830" s="486"/>
      <c r="D830" s="486"/>
      <c r="E830" s="486"/>
      <c r="F830" s="528"/>
      <c r="G830" s="486"/>
      <c r="H830" s="486"/>
      <c r="I830" s="491"/>
      <c r="J830" s="491"/>
      <c r="K830" s="491"/>
      <c r="L830" s="491"/>
      <c r="M830" s="486"/>
      <c r="N830" s="422"/>
      <c r="O830" s="422"/>
      <c r="P830" s="422"/>
      <c r="Q830" s="486"/>
      <c r="R830" s="491"/>
      <c r="S830" s="491"/>
      <c r="T830" s="491"/>
      <c r="U830" s="491"/>
      <c r="V830" s="491"/>
      <c r="W830" s="493"/>
      <c r="X830" s="486"/>
      <c r="Y830" s="442"/>
      <c r="Z830" s="491"/>
      <c r="AA830" s="524"/>
      <c r="AB830" s="494"/>
      <c r="AC830" s="436"/>
      <c r="AD830" s="495"/>
      <c r="AE830" s="496"/>
      <c r="AF830" s="531"/>
      <c r="AG830" s="491"/>
      <c r="AH830" s="525"/>
      <c r="AI830" s="491"/>
      <c r="AJ830" s="446"/>
      <c r="AK830" s="491"/>
      <c r="AL830" s="500"/>
      <c r="AM830" s="436"/>
      <c r="AN830" s="438"/>
      <c r="AO830" s="531"/>
      <c r="AP830" s="491"/>
      <c r="AQ830" s="438"/>
      <c r="AR830" s="438"/>
      <c r="AS830" s="438"/>
      <c r="AT830" s="448"/>
      <c r="AU830" s="452"/>
      <c r="AV830" s="438"/>
      <c r="AW830" s="438"/>
      <c r="AX830" s="450"/>
    </row>
    <row r="831">
      <c r="A831" s="435"/>
      <c r="B831" s="485"/>
      <c r="C831" s="486"/>
      <c r="D831" s="486"/>
      <c r="E831" s="486"/>
      <c r="F831" s="528"/>
      <c r="G831" s="486"/>
      <c r="H831" s="486"/>
      <c r="I831" s="491"/>
      <c r="J831" s="491"/>
      <c r="K831" s="491"/>
      <c r="L831" s="491"/>
      <c r="M831" s="486"/>
      <c r="N831" s="422"/>
      <c r="O831" s="422"/>
      <c r="P831" s="422"/>
      <c r="Q831" s="486"/>
      <c r="R831" s="491"/>
      <c r="S831" s="491"/>
      <c r="T831" s="491"/>
      <c r="U831" s="491"/>
      <c r="V831" s="491"/>
      <c r="W831" s="493"/>
      <c r="X831" s="486"/>
      <c r="Y831" s="442"/>
      <c r="Z831" s="491"/>
      <c r="AA831" s="524"/>
      <c r="AB831" s="494"/>
      <c r="AC831" s="436"/>
      <c r="AD831" s="495"/>
      <c r="AE831" s="496"/>
      <c r="AF831" s="531"/>
      <c r="AG831" s="491"/>
      <c r="AH831" s="525"/>
      <c r="AI831" s="491"/>
      <c r="AJ831" s="446"/>
      <c r="AK831" s="491"/>
      <c r="AL831" s="500"/>
      <c r="AM831" s="436"/>
      <c r="AN831" s="438"/>
      <c r="AO831" s="531"/>
      <c r="AP831" s="491"/>
      <c r="AQ831" s="438"/>
      <c r="AR831" s="438"/>
      <c r="AS831" s="438"/>
      <c r="AT831" s="448"/>
      <c r="AU831" s="449"/>
      <c r="AV831" s="438"/>
      <c r="AW831" s="438"/>
      <c r="AX831" s="450"/>
    </row>
    <row r="832">
      <c r="A832" s="435"/>
      <c r="B832" s="485"/>
      <c r="C832" s="486"/>
      <c r="D832" s="486"/>
      <c r="E832" s="486"/>
      <c r="F832" s="528"/>
      <c r="G832" s="486"/>
      <c r="H832" s="486"/>
      <c r="I832" s="491"/>
      <c r="J832" s="491"/>
      <c r="K832" s="491"/>
      <c r="L832" s="491"/>
      <c r="M832" s="486"/>
      <c r="N832" s="422"/>
      <c r="O832" s="422"/>
      <c r="P832" s="422"/>
      <c r="Q832" s="486"/>
      <c r="R832" s="491"/>
      <c r="S832" s="491"/>
      <c r="T832" s="491"/>
      <c r="U832" s="491"/>
      <c r="V832" s="491"/>
      <c r="W832" s="493"/>
      <c r="X832" s="486"/>
      <c r="Y832" s="442"/>
      <c r="Z832" s="491"/>
      <c r="AA832" s="524"/>
      <c r="AB832" s="494"/>
      <c r="AC832" s="436"/>
      <c r="AD832" s="495"/>
      <c r="AE832" s="496"/>
      <c r="AF832" s="531"/>
      <c r="AG832" s="491"/>
      <c r="AH832" s="525"/>
      <c r="AI832" s="491"/>
      <c r="AJ832" s="446"/>
      <c r="AK832" s="491"/>
      <c r="AL832" s="500"/>
      <c r="AM832" s="436"/>
      <c r="AN832" s="438"/>
      <c r="AO832" s="531"/>
      <c r="AP832" s="491"/>
      <c r="AQ832" s="438"/>
      <c r="AR832" s="438"/>
      <c r="AS832" s="438"/>
      <c r="AT832" s="448"/>
      <c r="AU832" s="452"/>
      <c r="AV832" s="438"/>
      <c r="AW832" s="438"/>
      <c r="AX832" s="450"/>
    </row>
    <row r="833">
      <c r="A833" s="435"/>
      <c r="B833" s="485"/>
      <c r="C833" s="486"/>
      <c r="D833" s="486"/>
      <c r="E833" s="486"/>
      <c r="F833" s="528"/>
      <c r="G833" s="486"/>
      <c r="H833" s="486"/>
      <c r="I833" s="491"/>
      <c r="J833" s="491"/>
      <c r="K833" s="491"/>
      <c r="L833" s="491"/>
      <c r="M833" s="486"/>
      <c r="N833" s="422"/>
      <c r="O833" s="422"/>
      <c r="P833" s="422"/>
      <c r="Q833" s="486"/>
      <c r="R833" s="491"/>
      <c r="S833" s="491"/>
      <c r="T833" s="491"/>
      <c r="U833" s="491"/>
      <c r="V833" s="491"/>
      <c r="W833" s="493"/>
      <c r="X833" s="486"/>
      <c r="Y833" s="442"/>
      <c r="Z833" s="491"/>
      <c r="AA833" s="524"/>
      <c r="AB833" s="494"/>
      <c r="AC833" s="436"/>
      <c r="AD833" s="495"/>
      <c r="AE833" s="496"/>
      <c r="AF833" s="531"/>
      <c r="AG833" s="491"/>
      <c r="AH833" s="525"/>
      <c r="AI833" s="491"/>
      <c r="AJ833" s="446"/>
      <c r="AK833" s="491"/>
      <c r="AL833" s="500"/>
      <c r="AM833" s="436"/>
      <c r="AN833" s="438"/>
      <c r="AO833" s="531"/>
      <c r="AP833" s="491"/>
      <c r="AQ833" s="438"/>
      <c r="AR833" s="438"/>
      <c r="AS833" s="438"/>
      <c r="AT833" s="448"/>
      <c r="AU833" s="449"/>
      <c r="AV833" s="438"/>
      <c r="AW833" s="438"/>
      <c r="AX833" s="450"/>
    </row>
    <row r="834">
      <c r="A834" s="435"/>
      <c r="B834" s="485"/>
      <c r="C834" s="486"/>
      <c r="D834" s="486"/>
      <c r="E834" s="486"/>
      <c r="F834" s="528"/>
      <c r="G834" s="486"/>
      <c r="H834" s="486"/>
      <c r="I834" s="491"/>
      <c r="J834" s="491"/>
      <c r="K834" s="491"/>
      <c r="L834" s="491"/>
      <c r="M834" s="486"/>
      <c r="N834" s="422"/>
      <c r="O834" s="422"/>
      <c r="P834" s="422"/>
      <c r="Q834" s="486"/>
      <c r="R834" s="491"/>
      <c r="S834" s="491"/>
      <c r="T834" s="491"/>
      <c r="U834" s="491"/>
      <c r="V834" s="491"/>
      <c r="W834" s="493"/>
      <c r="X834" s="486"/>
      <c r="Y834" s="442"/>
      <c r="Z834" s="491"/>
      <c r="AA834" s="524"/>
      <c r="AB834" s="494"/>
      <c r="AC834" s="436"/>
      <c r="AD834" s="495"/>
      <c r="AE834" s="496"/>
      <c r="AF834" s="531"/>
      <c r="AG834" s="491"/>
      <c r="AH834" s="525"/>
      <c r="AI834" s="491"/>
      <c r="AJ834" s="446"/>
      <c r="AK834" s="491"/>
      <c r="AL834" s="500"/>
      <c r="AM834" s="436"/>
      <c r="AN834" s="438"/>
      <c r="AO834" s="531"/>
      <c r="AP834" s="491"/>
      <c r="AQ834" s="438"/>
      <c r="AR834" s="438"/>
      <c r="AS834" s="438"/>
      <c r="AT834" s="448"/>
      <c r="AU834" s="452"/>
      <c r="AV834" s="438"/>
      <c r="AW834" s="438"/>
      <c r="AX834" s="450"/>
    </row>
    <row r="835">
      <c r="A835" s="435"/>
      <c r="B835" s="485"/>
      <c r="C835" s="486"/>
      <c r="D835" s="486"/>
      <c r="E835" s="486"/>
      <c r="F835" s="528"/>
      <c r="G835" s="486"/>
      <c r="H835" s="486"/>
      <c r="I835" s="491"/>
      <c r="J835" s="491"/>
      <c r="K835" s="491"/>
      <c r="L835" s="491"/>
      <c r="M835" s="486"/>
      <c r="N835" s="422"/>
      <c r="O835" s="422"/>
      <c r="P835" s="422"/>
      <c r="Q835" s="486"/>
      <c r="R835" s="491"/>
      <c r="S835" s="491"/>
      <c r="T835" s="491"/>
      <c r="U835" s="491"/>
      <c r="V835" s="491"/>
      <c r="W835" s="493"/>
      <c r="X835" s="486"/>
      <c r="Y835" s="442"/>
      <c r="Z835" s="491"/>
      <c r="AA835" s="524"/>
      <c r="AB835" s="494"/>
      <c r="AC835" s="436"/>
      <c r="AD835" s="495"/>
      <c r="AE835" s="496"/>
      <c r="AF835" s="531"/>
      <c r="AG835" s="491"/>
      <c r="AH835" s="525"/>
      <c r="AI835" s="491"/>
      <c r="AJ835" s="446"/>
      <c r="AK835" s="491"/>
      <c r="AL835" s="500"/>
      <c r="AM835" s="436"/>
      <c r="AN835" s="438"/>
      <c r="AO835" s="531"/>
      <c r="AP835" s="491"/>
      <c r="AQ835" s="438"/>
      <c r="AR835" s="438"/>
      <c r="AS835" s="438"/>
      <c r="AT835" s="448"/>
      <c r="AU835" s="449"/>
      <c r="AV835" s="438"/>
      <c r="AW835" s="438"/>
      <c r="AX835" s="450"/>
    </row>
    <row r="836">
      <c r="A836" s="435"/>
      <c r="B836" s="485"/>
      <c r="C836" s="486"/>
      <c r="D836" s="486"/>
      <c r="E836" s="486"/>
      <c r="F836" s="528"/>
      <c r="G836" s="486"/>
      <c r="H836" s="486"/>
      <c r="I836" s="491"/>
      <c r="J836" s="491"/>
      <c r="K836" s="491"/>
      <c r="L836" s="491"/>
      <c r="M836" s="486"/>
      <c r="N836" s="422"/>
      <c r="O836" s="422"/>
      <c r="P836" s="422"/>
      <c r="Q836" s="486"/>
      <c r="R836" s="491"/>
      <c r="S836" s="491"/>
      <c r="T836" s="491"/>
      <c r="U836" s="491"/>
      <c r="V836" s="491"/>
      <c r="W836" s="493"/>
      <c r="X836" s="486"/>
      <c r="Y836" s="442"/>
      <c r="Z836" s="491"/>
      <c r="AA836" s="524"/>
      <c r="AB836" s="494"/>
      <c r="AC836" s="436"/>
      <c r="AD836" s="495"/>
      <c r="AE836" s="496"/>
      <c r="AF836" s="531"/>
      <c r="AG836" s="491"/>
      <c r="AH836" s="525"/>
      <c r="AI836" s="491"/>
      <c r="AJ836" s="446"/>
      <c r="AK836" s="491"/>
      <c r="AL836" s="500"/>
      <c r="AM836" s="436"/>
      <c r="AN836" s="438"/>
      <c r="AO836" s="531"/>
      <c r="AP836" s="491"/>
      <c r="AQ836" s="438"/>
      <c r="AR836" s="438"/>
      <c r="AS836" s="438"/>
      <c r="AT836" s="448"/>
      <c r="AU836" s="452"/>
      <c r="AV836" s="438"/>
      <c r="AW836" s="438"/>
      <c r="AX836" s="450"/>
    </row>
    <row r="837">
      <c r="A837" s="435"/>
      <c r="B837" s="485"/>
      <c r="C837" s="486"/>
      <c r="D837" s="486"/>
      <c r="E837" s="486"/>
      <c r="F837" s="528"/>
      <c r="G837" s="486"/>
      <c r="H837" s="486"/>
      <c r="I837" s="491"/>
      <c r="J837" s="491"/>
      <c r="K837" s="491"/>
      <c r="L837" s="491"/>
      <c r="M837" s="486"/>
      <c r="N837" s="422"/>
      <c r="O837" s="422"/>
      <c r="P837" s="422"/>
      <c r="Q837" s="486"/>
      <c r="R837" s="491"/>
      <c r="S837" s="491"/>
      <c r="T837" s="491"/>
      <c r="U837" s="491"/>
      <c r="V837" s="491"/>
      <c r="W837" s="493"/>
      <c r="X837" s="486"/>
      <c r="Y837" s="442"/>
      <c r="Z837" s="491"/>
      <c r="AA837" s="524"/>
      <c r="AB837" s="494"/>
      <c r="AC837" s="436"/>
      <c r="AD837" s="495"/>
      <c r="AE837" s="496"/>
      <c r="AF837" s="531"/>
      <c r="AG837" s="491"/>
      <c r="AH837" s="525"/>
      <c r="AI837" s="491"/>
      <c r="AJ837" s="446"/>
      <c r="AK837" s="491"/>
      <c r="AL837" s="500"/>
      <c r="AM837" s="436"/>
      <c r="AN837" s="438"/>
      <c r="AO837" s="531"/>
      <c r="AP837" s="491"/>
      <c r="AQ837" s="438"/>
      <c r="AR837" s="438"/>
      <c r="AS837" s="438"/>
      <c r="AT837" s="448"/>
      <c r="AU837" s="449"/>
      <c r="AV837" s="438"/>
      <c r="AW837" s="438"/>
      <c r="AX837" s="450"/>
    </row>
    <row r="838">
      <c r="A838" s="435"/>
      <c r="B838" s="485"/>
      <c r="C838" s="486"/>
      <c r="D838" s="486"/>
      <c r="E838" s="486"/>
      <c r="F838" s="528"/>
      <c r="G838" s="486"/>
      <c r="H838" s="486"/>
      <c r="I838" s="491"/>
      <c r="J838" s="491"/>
      <c r="K838" s="491"/>
      <c r="L838" s="491"/>
      <c r="M838" s="486"/>
      <c r="N838" s="422"/>
      <c r="O838" s="422"/>
      <c r="P838" s="422"/>
      <c r="Q838" s="486"/>
      <c r="R838" s="491"/>
      <c r="S838" s="491"/>
      <c r="T838" s="491"/>
      <c r="U838" s="491"/>
      <c r="V838" s="491"/>
      <c r="W838" s="493"/>
      <c r="X838" s="486"/>
      <c r="Y838" s="442"/>
      <c r="Z838" s="491"/>
      <c r="AA838" s="524"/>
      <c r="AB838" s="494"/>
      <c r="AC838" s="436"/>
      <c r="AD838" s="495"/>
      <c r="AE838" s="496"/>
      <c r="AF838" s="531"/>
      <c r="AG838" s="491"/>
      <c r="AH838" s="525"/>
      <c r="AI838" s="491"/>
      <c r="AJ838" s="446"/>
      <c r="AK838" s="491"/>
      <c r="AL838" s="500"/>
      <c r="AM838" s="436"/>
      <c r="AN838" s="438"/>
      <c r="AO838" s="531"/>
      <c r="AP838" s="491"/>
      <c r="AQ838" s="438"/>
      <c r="AR838" s="438"/>
      <c r="AS838" s="438"/>
      <c r="AT838" s="448"/>
      <c r="AU838" s="452"/>
      <c r="AV838" s="438"/>
      <c r="AW838" s="438"/>
      <c r="AX838" s="450"/>
    </row>
    <row r="839">
      <c r="A839" s="435"/>
      <c r="B839" s="485"/>
      <c r="C839" s="486"/>
      <c r="D839" s="486"/>
      <c r="E839" s="486"/>
      <c r="F839" s="528"/>
      <c r="G839" s="486"/>
      <c r="H839" s="486"/>
      <c r="I839" s="491"/>
      <c r="J839" s="491"/>
      <c r="K839" s="491"/>
      <c r="L839" s="491"/>
      <c r="M839" s="486"/>
      <c r="N839" s="422"/>
      <c r="O839" s="422"/>
      <c r="P839" s="422"/>
      <c r="Q839" s="486"/>
      <c r="R839" s="491"/>
      <c r="S839" s="491"/>
      <c r="T839" s="491"/>
      <c r="U839" s="491"/>
      <c r="V839" s="491"/>
      <c r="W839" s="493"/>
      <c r="X839" s="486"/>
      <c r="Y839" s="442"/>
      <c r="Z839" s="491"/>
      <c r="AA839" s="524"/>
      <c r="AB839" s="494"/>
      <c r="AC839" s="436"/>
      <c r="AD839" s="495"/>
      <c r="AE839" s="496"/>
      <c r="AF839" s="531"/>
      <c r="AG839" s="491"/>
      <c r="AH839" s="525"/>
      <c r="AI839" s="491"/>
      <c r="AJ839" s="446"/>
      <c r="AK839" s="491"/>
      <c r="AL839" s="500"/>
      <c r="AM839" s="436"/>
      <c r="AN839" s="438"/>
      <c r="AO839" s="531"/>
      <c r="AP839" s="491"/>
      <c r="AQ839" s="438"/>
      <c r="AR839" s="438"/>
      <c r="AS839" s="438"/>
      <c r="AT839" s="448"/>
      <c r="AU839" s="449"/>
      <c r="AV839" s="438"/>
      <c r="AW839" s="438"/>
      <c r="AX839" s="450"/>
    </row>
    <row r="840">
      <c r="A840" s="435"/>
      <c r="B840" s="485"/>
      <c r="C840" s="486"/>
      <c r="D840" s="486"/>
      <c r="E840" s="486"/>
      <c r="F840" s="528"/>
      <c r="G840" s="486"/>
      <c r="H840" s="486"/>
      <c r="I840" s="491"/>
      <c r="J840" s="491"/>
      <c r="K840" s="491"/>
      <c r="L840" s="491"/>
      <c r="M840" s="486"/>
      <c r="N840" s="422"/>
      <c r="O840" s="422"/>
      <c r="P840" s="422"/>
      <c r="Q840" s="486"/>
      <c r="R840" s="491"/>
      <c r="S840" s="491"/>
      <c r="T840" s="491"/>
      <c r="U840" s="491"/>
      <c r="V840" s="491"/>
      <c r="W840" s="493"/>
      <c r="X840" s="486"/>
      <c r="Y840" s="442"/>
      <c r="Z840" s="491"/>
      <c r="AA840" s="524"/>
      <c r="AB840" s="494"/>
      <c r="AC840" s="436"/>
      <c r="AD840" s="495"/>
      <c r="AE840" s="496"/>
      <c r="AF840" s="531"/>
      <c r="AG840" s="491"/>
      <c r="AH840" s="525"/>
      <c r="AI840" s="491"/>
      <c r="AJ840" s="446"/>
      <c r="AK840" s="491"/>
      <c r="AL840" s="500"/>
      <c r="AM840" s="436"/>
      <c r="AN840" s="438"/>
      <c r="AO840" s="531"/>
      <c r="AP840" s="491"/>
      <c r="AQ840" s="438"/>
      <c r="AR840" s="438"/>
      <c r="AS840" s="438"/>
      <c r="AT840" s="448"/>
      <c r="AU840" s="452"/>
      <c r="AV840" s="438"/>
      <c r="AW840" s="438"/>
      <c r="AX840" s="450"/>
    </row>
    <row r="841">
      <c r="A841" s="435"/>
      <c r="B841" s="485"/>
      <c r="C841" s="486"/>
      <c r="D841" s="486"/>
      <c r="E841" s="486"/>
      <c r="F841" s="528"/>
      <c r="G841" s="486"/>
      <c r="H841" s="486"/>
      <c r="I841" s="491"/>
      <c r="J841" s="491"/>
      <c r="K841" s="491"/>
      <c r="L841" s="491"/>
      <c r="M841" s="486"/>
      <c r="N841" s="422"/>
      <c r="O841" s="422"/>
      <c r="P841" s="422"/>
      <c r="Q841" s="486"/>
      <c r="R841" s="491"/>
      <c r="S841" s="491"/>
      <c r="T841" s="491"/>
      <c r="U841" s="491"/>
      <c r="V841" s="491"/>
      <c r="W841" s="493"/>
      <c r="X841" s="486"/>
      <c r="Y841" s="442"/>
      <c r="Z841" s="491"/>
      <c r="AA841" s="524"/>
      <c r="AB841" s="494"/>
      <c r="AC841" s="436"/>
      <c r="AD841" s="495"/>
      <c r="AE841" s="496"/>
      <c r="AF841" s="531"/>
      <c r="AG841" s="491"/>
      <c r="AH841" s="525"/>
      <c r="AI841" s="491"/>
      <c r="AJ841" s="446"/>
      <c r="AK841" s="491"/>
      <c r="AL841" s="500"/>
      <c r="AM841" s="436"/>
      <c r="AN841" s="438"/>
      <c r="AO841" s="531"/>
      <c r="AP841" s="491"/>
      <c r="AQ841" s="438"/>
      <c r="AR841" s="438"/>
      <c r="AS841" s="438"/>
      <c r="AT841" s="448"/>
      <c r="AU841" s="449"/>
      <c r="AV841" s="438"/>
      <c r="AW841" s="438"/>
      <c r="AX841" s="450"/>
    </row>
    <row r="842">
      <c r="A842" s="435"/>
      <c r="B842" s="485"/>
      <c r="C842" s="486"/>
      <c r="D842" s="486"/>
      <c r="E842" s="486"/>
      <c r="F842" s="528"/>
      <c r="G842" s="486"/>
      <c r="H842" s="486"/>
      <c r="I842" s="491"/>
      <c r="J842" s="491"/>
      <c r="K842" s="491"/>
      <c r="L842" s="491"/>
      <c r="M842" s="486"/>
      <c r="N842" s="422"/>
      <c r="O842" s="422"/>
      <c r="P842" s="422"/>
      <c r="Q842" s="486"/>
      <c r="R842" s="491"/>
      <c r="S842" s="491"/>
      <c r="T842" s="491"/>
      <c r="U842" s="491"/>
      <c r="V842" s="491"/>
      <c r="W842" s="493"/>
      <c r="X842" s="486"/>
      <c r="Y842" s="442"/>
      <c r="Z842" s="491"/>
      <c r="AA842" s="524"/>
      <c r="AB842" s="494"/>
      <c r="AC842" s="436"/>
      <c r="AD842" s="495"/>
      <c r="AE842" s="496"/>
      <c r="AF842" s="531"/>
      <c r="AG842" s="491"/>
      <c r="AH842" s="525"/>
      <c r="AI842" s="491"/>
      <c r="AJ842" s="446"/>
      <c r="AK842" s="491"/>
      <c r="AL842" s="500"/>
      <c r="AM842" s="436"/>
      <c r="AN842" s="438"/>
      <c r="AO842" s="531"/>
      <c r="AP842" s="491"/>
      <c r="AQ842" s="438"/>
      <c r="AR842" s="438"/>
      <c r="AS842" s="438"/>
      <c r="AT842" s="448"/>
      <c r="AU842" s="452"/>
      <c r="AV842" s="438"/>
      <c r="AW842" s="438"/>
      <c r="AX842" s="450"/>
    </row>
    <row r="843">
      <c r="A843" s="435"/>
      <c r="B843" s="485"/>
      <c r="C843" s="486"/>
      <c r="D843" s="486"/>
      <c r="E843" s="486"/>
      <c r="F843" s="528"/>
      <c r="G843" s="486"/>
      <c r="H843" s="486"/>
      <c r="I843" s="491"/>
      <c r="J843" s="491"/>
      <c r="K843" s="491"/>
      <c r="L843" s="491"/>
      <c r="M843" s="486"/>
      <c r="N843" s="422"/>
      <c r="O843" s="422"/>
      <c r="P843" s="422"/>
      <c r="Q843" s="486"/>
      <c r="R843" s="491"/>
      <c r="S843" s="491"/>
      <c r="T843" s="491"/>
      <c r="U843" s="491"/>
      <c r="V843" s="491"/>
      <c r="W843" s="493"/>
      <c r="X843" s="486"/>
      <c r="Y843" s="442"/>
      <c r="Z843" s="491"/>
      <c r="AA843" s="524"/>
      <c r="AB843" s="494"/>
      <c r="AC843" s="436"/>
      <c r="AD843" s="495"/>
      <c r="AE843" s="496"/>
      <c r="AF843" s="531"/>
      <c r="AG843" s="491"/>
      <c r="AH843" s="525"/>
      <c r="AI843" s="491"/>
      <c r="AJ843" s="446"/>
      <c r="AK843" s="491"/>
      <c r="AL843" s="500"/>
      <c r="AM843" s="436"/>
      <c r="AN843" s="438"/>
      <c r="AO843" s="531"/>
      <c r="AP843" s="491"/>
      <c r="AQ843" s="438"/>
      <c r="AR843" s="438"/>
      <c r="AS843" s="438"/>
      <c r="AT843" s="448"/>
      <c r="AU843" s="449"/>
      <c r="AV843" s="438"/>
      <c r="AW843" s="438"/>
      <c r="AX843" s="450"/>
    </row>
    <row r="844">
      <c r="A844" s="435"/>
      <c r="B844" s="485"/>
      <c r="C844" s="486"/>
      <c r="D844" s="486"/>
      <c r="E844" s="486"/>
      <c r="F844" s="528"/>
      <c r="G844" s="486"/>
      <c r="H844" s="486"/>
      <c r="I844" s="491"/>
      <c r="J844" s="491"/>
      <c r="K844" s="491"/>
      <c r="L844" s="491"/>
      <c r="M844" s="486"/>
      <c r="N844" s="422"/>
      <c r="O844" s="422"/>
      <c r="P844" s="422"/>
      <c r="Q844" s="486"/>
      <c r="R844" s="491"/>
      <c r="S844" s="491"/>
      <c r="T844" s="491"/>
      <c r="U844" s="491"/>
      <c r="V844" s="491"/>
      <c r="W844" s="493"/>
      <c r="X844" s="486"/>
      <c r="Y844" s="442"/>
      <c r="Z844" s="491"/>
      <c r="AA844" s="524"/>
      <c r="AB844" s="494"/>
      <c r="AC844" s="436"/>
      <c r="AD844" s="495"/>
      <c r="AE844" s="496"/>
      <c r="AF844" s="531"/>
      <c r="AG844" s="491"/>
      <c r="AH844" s="525"/>
      <c r="AI844" s="491"/>
      <c r="AJ844" s="446"/>
      <c r="AK844" s="491"/>
      <c r="AL844" s="500"/>
      <c r="AM844" s="436"/>
      <c r="AN844" s="438"/>
      <c r="AO844" s="531"/>
      <c r="AP844" s="491"/>
      <c r="AQ844" s="438"/>
      <c r="AR844" s="438"/>
      <c r="AS844" s="438"/>
      <c r="AT844" s="448"/>
      <c r="AU844" s="452"/>
      <c r="AV844" s="438"/>
      <c r="AW844" s="438"/>
      <c r="AX844" s="450"/>
    </row>
    <row r="845">
      <c r="A845" s="435"/>
      <c r="B845" s="485"/>
      <c r="C845" s="486"/>
      <c r="D845" s="486"/>
      <c r="E845" s="486"/>
      <c r="F845" s="528"/>
      <c r="G845" s="486"/>
      <c r="H845" s="486"/>
      <c r="I845" s="491"/>
      <c r="J845" s="491"/>
      <c r="K845" s="491"/>
      <c r="L845" s="491"/>
      <c r="M845" s="486"/>
      <c r="N845" s="422"/>
      <c r="O845" s="422"/>
      <c r="P845" s="422"/>
      <c r="Q845" s="486"/>
      <c r="R845" s="491"/>
      <c r="S845" s="491"/>
      <c r="T845" s="491"/>
      <c r="U845" s="491"/>
      <c r="V845" s="491"/>
      <c r="W845" s="493"/>
      <c r="X845" s="486"/>
      <c r="Y845" s="442"/>
      <c r="Z845" s="491"/>
      <c r="AA845" s="524"/>
      <c r="AB845" s="494"/>
      <c r="AC845" s="436"/>
      <c r="AD845" s="495"/>
      <c r="AE845" s="496"/>
      <c r="AF845" s="531"/>
      <c r="AG845" s="491"/>
      <c r="AH845" s="525"/>
      <c r="AI845" s="491"/>
      <c r="AJ845" s="446"/>
      <c r="AK845" s="491"/>
      <c r="AL845" s="500"/>
      <c r="AM845" s="436"/>
      <c r="AN845" s="438"/>
      <c r="AO845" s="531"/>
      <c r="AP845" s="491"/>
      <c r="AQ845" s="438"/>
      <c r="AR845" s="438"/>
      <c r="AS845" s="438"/>
      <c r="AT845" s="448"/>
      <c r="AU845" s="449"/>
      <c r="AV845" s="438"/>
      <c r="AW845" s="438"/>
      <c r="AX845" s="450"/>
    </row>
    <row r="846">
      <c r="A846" s="435"/>
      <c r="B846" s="485"/>
      <c r="C846" s="486"/>
      <c r="D846" s="486"/>
      <c r="E846" s="486"/>
      <c r="F846" s="528"/>
      <c r="G846" s="486"/>
      <c r="H846" s="486"/>
      <c r="I846" s="491"/>
      <c r="J846" s="491"/>
      <c r="K846" s="491"/>
      <c r="L846" s="491"/>
      <c r="M846" s="486"/>
      <c r="N846" s="422"/>
      <c r="O846" s="422"/>
      <c r="P846" s="422"/>
      <c r="Q846" s="486"/>
      <c r="R846" s="491"/>
      <c r="S846" s="491"/>
      <c r="T846" s="491"/>
      <c r="U846" s="491"/>
      <c r="V846" s="491"/>
      <c r="W846" s="493"/>
      <c r="X846" s="486"/>
      <c r="Y846" s="442"/>
      <c r="Z846" s="491"/>
      <c r="AA846" s="524"/>
      <c r="AB846" s="494"/>
      <c r="AC846" s="436"/>
      <c r="AD846" s="495"/>
      <c r="AE846" s="496"/>
      <c r="AF846" s="531"/>
      <c r="AG846" s="491"/>
      <c r="AH846" s="525"/>
      <c r="AI846" s="491"/>
      <c r="AJ846" s="446"/>
      <c r="AK846" s="491"/>
      <c r="AL846" s="500"/>
      <c r="AM846" s="436"/>
      <c r="AN846" s="438"/>
      <c r="AO846" s="531"/>
      <c r="AP846" s="491"/>
      <c r="AQ846" s="438"/>
      <c r="AR846" s="438"/>
      <c r="AS846" s="438"/>
      <c r="AT846" s="448"/>
      <c r="AU846" s="452"/>
      <c r="AV846" s="438"/>
      <c r="AW846" s="438"/>
      <c r="AX846" s="450"/>
    </row>
    <row r="847">
      <c r="A847" s="435"/>
      <c r="B847" s="485"/>
      <c r="C847" s="486"/>
      <c r="D847" s="486"/>
      <c r="E847" s="486"/>
      <c r="F847" s="528"/>
      <c r="G847" s="486"/>
      <c r="H847" s="486"/>
      <c r="I847" s="491"/>
      <c r="J847" s="491"/>
      <c r="K847" s="491"/>
      <c r="L847" s="491"/>
      <c r="M847" s="486"/>
      <c r="N847" s="422"/>
      <c r="O847" s="422"/>
      <c r="P847" s="422"/>
      <c r="Q847" s="486"/>
      <c r="R847" s="491"/>
      <c r="S847" s="491"/>
      <c r="T847" s="491"/>
      <c r="U847" s="491"/>
      <c r="V847" s="491"/>
      <c r="W847" s="493"/>
      <c r="X847" s="486"/>
      <c r="Y847" s="442"/>
      <c r="Z847" s="491"/>
      <c r="AA847" s="524"/>
      <c r="AB847" s="494"/>
      <c r="AC847" s="436"/>
      <c r="AD847" s="495"/>
      <c r="AE847" s="496"/>
      <c r="AF847" s="531"/>
      <c r="AG847" s="491"/>
      <c r="AH847" s="525"/>
      <c r="AI847" s="491"/>
      <c r="AJ847" s="446"/>
      <c r="AK847" s="491"/>
      <c r="AL847" s="500"/>
      <c r="AM847" s="436"/>
      <c r="AN847" s="438"/>
      <c r="AO847" s="531"/>
      <c r="AP847" s="491"/>
      <c r="AQ847" s="438"/>
      <c r="AR847" s="438"/>
      <c r="AS847" s="438"/>
      <c r="AT847" s="448"/>
      <c r="AU847" s="449"/>
      <c r="AV847" s="438"/>
      <c r="AW847" s="438"/>
      <c r="AX847" s="450"/>
    </row>
    <row r="848">
      <c r="A848" s="435"/>
      <c r="B848" s="485"/>
      <c r="C848" s="486"/>
      <c r="D848" s="486"/>
      <c r="E848" s="486"/>
      <c r="F848" s="528"/>
      <c r="G848" s="486"/>
      <c r="H848" s="486"/>
      <c r="I848" s="491"/>
      <c r="J848" s="491"/>
      <c r="K848" s="491"/>
      <c r="L848" s="491"/>
      <c r="M848" s="486"/>
      <c r="N848" s="422"/>
      <c r="O848" s="422"/>
      <c r="P848" s="422"/>
      <c r="Q848" s="486"/>
      <c r="R848" s="491"/>
      <c r="S848" s="491"/>
      <c r="T848" s="491"/>
      <c r="U848" s="491"/>
      <c r="V848" s="491"/>
      <c r="W848" s="493"/>
      <c r="X848" s="486"/>
      <c r="Y848" s="442"/>
      <c r="Z848" s="491"/>
      <c r="AA848" s="524"/>
      <c r="AB848" s="494"/>
      <c r="AC848" s="436"/>
      <c r="AD848" s="495"/>
      <c r="AE848" s="496"/>
      <c r="AF848" s="531"/>
      <c r="AG848" s="491"/>
      <c r="AH848" s="525"/>
      <c r="AI848" s="491"/>
      <c r="AJ848" s="446"/>
      <c r="AK848" s="491"/>
      <c r="AL848" s="500"/>
      <c r="AM848" s="436"/>
      <c r="AN848" s="438"/>
      <c r="AO848" s="531"/>
      <c r="AP848" s="491"/>
      <c r="AQ848" s="438"/>
      <c r="AR848" s="438"/>
      <c r="AS848" s="438"/>
      <c r="AT848" s="448"/>
      <c r="AU848" s="452"/>
      <c r="AV848" s="438"/>
      <c r="AW848" s="438"/>
      <c r="AX848" s="450"/>
    </row>
    <row r="849">
      <c r="A849" s="435"/>
      <c r="B849" s="485"/>
      <c r="C849" s="486"/>
      <c r="D849" s="486"/>
      <c r="E849" s="486"/>
      <c r="F849" s="528"/>
      <c r="G849" s="486"/>
      <c r="H849" s="486"/>
      <c r="I849" s="491"/>
      <c r="J849" s="491"/>
      <c r="K849" s="491"/>
      <c r="L849" s="491"/>
      <c r="M849" s="486"/>
      <c r="N849" s="422"/>
      <c r="O849" s="422"/>
      <c r="P849" s="422"/>
      <c r="Q849" s="486"/>
      <c r="R849" s="491"/>
      <c r="S849" s="491"/>
      <c r="T849" s="491"/>
      <c r="U849" s="491"/>
      <c r="V849" s="491"/>
      <c r="W849" s="493"/>
      <c r="X849" s="486"/>
      <c r="Y849" s="442"/>
      <c r="Z849" s="491"/>
      <c r="AA849" s="524"/>
      <c r="AB849" s="494"/>
      <c r="AC849" s="436"/>
      <c r="AD849" s="495"/>
      <c r="AE849" s="496"/>
      <c r="AF849" s="531"/>
      <c r="AG849" s="491"/>
      <c r="AH849" s="525"/>
      <c r="AI849" s="491"/>
      <c r="AJ849" s="446"/>
      <c r="AK849" s="491"/>
      <c r="AL849" s="500"/>
      <c r="AM849" s="436"/>
      <c r="AN849" s="438"/>
      <c r="AO849" s="531"/>
      <c r="AP849" s="491"/>
      <c r="AQ849" s="438"/>
      <c r="AR849" s="438"/>
      <c r="AS849" s="438"/>
      <c r="AT849" s="448"/>
      <c r="AU849" s="449"/>
      <c r="AV849" s="438"/>
      <c r="AW849" s="438"/>
      <c r="AX849" s="450"/>
    </row>
    <row r="850">
      <c r="A850" s="435"/>
      <c r="B850" s="485"/>
      <c r="C850" s="486"/>
      <c r="D850" s="486"/>
      <c r="E850" s="486"/>
      <c r="F850" s="528"/>
      <c r="G850" s="486"/>
      <c r="H850" s="486"/>
      <c r="I850" s="491"/>
      <c r="J850" s="491"/>
      <c r="K850" s="491"/>
      <c r="L850" s="491"/>
      <c r="M850" s="486"/>
      <c r="N850" s="422"/>
      <c r="O850" s="422"/>
      <c r="P850" s="422"/>
      <c r="Q850" s="486"/>
      <c r="R850" s="491"/>
      <c r="S850" s="491"/>
      <c r="T850" s="491"/>
      <c r="U850" s="491"/>
      <c r="V850" s="491"/>
      <c r="W850" s="493"/>
      <c r="X850" s="486"/>
      <c r="Y850" s="442"/>
      <c r="Z850" s="491"/>
      <c r="AA850" s="524"/>
      <c r="AB850" s="494"/>
      <c r="AC850" s="436"/>
      <c r="AD850" s="495"/>
      <c r="AE850" s="496"/>
      <c r="AF850" s="531"/>
      <c r="AG850" s="491"/>
      <c r="AH850" s="525"/>
      <c r="AI850" s="491"/>
      <c r="AJ850" s="446"/>
      <c r="AK850" s="491"/>
      <c r="AL850" s="500"/>
      <c r="AM850" s="436"/>
      <c r="AN850" s="438"/>
      <c r="AO850" s="531"/>
      <c r="AP850" s="491"/>
      <c r="AQ850" s="438"/>
      <c r="AR850" s="438"/>
      <c r="AS850" s="438"/>
      <c r="AT850" s="448"/>
      <c r="AU850" s="452"/>
      <c r="AV850" s="438"/>
      <c r="AW850" s="438"/>
      <c r="AX850" s="450"/>
    </row>
    <row r="851">
      <c r="A851" s="435"/>
      <c r="B851" s="485"/>
      <c r="C851" s="486"/>
      <c r="D851" s="486"/>
      <c r="E851" s="486"/>
      <c r="F851" s="528"/>
      <c r="G851" s="486"/>
      <c r="H851" s="486"/>
      <c r="I851" s="491"/>
      <c r="J851" s="491"/>
      <c r="K851" s="491"/>
      <c r="L851" s="491"/>
      <c r="M851" s="486"/>
      <c r="N851" s="422"/>
      <c r="O851" s="422"/>
      <c r="P851" s="422"/>
      <c r="Q851" s="486"/>
      <c r="R851" s="491"/>
      <c r="S851" s="491"/>
      <c r="T851" s="491"/>
      <c r="U851" s="491"/>
      <c r="V851" s="491"/>
      <c r="W851" s="493"/>
      <c r="X851" s="486"/>
      <c r="Y851" s="442"/>
      <c r="Z851" s="491"/>
      <c r="AA851" s="524"/>
      <c r="AB851" s="494"/>
      <c r="AC851" s="436"/>
      <c r="AD851" s="495"/>
      <c r="AE851" s="496"/>
      <c r="AF851" s="531"/>
      <c r="AG851" s="491"/>
      <c r="AH851" s="525"/>
      <c r="AI851" s="491"/>
      <c r="AJ851" s="446"/>
      <c r="AK851" s="491"/>
      <c r="AL851" s="500"/>
      <c r="AM851" s="436"/>
      <c r="AN851" s="438"/>
      <c r="AO851" s="531"/>
      <c r="AP851" s="491"/>
      <c r="AQ851" s="438"/>
      <c r="AR851" s="438"/>
      <c r="AS851" s="438"/>
      <c r="AT851" s="448"/>
      <c r="AU851" s="449"/>
      <c r="AV851" s="438"/>
      <c r="AW851" s="438"/>
      <c r="AX851" s="450"/>
    </row>
    <row r="852">
      <c r="A852" s="435"/>
      <c r="B852" s="485"/>
      <c r="C852" s="486"/>
      <c r="D852" s="486"/>
      <c r="E852" s="486"/>
      <c r="F852" s="528"/>
      <c r="G852" s="486"/>
      <c r="H852" s="486"/>
      <c r="I852" s="491"/>
      <c r="J852" s="491"/>
      <c r="K852" s="491"/>
      <c r="L852" s="491"/>
      <c r="M852" s="486"/>
      <c r="N852" s="422"/>
      <c r="O852" s="422"/>
      <c r="P852" s="422"/>
      <c r="Q852" s="486"/>
      <c r="R852" s="491"/>
      <c r="S852" s="491"/>
      <c r="T852" s="491"/>
      <c r="U852" s="491"/>
      <c r="V852" s="491"/>
      <c r="W852" s="493"/>
      <c r="X852" s="486"/>
      <c r="Y852" s="442"/>
      <c r="Z852" s="491"/>
      <c r="AA852" s="524"/>
      <c r="AB852" s="494"/>
      <c r="AC852" s="436"/>
      <c r="AD852" s="495"/>
      <c r="AE852" s="496"/>
      <c r="AF852" s="531"/>
      <c r="AG852" s="491"/>
      <c r="AH852" s="525"/>
      <c r="AI852" s="491"/>
      <c r="AJ852" s="446"/>
      <c r="AK852" s="491"/>
      <c r="AL852" s="500"/>
      <c r="AM852" s="436"/>
      <c r="AN852" s="438"/>
      <c r="AO852" s="531"/>
      <c r="AP852" s="491"/>
      <c r="AQ852" s="438"/>
      <c r="AR852" s="438"/>
      <c r="AS852" s="438"/>
      <c r="AT852" s="448"/>
      <c r="AU852" s="452"/>
      <c r="AV852" s="438"/>
      <c r="AW852" s="438"/>
      <c r="AX852" s="450"/>
    </row>
    <row r="853">
      <c r="A853" s="435"/>
      <c r="B853" s="485"/>
      <c r="C853" s="486"/>
      <c r="D853" s="486"/>
      <c r="E853" s="486"/>
      <c r="F853" s="528"/>
      <c r="G853" s="486"/>
      <c r="H853" s="486"/>
      <c r="I853" s="491"/>
      <c r="J853" s="491"/>
      <c r="K853" s="491"/>
      <c r="L853" s="491"/>
      <c r="M853" s="486"/>
      <c r="N853" s="422"/>
      <c r="O853" s="422"/>
      <c r="P853" s="422"/>
      <c r="Q853" s="486"/>
      <c r="R853" s="491"/>
      <c r="S853" s="491"/>
      <c r="T853" s="491"/>
      <c r="U853" s="491"/>
      <c r="V853" s="491"/>
      <c r="W853" s="493"/>
      <c r="X853" s="486"/>
      <c r="Y853" s="442"/>
      <c r="Z853" s="491"/>
      <c r="AA853" s="524"/>
      <c r="AB853" s="494"/>
      <c r="AC853" s="436"/>
      <c r="AD853" s="495"/>
      <c r="AE853" s="496"/>
      <c r="AF853" s="531"/>
      <c r="AG853" s="491"/>
      <c r="AH853" s="525"/>
      <c r="AI853" s="491"/>
      <c r="AJ853" s="446"/>
      <c r="AK853" s="491"/>
      <c r="AL853" s="500"/>
      <c r="AM853" s="436"/>
      <c r="AN853" s="438"/>
      <c r="AO853" s="531"/>
      <c r="AP853" s="491"/>
      <c r="AQ853" s="438"/>
      <c r="AR853" s="438"/>
      <c r="AS853" s="438"/>
      <c r="AT853" s="448"/>
      <c r="AU853" s="449"/>
      <c r="AV853" s="438"/>
      <c r="AW853" s="438"/>
      <c r="AX853" s="450"/>
    </row>
    <row r="854">
      <c r="A854" s="435"/>
      <c r="B854" s="485"/>
      <c r="C854" s="486"/>
      <c r="D854" s="486"/>
      <c r="E854" s="486"/>
      <c r="F854" s="528"/>
      <c r="G854" s="486"/>
      <c r="H854" s="486"/>
      <c r="I854" s="491"/>
      <c r="J854" s="491"/>
      <c r="K854" s="491"/>
      <c r="L854" s="491"/>
      <c r="M854" s="486"/>
      <c r="N854" s="422"/>
      <c r="O854" s="422"/>
      <c r="P854" s="422"/>
      <c r="Q854" s="486"/>
      <c r="R854" s="491"/>
      <c r="S854" s="491"/>
      <c r="T854" s="491"/>
      <c r="U854" s="491"/>
      <c r="V854" s="491"/>
      <c r="W854" s="493"/>
      <c r="X854" s="486"/>
      <c r="Y854" s="442"/>
      <c r="Z854" s="491"/>
      <c r="AA854" s="524"/>
      <c r="AB854" s="494"/>
      <c r="AC854" s="436"/>
      <c r="AD854" s="495"/>
      <c r="AE854" s="496"/>
      <c r="AF854" s="531"/>
      <c r="AG854" s="491"/>
      <c r="AH854" s="525"/>
      <c r="AI854" s="491"/>
      <c r="AJ854" s="446"/>
      <c r="AK854" s="491"/>
      <c r="AL854" s="500"/>
      <c r="AM854" s="436"/>
      <c r="AN854" s="438"/>
      <c r="AO854" s="531"/>
      <c r="AP854" s="491"/>
      <c r="AQ854" s="438"/>
      <c r="AR854" s="438"/>
      <c r="AS854" s="438"/>
      <c r="AT854" s="448"/>
      <c r="AU854" s="452"/>
      <c r="AV854" s="438"/>
      <c r="AW854" s="438"/>
      <c r="AX854" s="450"/>
    </row>
    <row r="855">
      <c r="A855" s="435"/>
      <c r="B855" s="485"/>
      <c r="C855" s="486"/>
      <c r="D855" s="486"/>
      <c r="E855" s="486"/>
      <c r="F855" s="528"/>
      <c r="G855" s="486"/>
      <c r="H855" s="486"/>
      <c r="I855" s="491"/>
      <c r="J855" s="491"/>
      <c r="K855" s="491"/>
      <c r="L855" s="491"/>
      <c r="M855" s="486"/>
      <c r="N855" s="422"/>
      <c r="O855" s="422"/>
      <c r="P855" s="422"/>
      <c r="Q855" s="486"/>
      <c r="R855" s="491"/>
      <c r="S855" s="491"/>
      <c r="T855" s="491"/>
      <c r="U855" s="491"/>
      <c r="V855" s="491"/>
      <c r="W855" s="493"/>
      <c r="X855" s="486"/>
      <c r="Y855" s="442"/>
      <c r="Z855" s="491"/>
      <c r="AA855" s="524"/>
      <c r="AB855" s="494"/>
      <c r="AC855" s="436"/>
      <c r="AD855" s="495"/>
      <c r="AE855" s="496"/>
      <c r="AF855" s="531"/>
      <c r="AG855" s="491"/>
      <c r="AH855" s="525"/>
      <c r="AI855" s="491"/>
      <c r="AJ855" s="446"/>
      <c r="AK855" s="491"/>
      <c r="AL855" s="500"/>
      <c r="AM855" s="436"/>
      <c r="AN855" s="438"/>
      <c r="AO855" s="531"/>
      <c r="AP855" s="491"/>
      <c r="AQ855" s="438"/>
      <c r="AR855" s="438"/>
      <c r="AS855" s="438"/>
      <c r="AT855" s="448"/>
      <c r="AU855" s="449"/>
      <c r="AV855" s="438"/>
      <c r="AW855" s="438"/>
      <c r="AX855" s="450"/>
    </row>
    <row r="856">
      <c r="A856" s="435"/>
      <c r="B856" s="485"/>
      <c r="C856" s="486"/>
      <c r="D856" s="486"/>
      <c r="E856" s="486"/>
      <c r="F856" s="528"/>
      <c r="G856" s="486"/>
      <c r="H856" s="486"/>
      <c r="I856" s="491"/>
      <c r="J856" s="491"/>
      <c r="K856" s="491"/>
      <c r="L856" s="491"/>
      <c r="M856" s="486"/>
      <c r="N856" s="422"/>
      <c r="O856" s="422"/>
      <c r="P856" s="422"/>
      <c r="Q856" s="486"/>
      <c r="R856" s="491"/>
      <c r="S856" s="491"/>
      <c r="T856" s="491"/>
      <c r="U856" s="491"/>
      <c r="V856" s="491"/>
      <c r="W856" s="493"/>
      <c r="X856" s="486"/>
      <c r="Y856" s="442"/>
      <c r="Z856" s="491"/>
      <c r="AA856" s="524"/>
      <c r="AB856" s="494"/>
      <c r="AC856" s="436"/>
      <c r="AD856" s="495"/>
      <c r="AE856" s="496"/>
      <c r="AF856" s="531"/>
      <c r="AG856" s="491"/>
      <c r="AH856" s="525"/>
      <c r="AI856" s="491"/>
      <c r="AJ856" s="446"/>
      <c r="AK856" s="491"/>
      <c r="AL856" s="500"/>
      <c r="AM856" s="436"/>
      <c r="AN856" s="438"/>
      <c r="AO856" s="531"/>
      <c r="AP856" s="491"/>
      <c r="AQ856" s="438"/>
      <c r="AR856" s="438"/>
      <c r="AS856" s="438"/>
      <c r="AT856" s="448"/>
      <c r="AU856" s="452"/>
      <c r="AV856" s="438"/>
      <c r="AW856" s="438"/>
      <c r="AX856" s="450"/>
    </row>
    <row r="857">
      <c r="A857" s="435"/>
      <c r="B857" s="485"/>
      <c r="C857" s="486"/>
      <c r="D857" s="486"/>
      <c r="E857" s="486"/>
      <c r="F857" s="528"/>
      <c r="G857" s="486"/>
      <c r="H857" s="486"/>
      <c r="I857" s="491"/>
      <c r="J857" s="491"/>
      <c r="K857" s="491"/>
      <c r="L857" s="491"/>
      <c r="M857" s="486"/>
      <c r="N857" s="422"/>
      <c r="O857" s="422"/>
      <c r="P857" s="422"/>
      <c r="Q857" s="486"/>
      <c r="R857" s="491"/>
      <c r="S857" s="491"/>
      <c r="T857" s="491"/>
      <c r="U857" s="491"/>
      <c r="V857" s="491"/>
      <c r="W857" s="493"/>
      <c r="X857" s="486"/>
      <c r="Y857" s="442"/>
      <c r="Z857" s="491"/>
      <c r="AA857" s="524"/>
      <c r="AB857" s="494"/>
      <c r="AC857" s="436"/>
      <c r="AD857" s="495"/>
      <c r="AE857" s="496"/>
      <c r="AF857" s="531"/>
      <c r="AG857" s="491"/>
      <c r="AH857" s="525"/>
      <c r="AI857" s="491"/>
      <c r="AJ857" s="446"/>
      <c r="AK857" s="491"/>
      <c r="AL857" s="500"/>
      <c r="AM857" s="436"/>
      <c r="AN857" s="438"/>
      <c r="AO857" s="531"/>
      <c r="AP857" s="491"/>
      <c r="AQ857" s="438"/>
      <c r="AR857" s="438"/>
      <c r="AS857" s="438"/>
      <c r="AT857" s="448"/>
      <c r="AU857" s="449"/>
      <c r="AV857" s="438"/>
      <c r="AW857" s="438"/>
      <c r="AX857" s="450"/>
    </row>
    <row r="858">
      <c r="A858" s="435"/>
      <c r="B858" s="485"/>
      <c r="C858" s="486"/>
      <c r="D858" s="486"/>
      <c r="E858" s="486"/>
      <c r="F858" s="528"/>
      <c r="G858" s="486"/>
      <c r="H858" s="486"/>
      <c r="I858" s="491"/>
      <c r="J858" s="491"/>
      <c r="K858" s="491"/>
      <c r="L858" s="491"/>
      <c r="M858" s="486"/>
      <c r="N858" s="422"/>
      <c r="O858" s="422"/>
      <c r="P858" s="422"/>
      <c r="Q858" s="486"/>
      <c r="R858" s="491"/>
      <c r="S858" s="491"/>
      <c r="T858" s="491"/>
      <c r="U858" s="491"/>
      <c r="V858" s="491"/>
      <c r="W858" s="493"/>
      <c r="X858" s="486"/>
      <c r="Y858" s="442"/>
      <c r="Z858" s="491"/>
      <c r="AA858" s="524"/>
      <c r="AB858" s="494"/>
      <c r="AC858" s="436"/>
      <c r="AD858" s="495"/>
      <c r="AE858" s="496"/>
      <c r="AF858" s="531"/>
      <c r="AG858" s="491"/>
      <c r="AH858" s="525"/>
      <c r="AI858" s="491"/>
      <c r="AJ858" s="446"/>
      <c r="AK858" s="491"/>
      <c r="AL858" s="500"/>
      <c r="AM858" s="436"/>
      <c r="AN858" s="438"/>
      <c r="AO858" s="531"/>
      <c r="AP858" s="491"/>
      <c r="AQ858" s="438"/>
      <c r="AR858" s="438"/>
      <c r="AS858" s="438"/>
      <c r="AT858" s="448"/>
      <c r="AU858" s="452"/>
      <c r="AV858" s="438"/>
      <c r="AW858" s="438"/>
      <c r="AX858" s="450"/>
    </row>
    <row r="859">
      <c r="A859" s="435"/>
      <c r="B859" s="485"/>
      <c r="C859" s="486"/>
      <c r="D859" s="486"/>
      <c r="E859" s="486"/>
      <c r="F859" s="528"/>
      <c r="G859" s="486"/>
      <c r="H859" s="486"/>
      <c r="I859" s="491"/>
      <c r="J859" s="491"/>
      <c r="K859" s="491"/>
      <c r="L859" s="491"/>
      <c r="M859" s="486"/>
      <c r="N859" s="422"/>
      <c r="O859" s="422"/>
      <c r="P859" s="422"/>
      <c r="Q859" s="486"/>
      <c r="R859" s="491"/>
      <c r="S859" s="491"/>
      <c r="T859" s="491"/>
      <c r="U859" s="491"/>
      <c r="V859" s="491"/>
      <c r="W859" s="493"/>
      <c r="X859" s="486"/>
      <c r="Y859" s="442"/>
      <c r="Z859" s="491"/>
      <c r="AA859" s="524"/>
      <c r="AB859" s="494"/>
      <c r="AC859" s="436"/>
      <c r="AD859" s="495"/>
      <c r="AE859" s="496"/>
      <c r="AF859" s="531"/>
      <c r="AG859" s="491"/>
      <c r="AH859" s="525"/>
      <c r="AI859" s="491"/>
      <c r="AJ859" s="446"/>
      <c r="AK859" s="491"/>
      <c r="AL859" s="500"/>
      <c r="AM859" s="436"/>
      <c r="AN859" s="438"/>
      <c r="AO859" s="531"/>
      <c r="AP859" s="491"/>
      <c r="AQ859" s="438"/>
      <c r="AR859" s="438"/>
      <c r="AS859" s="438"/>
      <c r="AT859" s="448"/>
      <c r="AU859" s="449"/>
      <c r="AV859" s="438"/>
      <c r="AW859" s="438"/>
      <c r="AX859" s="450"/>
    </row>
    <row r="860">
      <c r="A860" s="435"/>
      <c r="B860" s="485"/>
      <c r="C860" s="486"/>
      <c r="D860" s="486"/>
      <c r="E860" s="486"/>
      <c r="F860" s="528"/>
      <c r="G860" s="486"/>
      <c r="H860" s="486"/>
      <c r="I860" s="491"/>
      <c r="J860" s="491"/>
      <c r="K860" s="491"/>
      <c r="L860" s="491"/>
      <c r="M860" s="486"/>
      <c r="N860" s="422"/>
      <c r="O860" s="422"/>
      <c r="P860" s="422"/>
      <c r="Q860" s="486"/>
      <c r="R860" s="491"/>
      <c r="S860" s="491"/>
      <c r="T860" s="491"/>
      <c r="U860" s="491"/>
      <c r="V860" s="491"/>
      <c r="W860" s="493"/>
      <c r="X860" s="486"/>
      <c r="Y860" s="442"/>
      <c r="Z860" s="491"/>
      <c r="AA860" s="524"/>
      <c r="AB860" s="494"/>
      <c r="AC860" s="436"/>
      <c r="AD860" s="495"/>
      <c r="AE860" s="496"/>
      <c r="AF860" s="531"/>
      <c r="AG860" s="491"/>
      <c r="AH860" s="525"/>
      <c r="AI860" s="491"/>
      <c r="AJ860" s="446"/>
      <c r="AK860" s="491"/>
      <c r="AL860" s="500"/>
      <c r="AM860" s="436"/>
      <c r="AN860" s="438"/>
      <c r="AO860" s="531"/>
      <c r="AP860" s="491"/>
      <c r="AQ860" s="438"/>
      <c r="AR860" s="438"/>
      <c r="AS860" s="438"/>
      <c r="AT860" s="448"/>
      <c r="AU860" s="452"/>
      <c r="AV860" s="438"/>
      <c r="AW860" s="438"/>
      <c r="AX860" s="450"/>
    </row>
    <row r="861">
      <c r="A861" s="435"/>
      <c r="B861" s="485"/>
      <c r="C861" s="486"/>
      <c r="D861" s="486"/>
      <c r="E861" s="486"/>
      <c r="F861" s="528"/>
      <c r="G861" s="486"/>
      <c r="H861" s="486"/>
      <c r="I861" s="491"/>
      <c r="J861" s="491"/>
      <c r="K861" s="491"/>
      <c r="L861" s="491"/>
      <c r="M861" s="486"/>
      <c r="N861" s="422"/>
      <c r="O861" s="422"/>
      <c r="P861" s="422"/>
      <c r="Q861" s="486"/>
      <c r="R861" s="491"/>
      <c r="S861" s="491"/>
      <c r="T861" s="491"/>
      <c r="U861" s="491"/>
      <c r="V861" s="491"/>
      <c r="W861" s="493"/>
      <c r="X861" s="486"/>
      <c r="Y861" s="442"/>
      <c r="Z861" s="491"/>
      <c r="AA861" s="524"/>
      <c r="AB861" s="494"/>
      <c r="AC861" s="436"/>
      <c r="AD861" s="495"/>
      <c r="AE861" s="496"/>
      <c r="AF861" s="531"/>
      <c r="AG861" s="491"/>
      <c r="AH861" s="525"/>
      <c r="AI861" s="491"/>
      <c r="AJ861" s="446"/>
      <c r="AK861" s="491"/>
      <c r="AL861" s="500"/>
      <c r="AM861" s="436"/>
      <c r="AN861" s="438"/>
      <c r="AO861" s="531"/>
      <c r="AP861" s="491"/>
      <c r="AQ861" s="438"/>
      <c r="AR861" s="438"/>
      <c r="AS861" s="438"/>
      <c r="AT861" s="448"/>
      <c r="AU861" s="449"/>
      <c r="AV861" s="438"/>
      <c r="AW861" s="438"/>
      <c r="AX861" s="450"/>
    </row>
    <row r="862">
      <c r="A862" s="435"/>
      <c r="B862" s="485"/>
      <c r="C862" s="486"/>
      <c r="D862" s="486"/>
      <c r="E862" s="486"/>
      <c r="F862" s="528"/>
      <c r="G862" s="486"/>
      <c r="H862" s="486"/>
      <c r="I862" s="491"/>
      <c r="J862" s="491"/>
      <c r="K862" s="491"/>
      <c r="L862" s="491"/>
      <c r="M862" s="486"/>
      <c r="N862" s="422"/>
      <c r="O862" s="422"/>
      <c r="P862" s="422"/>
      <c r="Q862" s="486"/>
      <c r="R862" s="491"/>
      <c r="S862" s="491"/>
      <c r="T862" s="491"/>
      <c r="U862" s="491"/>
      <c r="V862" s="491"/>
      <c r="W862" s="493"/>
      <c r="X862" s="486"/>
      <c r="Y862" s="442"/>
      <c r="Z862" s="491"/>
      <c r="AA862" s="524"/>
      <c r="AB862" s="494"/>
      <c r="AC862" s="436"/>
      <c r="AD862" s="495"/>
      <c r="AE862" s="496"/>
      <c r="AF862" s="531"/>
      <c r="AG862" s="491"/>
      <c r="AH862" s="525"/>
      <c r="AI862" s="491"/>
      <c r="AJ862" s="446"/>
      <c r="AK862" s="491"/>
      <c r="AL862" s="500"/>
      <c r="AM862" s="436"/>
      <c r="AN862" s="438"/>
      <c r="AO862" s="531"/>
      <c r="AP862" s="491"/>
      <c r="AQ862" s="438"/>
      <c r="AR862" s="438"/>
      <c r="AS862" s="438"/>
      <c r="AT862" s="448"/>
      <c r="AU862" s="452"/>
      <c r="AV862" s="438"/>
      <c r="AW862" s="438"/>
      <c r="AX862" s="450"/>
    </row>
    <row r="863">
      <c r="A863" s="435"/>
      <c r="B863" s="485"/>
      <c r="C863" s="486"/>
      <c r="D863" s="486"/>
      <c r="E863" s="486"/>
      <c r="F863" s="528"/>
      <c r="G863" s="486"/>
      <c r="H863" s="486"/>
      <c r="I863" s="491"/>
      <c r="J863" s="491"/>
      <c r="K863" s="491"/>
      <c r="L863" s="491"/>
      <c r="M863" s="486"/>
      <c r="N863" s="422"/>
      <c r="O863" s="422"/>
      <c r="P863" s="422"/>
      <c r="Q863" s="486"/>
      <c r="R863" s="491"/>
      <c r="S863" s="491"/>
      <c r="T863" s="491"/>
      <c r="U863" s="491"/>
      <c r="V863" s="491"/>
      <c r="W863" s="493"/>
      <c r="X863" s="486"/>
      <c r="Y863" s="442"/>
      <c r="Z863" s="491"/>
      <c r="AA863" s="524"/>
      <c r="AB863" s="494"/>
      <c r="AC863" s="436"/>
      <c r="AD863" s="495"/>
      <c r="AE863" s="496"/>
      <c r="AF863" s="531"/>
      <c r="AG863" s="491"/>
      <c r="AH863" s="525"/>
      <c r="AI863" s="491"/>
      <c r="AJ863" s="446"/>
      <c r="AK863" s="491"/>
      <c r="AL863" s="500"/>
      <c r="AM863" s="436"/>
      <c r="AN863" s="438"/>
      <c r="AO863" s="531"/>
      <c r="AP863" s="491"/>
      <c r="AQ863" s="438"/>
      <c r="AR863" s="438"/>
      <c r="AS863" s="438"/>
      <c r="AT863" s="448"/>
      <c r="AU863" s="449"/>
      <c r="AV863" s="438"/>
      <c r="AW863" s="438"/>
      <c r="AX863" s="450"/>
    </row>
    <row r="864">
      <c r="A864" s="435"/>
      <c r="B864" s="485"/>
      <c r="C864" s="486"/>
      <c r="D864" s="486"/>
      <c r="E864" s="486"/>
      <c r="F864" s="528"/>
      <c r="G864" s="486"/>
      <c r="H864" s="486"/>
      <c r="I864" s="491"/>
      <c r="J864" s="491"/>
      <c r="K864" s="491"/>
      <c r="L864" s="491"/>
      <c r="M864" s="486"/>
      <c r="N864" s="422"/>
      <c r="O864" s="422"/>
      <c r="P864" s="422"/>
      <c r="Q864" s="486"/>
      <c r="R864" s="491"/>
      <c r="S864" s="491"/>
      <c r="T864" s="491"/>
      <c r="U864" s="491"/>
      <c r="V864" s="491"/>
      <c r="W864" s="493"/>
      <c r="X864" s="486"/>
      <c r="Y864" s="442"/>
      <c r="Z864" s="491"/>
      <c r="AA864" s="524"/>
      <c r="AB864" s="494"/>
      <c r="AC864" s="436"/>
      <c r="AD864" s="495"/>
      <c r="AE864" s="496"/>
      <c r="AF864" s="531"/>
      <c r="AG864" s="491"/>
      <c r="AH864" s="525"/>
      <c r="AI864" s="491"/>
      <c r="AJ864" s="446"/>
      <c r="AK864" s="491"/>
      <c r="AL864" s="500"/>
      <c r="AM864" s="436"/>
      <c r="AN864" s="438"/>
      <c r="AO864" s="531"/>
      <c r="AP864" s="491"/>
      <c r="AQ864" s="438"/>
      <c r="AR864" s="438"/>
      <c r="AS864" s="438"/>
      <c r="AT864" s="448"/>
      <c r="AU864" s="452"/>
      <c r="AV864" s="438"/>
      <c r="AW864" s="438"/>
      <c r="AX864" s="450"/>
    </row>
    <row r="865">
      <c r="A865" s="435"/>
      <c r="B865" s="485"/>
      <c r="C865" s="486"/>
      <c r="D865" s="486"/>
      <c r="E865" s="486"/>
      <c r="F865" s="528"/>
      <c r="G865" s="486"/>
      <c r="H865" s="486"/>
      <c r="I865" s="491"/>
      <c r="J865" s="491"/>
      <c r="K865" s="491"/>
      <c r="L865" s="491"/>
      <c r="M865" s="486"/>
      <c r="N865" s="422"/>
      <c r="O865" s="422"/>
      <c r="P865" s="422"/>
      <c r="Q865" s="486"/>
      <c r="R865" s="491"/>
      <c r="S865" s="491"/>
      <c r="T865" s="491"/>
      <c r="U865" s="491"/>
      <c r="V865" s="491"/>
      <c r="W865" s="493"/>
      <c r="X865" s="486"/>
      <c r="Y865" s="442"/>
      <c r="Z865" s="491"/>
      <c r="AA865" s="524"/>
      <c r="AB865" s="494"/>
      <c r="AC865" s="436"/>
      <c r="AD865" s="495"/>
      <c r="AE865" s="496"/>
      <c r="AF865" s="531"/>
      <c r="AG865" s="491"/>
      <c r="AH865" s="525"/>
      <c r="AI865" s="491"/>
      <c r="AJ865" s="446"/>
      <c r="AK865" s="491"/>
      <c r="AL865" s="500"/>
      <c r="AM865" s="436"/>
      <c r="AN865" s="438"/>
      <c r="AO865" s="531"/>
      <c r="AP865" s="491"/>
      <c r="AQ865" s="438"/>
      <c r="AR865" s="438"/>
      <c r="AS865" s="438"/>
      <c r="AT865" s="448"/>
      <c r="AU865" s="449"/>
      <c r="AV865" s="438"/>
      <c r="AW865" s="438"/>
      <c r="AX865" s="450"/>
    </row>
    <row r="866">
      <c r="A866" s="435"/>
      <c r="B866" s="485"/>
      <c r="C866" s="486"/>
      <c r="D866" s="486"/>
      <c r="E866" s="486"/>
      <c r="F866" s="528"/>
      <c r="G866" s="486"/>
      <c r="H866" s="486"/>
      <c r="I866" s="491"/>
      <c r="J866" s="491"/>
      <c r="K866" s="491"/>
      <c r="L866" s="491"/>
      <c r="M866" s="486"/>
      <c r="N866" s="422"/>
      <c r="O866" s="422"/>
      <c r="P866" s="422"/>
      <c r="Q866" s="486"/>
      <c r="R866" s="491"/>
      <c r="S866" s="491"/>
      <c r="T866" s="491"/>
      <c r="U866" s="491"/>
      <c r="V866" s="491"/>
      <c r="W866" s="493"/>
      <c r="X866" s="486"/>
      <c r="Y866" s="442"/>
      <c r="Z866" s="491"/>
      <c r="AA866" s="524"/>
      <c r="AB866" s="494"/>
      <c r="AC866" s="436"/>
      <c r="AD866" s="495"/>
      <c r="AE866" s="496"/>
      <c r="AF866" s="531"/>
      <c r="AG866" s="491"/>
      <c r="AH866" s="525"/>
      <c r="AI866" s="491"/>
      <c r="AJ866" s="446"/>
      <c r="AK866" s="491"/>
      <c r="AL866" s="500"/>
      <c r="AM866" s="436"/>
      <c r="AN866" s="438"/>
      <c r="AO866" s="531"/>
      <c r="AP866" s="491"/>
      <c r="AQ866" s="438"/>
      <c r="AR866" s="438"/>
      <c r="AS866" s="438"/>
      <c r="AT866" s="448"/>
      <c r="AU866" s="452"/>
      <c r="AV866" s="438"/>
      <c r="AW866" s="438"/>
      <c r="AX866" s="450"/>
    </row>
    <row r="867">
      <c r="A867" s="435"/>
      <c r="B867" s="485"/>
      <c r="C867" s="486"/>
      <c r="D867" s="486"/>
      <c r="E867" s="486"/>
      <c r="F867" s="528"/>
      <c r="G867" s="486"/>
      <c r="H867" s="486"/>
      <c r="I867" s="491"/>
      <c r="J867" s="491"/>
      <c r="K867" s="491"/>
      <c r="L867" s="491"/>
      <c r="M867" s="486"/>
      <c r="N867" s="422"/>
      <c r="O867" s="422"/>
      <c r="P867" s="422"/>
      <c r="Q867" s="486"/>
      <c r="R867" s="491"/>
      <c r="S867" s="491"/>
      <c r="T867" s="491"/>
      <c r="U867" s="491"/>
      <c r="V867" s="491"/>
      <c r="W867" s="493"/>
      <c r="X867" s="486"/>
      <c r="Y867" s="442"/>
      <c r="Z867" s="491"/>
      <c r="AA867" s="524"/>
      <c r="AB867" s="494"/>
      <c r="AC867" s="436"/>
      <c r="AD867" s="495"/>
      <c r="AE867" s="496"/>
      <c r="AF867" s="531"/>
      <c r="AG867" s="491"/>
      <c r="AH867" s="525"/>
      <c r="AI867" s="491"/>
      <c r="AJ867" s="446"/>
      <c r="AK867" s="491"/>
      <c r="AL867" s="500"/>
      <c r="AM867" s="436"/>
      <c r="AN867" s="438"/>
      <c r="AO867" s="531"/>
      <c r="AP867" s="491"/>
      <c r="AQ867" s="438"/>
      <c r="AR867" s="438"/>
      <c r="AS867" s="438"/>
      <c r="AT867" s="448"/>
      <c r="AU867" s="449"/>
      <c r="AV867" s="438"/>
      <c r="AW867" s="438"/>
      <c r="AX867" s="450"/>
    </row>
    <row r="868">
      <c r="A868" s="435"/>
      <c r="B868" s="485"/>
      <c r="C868" s="486"/>
      <c r="D868" s="486"/>
      <c r="E868" s="486"/>
      <c r="F868" s="528"/>
      <c r="G868" s="486"/>
      <c r="H868" s="486"/>
      <c r="I868" s="491"/>
      <c r="J868" s="491"/>
      <c r="K868" s="491"/>
      <c r="L868" s="491"/>
      <c r="M868" s="486"/>
      <c r="N868" s="422"/>
      <c r="O868" s="422"/>
      <c r="P868" s="422"/>
      <c r="Q868" s="486"/>
      <c r="R868" s="491"/>
      <c r="S868" s="491"/>
      <c r="T868" s="491"/>
      <c r="U868" s="491"/>
      <c r="V868" s="491"/>
      <c r="W868" s="493"/>
      <c r="X868" s="486"/>
      <c r="Y868" s="442"/>
      <c r="Z868" s="491"/>
      <c r="AA868" s="524"/>
      <c r="AB868" s="494"/>
      <c r="AC868" s="436"/>
      <c r="AD868" s="495"/>
      <c r="AE868" s="496"/>
      <c r="AF868" s="531"/>
      <c r="AG868" s="491"/>
      <c r="AH868" s="525"/>
      <c r="AI868" s="491"/>
      <c r="AJ868" s="446"/>
      <c r="AK868" s="491"/>
      <c r="AL868" s="500"/>
      <c r="AM868" s="436"/>
      <c r="AN868" s="438"/>
      <c r="AO868" s="531"/>
      <c r="AP868" s="491"/>
      <c r="AQ868" s="438"/>
      <c r="AR868" s="438"/>
      <c r="AS868" s="438"/>
      <c r="AT868" s="448"/>
      <c r="AU868" s="452"/>
      <c r="AV868" s="438"/>
      <c r="AW868" s="438"/>
      <c r="AX868" s="450"/>
    </row>
    <row r="869">
      <c r="A869" s="435"/>
      <c r="B869" s="485"/>
      <c r="C869" s="486"/>
      <c r="D869" s="486"/>
      <c r="E869" s="486"/>
      <c r="F869" s="528"/>
      <c r="G869" s="486"/>
      <c r="H869" s="486"/>
      <c r="I869" s="491"/>
      <c r="J869" s="491"/>
      <c r="K869" s="491"/>
      <c r="L869" s="491"/>
      <c r="M869" s="486"/>
      <c r="N869" s="422"/>
      <c r="O869" s="422"/>
      <c r="P869" s="422"/>
      <c r="Q869" s="486"/>
      <c r="R869" s="491"/>
      <c r="S869" s="491"/>
      <c r="T869" s="491"/>
      <c r="U869" s="491"/>
      <c r="V869" s="491"/>
      <c r="W869" s="493"/>
      <c r="X869" s="486"/>
      <c r="Y869" s="442"/>
      <c r="Z869" s="491"/>
      <c r="AA869" s="524"/>
      <c r="AB869" s="494"/>
      <c r="AC869" s="436"/>
      <c r="AD869" s="495"/>
      <c r="AE869" s="496"/>
      <c r="AF869" s="531"/>
      <c r="AG869" s="491"/>
      <c r="AH869" s="525"/>
      <c r="AI869" s="491"/>
      <c r="AJ869" s="446"/>
      <c r="AK869" s="491"/>
      <c r="AL869" s="500"/>
      <c r="AM869" s="436"/>
      <c r="AN869" s="438"/>
      <c r="AO869" s="531"/>
      <c r="AP869" s="491"/>
      <c r="AQ869" s="438"/>
      <c r="AR869" s="438"/>
      <c r="AS869" s="438"/>
      <c r="AT869" s="448"/>
      <c r="AU869" s="449"/>
      <c r="AV869" s="438"/>
      <c r="AW869" s="438"/>
      <c r="AX869" s="450"/>
    </row>
    <row r="870">
      <c r="A870" s="435"/>
      <c r="B870" s="485"/>
      <c r="C870" s="486"/>
      <c r="D870" s="486"/>
      <c r="E870" s="486"/>
      <c r="F870" s="528"/>
      <c r="G870" s="486"/>
      <c r="H870" s="486"/>
      <c r="I870" s="491"/>
      <c r="J870" s="491"/>
      <c r="K870" s="491"/>
      <c r="L870" s="491"/>
      <c r="M870" s="486"/>
      <c r="N870" s="422"/>
      <c r="O870" s="422"/>
      <c r="P870" s="422"/>
      <c r="Q870" s="486"/>
      <c r="R870" s="491"/>
      <c r="S870" s="491"/>
      <c r="T870" s="491"/>
      <c r="U870" s="491"/>
      <c r="V870" s="491"/>
      <c r="W870" s="493"/>
      <c r="X870" s="486"/>
      <c r="Y870" s="442"/>
      <c r="Z870" s="491"/>
      <c r="AA870" s="524"/>
      <c r="AB870" s="494"/>
      <c r="AC870" s="436"/>
      <c r="AD870" s="495"/>
      <c r="AE870" s="496"/>
      <c r="AF870" s="531"/>
      <c r="AG870" s="491"/>
      <c r="AH870" s="525"/>
      <c r="AI870" s="491"/>
      <c r="AJ870" s="446"/>
      <c r="AK870" s="491"/>
      <c r="AL870" s="500"/>
      <c r="AM870" s="436"/>
      <c r="AN870" s="438"/>
      <c r="AO870" s="531"/>
      <c r="AP870" s="491"/>
      <c r="AQ870" s="438"/>
      <c r="AR870" s="438"/>
      <c r="AS870" s="438"/>
      <c r="AT870" s="448"/>
      <c r="AU870" s="452"/>
      <c r="AV870" s="438"/>
      <c r="AW870" s="438"/>
      <c r="AX870" s="450"/>
    </row>
    <row r="871">
      <c r="A871" s="435"/>
      <c r="B871" s="485"/>
      <c r="C871" s="486"/>
      <c r="D871" s="486"/>
      <c r="E871" s="486"/>
      <c r="F871" s="528"/>
      <c r="G871" s="486"/>
      <c r="H871" s="486"/>
      <c r="I871" s="491"/>
      <c r="J871" s="491"/>
      <c r="K871" s="491"/>
      <c r="L871" s="491"/>
      <c r="M871" s="486"/>
      <c r="N871" s="422"/>
      <c r="O871" s="422"/>
      <c r="P871" s="422"/>
      <c r="Q871" s="486"/>
      <c r="R871" s="491"/>
      <c r="S871" s="491"/>
      <c r="T871" s="491"/>
      <c r="U871" s="491"/>
      <c r="V871" s="491"/>
      <c r="W871" s="493"/>
      <c r="X871" s="486"/>
      <c r="Y871" s="442"/>
      <c r="Z871" s="491"/>
      <c r="AA871" s="524"/>
      <c r="AB871" s="494"/>
      <c r="AC871" s="436"/>
      <c r="AD871" s="495"/>
      <c r="AE871" s="496"/>
      <c r="AF871" s="531"/>
      <c r="AG871" s="491"/>
      <c r="AH871" s="525"/>
      <c r="AI871" s="491"/>
      <c r="AJ871" s="446"/>
      <c r="AK871" s="491"/>
      <c r="AL871" s="500"/>
      <c r="AM871" s="436"/>
      <c r="AN871" s="438"/>
      <c r="AO871" s="531"/>
      <c r="AP871" s="491"/>
      <c r="AQ871" s="438"/>
      <c r="AR871" s="438"/>
      <c r="AS871" s="438"/>
      <c r="AT871" s="448"/>
      <c r="AU871" s="449"/>
      <c r="AV871" s="438"/>
      <c r="AW871" s="438"/>
      <c r="AX871" s="450"/>
    </row>
    <row r="872">
      <c r="A872" s="435"/>
      <c r="B872" s="485"/>
      <c r="C872" s="486"/>
      <c r="D872" s="486"/>
      <c r="E872" s="486"/>
      <c r="F872" s="528"/>
      <c r="G872" s="486"/>
      <c r="H872" s="486"/>
      <c r="I872" s="491"/>
      <c r="J872" s="491"/>
      <c r="K872" s="491"/>
      <c r="L872" s="491"/>
      <c r="M872" s="486"/>
      <c r="N872" s="422"/>
      <c r="O872" s="422"/>
      <c r="P872" s="422"/>
      <c r="Q872" s="486"/>
      <c r="R872" s="491"/>
      <c r="S872" s="491"/>
      <c r="T872" s="491"/>
      <c r="U872" s="491"/>
      <c r="V872" s="491"/>
      <c r="W872" s="493"/>
      <c r="X872" s="486"/>
      <c r="Y872" s="442"/>
      <c r="Z872" s="491"/>
      <c r="AA872" s="524"/>
      <c r="AB872" s="494"/>
      <c r="AC872" s="436"/>
      <c r="AD872" s="495"/>
      <c r="AE872" s="496"/>
      <c r="AF872" s="531"/>
      <c r="AG872" s="491"/>
      <c r="AH872" s="525"/>
      <c r="AI872" s="491"/>
      <c r="AJ872" s="446"/>
      <c r="AK872" s="491"/>
      <c r="AL872" s="500"/>
      <c r="AM872" s="436"/>
      <c r="AN872" s="438"/>
      <c r="AO872" s="531"/>
      <c r="AP872" s="491"/>
      <c r="AQ872" s="438"/>
      <c r="AR872" s="438"/>
      <c r="AS872" s="438"/>
      <c r="AT872" s="448"/>
      <c r="AU872" s="452"/>
      <c r="AV872" s="438"/>
      <c r="AW872" s="438"/>
      <c r="AX872" s="450"/>
    </row>
    <row r="873">
      <c r="A873" s="435"/>
      <c r="B873" s="485"/>
      <c r="C873" s="486"/>
      <c r="D873" s="486"/>
      <c r="E873" s="486"/>
      <c r="F873" s="528"/>
      <c r="G873" s="486"/>
      <c r="H873" s="486"/>
      <c r="I873" s="491"/>
      <c r="J873" s="491"/>
      <c r="K873" s="491"/>
      <c r="L873" s="491"/>
      <c r="M873" s="486"/>
      <c r="N873" s="422"/>
      <c r="O873" s="422"/>
      <c r="P873" s="422"/>
      <c r="Q873" s="486"/>
      <c r="R873" s="491"/>
      <c r="S873" s="491"/>
      <c r="T873" s="491"/>
      <c r="U873" s="491"/>
      <c r="V873" s="491"/>
      <c r="W873" s="493"/>
      <c r="X873" s="486"/>
      <c r="Y873" s="442"/>
      <c r="Z873" s="491"/>
      <c r="AA873" s="524"/>
      <c r="AB873" s="494"/>
      <c r="AC873" s="436"/>
      <c r="AD873" s="495"/>
      <c r="AE873" s="496"/>
      <c r="AF873" s="531"/>
      <c r="AG873" s="491"/>
      <c r="AH873" s="525"/>
      <c r="AI873" s="491"/>
      <c r="AJ873" s="446"/>
      <c r="AK873" s="491"/>
      <c r="AL873" s="500"/>
      <c r="AM873" s="436"/>
      <c r="AN873" s="438"/>
      <c r="AO873" s="531"/>
      <c r="AP873" s="491"/>
      <c r="AQ873" s="438"/>
      <c r="AR873" s="438"/>
      <c r="AS873" s="438"/>
      <c r="AT873" s="448"/>
      <c r="AU873" s="449"/>
      <c r="AV873" s="438"/>
      <c r="AW873" s="438"/>
      <c r="AX873" s="450"/>
    </row>
    <row r="874">
      <c r="A874" s="435"/>
      <c r="B874" s="485"/>
      <c r="C874" s="486"/>
      <c r="D874" s="486"/>
      <c r="E874" s="486"/>
      <c r="F874" s="528"/>
      <c r="G874" s="486"/>
      <c r="H874" s="486"/>
      <c r="I874" s="491"/>
      <c r="J874" s="491"/>
      <c r="K874" s="491"/>
      <c r="L874" s="491"/>
      <c r="M874" s="486"/>
      <c r="N874" s="422"/>
      <c r="O874" s="422"/>
      <c r="P874" s="422"/>
      <c r="Q874" s="486"/>
      <c r="R874" s="491"/>
      <c r="S874" s="491"/>
      <c r="T874" s="491"/>
      <c r="U874" s="491"/>
      <c r="V874" s="491"/>
      <c r="W874" s="493"/>
      <c r="X874" s="486"/>
      <c r="Y874" s="442"/>
      <c r="Z874" s="491"/>
      <c r="AA874" s="524"/>
      <c r="AB874" s="494"/>
      <c r="AC874" s="436"/>
      <c r="AD874" s="495"/>
      <c r="AE874" s="496"/>
      <c r="AF874" s="531"/>
      <c r="AG874" s="491"/>
      <c r="AH874" s="525"/>
      <c r="AI874" s="491"/>
      <c r="AJ874" s="446"/>
      <c r="AK874" s="491"/>
      <c r="AL874" s="500"/>
      <c r="AM874" s="436"/>
      <c r="AN874" s="438"/>
      <c r="AO874" s="531"/>
      <c r="AP874" s="491"/>
      <c r="AQ874" s="438"/>
      <c r="AR874" s="438"/>
      <c r="AS874" s="438"/>
      <c r="AT874" s="448"/>
      <c r="AU874" s="452"/>
      <c r="AV874" s="438"/>
      <c r="AW874" s="438"/>
      <c r="AX874" s="450"/>
    </row>
    <row r="875">
      <c r="A875" s="435"/>
      <c r="B875" s="485"/>
      <c r="C875" s="486"/>
      <c r="D875" s="486"/>
      <c r="E875" s="486"/>
      <c r="F875" s="528"/>
      <c r="G875" s="486"/>
      <c r="H875" s="486"/>
      <c r="I875" s="491"/>
      <c r="J875" s="491"/>
      <c r="K875" s="491"/>
      <c r="L875" s="491"/>
      <c r="M875" s="486"/>
      <c r="N875" s="422"/>
      <c r="O875" s="422"/>
      <c r="P875" s="422"/>
      <c r="Q875" s="486"/>
      <c r="R875" s="491"/>
      <c r="S875" s="491"/>
      <c r="T875" s="491"/>
      <c r="U875" s="491"/>
      <c r="V875" s="491"/>
      <c r="W875" s="493"/>
      <c r="X875" s="486"/>
      <c r="Y875" s="442"/>
      <c r="Z875" s="491"/>
      <c r="AA875" s="524"/>
      <c r="AB875" s="494"/>
      <c r="AC875" s="436"/>
      <c r="AD875" s="495"/>
      <c r="AE875" s="496"/>
      <c r="AF875" s="531"/>
      <c r="AG875" s="491"/>
      <c r="AH875" s="525"/>
      <c r="AI875" s="491"/>
      <c r="AJ875" s="446"/>
      <c r="AK875" s="491"/>
      <c r="AL875" s="500"/>
      <c r="AM875" s="436"/>
      <c r="AN875" s="438"/>
      <c r="AO875" s="531"/>
      <c r="AP875" s="491"/>
      <c r="AQ875" s="438"/>
      <c r="AR875" s="438"/>
      <c r="AS875" s="438"/>
      <c r="AT875" s="448"/>
      <c r="AU875" s="449"/>
      <c r="AV875" s="438"/>
      <c r="AW875" s="438"/>
      <c r="AX875" s="450"/>
    </row>
    <row r="876">
      <c r="A876" s="435"/>
      <c r="B876" s="485"/>
      <c r="C876" s="486"/>
      <c r="D876" s="486"/>
      <c r="E876" s="486"/>
      <c r="F876" s="528"/>
      <c r="G876" s="486"/>
      <c r="H876" s="486"/>
      <c r="I876" s="491"/>
      <c r="J876" s="491"/>
      <c r="K876" s="491"/>
      <c r="L876" s="491"/>
      <c r="M876" s="486"/>
      <c r="N876" s="422"/>
      <c r="O876" s="422"/>
      <c r="P876" s="422"/>
      <c r="Q876" s="486"/>
      <c r="R876" s="491"/>
      <c r="S876" s="491"/>
      <c r="T876" s="491"/>
      <c r="U876" s="491"/>
      <c r="V876" s="491"/>
      <c r="W876" s="493"/>
      <c r="X876" s="486"/>
      <c r="Y876" s="442"/>
      <c r="Z876" s="491"/>
      <c r="AA876" s="524"/>
      <c r="AB876" s="494"/>
      <c r="AC876" s="436"/>
      <c r="AD876" s="495"/>
      <c r="AE876" s="496"/>
      <c r="AF876" s="531"/>
      <c r="AG876" s="491"/>
      <c r="AH876" s="525"/>
      <c r="AI876" s="491"/>
      <c r="AJ876" s="446"/>
      <c r="AK876" s="491"/>
      <c r="AL876" s="500"/>
      <c r="AM876" s="436"/>
      <c r="AN876" s="438"/>
      <c r="AO876" s="531"/>
      <c r="AP876" s="491"/>
      <c r="AQ876" s="438"/>
      <c r="AR876" s="438"/>
      <c r="AS876" s="438"/>
      <c r="AT876" s="448"/>
      <c r="AU876" s="452"/>
      <c r="AV876" s="438"/>
      <c r="AW876" s="438"/>
      <c r="AX876" s="450"/>
    </row>
    <row r="877">
      <c r="A877" s="435"/>
      <c r="B877" s="485"/>
      <c r="C877" s="486"/>
      <c r="D877" s="486"/>
      <c r="E877" s="486"/>
      <c r="F877" s="528"/>
      <c r="G877" s="486"/>
      <c r="H877" s="486"/>
      <c r="I877" s="491"/>
      <c r="J877" s="491"/>
      <c r="K877" s="491"/>
      <c r="L877" s="491"/>
      <c r="M877" s="486"/>
      <c r="N877" s="422"/>
      <c r="O877" s="422"/>
      <c r="P877" s="422"/>
      <c r="Q877" s="486"/>
      <c r="R877" s="491"/>
      <c r="S877" s="491"/>
      <c r="T877" s="491"/>
      <c r="U877" s="491"/>
      <c r="V877" s="491"/>
      <c r="W877" s="493"/>
      <c r="X877" s="486"/>
      <c r="Y877" s="442"/>
      <c r="Z877" s="491"/>
      <c r="AA877" s="524"/>
      <c r="AB877" s="494"/>
      <c r="AC877" s="436"/>
      <c r="AD877" s="495"/>
      <c r="AE877" s="496"/>
      <c r="AF877" s="531"/>
      <c r="AG877" s="491"/>
      <c r="AH877" s="525"/>
      <c r="AI877" s="491"/>
      <c r="AJ877" s="446"/>
      <c r="AK877" s="491"/>
      <c r="AL877" s="500"/>
      <c r="AM877" s="436"/>
      <c r="AN877" s="438"/>
      <c r="AO877" s="531"/>
      <c r="AP877" s="491"/>
      <c r="AQ877" s="438"/>
      <c r="AR877" s="438"/>
      <c r="AS877" s="438"/>
      <c r="AT877" s="448"/>
      <c r="AU877" s="449"/>
      <c r="AV877" s="438"/>
      <c r="AW877" s="438"/>
      <c r="AX877" s="450"/>
    </row>
    <row r="878">
      <c r="A878" s="435"/>
      <c r="B878" s="485"/>
      <c r="C878" s="486"/>
      <c r="D878" s="486"/>
      <c r="E878" s="486"/>
      <c r="F878" s="528"/>
      <c r="G878" s="486"/>
      <c r="H878" s="486"/>
      <c r="I878" s="491"/>
      <c r="J878" s="491"/>
      <c r="K878" s="491"/>
      <c r="L878" s="491"/>
      <c r="M878" s="486"/>
      <c r="N878" s="422"/>
      <c r="O878" s="422"/>
      <c r="P878" s="422"/>
      <c r="Q878" s="486"/>
      <c r="R878" s="491"/>
      <c r="S878" s="491"/>
      <c r="T878" s="491"/>
      <c r="U878" s="491"/>
      <c r="V878" s="491"/>
      <c r="W878" s="493"/>
      <c r="X878" s="486"/>
      <c r="Y878" s="442"/>
      <c r="Z878" s="491"/>
      <c r="AA878" s="524"/>
      <c r="AB878" s="494"/>
      <c r="AC878" s="436"/>
      <c r="AD878" s="495"/>
      <c r="AE878" s="496"/>
      <c r="AF878" s="531"/>
      <c r="AG878" s="491"/>
      <c r="AH878" s="525"/>
      <c r="AI878" s="491"/>
      <c r="AJ878" s="446"/>
      <c r="AK878" s="491"/>
      <c r="AL878" s="500"/>
      <c r="AM878" s="436"/>
      <c r="AN878" s="438"/>
      <c r="AO878" s="531"/>
      <c r="AP878" s="491"/>
      <c r="AQ878" s="438"/>
      <c r="AR878" s="438"/>
      <c r="AS878" s="438"/>
      <c r="AT878" s="448"/>
      <c r="AU878" s="452"/>
      <c r="AV878" s="438"/>
      <c r="AW878" s="438"/>
      <c r="AX878" s="450"/>
    </row>
    <row r="879">
      <c r="A879" s="435"/>
      <c r="B879" s="485"/>
      <c r="C879" s="486"/>
      <c r="D879" s="486"/>
      <c r="E879" s="486"/>
      <c r="F879" s="528"/>
      <c r="G879" s="486"/>
      <c r="H879" s="486"/>
      <c r="I879" s="491"/>
      <c r="J879" s="491"/>
      <c r="K879" s="491"/>
      <c r="L879" s="491"/>
      <c r="M879" s="486"/>
      <c r="N879" s="422"/>
      <c r="O879" s="422"/>
      <c r="P879" s="422"/>
      <c r="Q879" s="486"/>
      <c r="R879" s="491"/>
      <c r="S879" s="491"/>
      <c r="T879" s="491"/>
      <c r="U879" s="491"/>
      <c r="V879" s="491"/>
      <c r="W879" s="493"/>
      <c r="X879" s="486"/>
      <c r="Y879" s="442"/>
      <c r="Z879" s="491"/>
      <c r="AA879" s="524"/>
      <c r="AB879" s="494"/>
      <c r="AC879" s="436"/>
      <c r="AD879" s="495"/>
      <c r="AE879" s="496"/>
      <c r="AF879" s="531"/>
      <c r="AG879" s="491"/>
      <c r="AH879" s="525"/>
      <c r="AI879" s="491"/>
      <c r="AJ879" s="446"/>
      <c r="AK879" s="491"/>
      <c r="AL879" s="500"/>
      <c r="AM879" s="436"/>
      <c r="AN879" s="438"/>
      <c r="AO879" s="531"/>
      <c r="AP879" s="491"/>
      <c r="AQ879" s="438"/>
      <c r="AR879" s="438"/>
      <c r="AS879" s="438"/>
      <c r="AT879" s="448"/>
      <c r="AU879" s="449"/>
      <c r="AV879" s="438"/>
      <c r="AW879" s="438"/>
      <c r="AX879" s="450"/>
    </row>
    <row r="880">
      <c r="A880" s="435"/>
      <c r="B880" s="485"/>
      <c r="C880" s="486"/>
      <c r="D880" s="486"/>
      <c r="E880" s="486"/>
      <c r="F880" s="528"/>
      <c r="G880" s="486"/>
      <c r="H880" s="486"/>
      <c r="I880" s="491"/>
      <c r="J880" s="491"/>
      <c r="K880" s="491"/>
      <c r="L880" s="491"/>
      <c r="M880" s="486"/>
      <c r="N880" s="422"/>
      <c r="O880" s="422"/>
      <c r="P880" s="422"/>
      <c r="Q880" s="486"/>
      <c r="R880" s="491"/>
      <c r="S880" s="491"/>
      <c r="T880" s="491"/>
      <c r="U880" s="491"/>
      <c r="V880" s="491"/>
      <c r="W880" s="493"/>
      <c r="X880" s="486"/>
      <c r="Y880" s="442"/>
      <c r="Z880" s="491"/>
      <c r="AA880" s="524"/>
      <c r="AB880" s="494"/>
      <c r="AC880" s="436"/>
      <c r="AD880" s="495"/>
      <c r="AE880" s="496"/>
      <c r="AF880" s="531"/>
      <c r="AG880" s="491"/>
      <c r="AH880" s="525"/>
      <c r="AI880" s="491"/>
      <c r="AJ880" s="446"/>
      <c r="AK880" s="491"/>
      <c r="AL880" s="500"/>
      <c r="AM880" s="436"/>
      <c r="AN880" s="438"/>
      <c r="AO880" s="531"/>
      <c r="AP880" s="491"/>
      <c r="AQ880" s="438"/>
      <c r="AR880" s="438"/>
      <c r="AS880" s="438"/>
      <c r="AT880" s="448"/>
      <c r="AU880" s="452"/>
      <c r="AV880" s="438"/>
      <c r="AW880" s="438"/>
      <c r="AX880" s="450"/>
    </row>
    <row r="881">
      <c r="A881" s="435"/>
      <c r="B881" s="485"/>
      <c r="C881" s="486"/>
      <c r="D881" s="486"/>
      <c r="E881" s="486"/>
      <c r="F881" s="528"/>
      <c r="G881" s="486"/>
      <c r="H881" s="486"/>
      <c r="I881" s="491"/>
      <c r="J881" s="491"/>
      <c r="K881" s="491"/>
      <c r="L881" s="491"/>
      <c r="M881" s="486"/>
      <c r="N881" s="422"/>
      <c r="O881" s="422"/>
      <c r="P881" s="422"/>
      <c r="Q881" s="486"/>
      <c r="R881" s="491"/>
      <c r="S881" s="491"/>
      <c r="T881" s="491"/>
      <c r="U881" s="491"/>
      <c r="V881" s="491"/>
      <c r="W881" s="493"/>
      <c r="X881" s="486"/>
      <c r="Y881" s="442"/>
      <c r="Z881" s="491"/>
      <c r="AA881" s="524"/>
      <c r="AB881" s="494"/>
      <c r="AC881" s="436"/>
      <c r="AD881" s="495"/>
      <c r="AE881" s="496"/>
      <c r="AF881" s="531"/>
      <c r="AG881" s="491"/>
      <c r="AH881" s="525"/>
      <c r="AI881" s="491"/>
      <c r="AJ881" s="446"/>
      <c r="AK881" s="491"/>
      <c r="AL881" s="500"/>
      <c r="AM881" s="436"/>
      <c r="AN881" s="438"/>
      <c r="AO881" s="531"/>
      <c r="AP881" s="491"/>
      <c r="AQ881" s="438"/>
      <c r="AR881" s="438"/>
      <c r="AS881" s="438"/>
      <c r="AT881" s="448"/>
      <c r="AU881" s="449"/>
      <c r="AV881" s="438"/>
      <c r="AW881" s="438"/>
      <c r="AX881" s="450"/>
    </row>
    <row r="882">
      <c r="A882" s="435"/>
      <c r="B882" s="485"/>
      <c r="C882" s="486"/>
      <c r="D882" s="486"/>
      <c r="E882" s="486"/>
      <c r="F882" s="528"/>
      <c r="G882" s="486"/>
      <c r="H882" s="486"/>
      <c r="I882" s="491"/>
      <c r="J882" s="491"/>
      <c r="K882" s="491"/>
      <c r="L882" s="491"/>
      <c r="M882" s="486"/>
      <c r="N882" s="422"/>
      <c r="O882" s="422"/>
      <c r="P882" s="422"/>
      <c r="Q882" s="486"/>
      <c r="R882" s="491"/>
      <c r="S882" s="491"/>
      <c r="T882" s="491"/>
      <c r="U882" s="491"/>
      <c r="V882" s="491"/>
      <c r="W882" s="493"/>
      <c r="X882" s="486"/>
      <c r="Y882" s="442"/>
      <c r="Z882" s="491"/>
      <c r="AA882" s="524"/>
      <c r="AB882" s="494"/>
      <c r="AC882" s="436"/>
      <c r="AD882" s="495"/>
      <c r="AE882" s="496"/>
      <c r="AF882" s="531"/>
      <c r="AG882" s="491"/>
      <c r="AH882" s="525"/>
      <c r="AI882" s="491"/>
      <c r="AJ882" s="446"/>
      <c r="AK882" s="491"/>
      <c r="AL882" s="500"/>
      <c r="AM882" s="436"/>
      <c r="AN882" s="438"/>
      <c r="AO882" s="531"/>
      <c r="AP882" s="491"/>
      <c r="AQ882" s="438"/>
      <c r="AR882" s="438"/>
      <c r="AS882" s="438"/>
      <c r="AT882" s="448"/>
      <c r="AU882" s="452"/>
      <c r="AV882" s="438"/>
      <c r="AW882" s="438"/>
      <c r="AX882" s="450"/>
    </row>
    <row r="883">
      <c r="A883" s="435"/>
      <c r="B883" s="485"/>
      <c r="C883" s="486"/>
      <c r="D883" s="486"/>
      <c r="E883" s="486"/>
      <c r="F883" s="528"/>
      <c r="G883" s="486"/>
      <c r="H883" s="486"/>
      <c r="I883" s="491"/>
      <c r="J883" s="491"/>
      <c r="K883" s="491"/>
      <c r="L883" s="491"/>
      <c r="M883" s="486"/>
      <c r="N883" s="422"/>
      <c r="O883" s="422"/>
      <c r="P883" s="422"/>
      <c r="Q883" s="486"/>
      <c r="R883" s="491"/>
      <c r="S883" s="491"/>
      <c r="T883" s="491"/>
      <c r="U883" s="491"/>
      <c r="V883" s="491"/>
      <c r="W883" s="493"/>
      <c r="X883" s="486"/>
      <c r="Y883" s="442"/>
      <c r="Z883" s="491"/>
      <c r="AA883" s="524"/>
      <c r="AB883" s="494"/>
      <c r="AC883" s="436"/>
      <c r="AD883" s="495"/>
      <c r="AE883" s="496"/>
      <c r="AF883" s="531"/>
      <c r="AG883" s="491"/>
      <c r="AH883" s="525"/>
      <c r="AI883" s="491"/>
      <c r="AJ883" s="446"/>
      <c r="AK883" s="491"/>
      <c r="AL883" s="500"/>
      <c r="AM883" s="436"/>
      <c r="AN883" s="438"/>
      <c r="AO883" s="531"/>
      <c r="AP883" s="491"/>
      <c r="AQ883" s="438"/>
      <c r="AR883" s="438"/>
      <c r="AS883" s="438"/>
      <c r="AT883" s="448"/>
      <c r="AU883" s="449"/>
      <c r="AV883" s="438"/>
      <c r="AW883" s="438"/>
      <c r="AX883" s="450"/>
    </row>
    <row r="884">
      <c r="A884" s="435"/>
      <c r="B884" s="485"/>
      <c r="C884" s="486"/>
      <c r="D884" s="486"/>
      <c r="E884" s="486"/>
      <c r="F884" s="528"/>
      <c r="G884" s="486"/>
      <c r="H884" s="486"/>
      <c r="I884" s="491"/>
      <c r="J884" s="491"/>
      <c r="K884" s="491"/>
      <c r="L884" s="491"/>
      <c r="M884" s="486"/>
      <c r="N884" s="422"/>
      <c r="O884" s="422"/>
      <c r="P884" s="422"/>
      <c r="Q884" s="486"/>
      <c r="R884" s="491"/>
      <c r="S884" s="491"/>
      <c r="T884" s="491"/>
      <c r="U884" s="491"/>
      <c r="V884" s="491"/>
      <c r="W884" s="493"/>
      <c r="X884" s="486"/>
      <c r="Y884" s="442"/>
      <c r="Z884" s="491"/>
      <c r="AA884" s="524"/>
      <c r="AB884" s="494"/>
      <c r="AC884" s="436"/>
      <c r="AD884" s="495"/>
      <c r="AE884" s="496"/>
      <c r="AF884" s="531"/>
      <c r="AG884" s="491"/>
      <c r="AH884" s="525"/>
      <c r="AI884" s="491"/>
      <c r="AJ884" s="446"/>
      <c r="AK884" s="491"/>
      <c r="AL884" s="500"/>
      <c r="AM884" s="436"/>
      <c r="AN884" s="438"/>
      <c r="AO884" s="531"/>
      <c r="AP884" s="491"/>
      <c r="AQ884" s="438"/>
      <c r="AR884" s="438"/>
      <c r="AS884" s="438"/>
      <c r="AT884" s="448"/>
      <c r="AU884" s="452"/>
      <c r="AV884" s="438"/>
      <c r="AW884" s="438"/>
      <c r="AX884" s="450"/>
    </row>
    <row r="885">
      <c r="A885" s="435"/>
      <c r="B885" s="485"/>
      <c r="C885" s="486"/>
      <c r="D885" s="486"/>
      <c r="E885" s="486"/>
      <c r="F885" s="528"/>
      <c r="G885" s="486"/>
      <c r="H885" s="486"/>
      <c r="I885" s="491"/>
      <c r="J885" s="491"/>
      <c r="K885" s="491"/>
      <c r="L885" s="491"/>
      <c r="M885" s="486"/>
      <c r="N885" s="422"/>
      <c r="O885" s="422"/>
      <c r="P885" s="422"/>
      <c r="Q885" s="486"/>
      <c r="R885" s="491"/>
      <c r="S885" s="491"/>
      <c r="T885" s="491"/>
      <c r="U885" s="491"/>
      <c r="V885" s="491"/>
      <c r="W885" s="493"/>
      <c r="X885" s="486"/>
      <c r="Y885" s="442"/>
      <c r="Z885" s="491"/>
      <c r="AA885" s="524"/>
      <c r="AB885" s="494"/>
      <c r="AC885" s="436"/>
      <c r="AD885" s="495"/>
      <c r="AE885" s="496"/>
      <c r="AF885" s="531"/>
      <c r="AG885" s="491"/>
      <c r="AH885" s="525"/>
      <c r="AI885" s="491"/>
      <c r="AJ885" s="446"/>
      <c r="AK885" s="491"/>
      <c r="AL885" s="500"/>
      <c r="AM885" s="436"/>
      <c r="AN885" s="438"/>
      <c r="AO885" s="531"/>
      <c r="AP885" s="491"/>
      <c r="AQ885" s="438"/>
      <c r="AR885" s="438"/>
      <c r="AS885" s="438"/>
      <c r="AT885" s="448"/>
      <c r="AU885" s="449"/>
      <c r="AV885" s="438"/>
      <c r="AW885" s="438"/>
      <c r="AX885" s="450"/>
    </row>
    <row r="886">
      <c r="A886" s="435"/>
      <c r="B886" s="485"/>
      <c r="C886" s="486"/>
      <c r="D886" s="486"/>
      <c r="E886" s="486"/>
      <c r="F886" s="528"/>
      <c r="G886" s="486"/>
      <c r="H886" s="486"/>
      <c r="I886" s="491"/>
      <c r="J886" s="491"/>
      <c r="K886" s="491"/>
      <c r="L886" s="491"/>
      <c r="M886" s="486"/>
      <c r="N886" s="422"/>
      <c r="O886" s="422"/>
      <c r="P886" s="422"/>
      <c r="Q886" s="486"/>
      <c r="R886" s="491"/>
      <c r="S886" s="491"/>
      <c r="T886" s="491"/>
      <c r="U886" s="491"/>
      <c r="V886" s="491"/>
      <c r="W886" s="493"/>
      <c r="X886" s="486"/>
      <c r="Y886" s="442"/>
      <c r="Z886" s="491"/>
      <c r="AA886" s="524"/>
      <c r="AB886" s="494"/>
      <c r="AC886" s="436"/>
      <c r="AD886" s="495"/>
      <c r="AE886" s="496"/>
      <c r="AF886" s="531"/>
      <c r="AG886" s="491"/>
      <c r="AH886" s="525"/>
      <c r="AI886" s="491"/>
      <c r="AJ886" s="446"/>
      <c r="AK886" s="491"/>
      <c r="AL886" s="500"/>
      <c r="AM886" s="436"/>
      <c r="AN886" s="438"/>
      <c r="AO886" s="531"/>
      <c r="AP886" s="491"/>
      <c r="AQ886" s="438"/>
      <c r="AR886" s="438"/>
      <c r="AS886" s="438"/>
      <c r="AT886" s="448"/>
      <c r="AU886" s="452"/>
      <c r="AV886" s="438"/>
      <c r="AW886" s="438"/>
      <c r="AX886" s="450"/>
    </row>
    <row r="887">
      <c r="A887" s="435"/>
      <c r="B887" s="485"/>
      <c r="C887" s="486"/>
      <c r="D887" s="486"/>
      <c r="E887" s="486"/>
      <c r="F887" s="528"/>
      <c r="G887" s="486"/>
      <c r="H887" s="486"/>
      <c r="I887" s="491"/>
      <c r="J887" s="491"/>
      <c r="K887" s="491"/>
      <c r="L887" s="491"/>
      <c r="M887" s="486"/>
      <c r="N887" s="422"/>
      <c r="O887" s="422"/>
      <c r="P887" s="422"/>
      <c r="Q887" s="486"/>
      <c r="R887" s="491"/>
      <c r="S887" s="491"/>
      <c r="T887" s="491"/>
      <c r="U887" s="491"/>
      <c r="V887" s="491"/>
      <c r="W887" s="493"/>
      <c r="X887" s="486"/>
      <c r="Y887" s="442"/>
      <c r="Z887" s="491"/>
      <c r="AA887" s="524"/>
      <c r="AB887" s="494"/>
      <c r="AC887" s="436"/>
      <c r="AD887" s="495"/>
      <c r="AE887" s="496"/>
      <c r="AF887" s="531"/>
      <c r="AG887" s="491"/>
      <c r="AH887" s="525"/>
      <c r="AI887" s="491"/>
      <c r="AJ887" s="446"/>
      <c r="AK887" s="491"/>
      <c r="AL887" s="500"/>
      <c r="AM887" s="436"/>
      <c r="AN887" s="438"/>
      <c r="AO887" s="531"/>
      <c r="AP887" s="491"/>
      <c r="AQ887" s="438"/>
      <c r="AR887" s="438"/>
      <c r="AS887" s="438"/>
      <c r="AT887" s="448"/>
      <c r="AU887" s="449"/>
      <c r="AV887" s="438"/>
      <c r="AW887" s="438"/>
      <c r="AX887" s="450"/>
    </row>
    <row r="888">
      <c r="A888" s="435"/>
      <c r="B888" s="485"/>
      <c r="C888" s="486"/>
      <c r="D888" s="486"/>
      <c r="E888" s="486"/>
      <c r="F888" s="528"/>
      <c r="G888" s="486"/>
      <c r="H888" s="486"/>
      <c r="I888" s="491"/>
      <c r="J888" s="491"/>
      <c r="K888" s="491"/>
      <c r="L888" s="491"/>
      <c r="M888" s="486"/>
      <c r="N888" s="422"/>
      <c r="O888" s="422"/>
      <c r="P888" s="422"/>
      <c r="Q888" s="486"/>
      <c r="R888" s="491"/>
      <c r="S888" s="491"/>
      <c r="T888" s="491"/>
      <c r="U888" s="491"/>
      <c r="V888" s="491"/>
      <c r="W888" s="493"/>
      <c r="X888" s="486"/>
      <c r="Y888" s="442"/>
      <c r="Z888" s="491"/>
      <c r="AA888" s="524"/>
      <c r="AB888" s="494"/>
      <c r="AC888" s="436"/>
      <c r="AD888" s="495"/>
      <c r="AE888" s="496"/>
      <c r="AF888" s="531"/>
      <c r="AG888" s="491"/>
      <c r="AH888" s="525"/>
      <c r="AI888" s="491"/>
      <c r="AJ888" s="446"/>
      <c r="AK888" s="491"/>
      <c r="AL888" s="500"/>
      <c r="AM888" s="436"/>
      <c r="AN888" s="438"/>
      <c r="AO888" s="531"/>
      <c r="AP888" s="491"/>
      <c r="AQ888" s="438"/>
      <c r="AR888" s="438"/>
      <c r="AS888" s="438"/>
      <c r="AT888" s="448"/>
      <c r="AU888" s="452"/>
      <c r="AV888" s="438"/>
      <c r="AW888" s="438"/>
      <c r="AX888" s="450"/>
    </row>
    <row r="889">
      <c r="A889" s="435"/>
      <c r="B889" s="485"/>
      <c r="C889" s="486"/>
      <c r="D889" s="486"/>
      <c r="E889" s="486"/>
      <c r="F889" s="528"/>
      <c r="G889" s="486"/>
      <c r="H889" s="486"/>
      <c r="I889" s="491"/>
      <c r="J889" s="491"/>
      <c r="K889" s="491"/>
      <c r="L889" s="491"/>
      <c r="M889" s="486"/>
      <c r="N889" s="422"/>
      <c r="O889" s="422"/>
      <c r="P889" s="422"/>
      <c r="Q889" s="486"/>
      <c r="R889" s="491"/>
      <c r="S889" s="491"/>
      <c r="T889" s="491"/>
      <c r="U889" s="491"/>
      <c r="V889" s="491"/>
      <c r="W889" s="493"/>
      <c r="X889" s="486"/>
      <c r="Y889" s="442"/>
      <c r="Z889" s="491"/>
      <c r="AA889" s="524"/>
      <c r="AB889" s="494"/>
      <c r="AC889" s="436"/>
      <c r="AD889" s="495"/>
      <c r="AE889" s="496"/>
      <c r="AF889" s="531"/>
      <c r="AG889" s="491"/>
      <c r="AH889" s="525"/>
      <c r="AI889" s="491"/>
      <c r="AJ889" s="446"/>
      <c r="AK889" s="491"/>
      <c r="AL889" s="500"/>
      <c r="AM889" s="436"/>
      <c r="AN889" s="438"/>
      <c r="AO889" s="531"/>
      <c r="AP889" s="491"/>
      <c r="AQ889" s="438"/>
      <c r="AR889" s="438"/>
      <c r="AS889" s="438"/>
      <c r="AT889" s="448"/>
      <c r="AU889" s="449"/>
      <c r="AV889" s="438"/>
      <c r="AW889" s="438"/>
      <c r="AX889" s="450"/>
    </row>
    <row r="890">
      <c r="A890" s="435"/>
      <c r="B890" s="485"/>
      <c r="C890" s="486"/>
      <c r="D890" s="486"/>
      <c r="E890" s="486"/>
      <c r="F890" s="528"/>
      <c r="G890" s="486"/>
      <c r="H890" s="486"/>
      <c r="I890" s="491"/>
      <c r="J890" s="491"/>
      <c r="K890" s="491"/>
      <c r="L890" s="491"/>
      <c r="M890" s="486"/>
      <c r="N890" s="422"/>
      <c r="O890" s="422"/>
      <c r="P890" s="422"/>
      <c r="Q890" s="486"/>
      <c r="R890" s="491"/>
      <c r="S890" s="491"/>
      <c r="T890" s="491"/>
      <c r="U890" s="491"/>
      <c r="V890" s="491"/>
      <c r="W890" s="493"/>
      <c r="X890" s="486"/>
      <c r="Y890" s="442"/>
      <c r="Z890" s="491"/>
      <c r="AA890" s="524"/>
      <c r="AB890" s="494"/>
      <c r="AC890" s="436"/>
      <c r="AD890" s="495"/>
      <c r="AE890" s="496"/>
      <c r="AF890" s="531"/>
      <c r="AG890" s="491"/>
      <c r="AH890" s="525"/>
      <c r="AI890" s="491"/>
      <c r="AJ890" s="446"/>
      <c r="AK890" s="491"/>
      <c r="AL890" s="500"/>
      <c r="AM890" s="436"/>
      <c r="AN890" s="438"/>
      <c r="AO890" s="531"/>
      <c r="AP890" s="491"/>
      <c r="AQ890" s="438"/>
      <c r="AR890" s="438"/>
      <c r="AS890" s="438"/>
      <c r="AT890" s="448"/>
      <c r="AU890" s="452"/>
      <c r="AV890" s="438"/>
      <c r="AW890" s="438"/>
      <c r="AX890" s="450"/>
    </row>
    <row r="891">
      <c r="A891" s="435"/>
      <c r="B891" s="485"/>
      <c r="C891" s="486"/>
      <c r="D891" s="486"/>
      <c r="E891" s="486"/>
      <c r="F891" s="528"/>
      <c r="G891" s="486"/>
      <c r="H891" s="486"/>
      <c r="I891" s="491"/>
      <c r="J891" s="491"/>
      <c r="K891" s="491"/>
      <c r="L891" s="491"/>
      <c r="M891" s="486"/>
      <c r="N891" s="422"/>
      <c r="O891" s="422"/>
      <c r="P891" s="422"/>
      <c r="Q891" s="486"/>
      <c r="R891" s="491"/>
      <c r="S891" s="491"/>
      <c r="T891" s="491"/>
      <c r="U891" s="491"/>
      <c r="V891" s="491"/>
      <c r="W891" s="493"/>
      <c r="X891" s="486"/>
      <c r="Y891" s="442"/>
      <c r="Z891" s="491"/>
      <c r="AA891" s="524"/>
      <c r="AB891" s="494"/>
      <c r="AC891" s="436"/>
      <c r="AD891" s="495"/>
      <c r="AE891" s="496"/>
      <c r="AF891" s="531"/>
      <c r="AG891" s="491"/>
      <c r="AH891" s="525"/>
      <c r="AI891" s="491"/>
      <c r="AJ891" s="446"/>
      <c r="AK891" s="491"/>
      <c r="AL891" s="500"/>
      <c r="AM891" s="436"/>
      <c r="AN891" s="438"/>
      <c r="AO891" s="531"/>
      <c r="AP891" s="491"/>
      <c r="AQ891" s="438"/>
      <c r="AR891" s="438"/>
      <c r="AS891" s="438"/>
      <c r="AT891" s="448"/>
      <c r="AU891" s="449"/>
      <c r="AV891" s="438"/>
      <c r="AW891" s="438"/>
      <c r="AX891" s="450"/>
    </row>
    <row r="892">
      <c r="A892" s="435"/>
      <c r="B892" s="485"/>
      <c r="C892" s="486"/>
      <c r="D892" s="486"/>
      <c r="E892" s="486"/>
      <c r="F892" s="528"/>
      <c r="G892" s="486"/>
      <c r="H892" s="486"/>
      <c r="I892" s="491"/>
      <c r="J892" s="491"/>
      <c r="K892" s="491"/>
      <c r="L892" s="491"/>
      <c r="M892" s="486"/>
      <c r="N892" s="422"/>
      <c r="O892" s="422"/>
      <c r="P892" s="422"/>
      <c r="Q892" s="486"/>
      <c r="R892" s="491"/>
      <c r="S892" s="491"/>
      <c r="T892" s="491"/>
      <c r="U892" s="491"/>
      <c r="V892" s="491"/>
      <c r="W892" s="493"/>
      <c r="X892" s="486"/>
      <c r="Y892" s="442"/>
      <c r="Z892" s="491"/>
      <c r="AA892" s="524"/>
      <c r="AB892" s="494"/>
      <c r="AC892" s="436"/>
      <c r="AD892" s="495"/>
      <c r="AE892" s="496"/>
      <c r="AF892" s="531"/>
      <c r="AG892" s="491"/>
      <c r="AH892" s="525"/>
      <c r="AI892" s="491"/>
      <c r="AJ892" s="446"/>
      <c r="AK892" s="491"/>
      <c r="AL892" s="500"/>
      <c r="AM892" s="436"/>
      <c r="AN892" s="438"/>
      <c r="AO892" s="531"/>
      <c r="AP892" s="491"/>
      <c r="AQ892" s="438"/>
      <c r="AR892" s="438"/>
      <c r="AS892" s="438"/>
      <c r="AT892" s="448"/>
      <c r="AU892" s="452"/>
      <c r="AV892" s="438"/>
      <c r="AW892" s="438"/>
      <c r="AX892" s="450"/>
    </row>
    <row r="893">
      <c r="A893" s="435"/>
      <c r="B893" s="485"/>
      <c r="C893" s="486"/>
      <c r="D893" s="486"/>
      <c r="E893" s="486"/>
      <c r="F893" s="528"/>
      <c r="G893" s="486"/>
      <c r="H893" s="486"/>
      <c r="I893" s="491"/>
      <c r="J893" s="491"/>
      <c r="K893" s="491"/>
      <c r="L893" s="491"/>
      <c r="M893" s="486"/>
      <c r="N893" s="422"/>
      <c r="O893" s="422"/>
      <c r="P893" s="422"/>
      <c r="Q893" s="486"/>
      <c r="R893" s="491"/>
      <c r="S893" s="491"/>
      <c r="T893" s="491"/>
      <c r="U893" s="491"/>
      <c r="V893" s="491"/>
      <c r="W893" s="493"/>
      <c r="X893" s="486"/>
      <c r="Y893" s="442"/>
      <c r="Z893" s="491"/>
      <c r="AA893" s="524"/>
      <c r="AB893" s="494"/>
      <c r="AC893" s="436"/>
      <c r="AD893" s="495"/>
      <c r="AE893" s="496"/>
      <c r="AF893" s="531"/>
      <c r="AG893" s="491"/>
      <c r="AH893" s="525"/>
      <c r="AI893" s="491"/>
      <c r="AJ893" s="446"/>
      <c r="AK893" s="491"/>
      <c r="AL893" s="500"/>
      <c r="AM893" s="436"/>
      <c r="AN893" s="438"/>
      <c r="AO893" s="531"/>
      <c r="AP893" s="491"/>
      <c r="AQ893" s="438"/>
      <c r="AR893" s="438"/>
      <c r="AS893" s="438"/>
      <c r="AT893" s="448"/>
      <c r="AU893" s="449"/>
      <c r="AV893" s="438"/>
      <c r="AW893" s="438"/>
      <c r="AX893" s="450"/>
    </row>
    <row r="894">
      <c r="A894" s="435"/>
      <c r="B894" s="485"/>
      <c r="C894" s="486"/>
      <c r="D894" s="486"/>
      <c r="E894" s="486"/>
      <c r="F894" s="528"/>
      <c r="G894" s="486"/>
      <c r="H894" s="486"/>
      <c r="I894" s="491"/>
      <c r="J894" s="491"/>
      <c r="K894" s="491"/>
      <c r="L894" s="491"/>
      <c r="M894" s="486"/>
      <c r="N894" s="422"/>
      <c r="O894" s="422"/>
      <c r="P894" s="422"/>
      <c r="Q894" s="486"/>
      <c r="R894" s="491"/>
      <c r="S894" s="491"/>
      <c r="T894" s="491"/>
      <c r="U894" s="491"/>
      <c r="V894" s="491"/>
      <c r="W894" s="493"/>
      <c r="X894" s="486"/>
      <c r="Y894" s="442"/>
      <c r="Z894" s="491"/>
      <c r="AA894" s="524"/>
      <c r="AB894" s="494"/>
      <c r="AC894" s="436"/>
      <c r="AD894" s="495"/>
      <c r="AE894" s="496"/>
      <c r="AF894" s="531"/>
      <c r="AG894" s="491"/>
      <c r="AH894" s="525"/>
      <c r="AI894" s="491"/>
      <c r="AJ894" s="446"/>
      <c r="AK894" s="491"/>
      <c r="AL894" s="500"/>
      <c r="AM894" s="436"/>
      <c r="AN894" s="438"/>
      <c r="AO894" s="531"/>
      <c r="AP894" s="491"/>
      <c r="AQ894" s="438"/>
      <c r="AR894" s="438"/>
      <c r="AS894" s="438"/>
      <c r="AT894" s="448"/>
      <c r="AU894" s="452"/>
      <c r="AV894" s="438"/>
      <c r="AW894" s="438"/>
      <c r="AX894" s="450"/>
    </row>
    <row r="895">
      <c r="A895" s="435"/>
      <c r="B895" s="485"/>
      <c r="C895" s="486"/>
      <c r="D895" s="486"/>
      <c r="E895" s="486"/>
      <c r="F895" s="528"/>
      <c r="G895" s="486"/>
      <c r="H895" s="486"/>
      <c r="I895" s="491"/>
      <c r="J895" s="491"/>
      <c r="K895" s="491"/>
      <c r="L895" s="491"/>
      <c r="M895" s="486"/>
      <c r="N895" s="422"/>
      <c r="O895" s="422"/>
      <c r="P895" s="422"/>
      <c r="Q895" s="486"/>
      <c r="R895" s="491"/>
      <c r="S895" s="491"/>
      <c r="T895" s="491"/>
      <c r="U895" s="491"/>
      <c r="V895" s="491"/>
      <c r="W895" s="493"/>
      <c r="X895" s="486"/>
      <c r="Y895" s="442"/>
      <c r="Z895" s="491"/>
      <c r="AA895" s="524"/>
      <c r="AB895" s="494"/>
      <c r="AC895" s="436"/>
      <c r="AD895" s="495"/>
      <c r="AE895" s="496"/>
      <c r="AF895" s="531"/>
      <c r="AG895" s="491"/>
      <c r="AH895" s="525"/>
      <c r="AI895" s="491"/>
      <c r="AJ895" s="446"/>
      <c r="AK895" s="491"/>
      <c r="AL895" s="500"/>
      <c r="AM895" s="436"/>
      <c r="AN895" s="438"/>
      <c r="AO895" s="531"/>
      <c r="AP895" s="491"/>
      <c r="AQ895" s="438"/>
      <c r="AR895" s="438"/>
      <c r="AS895" s="438"/>
      <c r="AT895" s="448"/>
      <c r="AU895" s="449"/>
      <c r="AV895" s="438"/>
      <c r="AW895" s="438"/>
      <c r="AX895" s="450"/>
    </row>
    <row r="896">
      <c r="A896" s="435"/>
      <c r="B896" s="485"/>
      <c r="C896" s="486"/>
      <c r="D896" s="486"/>
      <c r="E896" s="486"/>
      <c r="F896" s="528"/>
      <c r="G896" s="486"/>
      <c r="H896" s="486"/>
      <c r="I896" s="491"/>
      <c r="J896" s="491"/>
      <c r="K896" s="491"/>
      <c r="L896" s="491"/>
      <c r="M896" s="486"/>
      <c r="N896" s="422"/>
      <c r="O896" s="422"/>
      <c r="P896" s="422"/>
      <c r="Q896" s="486"/>
      <c r="R896" s="491"/>
      <c r="S896" s="491"/>
      <c r="T896" s="491"/>
      <c r="U896" s="491"/>
      <c r="V896" s="491"/>
      <c r="W896" s="493"/>
      <c r="X896" s="486"/>
      <c r="Y896" s="442"/>
      <c r="Z896" s="491"/>
      <c r="AA896" s="524"/>
      <c r="AB896" s="494"/>
      <c r="AC896" s="436"/>
      <c r="AD896" s="495"/>
      <c r="AE896" s="496"/>
      <c r="AF896" s="531"/>
      <c r="AG896" s="491"/>
      <c r="AH896" s="525"/>
      <c r="AI896" s="491"/>
      <c r="AJ896" s="446"/>
      <c r="AK896" s="491"/>
      <c r="AL896" s="500"/>
      <c r="AM896" s="436"/>
      <c r="AN896" s="438"/>
      <c r="AO896" s="531"/>
      <c r="AP896" s="491"/>
      <c r="AQ896" s="438"/>
      <c r="AR896" s="438"/>
      <c r="AS896" s="438"/>
      <c r="AT896" s="448"/>
      <c r="AU896" s="452"/>
      <c r="AV896" s="438"/>
      <c r="AW896" s="438"/>
      <c r="AX896" s="450"/>
    </row>
    <row r="897">
      <c r="A897" s="435"/>
      <c r="B897" s="485"/>
      <c r="C897" s="486"/>
      <c r="D897" s="486"/>
      <c r="E897" s="486"/>
      <c r="F897" s="528"/>
      <c r="G897" s="486"/>
      <c r="H897" s="486"/>
      <c r="I897" s="491"/>
      <c r="J897" s="491"/>
      <c r="K897" s="491"/>
      <c r="L897" s="491"/>
      <c r="M897" s="486"/>
      <c r="N897" s="422"/>
      <c r="O897" s="422"/>
      <c r="P897" s="422"/>
      <c r="Q897" s="486"/>
      <c r="R897" s="491"/>
      <c r="S897" s="491"/>
      <c r="T897" s="491"/>
      <c r="U897" s="491"/>
      <c r="V897" s="491"/>
      <c r="W897" s="493"/>
      <c r="X897" s="486"/>
      <c r="Y897" s="442"/>
      <c r="Z897" s="491"/>
      <c r="AA897" s="524"/>
      <c r="AB897" s="494"/>
      <c r="AC897" s="436"/>
      <c r="AD897" s="495"/>
      <c r="AE897" s="496"/>
      <c r="AF897" s="531"/>
      <c r="AG897" s="491"/>
      <c r="AH897" s="525"/>
      <c r="AI897" s="491"/>
      <c r="AJ897" s="446"/>
      <c r="AK897" s="491"/>
      <c r="AL897" s="500"/>
      <c r="AM897" s="436"/>
      <c r="AN897" s="438"/>
      <c r="AO897" s="531"/>
      <c r="AP897" s="491"/>
      <c r="AQ897" s="438"/>
      <c r="AR897" s="438"/>
      <c r="AS897" s="438"/>
      <c r="AT897" s="448"/>
      <c r="AU897" s="449"/>
      <c r="AV897" s="438"/>
      <c r="AW897" s="438"/>
      <c r="AX897" s="450"/>
    </row>
    <row r="898">
      <c r="A898" s="435"/>
      <c r="B898" s="485"/>
      <c r="C898" s="486"/>
      <c r="D898" s="486"/>
      <c r="E898" s="486"/>
      <c r="F898" s="528"/>
      <c r="G898" s="486"/>
      <c r="H898" s="486"/>
      <c r="I898" s="491"/>
      <c r="J898" s="491"/>
      <c r="K898" s="491"/>
      <c r="L898" s="491"/>
      <c r="M898" s="486"/>
      <c r="N898" s="422"/>
      <c r="O898" s="422"/>
      <c r="P898" s="422"/>
      <c r="Q898" s="486"/>
      <c r="R898" s="491"/>
      <c r="S898" s="491"/>
      <c r="T898" s="491"/>
      <c r="U898" s="491"/>
      <c r="V898" s="491"/>
      <c r="W898" s="493"/>
      <c r="X898" s="486"/>
      <c r="Y898" s="442"/>
      <c r="Z898" s="491"/>
      <c r="AA898" s="524"/>
      <c r="AB898" s="494"/>
      <c r="AC898" s="436"/>
      <c r="AD898" s="495"/>
      <c r="AE898" s="496"/>
      <c r="AF898" s="531"/>
      <c r="AG898" s="491"/>
      <c r="AH898" s="525"/>
      <c r="AI898" s="491"/>
      <c r="AJ898" s="446"/>
      <c r="AK898" s="491"/>
      <c r="AL898" s="500"/>
      <c r="AM898" s="436"/>
      <c r="AN898" s="438"/>
      <c r="AO898" s="531"/>
      <c r="AP898" s="491"/>
      <c r="AQ898" s="438"/>
      <c r="AR898" s="438"/>
      <c r="AS898" s="438"/>
      <c r="AT898" s="448"/>
      <c r="AU898" s="452"/>
      <c r="AV898" s="438"/>
      <c r="AW898" s="438"/>
      <c r="AX898" s="450"/>
    </row>
    <row r="899">
      <c r="A899" s="435"/>
      <c r="B899" s="485"/>
      <c r="C899" s="486"/>
      <c r="D899" s="486"/>
      <c r="E899" s="486"/>
      <c r="F899" s="528"/>
      <c r="G899" s="486"/>
      <c r="H899" s="486"/>
      <c r="I899" s="491"/>
      <c r="J899" s="491"/>
      <c r="K899" s="491"/>
      <c r="L899" s="491"/>
      <c r="M899" s="486"/>
      <c r="N899" s="422"/>
      <c r="O899" s="422"/>
      <c r="P899" s="422"/>
      <c r="Q899" s="486"/>
      <c r="R899" s="491"/>
      <c r="S899" s="491"/>
      <c r="T899" s="491"/>
      <c r="U899" s="491"/>
      <c r="V899" s="491"/>
      <c r="W899" s="493"/>
      <c r="X899" s="486"/>
      <c r="Y899" s="442"/>
      <c r="Z899" s="491"/>
      <c r="AA899" s="524"/>
      <c r="AB899" s="494"/>
      <c r="AC899" s="436"/>
      <c r="AD899" s="495"/>
      <c r="AE899" s="496"/>
      <c r="AF899" s="531"/>
      <c r="AG899" s="491"/>
      <c r="AH899" s="525"/>
      <c r="AI899" s="491"/>
      <c r="AJ899" s="446"/>
      <c r="AK899" s="491"/>
      <c r="AL899" s="500"/>
      <c r="AM899" s="436"/>
      <c r="AN899" s="438"/>
      <c r="AO899" s="531"/>
      <c r="AP899" s="491"/>
      <c r="AQ899" s="438"/>
      <c r="AR899" s="438"/>
      <c r="AS899" s="438"/>
      <c r="AT899" s="448"/>
      <c r="AU899" s="449"/>
      <c r="AV899" s="438"/>
      <c r="AW899" s="438"/>
      <c r="AX899" s="450"/>
    </row>
    <row r="900">
      <c r="A900" s="435"/>
      <c r="B900" s="485"/>
      <c r="C900" s="486"/>
      <c r="D900" s="486"/>
      <c r="E900" s="486"/>
      <c r="F900" s="528"/>
      <c r="G900" s="486"/>
      <c r="H900" s="486"/>
      <c r="I900" s="491"/>
      <c r="J900" s="491"/>
      <c r="K900" s="491"/>
      <c r="L900" s="491"/>
      <c r="M900" s="486"/>
      <c r="N900" s="422"/>
      <c r="O900" s="422"/>
      <c r="P900" s="422"/>
      <c r="Q900" s="486"/>
      <c r="R900" s="491"/>
      <c r="S900" s="491"/>
      <c r="T900" s="491"/>
      <c r="U900" s="491"/>
      <c r="V900" s="491"/>
      <c r="W900" s="493"/>
      <c r="X900" s="486"/>
      <c r="Y900" s="442"/>
      <c r="Z900" s="491"/>
      <c r="AA900" s="524"/>
      <c r="AB900" s="494"/>
      <c r="AC900" s="436"/>
      <c r="AD900" s="495"/>
      <c r="AE900" s="496"/>
      <c r="AF900" s="531"/>
      <c r="AG900" s="491"/>
      <c r="AH900" s="525"/>
      <c r="AI900" s="491"/>
      <c r="AJ900" s="446"/>
      <c r="AK900" s="491"/>
      <c r="AL900" s="500"/>
      <c r="AM900" s="436"/>
      <c r="AN900" s="438"/>
      <c r="AO900" s="531"/>
      <c r="AP900" s="491"/>
      <c r="AQ900" s="438"/>
      <c r="AR900" s="438"/>
      <c r="AS900" s="438"/>
      <c r="AT900" s="448"/>
      <c r="AU900" s="452"/>
      <c r="AV900" s="438"/>
      <c r="AW900" s="438"/>
      <c r="AX900" s="450"/>
    </row>
    <row r="901">
      <c r="A901" s="435"/>
      <c r="B901" s="485"/>
      <c r="C901" s="486"/>
      <c r="D901" s="486"/>
      <c r="E901" s="486"/>
      <c r="F901" s="528"/>
      <c r="G901" s="486"/>
      <c r="H901" s="486"/>
      <c r="I901" s="491"/>
      <c r="J901" s="491"/>
      <c r="K901" s="491"/>
      <c r="L901" s="491"/>
      <c r="M901" s="486"/>
      <c r="N901" s="422"/>
      <c r="O901" s="422"/>
      <c r="P901" s="422"/>
      <c r="Q901" s="486"/>
      <c r="R901" s="491"/>
      <c r="S901" s="491"/>
      <c r="T901" s="491"/>
      <c r="U901" s="491"/>
      <c r="V901" s="491"/>
      <c r="W901" s="493"/>
      <c r="X901" s="486"/>
      <c r="Y901" s="442"/>
      <c r="Z901" s="491"/>
      <c r="AA901" s="524"/>
      <c r="AB901" s="494"/>
      <c r="AC901" s="436"/>
      <c r="AD901" s="495"/>
      <c r="AE901" s="496"/>
      <c r="AF901" s="531"/>
      <c r="AG901" s="491"/>
      <c r="AH901" s="525"/>
      <c r="AI901" s="491"/>
      <c r="AJ901" s="446"/>
      <c r="AK901" s="491"/>
      <c r="AL901" s="500"/>
      <c r="AM901" s="436"/>
      <c r="AN901" s="438"/>
      <c r="AO901" s="531"/>
      <c r="AP901" s="491"/>
      <c r="AQ901" s="438"/>
      <c r="AR901" s="438"/>
      <c r="AS901" s="438"/>
      <c r="AT901" s="448"/>
      <c r="AU901" s="449"/>
      <c r="AV901" s="438"/>
      <c r="AW901" s="438"/>
      <c r="AX901" s="450"/>
    </row>
    <row r="902">
      <c r="A902" s="435"/>
      <c r="B902" s="485"/>
      <c r="C902" s="486"/>
      <c r="D902" s="486"/>
      <c r="E902" s="486"/>
      <c r="F902" s="528"/>
      <c r="G902" s="486"/>
      <c r="H902" s="486"/>
      <c r="I902" s="491"/>
      <c r="J902" s="491"/>
      <c r="K902" s="491"/>
      <c r="L902" s="491"/>
      <c r="M902" s="486"/>
      <c r="N902" s="422"/>
      <c r="O902" s="422"/>
      <c r="P902" s="422"/>
      <c r="Q902" s="486"/>
      <c r="R902" s="491"/>
      <c r="S902" s="491"/>
      <c r="T902" s="491"/>
      <c r="U902" s="491"/>
      <c r="V902" s="491"/>
      <c r="W902" s="493"/>
      <c r="X902" s="486"/>
      <c r="Y902" s="442"/>
      <c r="Z902" s="491"/>
      <c r="AA902" s="524"/>
      <c r="AB902" s="494"/>
      <c r="AC902" s="436"/>
      <c r="AD902" s="495"/>
      <c r="AE902" s="496"/>
      <c r="AF902" s="531"/>
      <c r="AG902" s="491"/>
      <c r="AH902" s="525"/>
      <c r="AI902" s="491"/>
      <c r="AJ902" s="446"/>
      <c r="AK902" s="491"/>
      <c r="AL902" s="500"/>
      <c r="AM902" s="436"/>
      <c r="AN902" s="438"/>
      <c r="AO902" s="531"/>
      <c r="AP902" s="491"/>
      <c r="AQ902" s="438"/>
      <c r="AR902" s="438"/>
      <c r="AS902" s="438"/>
      <c r="AT902" s="448"/>
      <c r="AU902" s="452"/>
      <c r="AV902" s="438"/>
      <c r="AW902" s="438"/>
      <c r="AX902" s="450"/>
    </row>
    <row r="903">
      <c r="A903" s="435"/>
      <c r="B903" s="485"/>
      <c r="C903" s="486"/>
      <c r="D903" s="486"/>
      <c r="E903" s="486"/>
      <c r="F903" s="528"/>
      <c r="G903" s="486"/>
      <c r="H903" s="486"/>
      <c r="I903" s="491"/>
      <c r="J903" s="491"/>
      <c r="K903" s="491"/>
      <c r="L903" s="491"/>
      <c r="M903" s="486"/>
      <c r="N903" s="422"/>
      <c r="O903" s="422"/>
      <c r="P903" s="422"/>
      <c r="Q903" s="486"/>
      <c r="R903" s="491"/>
      <c r="S903" s="491"/>
      <c r="T903" s="491"/>
      <c r="U903" s="491"/>
      <c r="V903" s="491"/>
      <c r="W903" s="493"/>
      <c r="X903" s="486"/>
      <c r="Y903" s="442"/>
      <c r="Z903" s="491"/>
      <c r="AA903" s="524"/>
      <c r="AB903" s="494"/>
      <c r="AC903" s="436"/>
      <c r="AD903" s="495"/>
      <c r="AE903" s="496"/>
      <c r="AF903" s="531"/>
      <c r="AG903" s="491"/>
      <c r="AH903" s="525"/>
      <c r="AI903" s="491"/>
      <c r="AJ903" s="446"/>
      <c r="AK903" s="491"/>
      <c r="AL903" s="500"/>
      <c r="AM903" s="436"/>
      <c r="AN903" s="438"/>
      <c r="AO903" s="531"/>
      <c r="AP903" s="491"/>
      <c r="AQ903" s="438"/>
      <c r="AR903" s="438"/>
      <c r="AS903" s="438"/>
      <c r="AT903" s="448"/>
      <c r="AU903" s="449"/>
      <c r="AV903" s="438"/>
      <c r="AW903" s="438"/>
      <c r="AX903" s="450"/>
    </row>
    <row r="904">
      <c r="A904" s="435"/>
      <c r="B904" s="485"/>
      <c r="C904" s="486"/>
      <c r="D904" s="486"/>
      <c r="E904" s="486"/>
      <c r="F904" s="528"/>
      <c r="G904" s="486"/>
      <c r="H904" s="486"/>
      <c r="I904" s="491"/>
      <c r="J904" s="491"/>
      <c r="K904" s="491"/>
      <c r="L904" s="491"/>
      <c r="M904" s="486"/>
      <c r="N904" s="422"/>
      <c r="O904" s="422"/>
      <c r="P904" s="422"/>
      <c r="Q904" s="486"/>
      <c r="R904" s="491"/>
      <c r="S904" s="491"/>
      <c r="T904" s="491"/>
      <c r="U904" s="491"/>
      <c r="V904" s="491"/>
      <c r="W904" s="493"/>
      <c r="X904" s="486"/>
      <c r="Y904" s="442"/>
      <c r="Z904" s="491"/>
      <c r="AA904" s="524"/>
      <c r="AB904" s="494"/>
      <c r="AC904" s="436"/>
      <c r="AD904" s="495"/>
      <c r="AE904" s="496"/>
      <c r="AF904" s="531"/>
      <c r="AG904" s="491"/>
      <c r="AH904" s="525"/>
      <c r="AI904" s="491"/>
      <c r="AJ904" s="446"/>
      <c r="AK904" s="491"/>
      <c r="AL904" s="500"/>
      <c r="AM904" s="436"/>
      <c r="AN904" s="438"/>
      <c r="AO904" s="531"/>
      <c r="AP904" s="491"/>
      <c r="AQ904" s="438"/>
      <c r="AR904" s="438"/>
      <c r="AS904" s="438"/>
      <c r="AT904" s="448"/>
      <c r="AU904" s="452"/>
      <c r="AV904" s="438"/>
      <c r="AW904" s="438"/>
      <c r="AX904" s="450"/>
    </row>
    <row r="905">
      <c r="A905" s="435"/>
      <c r="B905" s="485"/>
      <c r="C905" s="486"/>
      <c r="D905" s="486"/>
      <c r="E905" s="486"/>
      <c r="F905" s="528"/>
      <c r="G905" s="486"/>
      <c r="H905" s="486"/>
      <c r="I905" s="491"/>
      <c r="J905" s="491"/>
      <c r="K905" s="491"/>
      <c r="L905" s="491"/>
      <c r="M905" s="486"/>
      <c r="N905" s="422"/>
      <c r="O905" s="422"/>
      <c r="P905" s="422"/>
      <c r="Q905" s="486"/>
      <c r="R905" s="491"/>
      <c r="S905" s="491"/>
      <c r="T905" s="491"/>
      <c r="U905" s="491"/>
      <c r="V905" s="491"/>
      <c r="W905" s="493"/>
      <c r="X905" s="486"/>
      <c r="Y905" s="442"/>
      <c r="Z905" s="491"/>
      <c r="AA905" s="524"/>
      <c r="AB905" s="494"/>
      <c r="AC905" s="436"/>
      <c r="AD905" s="495"/>
      <c r="AE905" s="496"/>
      <c r="AF905" s="531"/>
      <c r="AG905" s="491"/>
      <c r="AH905" s="525"/>
      <c r="AI905" s="491"/>
      <c r="AJ905" s="446"/>
      <c r="AK905" s="491"/>
      <c r="AL905" s="500"/>
      <c r="AM905" s="436"/>
      <c r="AN905" s="438"/>
      <c r="AO905" s="531"/>
      <c r="AP905" s="491"/>
      <c r="AQ905" s="438"/>
      <c r="AR905" s="438"/>
      <c r="AS905" s="438"/>
      <c r="AT905" s="448"/>
      <c r="AU905" s="449"/>
      <c r="AV905" s="438"/>
      <c r="AW905" s="438"/>
      <c r="AX905" s="450"/>
    </row>
    <row r="906">
      <c r="A906" s="435"/>
      <c r="B906" s="485"/>
      <c r="C906" s="486"/>
      <c r="D906" s="486"/>
      <c r="E906" s="486"/>
      <c r="F906" s="528"/>
      <c r="G906" s="486"/>
      <c r="H906" s="486"/>
      <c r="I906" s="491"/>
      <c r="J906" s="491"/>
      <c r="K906" s="491"/>
      <c r="L906" s="491"/>
      <c r="M906" s="486"/>
      <c r="N906" s="422"/>
      <c r="O906" s="422"/>
      <c r="P906" s="422"/>
      <c r="Q906" s="486"/>
      <c r="R906" s="491"/>
      <c r="S906" s="491"/>
      <c r="T906" s="491"/>
      <c r="U906" s="491"/>
      <c r="V906" s="491"/>
      <c r="W906" s="493"/>
      <c r="X906" s="486"/>
      <c r="Y906" s="442"/>
      <c r="Z906" s="491"/>
      <c r="AA906" s="524"/>
      <c r="AB906" s="494"/>
      <c r="AC906" s="436"/>
      <c r="AD906" s="495"/>
      <c r="AE906" s="496"/>
      <c r="AF906" s="531"/>
      <c r="AG906" s="491"/>
      <c r="AH906" s="525"/>
      <c r="AI906" s="491"/>
      <c r="AJ906" s="446"/>
      <c r="AK906" s="491"/>
      <c r="AL906" s="500"/>
      <c r="AM906" s="436"/>
      <c r="AN906" s="438"/>
      <c r="AO906" s="531"/>
      <c r="AP906" s="491"/>
      <c r="AQ906" s="438"/>
      <c r="AR906" s="438"/>
      <c r="AS906" s="438"/>
      <c r="AT906" s="448"/>
      <c r="AU906" s="452"/>
      <c r="AV906" s="438"/>
      <c r="AW906" s="438"/>
      <c r="AX906" s="450"/>
    </row>
    <row r="907">
      <c r="A907" s="435"/>
      <c r="B907" s="485"/>
      <c r="C907" s="486"/>
      <c r="D907" s="486"/>
      <c r="E907" s="486"/>
      <c r="F907" s="528"/>
      <c r="G907" s="486"/>
      <c r="H907" s="486"/>
      <c r="I907" s="491"/>
      <c r="J907" s="491"/>
      <c r="K907" s="491"/>
      <c r="L907" s="491"/>
      <c r="M907" s="486"/>
      <c r="N907" s="422"/>
      <c r="O907" s="422"/>
      <c r="P907" s="422"/>
      <c r="Q907" s="486"/>
      <c r="R907" s="491"/>
      <c r="S907" s="491"/>
      <c r="T907" s="491"/>
      <c r="U907" s="491"/>
      <c r="V907" s="491"/>
      <c r="W907" s="493"/>
      <c r="X907" s="486"/>
      <c r="Y907" s="442"/>
      <c r="Z907" s="491"/>
      <c r="AA907" s="524"/>
      <c r="AB907" s="494"/>
      <c r="AC907" s="436"/>
      <c r="AD907" s="495"/>
      <c r="AE907" s="496"/>
      <c r="AF907" s="531"/>
      <c r="AG907" s="491"/>
      <c r="AH907" s="525"/>
      <c r="AI907" s="491"/>
      <c r="AJ907" s="446"/>
      <c r="AK907" s="491"/>
      <c r="AL907" s="500"/>
      <c r="AM907" s="436"/>
      <c r="AN907" s="438"/>
      <c r="AO907" s="531"/>
      <c r="AP907" s="491"/>
      <c r="AQ907" s="438"/>
      <c r="AR907" s="438"/>
      <c r="AS907" s="438"/>
      <c r="AT907" s="448"/>
      <c r="AU907" s="449"/>
      <c r="AV907" s="438"/>
      <c r="AW907" s="438"/>
      <c r="AX907" s="450"/>
    </row>
    <row r="908">
      <c r="A908" s="435"/>
      <c r="B908" s="485"/>
      <c r="C908" s="486"/>
      <c r="D908" s="486"/>
      <c r="E908" s="486"/>
      <c r="F908" s="528"/>
      <c r="G908" s="486"/>
      <c r="H908" s="486"/>
      <c r="I908" s="491"/>
      <c r="J908" s="491"/>
      <c r="K908" s="491"/>
      <c r="L908" s="491"/>
      <c r="M908" s="486"/>
      <c r="N908" s="422"/>
      <c r="O908" s="422"/>
      <c r="P908" s="422"/>
      <c r="Q908" s="486"/>
      <c r="R908" s="491"/>
      <c r="S908" s="491"/>
      <c r="T908" s="491"/>
      <c r="U908" s="491"/>
      <c r="V908" s="491"/>
      <c r="W908" s="493"/>
      <c r="X908" s="486"/>
      <c r="Y908" s="442"/>
      <c r="Z908" s="491"/>
      <c r="AA908" s="524"/>
      <c r="AB908" s="494"/>
      <c r="AC908" s="436"/>
      <c r="AD908" s="495"/>
      <c r="AE908" s="496"/>
      <c r="AF908" s="531"/>
      <c r="AG908" s="491"/>
      <c r="AH908" s="525"/>
      <c r="AI908" s="491"/>
      <c r="AJ908" s="446"/>
      <c r="AK908" s="491"/>
      <c r="AL908" s="500"/>
      <c r="AM908" s="436"/>
      <c r="AN908" s="438"/>
      <c r="AO908" s="531"/>
      <c r="AP908" s="491"/>
      <c r="AQ908" s="438"/>
      <c r="AR908" s="438"/>
      <c r="AS908" s="438"/>
      <c r="AT908" s="448"/>
      <c r="AU908" s="452"/>
      <c r="AV908" s="438"/>
      <c r="AW908" s="438"/>
      <c r="AX908" s="450"/>
    </row>
    <row r="909">
      <c r="A909" s="435"/>
      <c r="B909" s="485"/>
      <c r="C909" s="486"/>
      <c r="D909" s="486"/>
      <c r="E909" s="486"/>
      <c r="F909" s="528"/>
      <c r="G909" s="486"/>
      <c r="H909" s="486"/>
      <c r="I909" s="491"/>
      <c r="J909" s="491"/>
      <c r="K909" s="491"/>
      <c r="L909" s="491"/>
      <c r="M909" s="486"/>
      <c r="N909" s="422"/>
      <c r="O909" s="422"/>
      <c r="P909" s="422"/>
      <c r="Q909" s="486"/>
      <c r="R909" s="491"/>
      <c r="S909" s="491"/>
      <c r="T909" s="491"/>
      <c r="U909" s="491"/>
      <c r="V909" s="491"/>
      <c r="W909" s="493"/>
      <c r="X909" s="486"/>
      <c r="Y909" s="442"/>
      <c r="Z909" s="491"/>
      <c r="AA909" s="524"/>
      <c r="AB909" s="494"/>
      <c r="AC909" s="436"/>
      <c r="AD909" s="495"/>
      <c r="AE909" s="496"/>
      <c r="AF909" s="531"/>
      <c r="AG909" s="491"/>
      <c r="AH909" s="525"/>
      <c r="AI909" s="491"/>
      <c r="AJ909" s="446"/>
      <c r="AK909" s="491"/>
      <c r="AL909" s="500"/>
      <c r="AM909" s="436"/>
      <c r="AN909" s="438"/>
      <c r="AO909" s="531"/>
      <c r="AP909" s="491"/>
      <c r="AQ909" s="438"/>
      <c r="AR909" s="438"/>
      <c r="AS909" s="438"/>
      <c r="AT909" s="448"/>
      <c r="AU909" s="449"/>
      <c r="AV909" s="438"/>
      <c r="AW909" s="438"/>
      <c r="AX909" s="450"/>
    </row>
    <row r="910">
      <c r="A910" s="435"/>
      <c r="B910" s="485"/>
      <c r="C910" s="486"/>
      <c r="D910" s="486"/>
      <c r="E910" s="486"/>
      <c r="F910" s="528"/>
      <c r="G910" s="486"/>
      <c r="H910" s="486"/>
      <c r="I910" s="491"/>
      <c r="J910" s="491"/>
      <c r="K910" s="491"/>
      <c r="L910" s="491"/>
      <c r="M910" s="486"/>
      <c r="N910" s="422"/>
      <c r="O910" s="422"/>
      <c r="P910" s="422"/>
      <c r="Q910" s="486"/>
      <c r="R910" s="491"/>
      <c r="S910" s="491"/>
      <c r="T910" s="491"/>
      <c r="U910" s="491"/>
      <c r="V910" s="491"/>
      <c r="W910" s="493"/>
      <c r="X910" s="486"/>
      <c r="Y910" s="442"/>
      <c r="Z910" s="491"/>
      <c r="AA910" s="524"/>
      <c r="AB910" s="494"/>
      <c r="AC910" s="436"/>
      <c r="AD910" s="495"/>
      <c r="AE910" s="496"/>
      <c r="AF910" s="531"/>
      <c r="AG910" s="491"/>
      <c r="AH910" s="525"/>
      <c r="AI910" s="491"/>
      <c r="AJ910" s="446"/>
      <c r="AK910" s="491"/>
      <c r="AL910" s="500"/>
      <c r="AM910" s="436"/>
      <c r="AN910" s="438"/>
      <c r="AO910" s="531"/>
      <c r="AP910" s="491"/>
      <c r="AQ910" s="438"/>
      <c r="AR910" s="438"/>
      <c r="AS910" s="438"/>
      <c r="AT910" s="448"/>
      <c r="AU910" s="452"/>
      <c r="AV910" s="438"/>
      <c r="AW910" s="438"/>
      <c r="AX910" s="450"/>
    </row>
    <row r="911">
      <c r="A911" s="435"/>
      <c r="B911" s="485"/>
      <c r="C911" s="486"/>
      <c r="D911" s="486"/>
      <c r="E911" s="486"/>
      <c r="F911" s="528"/>
      <c r="G911" s="486"/>
      <c r="H911" s="486"/>
      <c r="I911" s="491"/>
      <c r="J911" s="491"/>
      <c r="K911" s="491"/>
      <c r="L911" s="491"/>
      <c r="M911" s="486"/>
      <c r="N911" s="422"/>
      <c r="O911" s="422"/>
      <c r="P911" s="422"/>
      <c r="Q911" s="486"/>
      <c r="R911" s="491"/>
      <c r="S911" s="491"/>
      <c r="T911" s="491"/>
      <c r="U911" s="491"/>
      <c r="V911" s="491"/>
      <c r="W911" s="493"/>
      <c r="X911" s="486"/>
      <c r="Y911" s="442"/>
      <c r="Z911" s="491"/>
      <c r="AA911" s="524"/>
      <c r="AB911" s="494"/>
      <c r="AC911" s="436"/>
      <c r="AD911" s="495"/>
      <c r="AE911" s="496"/>
      <c r="AF911" s="531"/>
      <c r="AG911" s="491"/>
      <c r="AH911" s="525"/>
      <c r="AI911" s="491"/>
      <c r="AJ911" s="446"/>
      <c r="AK911" s="491"/>
      <c r="AL911" s="500"/>
      <c r="AM911" s="436"/>
      <c r="AN911" s="438"/>
      <c r="AO911" s="531"/>
      <c r="AP911" s="491"/>
      <c r="AQ911" s="438"/>
      <c r="AR911" s="438"/>
      <c r="AS911" s="438"/>
      <c r="AT911" s="448"/>
      <c r="AU911" s="449"/>
      <c r="AV911" s="438"/>
      <c r="AW911" s="438"/>
      <c r="AX911" s="450"/>
    </row>
    <row r="912">
      <c r="A912" s="435"/>
      <c r="B912" s="485"/>
      <c r="C912" s="486"/>
      <c r="D912" s="486"/>
      <c r="E912" s="486"/>
      <c r="F912" s="528"/>
      <c r="G912" s="486"/>
      <c r="H912" s="486"/>
      <c r="I912" s="491"/>
      <c r="J912" s="491"/>
      <c r="K912" s="491"/>
      <c r="L912" s="491"/>
      <c r="M912" s="486"/>
      <c r="N912" s="422"/>
      <c r="O912" s="422"/>
      <c r="P912" s="422"/>
      <c r="Q912" s="486"/>
      <c r="R912" s="491"/>
      <c r="S912" s="491"/>
      <c r="T912" s="491"/>
      <c r="U912" s="491"/>
      <c r="V912" s="491"/>
      <c r="W912" s="493"/>
      <c r="X912" s="486"/>
      <c r="Y912" s="442"/>
      <c r="Z912" s="491"/>
      <c r="AA912" s="524"/>
      <c r="AB912" s="494"/>
      <c r="AC912" s="436"/>
      <c r="AD912" s="495"/>
      <c r="AE912" s="496"/>
      <c r="AF912" s="531"/>
      <c r="AG912" s="491"/>
      <c r="AH912" s="525"/>
      <c r="AI912" s="491"/>
      <c r="AJ912" s="446"/>
      <c r="AK912" s="491"/>
      <c r="AL912" s="500"/>
      <c r="AM912" s="436"/>
      <c r="AN912" s="438"/>
      <c r="AO912" s="531"/>
      <c r="AP912" s="491"/>
      <c r="AQ912" s="438"/>
      <c r="AR912" s="438"/>
      <c r="AS912" s="438"/>
      <c r="AT912" s="448"/>
      <c r="AU912" s="452"/>
      <c r="AV912" s="438"/>
      <c r="AW912" s="438"/>
      <c r="AX912" s="450"/>
    </row>
    <row r="913">
      <c r="A913" s="435"/>
      <c r="B913" s="485"/>
      <c r="C913" s="486"/>
      <c r="D913" s="486"/>
      <c r="E913" s="486"/>
      <c r="F913" s="528"/>
      <c r="G913" s="486"/>
      <c r="H913" s="486"/>
      <c r="I913" s="491"/>
      <c r="J913" s="491"/>
      <c r="K913" s="491"/>
      <c r="L913" s="491"/>
      <c r="M913" s="486"/>
      <c r="N913" s="422"/>
      <c r="O913" s="422"/>
      <c r="P913" s="422"/>
      <c r="Q913" s="486"/>
      <c r="R913" s="491"/>
      <c r="S913" s="491"/>
      <c r="T913" s="491"/>
      <c r="U913" s="491"/>
      <c r="V913" s="491"/>
      <c r="W913" s="493"/>
      <c r="X913" s="486"/>
      <c r="Y913" s="442"/>
      <c r="Z913" s="491"/>
      <c r="AA913" s="524"/>
      <c r="AB913" s="494"/>
      <c r="AC913" s="436"/>
      <c r="AD913" s="495"/>
      <c r="AE913" s="496"/>
      <c r="AF913" s="531"/>
      <c r="AG913" s="491"/>
      <c r="AH913" s="525"/>
      <c r="AI913" s="491"/>
      <c r="AJ913" s="446"/>
      <c r="AK913" s="491"/>
      <c r="AL913" s="500"/>
      <c r="AM913" s="436"/>
      <c r="AN913" s="438"/>
      <c r="AO913" s="531"/>
      <c r="AP913" s="491"/>
      <c r="AQ913" s="438"/>
      <c r="AR913" s="438"/>
      <c r="AS913" s="438"/>
      <c r="AT913" s="448"/>
      <c r="AU913" s="449"/>
      <c r="AV913" s="438"/>
      <c r="AW913" s="438"/>
      <c r="AX913" s="450"/>
    </row>
    <row r="914">
      <c r="A914" s="435"/>
      <c r="B914" s="485"/>
      <c r="C914" s="486"/>
      <c r="D914" s="486"/>
      <c r="E914" s="486"/>
      <c r="F914" s="528"/>
      <c r="G914" s="486"/>
      <c r="H914" s="486"/>
      <c r="I914" s="491"/>
      <c r="J914" s="491"/>
      <c r="K914" s="491"/>
      <c r="L914" s="491"/>
      <c r="M914" s="486"/>
      <c r="N914" s="422"/>
      <c r="O914" s="422"/>
      <c r="P914" s="422"/>
      <c r="Q914" s="486"/>
      <c r="R914" s="491"/>
      <c r="S914" s="491"/>
      <c r="T914" s="491"/>
      <c r="U914" s="491"/>
      <c r="V914" s="491"/>
      <c r="W914" s="493"/>
      <c r="X914" s="486"/>
      <c r="Y914" s="442"/>
      <c r="Z914" s="491"/>
      <c r="AA914" s="524"/>
      <c r="AB914" s="494"/>
      <c r="AC914" s="436"/>
      <c r="AD914" s="495"/>
      <c r="AE914" s="496"/>
      <c r="AF914" s="531"/>
      <c r="AG914" s="491"/>
      <c r="AH914" s="525"/>
      <c r="AI914" s="491"/>
      <c r="AJ914" s="446"/>
      <c r="AK914" s="491"/>
      <c r="AL914" s="500"/>
      <c r="AM914" s="436"/>
      <c r="AN914" s="438"/>
      <c r="AO914" s="531"/>
      <c r="AP914" s="491"/>
      <c r="AQ914" s="438"/>
      <c r="AR914" s="438"/>
      <c r="AS914" s="438"/>
      <c r="AT914" s="448"/>
      <c r="AU914" s="452"/>
      <c r="AV914" s="438"/>
      <c r="AW914" s="438"/>
      <c r="AX914" s="450"/>
    </row>
    <row r="915">
      <c r="A915" s="435"/>
      <c r="B915" s="485"/>
      <c r="C915" s="486"/>
      <c r="D915" s="486"/>
      <c r="E915" s="486"/>
      <c r="F915" s="528"/>
      <c r="G915" s="486"/>
      <c r="H915" s="486"/>
      <c r="I915" s="491"/>
      <c r="J915" s="491"/>
      <c r="K915" s="491"/>
      <c r="L915" s="491"/>
      <c r="M915" s="486"/>
      <c r="N915" s="422"/>
      <c r="O915" s="422"/>
      <c r="P915" s="422"/>
      <c r="Q915" s="486"/>
      <c r="R915" s="491"/>
      <c r="S915" s="491"/>
      <c r="T915" s="491"/>
      <c r="U915" s="491"/>
      <c r="V915" s="491"/>
      <c r="W915" s="493"/>
      <c r="X915" s="486"/>
      <c r="Y915" s="442"/>
      <c r="Z915" s="491"/>
      <c r="AA915" s="524"/>
      <c r="AB915" s="494"/>
      <c r="AC915" s="436"/>
      <c r="AD915" s="495"/>
      <c r="AE915" s="496"/>
      <c r="AF915" s="531"/>
      <c r="AG915" s="491"/>
      <c r="AH915" s="525"/>
      <c r="AI915" s="491"/>
      <c r="AJ915" s="446"/>
      <c r="AK915" s="491"/>
      <c r="AL915" s="500"/>
      <c r="AM915" s="436"/>
      <c r="AN915" s="438"/>
      <c r="AO915" s="531"/>
      <c r="AP915" s="491"/>
      <c r="AQ915" s="438"/>
      <c r="AR915" s="438"/>
      <c r="AS915" s="438"/>
      <c r="AT915" s="448"/>
      <c r="AU915" s="449"/>
      <c r="AV915" s="438"/>
      <c r="AW915" s="438"/>
      <c r="AX915" s="450"/>
    </row>
    <row r="916">
      <c r="A916" s="435"/>
      <c r="B916" s="485"/>
      <c r="C916" s="486"/>
      <c r="D916" s="486"/>
      <c r="E916" s="486"/>
      <c r="F916" s="528"/>
      <c r="G916" s="486"/>
      <c r="H916" s="486"/>
      <c r="I916" s="491"/>
      <c r="J916" s="491"/>
      <c r="K916" s="491"/>
      <c r="L916" s="491"/>
      <c r="M916" s="486"/>
      <c r="N916" s="422"/>
      <c r="O916" s="422"/>
      <c r="P916" s="422"/>
      <c r="Q916" s="486"/>
      <c r="R916" s="491"/>
      <c r="S916" s="491"/>
      <c r="T916" s="491"/>
      <c r="U916" s="491"/>
      <c r="V916" s="491"/>
      <c r="W916" s="493"/>
      <c r="X916" s="486"/>
      <c r="Y916" s="442"/>
      <c r="Z916" s="491"/>
      <c r="AA916" s="524"/>
      <c r="AB916" s="494"/>
      <c r="AC916" s="436"/>
      <c r="AD916" s="495"/>
      <c r="AE916" s="496"/>
      <c r="AF916" s="531"/>
      <c r="AG916" s="491"/>
      <c r="AH916" s="525"/>
      <c r="AI916" s="491"/>
      <c r="AJ916" s="446"/>
      <c r="AK916" s="491"/>
      <c r="AL916" s="500"/>
      <c r="AM916" s="436"/>
      <c r="AN916" s="438"/>
      <c r="AO916" s="531"/>
      <c r="AP916" s="491"/>
      <c r="AQ916" s="438"/>
      <c r="AR916" s="438"/>
      <c r="AS916" s="438"/>
      <c r="AT916" s="448"/>
      <c r="AU916" s="452"/>
      <c r="AV916" s="438"/>
      <c r="AW916" s="438"/>
      <c r="AX916" s="450"/>
    </row>
    <row r="917">
      <c r="A917" s="435"/>
      <c r="B917" s="485"/>
      <c r="C917" s="486"/>
      <c r="D917" s="486"/>
      <c r="E917" s="486"/>
      <c r="F917" s="528"/>
      <c r="G917" s="486"/>
      <c r="H917" s="486"/>
      <c r="I917" s="491"/>
      <c r="J917" s="491"/>
      <c r="K917" s="491"/>
      <c r="L917" s="491"/>
      <c r="M917" s="486"/>
      <c r="N917" s="422"/>
      <c r="O917" s="422"/>
      <c r="P917" s="422"/>
      <c r="Q917" s="486"/>
      <c r="R917" s="491"/>
      <c r="S917" s="491"/>
      <c r="T917" s="491"/>
      <c r="U917" s="491"/>
      <c r="V917" s="491"/>
      <c r="W917" s="493"/>
      <c r="X917" s="486"/>
      <c r="Y917" s="442"/>
      <c r="Z917" s="491"/>
      <c r="AA917" s="524"/>
      <c r="AB917" s="494"/>
      <c r="AC917" s="436"/>
      <c r="AD917" s="495"/>
      <c r="AE917" s="496"/>
      <c r="AF917" s="531"/>
      <c r="AG917" s="491"/>
      <c r="AH917" s="525"/>
      <c r="AI917" s="491"/>
      <c r="AJ917" s="446"/>
      <c r="AK917" s="491"/>
      <c r="AL917" s="500"/>
      <c r="AM917" s="436"/>
      <c r="AN917" s="438"/>
      <c r="AO917" s="531"/>
      <c r="AP917" s="491"/>
      <c r="AQ917" s="438"/>
      <c r="AR917" s="438"/>
      <c r="AS917" s="438"/>
      <c r="AT917" s="448"/>
      <c r="AU917" s="449"/>
      <c r="AV917" s="438"/>
      <c r="AW917" s="438"/>
      <c r="AX917" s="450"/>
    </row>
    <row r="918">
      <c r="A918" s="435"/>
      <c r="B918" s="485"/>
      <c r="C918" s="486"/>
      <c r="D918" s="486"/>
      <c r="E918" s="486"/>
      <c r="F918" s="528"/>
      <c r="G918" s="486"/>
      <c r="H918" s="486"/>
      <c r="I918" s="491"/>
      <c r="J918" s="491"/>
      <c r="K918" s="491"/>
      <c r="L918" s="491"/>
      <c r="M918" s="486"/>
      <c r="N918" s="422"/>
      <c r="O918" s="422"/>
      <c r="P918" s="422"/>
      <c r="Q918" s="486"/>
      <c r="R918" s="491"/>
      <c r="S918" s="491"/>
      <c r="T918" s="491"/>
      <c r="U918" s="491"/>
      <c r="V918" s="491"/>
      <c r="W918" s="493"/>
      <c r="X918" s="486"/>
      <c r="Y918" s="442"/>
      <c r="Z918" s="491"/>
      <c r="AA918" s="524"/>
      <c r="AB918" s="494"/>
      <c r="AC918" s="436"/>
      <c r="AD918" s="495"/>
      <c r="AE918" s="496"/>
      <c r="AF918" s="531"/>
      <c r="AG918" s="491"/>
      <c r="AH918" s="525"/>
      <c r="AI918" s="491"/>
      <c r="AJ918" s="446"/>
      <c r="AK918" s="491"/>
      <c r="AL918" s="500"/>
      <c r="AM918" s="436"/>
      <c r="AN918" s="438"/>
      <c r="AO918" s="531"/>
      <c r="AP918" s="491"/>
      <c r="AQ918" s="438"/>
      <c r="AR918" s="438"/>
      <c r="AS918" s="438"/>
      <c r="AT918" s="448"/>
      <c r="AU918" s="452"/>
      <c r="AV918" s="438"/>
      <c r="AW918" s="438"/>
      <c r="AX918" s="450"/>
    </row>
    <row r="919">
      <c r="A919" s="435"/>
      <c r="B919" s="485"/>
      <c r="C919" s="486"/>
      <c r="D919" s="486"/>
      <c r="E919" s="486"/>
      <c r="F919" s="528"/>
      <c r="G919" s="486"/>
      <c r="H919" s="486"/>
      <c r="I919" s="491"/>
      <c r="J919" s="491"/>
      <c r="K919" s="491"/>
      <c r="L919" s="491"/>
      <c r="M919" s="486"/>
      <c r="N919" s="422"/>
      <c r="O919" s="422"/>
      <c r="P919" s="422"/>
      <c r="Q919" s="486"/>
      <c r="R919" s="491"/>
      <c r="S919" s="491"/>
      <c r="T919" s="491"/>
      <c r="U919" s="491"/>
      <c r="V919" s="491"/>
      <c r="W919" s="493"/>
      <c r="X919" s="486"/>
      <c r="Y919" s="442"/>
      <c r="Z919" s="491"/>
      <c r="AA919" s="524"/>
      <c r="AB919" s="494"/>
      <c r="AC919" s="436"/>
      <c r="AD919" s="495"/>
      <c r="AE919" s="496"/>
      <c r="AF919" s="531"/>
      <c r="AG919" s="491"/>
      <c r="AH919" s="525"/>
      <c r="AI919" s="491"/>
      <c r="AJ919" s="446"/>
      <c r="AK919" s="491"/>
      <c r="AL919" s="500"/>
      <c r="AM919" s="436"/>
      <c r="AN919" s="438"/>
      <c r="AO919" s="531"/>
      <c r="AP919" s="491"/>
      <c r="AQ919" s="438"/>
      <c r="AR919" s="438"/>
      <c r="AS919" s="438"/>
      <c r="AT919" s="448"/>
      <c r="AU919" s="449"/>
      <c r="AV919" s="438"/>
      <c r="AW919" s="438"/>
      <c r="AX919" s="450"/>
    </row>
    <row r="920">
      <c r="A920" s="435"/>
      <c r="B920" s="485"/>
      <c r="C920" s="486"/>
      <c r="D920" s="486"/>
      <c r="E920" s="486"/>
      <c r="F920" s="528"/>
      <c r="G920" s="486"/>
      <c r="H920" s="486"/>
      <c r="I920" s="491"/>
      <c r="J920" s="491"/>
      <c r="K920" s="491"/>
      <c r="L920" s="491"/>
      <c r="M920" s="486"/>
      <c r="N920" s="422"/>
      <c r="O920" s="422"/>
      <c r="P920" s="422"/>
      <c r="Q920" s="486"/>
      <c r="R920" s="491"/>
      <c r="S920" s="491"/>
      <c r="T920" s="491"/>
      <c r="U920" s="491"/>
      <c r="V920" s="491"/>
      <c r="W920" s="493"/>
      <c r="X920" s="486"/>
      <c r="Y920" s="442"/>
      <c r="Z920" s="491"/>
      <c r="AA920" s="524"/>
      <c r="AB920" s="494"/>
      <c r="AC920" s="436"/>
      <c r="AD920" s="495"/>
      <c r="AE920" s="496"/>
      <c r="AF920" s="531"/>
      <c r="AG920" s="491"/>
      <c r="AH920" s="525"/>
      <c r="AI920" s="491"/>
      <c r="AJ920" s="446"/>
      <c r="AK920" s="491"/>
      <c r="AL920" s="500"/>
      <c r="AM920" s="436"/>
      <c r="AN920" s="438"/>
      <c r="AO920" s="531"/>
      <c r="AP920" s="491"/>
      <c r="AQ920" s="438"/>
      <c r="AR920" s="438"/>
      <c r="AS920" s="438"/>
      <c r="AT920" s="448"/>
      <c r="AU920" s="452"/>
      <c r="AV920" s="438"/>
      <c r="AW920" s="438"/>
      <c r="AX920" s="450"/>
    </row>
    <row r="921">
      <c r="A921" s="435"/>
      <c r="B921" s="485"/>
      <c r="C921" s="486"/>
      <c r="D921" s="486"/>
      <c r="E921" s="486"/>
      <c r="F921" s="528"/>
      <c r="G921" s="486"/>
      <c r="H921" s="486"/>
      <c r="I921" s="491"/>
      <c r="J921" s="491"/>
      <c r="K921" s="491"/>
      <c r="L921" s="491"/>
      <c r="M921" s="486"/>
      <c r="N921" s="422"/>
      <c r="O921" s="422"/>
      <c r="P921" s="422"/>
      <c r="Q921" s="486"/>
      <c r="R921" s="491"/>
      <c r="S921" s="491"/>
      <c r="T921" s="491"/>
      <c r="U921" s="491"/>
      <c r="V921" s="491"/>
      <c r="W921" s="493"/>
      <c r="X921" s="486"/>
      <c r="Y921" s="442"/>
      <c r="Z921" s="491"/>
      <c r="AA921" s="524"/>
      <c r="AB921" s="494"/>
      <c r="AC921" s="436"/>
      <c r="AD921" s="495"/>
      <c r="AE921" s="496"/>
      <c r="AF921" s="531"/>
      <c r="AG921" s="491"/>
      <c r="AH921" s="525"/>
      <c r="AI921" s="491"/>
      <c r="AJ921" s="446"/>
      <c r="AK921" s="491"/>
      <c r="AL921" s="500"/>
      <c r="AM921" s="436"/>
      <c r="AN921" s="438"/>
      <c r="AO921" s="531"/>
      <c r="AP921" s="491"/>
      <c r="AQ921" s="438"/>
      <c r="AR921" s="438"/>
      <c r="AS921" s="438"/>
      <c r="AT921" s="448"/>
      <c r="AU921" s="449"/>
      <c r="AV921" s="438"/>
      <c r="AW921" s="438"/>
      <c r="AX921" s="450"/>
    </row>
    <row r="922">
      <c r="A922" s="435"/>
      <c r="B922" s="485"/>
      <c r="C922" s="486"/>
      <c r="D922" s="486"/>
      <c r="E922" s="486"/>
      <c r="F922" s="528"/>
      <c r="G922" s="486"/>
      <c r="H922" s="486"/>
      <c r="I922" s="491"/>
      <c r="J922" s="491"/>
      <c r="K922" s="491"/>
      <c r="L922" s="491"/>
      <c r="M922" s="486"/>
      <c r="N922" s="422"/>
      <c r="O922" s="422"/>
      <c r="P922" s="422"/>
      <c r="Q922" s="486"/>
      <c r="R922" s="491"/>
      <c r="S922" s="491"/>
      <c r="T922" s="491"/>
      <c r="U922" s="491"/>
      <c r="V922" s="491"/>
      <c r="W922" s="493"/>
      <c r="X922" s="486"/>
      <c r="Y922" s="442"/>
      <c r="Z922" s="491"/>
      <c r="AA922" s="524"/>
      <c r="AB922" s="494"/>
      <c r="AC922" s="436"/>
      <c r="AD922" s="495"/>
      <c r="AE922" s="496"/>
      <c r="AF922" s="531"/>
      <c r="AG922" s="491"/>
      <c r="AH922" s="525"/>
      <c r="AI922" s="491"/>
      <c r="AJ922" s="446"/>
      <c r="AK922" s="491"/>
      <c r="AL922" s="500"/>
      <c r="AM922" s="436"/>
      <c r="AN922" s="438"/>
      <c r="AO922" s="531"/>
      <c r="AP922" s="491"/>
      <c r="AQ922" s="438"/>
      <c r="AR922" s="438"/>
      <c r="AS922" s="438"/>
      <c r="AT922" s="448"/>
      <c r="AU922" s="452"/>
      <c r="AV922" s="438"/>
      <c r="AW922" s="438"/>
      <c r="AX922" s="450"/>
    </row>
    <row r="923">
      <c r="A923" s="435"/>
      <c r="B923" s="485"/>
      <c r="C923" s="486"/>
      <c r="D923" s="486"/>
      <c r="E923" s="486"/>
      <c r="F923" s="528"/>
      <c r="G923" s="486"/>
      <c r="H923" s="486"/>
      <c r="I923" s="491"/>
      <c r="J923" s="491"/>
      <c r="K923" s="491"/>
      <c r="L923" s="491"/>
      <c r="M923" s="486"/>
      <c r="N923" s="422"/>
      <c r="O923" s="422"/>
      <c r="P923" s="422"/>
      <c r="Q923" s="486"/>
      <c r="R923" s="491"/>
      <c r="S923" s="491"/>
      <c r="T923" s="491"/>
      <c r="U923" s="491"/>
      <c r="V923" s="491"/>
      <c r="W923" s="493"/>
      <c r="X923" s="486"/>
      <c r="Y923" s="442"/>
      <c r="Z923" s="491"/>
      <c r="AA923" s="524"/>
      <c r="AB923" s="494"/>
      <c r="AC923" s="436"/>
      <c r="AD923" s="495"/>
      <c r="AE923" s="496"/>
      <c r="AF923" s="531"/>
      <c r="AG923" s="491"/>
      <c r="AH923" s="525"/>
      <c r="AI923" s="491"/>
      <c r="AJ923" s="446"/>
      <c r="AK923" s="491"/>
      <c r="AL923" s="500"/>
      <c r="AM923" s="436"/>
      <c r="AN923" s="438"/>
      <c r="AO923" s="531"/>
      <c r="AP923" s="491"/>
      <c r="AQ923" s="438"/>
      <c r="AR923" s="438"/>
      <c r="AS923" s="438"/>
      <c r="AT923" s="448"/>
      <c r="AU923" s="449"/>
      <c r="AV923" s="438"/>
      <c r="AW923" s="438"/>
      <c r="AX923" s="450"/>
    </row>
    <row r="924">
      <c r="A924" s="435"/>
      <c r="B924" s="485"/>
      <c r="C924" s="486"/>
      <c r="D924" s="486"/>
      <c r="E924" s="486"/>
      <c r="F924" s="528"/>
      <c r="G924" s="486"/>
      <c r="H924" s="486"/>
      <c r="I924" s="491"/>
      <c r="J924" s="491"/>
      <c r="K924" s="491"/>
      <c r="L924" s="491"/>
      <c r="M924" s="486"/>
      <c r="N924" s="422"/>
      <c r="O924" s="422"/>
      <c r="P924" s="422"/>
      <c r="Q924" s="486"/>
      <c r="R924" s="491"/>
      <c r="S924" s="491"/>
      <c r="T924" s="491"/>
      <c r="U924" s="491"/>
      <c r="V924" s="491"/>
      <c r="W924" s="493"/>
      <c r="X924" s="486"/>
      <c r="Y924" s="442"/>
      <c r="Z924" s="491"/>
      <c r="AA924" s="524"/>
      <c r="AB924" s="494"/>
      <c r="AC924" s="436"/>
      <c r="AD924" s="495"/>
      <c r="AE924" s="496"/>
      <c r="AF924" s="531"/>
      <c r="AG924" s="491"/>
      <c r="AH924" s="525"/>
      <c r="AI924" s="491"/>
      <c r="AJ924" s="446"/>
      <c r="AK924" s="491"/>
      <c r="AL924" s="500"/>
      <c r="AM924" s="436"/>
      <c r="AN924" s="438"/>
      <c r="AO924" s="531"/>
      <c r="AP924" s="491"/>
      <c r="AQ924" s="438"/>
      <c r="AR924" s="438"/>
      <c r="AS924" s="438"/>
      <c r="AT924" s="448"/>
      <c r="AU924" s="452"/>
      <c r="AV924" s="438"/>
      <c r="AW924" s="438"/>
      <c r="AX924" s="450"/>
    </row>
    <row r="925">
      <c r="A925" s="435"/>
      <c r="B925" s="485"/>
      <c r="C925" s="486"/>
      <c r="D925" s="486"/>
      <c r="E925" s="486"/>
      <c r="F925" s="528"/>
      <c r="G925" s="486"/>
      <c r="H925" s="486"/>
      <c r="I925" s="491"/>
      <c r="J925" s="491"/>
      <c r="K925" s="491"/>
      <c r="L925" s="491"/>
      <c r="M925" s="486"/>
      <c r="N925" s="422"/>
      <c r="O925" s="422"/>
      <c r="P925" s="422"/>
      <c r="Q925" s="486"/>
      <c r="R925" s="491"/>
      <c r="S925" s="491"/>
      <c r="T925" s="491"/>
      <c r="U925" s="491"/>
      <c r="V925" s="491"/>
      <c r="W925" s="493"/>
      <c r="X925" s="486"/>
      <c r="Y925" s="442"/>
      <c r="Z925" s="491"/>
      <c r="AA925" s="524"/>
      <c r="AB925" s="494"/>
      <c r="AC925" s="436"/>
      <c r="AD925" s="495"/>
      <c r="AE925" s="496"/>
      <c r="AF925" s="531"/>
      <c r="AG925" s="491"/>
      <c r="AH925" s="525"/>
      <c r="AI925" s="491"/>
      <c r="AJ925" s="446"/>
      <c r="AK925" s="491"/>
      <c r="AL925" s="500"/>
      <c r="AM925" s="436"/>
      <c r="AN925" s="438"/>
      <c r="AO925" s="531"/>
      <c r="AP925" s="491"/>
      <c r="AQ925" s="438"/>
      <c r="AR925" s="438"/>
      <c r="AS925" s="438"/>
      <c r="AT925" s="448"/>
      <c r="AU925" s="449"/>
      <c r="AV925" s="438"/>
      <c r="AW925" s="438"/>
      <c r="AX925" s="450"/>
    </row>
    <row r="926">
      <c r="A926" s="435"/>
      <c r="B926" s="485"/>
      <c r="C926" s="486"/>
      <c r="D926" s="486"/>
      <c r="E926" s="486"/>
      <c r="F926" s="528"/>
      <c r="G926" s="486"/>
      <c r="H926" s="486"/>
      <c r="I926" s="491"/>
      <c r="J926" s="491"/>
      <c r="K926" s="491"/>
      <c r="L926" s="491"/>
      <c r="M926" s="486"/>
      <c r="N926" s="422"/>
      <c r="O926" s="422"/>
      <c r="P926" s="422"/>
      <c r="Q926" s="486"/>
      <c r="R926" s="491"/>
      <c r="S926" s="491"/>
      <c r="T926" s="491"/>
      <c r="U926" s="491"/>
      <c r="V926" s="491"/>
      <c r="W926" s="493"/>
      <c r="X926" s="486"/>
      <c r="Y926" s="442"/>
      <c r="Z926" s="491"/>
      <c r="AA926" s="524"/>
      <c r="AB926" s="494"/>
      <c r="AC926" s="436"/>
      <c r="AD926" s="495"/>
      <c r="AE926" s="496"/>
      <c r="AF926" s="531"/>
      <c r="AG926" s="491"/>
      <c r="AH926" s="525"/>
      <c r="AI926" s="491"/>
      <c r="AJ926" s="446"/>
      <c r="AK926" s="491"/>
      <c r="AL926" s="500"/>
      <c r="AM926" s="436"/>
      <c r="AN926" s="438"/>
      <c r="AO926" s="531"/>
      <c r="AP926" s="491"/>
      <c r="AQ926" s="438"/>
      <c r="AR926" s="438"/>
      <c r="AS926" s="438"/>
      <c r="AT926" s="448"/>
      <c r="AU926" s="452"/>
      <c r="AV926" s="438"/>
      <c r="AW926" s="438"/>
      <c r="AX926" s="450"/>
    </row>
    <row r="927">
      <c r="A927" s="435"/>
      <c r="B927" s="485"/>
      <c r="C927" s="486"/>
      <c r="D927" s="486"/>
      <c r="E927" s="486"/>
      <c r="F927" s="528"/>
      <c r="G927" s="486"/>
      <c r="H927" s="486"/>
      <c r="I927" s="491"/>
      <c r="J927" s="491"/>
      <c r="K927" s="491"/>
      <c r="L927" s="491"/>
      <c r="M927" s="486"/>
      <c r="N927" s="422"/>
      <c r="O927" s="422"/>
      <c r="P927" s="422"/>
      <c r="Q927" s="486"/>
      <c r="R927" s="491"/>
      <c r="S927" s="491"/>
      <c r="T927" s="491"/>
      <c r="U927" s="491"/>
      <c r="V927" s="491"/>
      <c r="W927" s="493"/>
      <c r="X927" s="486"/>
      <c r="Y927" s="442"/>
      <c r="Z927" s="491"/>
      <c r="AA927" s="524"/>
      <c r="AB927" s="494"/>
      <c r="AC927" s="436"/>
      <c r="AD927" s="495"/>
      <c r="AE927" s="496"/>
      <c r="AF927" s="531"/>
      <c r="AG927" s="491"/>
      <c r="AH927" s="525"/>
      <c r="AI927" s="491"/>
      <c r="AJ927" s="446"/>
      <c r="AK927" s="491"/>
      <c r="AL927" s="500"/>
      <c r="AM927" s="436"/>
      <c r="AN927" s="438"/>
      <c r="AO927" s="531"/>
      <c r="AP927" s="491"/>
      <c r="AQ927" s="438"/>
      <c r="AR927" s="438"/>
      <c r="AS927" s="438"/>
      <c r="AT927" s="448"/>
      <c r="AU927" s="449"/>
      <c r="AV927" s="438"/>
      <c r="AW927" s="438"/>
      <c r="AX927" s="450"/>
    </row>
    <row r="928">
      <c r="A928" s="435"/>
      <c r="B928" s="485"/>
      <c r="C928" s="486"/>
      <c r="D928" s="486"/>
      <c r="E928" s="486"/>
      <c r="F928" s="528"/>
      <c r="G928" s="486"/>
      <c r="H928" s="486"/>
      <c r="I928" s="491"/>
      <c r="J928" s="491"/>
      <c r="K928" s="491"/>
      <c r="L928" s="491"/>
      <c r="M928" s="486"/>
      <c r="N928" s="422"/>
      <c r="O928" s="422"/>
      <c r="P928" s="422"/>
      <c r="Q928" s="486"/>
      <c r="R928" s="491"/>
      <c r="S928" s="491"/>
      <c r="T928" s="491"/>
      <c r="U928" s="491"/>
      <c r="V928" s="491"/>
      <c r="W928" s="493"/>
      <c r="X928" s="486"/>
      <c r="Y928" s="442"/>
      <c r="Z928" s="491"/>
      <c r="AA928" s="524"/>
      <c r="AB928" s="494"/>
      <c r="AC928" s="436"/>
      <c r="AD928" s="495"/>
      <c r="AE928" s="496"/>
      <c r="AF928" s="531"/>
      <c r="AG928" s="491"/>
      <c r="AH928" s="525"/>
      <c r="AI928" s="491"/>
      <c r="AJ928" s="446"/>
      <c r="AK928" s="491"/>
      <c r="AL928" s="500"/>
      <c r="AM928" s="436"/>
      <c r="AN928" s="438"/>
      <c r="AO928" s="531"/>
      <c r="AP928" s="491"/>
      <c r="AQ928" s="438"/>
      <c r="AR928" s="438"/>
      <c r="AS928" s="438"/>
      <c r="AT928" s="448"/>
      <c r="AU928" s="452"/>
      <c r="AV928" s="438"/>
      <c r="AW928" s="438"/>
      <c r="AX928" s="450"/>
    </row>
    <row r="929">
      <c r="A929" s="435"/>
      <c r="B929" s="485"/>
      <c r="C929" s="486"/>
      <c r="D929" s="486"/>
      <c r="E929" s="486"/>
      <c r="F929" s="528"/>
      <c r="G929" s="486"/>
      <c r="H929" s="486"/>
      <c r="I929" s="491"/>
      <c r="J929" s="491"/>
      <c r="K929" s="491"/>
      <c r="L929" s="491"/>
      <c r="M929" s="486"/>
      <c r="N929" s="422"/>
      <c r="O929" s="422"/>
      <c r="P929" s="422"/>
      <c r="Q929" s="486"/>
      <c r="R929" s="491"/>
      <c r="S929" s="491"/>
      <c r="T929" s="491"/>
      <c r="U929" s="491"/>
      <c r="V929" s="491"/>
      <c r="W929" s="493"/>
      <c r="X929" s="486"/>
      <c r="Y929" s="442"/>
      <c r="Z929" s="491"/>
      <c r="AA929" s="524"/>
      <c r="AB929" s="494"/>
      <c r="AC929" s="436"/>
      <c r="AD929" s="495"/>
      <c r="AE929" s="496"/>
      <c r="AF929" s="531"/>
      <c r="AG929" s="491"/>
      <c r="AH929" s="525"/>
      <c r="AI929" s="491"/>
      <c r="AJ929" s="446"/>
      <c r="AK929" s="491"/>
      <c r="AL929" s="500"/>
      <c r="AM929" s="436"/>
      <c r="AN929" s="438"/>
      <c r="AO929" s="531"/>
      <c r="AP929" s="491"/>
      <c r="AQ929" s="438"/>
      <c r="AR929" s="438"/>
      <c r="AS929" s="438"/>
      <c r="AT929" s="448"/>
      <c r="AU929" s="449"/>
      <c r="AV929" s="438"/>
      <c r="AW929" s="438"/>
      <c r="AX929" s="450"/>
    </row>
    <row r="930">
      <c r="A930" s="435"/>
      <c r="B930" s="485"/>
      <c r="C930" s="486"/>
      <c r="D930" s="486"/>
      <c r="E930" s="486"/>
      <c r="F930" s="528"/>
      <c r="G930" s="486"/>
      <c r="H930" s="486"/>
      <c r="I930" s="491"/>
      <c r="J930" s="491"/>
      <c r="K930" s="491"/>
      <c r="L930" s="491"/>
      <c r="M930" s="486"/>
      <c r="N930" s="422"/>
      <c r="O930" s="422"/>
      <c r="P930" s="422"/>
      <c r="Q930" s="486"/>
      <c r="R930" s="491"/>
      <c r="S930" s="491"/>
      <c r="T930" s="491"/>
      <c r="U930" s="491"/>
      <c r="V930" s="491"/>
      <c r="W930" s="493"/>
      <c r="X930" s="486"/>
      <c r="Y930" s="442"/>
      <c r="Z930" s="491"/>
      <c r="AA930" s="524"/>
      <c r="AB930" s="494"/>
      <c r="AC930" s="436"/>
      <c r="AD930" s="495"/>
      <c r="AE930" s="496"/>
      <c r="AF930" s="531"/>
      <c r="AG930" s="491"/>
      <c r="AH930" s="525"/>
      <c r="AI930" s="491"/>
      <c r="AJ930" s="446"/>
      <c r="AK930" s="491"/>
      <c r="AL930" s="500"/>
      <c r="AM930" s="436"/>
      <c r="AN930" s="438"/>
      <c r="AO930" s="531"/>
      <c r="AP930" s="491"/>
      <c r="AQ930" s="438"/>
      <c r="AR930" s="438"/>
      <c r="AS930" s="438"/>
      <c r="AT930" s="448"/>
      <c r="AU930" s="452"/>
      <c r="AV930" s="438"/>
      <c r="AW930" s="438"/>
      <c r="AX930" s="450"/>
    </row>
    <row r="931">
      <c r="A931" s="435"/>
      <c r="B931" s="485"/>
      <c r="C931" s="486"/>
      <c r="D931" s="486"/>
      <c r="E931" s="486"/>
      <c r="F931" s="528"/>
      <c r="G931" s="486"/>
      <c r="H931" s="486"/>
      <c r="I931" s="491"/>
      <c r="J931" s="491"/>
      <c r="K931" s="491"/>
      <c r="L931" s="491"/>
      <c r="M931" s="486"/>
      <c r="N931" s="422"/>
      <c r="O931" s="422"/>
      <c r="P931" s="422"/>
      <c r="Q931" s="486"/>
      <c r="R931" s="491"/>
      <c r="S931" s="491"/>
      <c r="T931" s="491"/>
      <c r="U931" s="491"/>
      <c r="V931" s="491"/>
      <c r="W931" s="493"/>
      <c r="X931" s="486"/>
      <c r="Y931" s="442"/>
      <c r="Z931" s="491"/>
      <c r="AA931" s="524"/>
      <c r="AB931" s="494"/>
      <c r="AC931" s="436"/>
      <c r="AD931" s="495"/>
      <c r="AE931" s="496"/>
      <c r="AF931" s="531"/>
      <c r="AG931" s="491"/>
      <c r="AH931" s="525"/>
      <c r="AI931" s="491"/>
      <c r="AJ931" s="446"/>
      <c r="AK931" s="491"/>
      <c r="AL931" s="500"/>
      <c r="AM931" s="436"/>
      <c r="AN931" s="438"/>
      <c r="AO931" s="531"/>
      <c r="AP931" s="491"/>
      <c r="AQ931" s="438"/>
      <c r="AR931" s="438"/>
      <c r="AS931" s="438"/>
      <c r="AT931" s="448"/>
      <c r="AU931" s="449"/>
      <c r="AV931" s="438"/>
      <c r="AW931" s="438"/>
      <c r="AX931" s="450"/>
    </row>
    <row r="932">
      <c r="A932" s="435"/>
      <c r="B932" s="485"/>
      <c r="C932" s="486"/>
      <c r="D932" s="486"/>
      <c r="E932" s="486"/>
      <c r="F932" s="528"/>
      <c r="G932" s="486"/>
      <c r="H932" s="486"/>
      <c r="I932" s="491"/>
      <c r="J932" s="491"/>
      <c r="K932" s="491"/>
      <c r="L932" s="491"/>
      <c r="M932" s="486"/>
      <c r="N932" s="422"/>
      <c r="O932" s="422"/>
      <c r="P932" s="422"/>
      <c r="Q932" s="486"/>
      <c r="R932" s="491"/>
      <c r="S932" s="491"/>
      <c r="T932" s="491"/>
      <c r="U932" s="491"/>
      <c r="V932" s="491"/>
      <c r="W932" s="493"/>
      <c r="X932" s="486"/>
      <c r="Y932" s="442"/>
      <c r="Z932" s="491"/>
      <c r="AA932" s="524"/>
      <c r="AB932" s="494"/>
      <c r="AC932" s="436"/>
      <c r="AD932" s="495"/>
      <c r="AE932" s="496"/>
      <c r="AF932" s="531"/>
      <c r="AG932" s="491"/>
      <c r="AH932" s="525"/>
      <c r="AI932" s="491"/>
      <c r="AJ932" s="446"/>
      <c r="AK932" s="491"/>
      <c r="AL932" s="500"/>
      <c r="AM932" s="436"/>
      <c r="AN932" s="438"/>
      <c r="AO932" s="531"/>
      <c r="AP932" s="491"/>
      <c r="AQ932" s="438"/>
      <c r="AR932" s="438"/>
      <c r="AS932" s="438"/>
      <c r="AT932" s="448"/>
      <c r="AU932" s="452"/>
      <c r="AV932" s="438"/>
      <c r="AW932" s="438"/>
      <c r="AX932" s="450"/>
    </row>
    <row r="933">
      <c r="A933" s="435"/>
      <c r="B933" s="485"/>
      <c r="C933" s="486"/>
      <c r="D933" s="486"/>
      <c r="E933" s="486"/>
      <c r="F933" s="528"/>
      <c r="G933" s="486"/>
      <c r="H933" s="486"/>
      <c r="I933" s="491"/>
      <c r="J933" s="491"/>
      <c r="K933" s="491"/>
      <c r="L933" s="491"/>
      <c r="M933" s="486"/>
      <c r="N933" s="422"/>
      <c r="O933" s="422"/>
      <c r="P933" s="422"/>
      <c r="Q933" s="486"/>
      <c r="R933" s="491"/>
      <c r="S933" s="491"/>
      <c r="T933" s="491"/>
      <c r="U933" s="491"/>
      <c r="V933" s="491"/>
      <c r="W933" s="493"/>
      <c r="X933" s="486"/>
      <c r="Y933" s="442"/>
      <c r="Z933" s="491"/>
      <c r="AA933" s="524"/>
      <c r="AB933" s="494"/>
      <c r="AC933" s="436"/>
      <c r="AD933" s="495"/>
      <c r="AE933" s="496"/>
      <c r="AF933" s="531"/>
      <c r="AG933" s="491"/>
      <c r="AH933" s="525"/>
      <c r="AI933" s="491"/>
      <c r="AJ933" s="446"/>
      <c r="AK933" s="491"/>
      <c r="AL933" s="500"/>
      <c r="AM933" s="436"/>
      <c r="AN933" s="438"/>
      <c r="AO933" s="531"/>
      <c r="AP933" s="491"/>
      <c r="AQ933" s="438"/>
      <c r="AR933" s="438"/>
      <c r="AS933" s="438"/>
      <c r="AT933" s="448"/>
      <c r="AU933" s="449"/>
      <c r="AV933" s="438"/>
      <c r="AW933" s="438"/>
      <c r="AX933" s="450"/>
    </row>
    <row r="934">
      <c r="A934" s="435"/>
      <c r="B934" s="485"/>
      <c r="C934" s="486"/>
      <c r="D934" s="486"/>
      <c r="E934" s="486"/>
      <c r="F934" s="528"/>
      <c r="G934" s="486"/>
      <c r="H934" s="486"/>
      <c r="I934" s="491"/>
      <c r="J934" s="491"/>
      <c r="K934" s="491"/>
      <c r="L934" s="491"/>
      <c r="M934" s="486"/>
      <c r="N934" s="422"/>
      <c r="O934" s="422"/>
      <c r="P934" s="422"/>
      <c r="Q934" s="486"/>
      <c r="R934" s="491"/>
      <c r="S934" s="491"/>
      <c r="T934" s="491"/>
      <c r="U934" s="491"/>
      <c r="V934" s="491"/>
      <c r="W934" s="493"/>
      <c r="X934" s="486"/>
      <c r="Y934" s="442"/>
      <c r="Z934" s="491"/>
      <c r="AA934" s="524"/>
      <c r="AB934" s="494"/>
      <c r="AC934" s="436"/>
      <c r="AD934" s="495"/>
      <c r="AE934" s="496"/>
      <c r="AF934" s="531"/>
      <c r="AG934" s="491"/>
      <c r="AH934" s="525"/>
      <c r="AI934" s="491"/>
      <c r="AJ934" s="446"/>
      <c r="AK934" s="491"/>
      <c r="AL934" s="500"/>
      <c r="AM934" s="436"/>
      <c r="AN934" s="438"/>
      <c r="AO934" s="531"/>
      <c r="AP934" s="491"/>
      <c r="AQ934" s="438"/>
      <c r="AR934" s="438"/>
      <c r="AS934" s="438"/>
      <c r="AT934" s="448"/>
      <c r="AU934" s="452"/>
      <c r="AV934" s="438"/>
      <c r="AW934" s="438"/>
      <c r="AX934" s="450"/>
    </row>
    <row r="935">
      <c r="A935" s="435"/>
      <c r="B935" s="485"/>
      <c r="C935" s="486"/>
      <c r="D935" s="486"/>
      <c r="E935" s="486"/>
      <c r="F935" s="528"/>
      <c r="G935" s="486"/>
      <c r="H935" s="486"/>
      <c r="I935" s="491"/>
      <c r="J935" s="491"/>
      <c r="K935" s="491"/>
      <c r="L935" s="491"/>
      <c r="M935" s="486"/>
      <c r="N935" s="422"/>
      <c r="O935" s="422"/>
      <c r="P935" s="422"/>
      <c r="Q935" s="486"/>
      <c r="R935" s="491"/>
      <c r="S935" s="491"/>
      <c r="T935" s="491"/>
      <c r="U935" s="491"/>
      <c r="V935" s="491"/>
      <c r="W935" s="493"/>
      <c r="X935" s="486"/>
      <c r="Y935" s="442"/>
      <c r="Z935" s="491"/>
      <c r="AA935" s="524"/>
      <c r="AB935" s="494"/>
      <c r="AC935" s="436"/>
      <c r="AD935" s="495"/>
      <c r="AE935" s="496"/>
      <c r="AF935" s="531"/>
      <c r="AG935" s="491"/>
      <c r="AH935" s="525"/>
      <c r="AI935" s="491"/>
      <c r="AJ935" s="446"/>
      <c r="AK935" s="491"/>
      <c r="AL935" s="500"/>
      <c r="AM935" s="436"/>
      <c r="AN935" s="438"/>
      <c r="AO935" s="531"/>
      <c r="AP935" s="491"/>
      <c r="AQ935" s="438"/>
      <c r="AR935" s="438"/>
      <c r="AS935" s="438"/>
      <c r="AT935" s="448"/>
      <c r="AU935" s="449"/>
      <c r="AV935" s="438"/>
      <c r="AW935" s="438"/>
      <c r="AX935" s="450"/>
    </row>
    <row r="936">
      <c r="A936" s="435"/>
      <c r="B936" s="485"/>
      <c r="C936" s="486"/>
      <c r="D936" s="486"/>
      <c r="E936" s="486"/>
      <c r="F936" s="528"/>
      <c r="G936" s="486"/>
      <c r="H936" s="486"/>
      <c r="I936" s="491"/>
      <c r="J936" s="491"/>
      <c r="K936" s="491"/>
      <c r="L936" s="491"/>
      <c r="M936" s="486"/>
      <c r="N936" s="422"/>
      <c r="O936" s="422"/>
      <c r="P936" s="422"/>
      <c r="Q936" s="486"/>
      <c r="R936" s="491"/>
      <c r="S936" s="491"/>
      <c r="T936" s="491"/>
      <c r="U936" s="491"/>
      <c r="V936" s="491"/>
      <c r="W936" s="493"/>
      <c r="X936" s="486"/>
      <c r="Y936" s="442"/>
      <c r="Z936" s="491"/>
      <c r="AA936" s="524"/>
      <c r="AB936" s="494"/>
      <c r="AC936" s="436"/>
      <c r="AD936" s="495"/>
      <c r="AE936" s="496"/>
      <c r="AF936" s="531"/>
      <c r="AG936" s="491"/>
      <c r="AH936" s="525"/>
      <c r="AI936" s="491"/>
      <c r="AJ936" s="446"/>
      <c r="AK936" s="491"/>
      <c r="AL936" s="500"/>
      <c r="AM936" s="436"/>
      <c r="AN936" s="438"/>
      <c r="AO936" s="531"/>
      <c r="AP936" s="491"/>
      <c r="AQ936" s="438"/>
      <c r="AR936" s="438"/>
      <c r="AS936" s="438"/>
      <c r="AT936" s="448"/>
      <c r="AU936" s="452"/>
      <c r="AV936" s="438"/>
      <c r="AW936" s="438"/>
      <c r="AX936" s="450"/>
    </row>
    <row r="937">
      <c r="A937" s="435"/>
      <c r="B937" s="485"/>
      <c r="C937" s="486"/>
      <c r="D937" s="486"/>
      <c r="E937" s="486"/>
      <c r="F937" s="528"/>
      <c r="G937" s="486"/>
      <c r="H937" s="486"/>
      <c r="I937" s="491"/>
      <c r="J937" s="491"/>
      <c r="K937" s="491"/>
      <c r="L937" s="491"/>
      <c r="M937" s="486"/>
      <c r="N937" s="422"/>
      <c r="O937" s="422"/>
      <c r="P937" s="422"/>
      <c r="Q937" s="486"/>
      <c r="R937" s="491"/>
      <c r="S937" s="491"/>
      <c r="T937" s="491"/>
      <c r="U937" s="491"/>
      <c r="V937" s="491"/>
      <c r="W937" s="493"/>
      <c r="X937" s="486"/>
      <c r="Y937" s="442"/>
      <c r="Z937" s="491"/>
      <c r="AA937" s="524"/>
      <c r="AB937" s="494"/>
      <c r="AC937" s="436"/>
      <c r="AD937" s="495"/>
      <c r="AE937" s="496"/>
      <c r="AF937" s="531"/>
      <c r="AG937" s="491"/>
      <c r="AH937" s="525"/>
      <c r="AI937" s="491"/>
      <c r="AJ937" s="446"/>
      <c r="AK937" s="491"/>
      <c r="AL937" s="500"/>
      <c r="AM937" s="436"/>
      <c r="AN937" s="438"/>
      <c r="AO937" s="531"/>
      <c r="AP937" s="491"/>
      <c r="AQ937" s="438"/>
      <c r="AR937" s="438"/>
      <c r="AS937" s="438"/>
      <c r="AT937" s="448"/>
      <c r="AU937" s="449"/>
      <c r="AV937" s="438"/>
      <c r="AW937" s="438"/>
      <c r="AX937" s="450"/>
    </row>
    <row r="938">
      <c r="A938" s="435"/>
      <c r="B938" s="485"/>
      <c r="C938" s="486"/>
      <c r="D938" s="486"/>
      <c r="E938" s="486"/>
      <c r="F938" s="528"/>
      <c r="G938" s="486"/>
      <c r="H938" s="486"/>
      <c r="I938" s="491"/>
      <c r="J938" s="491"/>
      <c r="K938" s="491"/>
      <c r="L938" s="491"/>
      <c r="M938" s="486"/>
      <c r="N938" s="422"/>
      <c r="O938" s="422"/>
      <c r="P938" s="422"/>
      <c r="Q938" s="486"/>
      <c r="R938" s="491"/>
      <c r="S938" s="491"/>
      <c r="T938" s="491"/>
      <c r="U938" s="491"/>
      <c r="V938" s="491"/>
      <c r="W938" s="493"/>
      <c r="X938" s="486"/>
      <c r="Y938" s="442"/>
      <c r="Z938" s="491"/>
      <c r="AA938" s="524"/>
      <c r="AB938" s="494"/>
      <c r="AC938" s="436"/>
      <c r="AD938" s="495"/>
      <c r="AE938" s="496"/>
      <c r="AF938" s="531"/>
      <c r="AG938" s="491"/>
      <c r="AH938" s="525"/>
      <c r="AI938" s="491"/>
      <c r="AJ938" s="446"/>
      <c r="AK938" s="491"/>
      <c r="AL938" s="500"/>
      <c r="AM938" s="436"/>
      <c r="AN938" s="438"/>
      <c r="AO938" s="531"/>
      <c r="AP938" s="491"/>
      <c r="AQ938" s="438"/>
      <c r="AR938" s="438"/>
      <c r="AS938" s="438"/>
      <c r="AT938" s="448"/>
      <c r="AU938" s="452"/>
      <c r="AV938" s="438"/>
      <c r="AW938" s="438"/>
      <c r="AX938" s="450"/>
    </row>
    <row r="939">
      <c r="A939" s="435"/>
      <c r="B939" s="485"/>
      <c r="C939" s="486"/>
      <c r="D939" s="486"/>
      <c r="E939" s="486"/>
      <c r="F939" s="528"/>
      <c r="G939" s="486"/>
      <c r="H939" s="486"/>
      <c r="I939" s="491"/>
      <c r="J939" s="491"/>
      <c r="K939" s="491"/>
      <c r="L939" s="491"/>
      <c r="M939" s="486"/>
      <c r="N939" s="422"/>
      <c r="O939" s="422"/>
      <c r="P939" s="422"/>
      <c r="Q939" s="486"/>
      <c r="R939" s="491"/>
      <c r="S939" s="491"/>
      <c r="T939" s="491"/>
      <c r="U939" s="491"/>
      <c r="V939" s="491"/>
      <c r="W939" s="493"/>
      <c r="X939" s="486"/>
      <c r="Y939" s="442"/>
      <c r="Z939" s="491"/>
      <c r="AA939" s="524"/>
      <c r="AB939" s="494"/>
      <c r="AC939" s="436"/>
      <c r="AD939" s="495"/>
      <c r="AE939" s="496"/>
      <c r="AF939" s="531"/>
      <c r="AG939" s="491"/>
      <c r="AH939" s="525"/>
      <c r="AI939" s="491"/>
      <c r="AJ939" s="446"/>
      <c r="AK939" s="491"/>
      <c r="AL939" s="500"/>
      <c r="AM939" s="436"/>
      <c r="AN939" s="438"/>
      <c r="AO939" s="531"/>
      <c r="AP939" s="491"/>
      <c r="AQ939" s="438"/>
      <c r="AR939" s="438"/>
      <c r="AS939" s="438"/>
      <c r="AT939" s="448"/>
      <c r="AU939" s="449"/>
      <c r="AV939" s="438"/>
      <c r="AW939" s="438"/>
      <c r="AX939" s="450"/>
    </row>
    <row r="940">
      <c r="A940" s="435"/>
      <c r="B940" s="485"/>
      <c r="C940" s="486"/>
      <c r="D940" s="486"/>
      <c r="E940" s="486"/>
      <c r="F940" s="528"/>
      <c r="G940" s="486"/>
      <c r="H940" s="486"/>
      <c r="I940" s="491"/>
      <c r="J940" s="491"/>
      <c r="K940" s="491"/>
      <c r="L940" s="491"/>
      <c r="M940" s="486"/>
      <c r="N940" s="422"/>
      <c r="O940" s="422"/>
      <c r="P940" s="422"/>
      <c r="Q940" s="486"/>
      <c r="R940" s="491"/>
      <c r="S940" s="491"/>
      <c r="T940" s="491"/>
      <c r="U940" s="491"/>
      <c r="V940" s="491"/>
      <c r="W940" s="493"/>
      <c r="X940" s="486"/>
      <c r="Y940" s="442"/>
      <c r="Z940" s="491"/>
      <c r="AA940" s="524"/>
      <c r="AB940" s="494"/>
      <c r="AC940" s="436"/>
      <c r="AD940" s="495"/>
      <c r="AE940" s="496"/>
      <c r="AF940" s="531"/>
      <c r="AG940" s="491"/>
      <c r="AH940" s="525"/>
      <c r="AI940" s="491"/>
      <c r="AJ940" s="446"/>
      <c r="AK940" s="491"/>
      <c r="AL940" s="500"/>
      <c r="AM940" s="436"/>
      <c r="AN940" s="438"/>
      <c r="AO940" s="531"/>
      <c r="AP940" s="491"/>
      <c r="AQ940" s="438"/>
      <c r="AR940" s="438"/>
      <c r="AS940" s="438"/>
      <c r="AT940" s="448"/>
      <c r="AU940" s="452"/>
      <c r="AV940" s="438"/>
      <c r="AW940" s="438"/>
      <c r="AX940" s="450"/>
    </row>
    <row r="941">
      <c r="A941" s="435"/>
      <c r="B941" s="485"/>
      <c r="C941" s="486"/>
      <c r="D941" s="486"/>
      <c r="E941" s="486"/>
      <c r="F941" s="528"/>
      <c r="G941" s="486"/>
      <c r="H941" s="486"/>
      <c r="I941" s="491"/>
      <c r="J941" s="491"/>
      <c r="K941" s="491"/>
      <c r="L941" s="491"/>
      <c r="M941" s="486"/>
      <c r="N941" s="422"/>
      <c r="O941" s="422"/>
      <c r="P941" s="422"/>
      <c r="Q941" s="486"/>
      <c r="R941" s="491"/>
      <c r="S941" s="491"/>
      <c r="T941" s="491"/>
      <c r="U941" s="491"/>
      <c r="V941" s="491"/>
      <c r="W941" s="493"/>
      <c r="X941" s="486"/>
      <c r="Y941" s="442"/>
      <c r="Z941" s="491"/>
      <c r="AA941" s="524"/>
      <c r="AB941" s="494"/>
      <c r="AC941" s="436"/>
      <c r="AD941" s="495"/>
      <c r="AE941" s="496"/>
      <c r="AF941" s="531"/>
      <c r="AG941" s="491"/>
      <c r="AH941" s="525"/>
      <c r="AI941" s="491"/>
      <c r="AJ941" s="446"/>
      <c r="AK941" s="491"/>
      <c r="AL941" s="500"/>
      <c r="AM941" s="436"/>
      <c r="AN941" s="438"/>
      <c r="AO941" s="531"/>
      <c r="AP941" s="491"/>
      <c r="AQ941" s="438"/>
      <c r="AR941" s="438"/>
      <c r="AS941" s="438"/>
      <c r="AT941" s="448"/>
      <c r="AU941" s="449"/>
      <c r="AV941" s="438"/>
      <c r="AW941" s="438"/>
      <c r="AX941" s="450"/>
    </row>
    <row r="942">
      <c r="A942" s="435"/>
      <c r="B942" s="485"/>
      <c r="C942" s="486"/>
      <c r="D942" s="486"/>
      <c r="E942" s="486"/>
      <c r="F942" s="528"/>
      <c r="G942" s="486"/>
      <c r="H942" s="486"/>
      <c r="I942" s="491"/>
      <c r="J942" s="491"/>
      <c r="K942" s="491"/>
      <c r="L942" s="491"/>
      <c r="M942" s="486"/>
      <c r="N942" s="422"/>
      <c r="O942" s="422"/>
      <c r="P942" s="422"/>
      <c r="Q942" s="486"/>
      <c r="R942" s="491"/>
      <c r="S942" s="491"/>
      <c r="T942" s="491"/>
      <c r="U942" s="491"/>
      <c r="V942" s="491"/>
      <c r="W942" s="493"/>
      <c r="X942" s="486"/>
      <c r="Y942" s="442"/>
      <c r="Z942" s="491"/>
      <c r="AA942" s="524"/>
      <c r="AB942" s="494"/>
      <c r="AC942" s="436"/>
      <c r="AD942" s="495"/>
      <c r="AE942" s="496"/>
      <c r="AF942" s="531"/>
      <c r="AG942" s="491"/>
      <c r="AH942" s="525"/>
      <c r="AI942" s="491"/>
      <c r="AJ942" s="446"/>
      <c r="AK942" s="491"/>
      <c r="AL942" s="500"/>
      <c r="AM942" s="436"/>
      <c r="AN942" s="438"/>
      <c r="AO942" s="531"/>
      <c r="AP942" s="491"/>
      <c r="AQ942" s="438"/>
      <c r="AR942" s="438"/>
      <c r="AS942" s="438"/>
      <c r="AT942" s="448"/>
      <c r="AU942" s="452"/>
      <c r="AV942" s="438"/>
      <c r="AW942" s="438"/>
      <c r="AX942" s="450"/>
    </row>
    <row r="943">
      <c r="A943" s="435"/>
      <c r="B943" s="485"/>
      <c r="C943" s="486"/>
      <c r="D943" s="486"/>
      <c r="E943" s="486"/>
      <c r="F943" s="528"/>
      <c r="G943" s="486"/>
      <c r="H943" s="486"/>
      <c r="I943" s="491"/>
      <c r="J943" s="491"/>
      <c r="K943" s="491"/>
      <c r="L943" s="491"/>
      <c r="M943" s="486"/>
      <c r="N943" s="422"/>
      <c r="O943" s="422"/>
      <c r="P943" s="422"/>
      <c r="Q943" s="486"/>
      <c r="R943" s="491"/>
      <c r="S943" s="491"/>
      <c r="T943" s="491"/>
      <c r="U943" s="491"/>
      <c r="V943" s="491"/>
      <c r="W943" s="493"/>
      <c r="X943" s="486"/>
      <c r="Y943" s="442"/>
      <c r="Z943" s="491"/>
      <c r="AA943" s="524"/>
      <c r="AB943" s="494"/>
      <c r="AC943" s="436"/>
      <c r="AD943" s="495"/>
      <c r="AE943" s="496"/>
      <c r="AF943" s="531"/>
      <c r="AG943" s="491"/>
      <c r="AH943" s="525"/>
      <c r="AI943" s="491"/>
      <c r="AJ943" s="446"/>
      <c r="AK943" s="491"/>
      <c r="AL943" s="500"/>
      <c r="AM943" s="436"/>
      <c r="AN943" s="438"/>
      <c r="AO943" s="531"/>
      <c r="AP943" s="491"/>
      <c r="AQ943" s="438"/>
      <c r="AR943" s="438"/>
      <c r="AS943" s="438"/>
      <c r="AT943" s="448"/>
      <c r="AU943" s="449"/>
      <c r="AV943" s="438"/>
      <c r="AW943" s="438"/>
      <c r="AX943" s="450"/>
    </row>
    <row r="944">
      <c r="A944" s="435"/>
      <c r="B944" s="485"/>
      <c r="C944" s="486"/>
      <c r="D944" s="486"/>
      <c r="E944" s="486"/>
      <c r="F944" s="528"/>
      <c r="G944" s="486"/>
      <c r="H944" s="486"/>
      <c r="I944" s="491"/>
      <c r="J944" s="491"/>
      <c r="K944" s="491"/>
      <c r="L944" s="491"/>
      <c r="M944" s="486"/>
      <c r="N944" s="422"/>
      <c r="O944" s="422"/>
      <c r="P944" s="422"/>
      <c r="Q944" s="486"/>
      <c r="R944" s="491"/>
      <c r="S944" s="491"/>
      <c r="T944" s="491"/>
      <c r="U944" s="491"/>
      <c r="V944" s="491"/>
      <c r="W944" s="493"/>
      <c r="X944" s="486"/>
      <c r="Y944" s="442"/>
      <c r="Z944" s="491"/>
      <c r="AA944" s="524"/>
      <c r="AB944" s="494"/>
      <c r="AC944" s="436"/>
      <c r="AD944" s="495"/>
      <c r="AE944" s="496"/>
      <c r="AF944" s="531"/>
      <c r="AG944" s="491"/>
      <c r="AH944" s="525"/>
      <c r="AI944" s="491"/>
      <c r="AJ944" s="446"/>
      <c r="AK944" s="491"/>
      <c r="AL944" s="500"/>
      <c r="AM944" s="436"/>
      <c r="AN944" s="438"/>
      <c r="AO944" s="531"/>
      <c r="AP944" s="491"/>
      <c r="AQ944" s="438"/>
      <c r="AR944" s="438"/>
      <c r="AS944" s="438"/>
      <c r="AT944" s="448"/>
      <c r="AU944" s="452"/>
      <c r="AV944" s="438"/>
      <c r="AW944" s="438"/>
      <c r="AX944" s="450"/>
    </row>
    <row r="945">
      <c r="A945" s="435"/>
      <c r="B945" s="485"/>
      <c r="C945" s="486"/>
      <c r="D945" s="486"/>
      <c r="E945" s="486"/>
      <c r="F945" s="528"/>
      <c r="G945" s="486"/>
      <c r="H945" s="486"/>
      <c r="I945" s="491"/>
      <c r="J945" s="491"/>
      <c r="K945" s="491"/>
      <c r="L945" s="491"/>
      <c r="M945" s="486"/>
      <c r="N945" s="422"/>
      <c r="O945" s="422"/>
      <c r="P945" s="422"/>
      <c r="Q945" s="486"/>
      <c r="R945" s="491"/>
      <c r="S945" s="491"/>
      <c r="T945" s="491"/>
      <c r="U945" s="491"/>
      <c r="V945" s="491"/>
      <c r="W945" s="493"/>
      <c r="X945" s="486"/>
      <c r="Y945" s="442"/>
      <c r="Z945" s="491"/>
      <c r="AA945" s="524"/>
      <c r="AB945" s="494"/>
      <c r="AC945" s="436"/>
      <c r="AD945" s="495"/>
      <c r="AE945" s="496"/>
      <c r="AF945" s="531"/>
      <c r="AG945" s="491"/>
      <c r="AH945" s="525"/>
      <c r="AI945" s="491"/>
      <c r="AJ945" s="446"/>
      <c r="AK945" s="491"/>
      <c r="AL945" s="500"/>
      <c r="AM945" s="436"/>
      <c r="AN945" s="438"/>
      <c r="AO945" s="531"/>
      <c r="AP945" s="491"/>
      <c r="AQ945" s="438"/>
      <c r="AR945" s="438"/>
      <c r="AS945" s="438"/>
      <c r="AT945" s="448"/>
      <c r="AU945" s="449"/>
      <c r="AV945" s="438"/>
      <c r="AW945" s="438"/>
      <c r="AX945" s="450"/>
    </row>
    <row r="946">
      <c r="A946" s="435"/>
      <c r="B946" s="485"/>
      <c r="C946" s="486"/>
      <c r="D946" s="486"/>
      <c r="E946" s="486"/>
      <c r="F946" s="528"/>
      <c r="G946" s="486"/>
      <c r="H946" s="486"/>
      <c r="I946" s="491"/>
      <c r="J946" s="491"/>
      <c r="K946" s="491"/>
      <c r="L946" s="491"/>
      <c r="M946" s="486"/>
      <c r="N946" s="422"/>
      <c r="O946" s="422"/>
      <c r="P946" s="422"/>
      <c r="Q946" s="486"/>
      <c r="R946" s="491"/>
      <c r="S946" s="491"/>
      <c r="T946" s="491"/>
      <c r="U946" s="491"/>
      <c r="V946" s="491"/>
      <c r="W946" s="493"/>
      <c r="X946" s="486"/>
      <c r="Y946" s="442"/>
      <c r="Z946" s="491"/>
      <c r="AA946" s="524"/>
      <c r="AB946" s="494"/>
      <c r="AC946" s="436"/>
      <c r="AD946" s="495"/>
      <c r="AE946" s="496"/>
      <c r="AF946" s="531"/>
      <c r="AG946" s="491"/>
      <c r="AH946" s="525"/>
      <c r="AI946" s="491"/>
      <c r="AJ946" s="446"/>
      <c r="AK946" s="491"/>
      <c r="AL946" s="500"/>
      <c r="AM946" s="436"/>
      <c r="AN946" s="438"/>
      <c r="AO946" s="531"/>
      <c r="AP946" s="491"/>
      <c r="AQ946" s="438"/>
      <c r="AR946" s="438"/>
      <c r="AS946" s="438"/>
      <c r="AT946" s="448"/>
      <c r="AU946" s="452"/>
      <c r="AV946" s="438"/>
      <c r="AW946" s="438"/>
      <c r="AX946" s="450"/>
    </row>
    <row r="947">
      <c r="A947" s="435"/>
      <c r="B947" s="485"/>
      <c r="C947" s="486"/>
      <c r="D947" s="486"/>
      <c r="E947" s="486"/>
      <c r="F947" s="528"/>
      <c r="G947" s="486"/>
      <c r="H947" s="486"/>
      <c r="I947" s="491"/>
      <c r="J947" s="491"/>
      <c r="K947" s="491"/>
      <c r="L947" s="491"/>
      <c r="M947" s="486"/>
      <c r="N947" s="422"/>
      <c r="O947" s="422"/>
      <c r="P947" s="422"/>
      <c r="Q947" s="486"/>
      <c r="R947" s="491"/>
      <c r="S947" s="491"/>
      <c r="T947" s="491"/>
      <c r="U947" s="491"/>
      <c r="V947" s="491"/>
      <c r="W947" s="493"/>
      <c r="X947" s="486"/>
      <c r="Y947" s="442"/>
      <c r="Z947" s="491"/>
      <c r="AA947" s="524"/>
      <c r="AB947" s="494"/>
      <c r="AC947" s="436"/>
      <c r="AD947" s="495"/>
      <c r="AE947" s="496"/>
      <c r="AF947" s="531"/>
      <c r="AG947" s="491"/>
      <c r="AH947" s="525"/>
      <c r="AI947" s="491"/>
      <c r="AJ947" s="446"/>
      <c r="AK947" s="491"/>
      <c r="AL947" s="500"/>
      <c r="AM947" s="436"/>
      <c r="AN947" s="438"/>
      <c r="AO947" s="531"/>
      <c r="AP947" s="491"/>
      <c r="AQ947" s="438"/>
      <c r="AR947" s="438"/>
      <c r="AS947" s="438"/>
      <c r="AT947" s="448"/>
      <c r="AU947" s="449"/>
      <c r="AV947" s="438"/>
      <c r="AW947" s="438"/>
      <c r="AX947" s="450"/>
    </row>
    <row r="948">
      <c r="A948" s="435"/>
      <c r="B948" s="485"/>
      <c r="C948" s="486"/>
      <c r="D948" s="486"/>
      <c r="E948" s="486"/>
      <c r="F948" s="528"/>
      <c r="G948" s="486"/>
      <c r="H948" s="486"/>
      <c r="I948" s="491"/>
      <c r="J948" s="491"/>
      <c r="K948" s="491"/>
      <c r="L948" s="491"/>
      <c r="M948" s="486"/>
      <c r="N948" s="422"/>
      <c r="O948" s="422"/>
      <c r="P948" s="422"/>
      <c r="Q948" s="486"/>
      <c r="R948" s="491"/>
      <c r="S948" s="491"/>
      <c r="T948" s="491"/>
      <c r="U948" s="491"/>
      <c r="V948" s="491"/>
      <c r="W948" s="493"/>
      <c r="X948" s="486"/>
      <c r="Y948" s="442"/>
      <c r="Z948" s="491"/>
      <c r="AA948" s="524"/>
      <c r="AB948" s="494"/>
      <c r="AC948" s="436"/>
      <c r="AD948" s="495"/>
      <c r="AE948" s="496"/>
      <c r="AF948" s="531"/>
      <c r="AG948" s="491"/>
      <c r="AH948" s="525"/>
      <c r="AI948" s="491"/>
      <c r="AJ948" s="446"/>
      <c r="AK948" s="491"/>
      <c r="AL948" s="500"/>
      <c r="AM948" s="436"/>
      <c r="AN948" s="438"/>
      <c r="AO948" s="531"/>
      <c r="AP948" s="491"/>
      <c r="AQ948" s="438"/>
      <c r="AR948" s="438"/>
      <c r="AS948" s="438"/>
      <c r="AT948" s="448"/>
      <c r="AU948" s="452"/>
      <c r="AV948" s="438"/>
      <c r="AW948" s="438"/>
      <c r="AX948" s="450"/>
    </row>
    <row r="949">
      <c r="A949" s="435"/>
      <c r="B949" s="485"/>
      <c r="C949" s="486"/>
      <c r="D949" s="486"/>
      <c r="E949" s="486"/>
      <c r="F949" s="528"/>
      <c r="G949" s="486"/>
      <c r="H949" s="486"/>
      <c r="I949" s="491"/>
      <c r="J949" s="491"/>
      <c r="K949" s="491"/>
      <c r="L949" s="491"/>
      <c r="M949" s="486"/>
      <c r="N949" s="422"/>
      <c r="O949" s="422"/>
      <c r="P949" s="422"/>
      <c r="Q949" s="486"/>
      <c r="R949" s="491"/>
      <c r="S949" s="491"/>
      <c r="T949" s="491"/>
      <c r="U949" s="491"/>
      <c r="V949" s="491"/>
      <c r="W949" s="493"/>
      <c r="X949" s="486"/>
      <c r="Y949" s="442"/>
      <c r="Z949" s="491"/>
      <c r="AA949" s="524"/>
      <c r="AB949" s="494"/>
      <c r="AC949" s="436"/>
      <c r="AD949" s="495"/>
      <c r="AE949" s="496"/>
      <c r="AF949" s="531"/>
      <c r="AG949" s="491"/>
      <c r="AH949" s="525"/>
      <c r="AI949" s="491"/>
      <c r="AJ949" s="446"/>
      <c r="AK949" s="491"/>
      <c r="AL949" s="500"/>
      <c r="AM949" s="436"/>
      <c r="AN949" s="438"/>
      <c r="AO949" s="531"/>
      <c r="AP949" s="491"/>
      <c r="AQ949" s="438"/>
      <c r="AR949" s="438"/>
      <c r="AS949" s="438"/>
      <c r="AT949" s="448"/>
      <c r="AU949" s="449"/>
      <c r="AV949" s="438"/>
      <c r="AW949" s="438"/>
      <c r="AX949" s="450"/>
    </row>
    <row r="950">
      <c r="A950" s="435"/>
      <c r="B950" s="485"/>
      <c r="C950" s="486"/>
      <c r="D950" s="486"/>
      <c r="E950" s="486"/>
      <c r="F950" s="528"/>
      <c r="G950" s="486"/>
      <c r="H950" s="486"/>
      <c r="I950" s="491"/>
      <c r="J950" s="491"/>
      <c r="K950" s="491"/>
      <c r="L950" s="491"/>
      <c r="M950" s="486"/>
      <c r="N950" s="422"/>
      <c r="O950" s="422"/>
      <c r="P950" s="422"/>
      <c r="Q950" s="486"/>
      <c r="R950" s="491"/>
      <c r="S950" s="491"/>
      <c r="T950" s="491"/>
      <c r="U950" s="491"/>
      <c r="V950" s="491"/>
      <c r="W950" s="493"/>
      <c r="X950" s="486"/>
      <c r="Y950" s="442"/>
      <c r="Z950" s="491"/>
      <c r="AA950" s="524"/>
      <c r="AB950" s="494"/>
      <c r="AC950" s="436"/>
      <c r="AD950" s="495"/>
      <c r="AE950" s="496"/>
      <c r="AF950" s="531"/>
      <c r="AG950" s="491"/>
      <c r="AH950" s="525"/>
      <c r="AI950" s="491"/>
      <c r="AJ950" s="446"/>
      <c r="AK950" s="491"/>
      <c r="AL950" s="500"/>
      <c r="AM950" s="436"/>
      <c r="AN950" s="438"/>
      <c r="AO950" s="531"/>
      <c r="AP950" s="491"/>
      <c r="AQ950" s="438"/>
      <c r="AR950" s="438"/>
      <c r="AS950" s="438"/>
      <c r="AT950" s="448"/>
      <c r="AU950" s="452"/>
      <c r="AV950" s="438"/>
      <c r="AW950" s="438"/>
      <c r="AX950" s="450"/>
    </row>
    <row r="951">
      <c r="A951" s="435"/>
      <c r="B951" s="485"/>
      <c r="C951" s="486"/>
      <c r="D951" s="486"/>
      <c r="E951" s="486"/>
      <c r="F951" s="528"/>
      <c r="G951" s="486"/>
      <c r="H951" s="486"/>
      <c r="I951" s="491"/>
      <c r="J951" s="491"/>
      <c r="K951" s="491"/>
      <c r="L951" s="491"/>
      <c r="M951" s="486"/>
      <c r="N951" s="422"/>
      <c r="O951" s="422"/>
      <c r="P951" s="422"/>
      <c r="Q951" s="486"/>
      <c r="R951" s="491"/>
      <c r="S951" s="491"/>
      <c r="T951" s="491"/>
      <c r="U951" s="491"/>
      <c r="V951" s="491"/>
      <c r="W951" s="493"/>
      <c r="X951" s="486"/>
      <c r="Y951" s="442"/>
      <c r="Z951" s="491"/>
      <c r="AA951" s="524"/>
      <c r="AB951" s="494"/>
      <c r="AC951" s="436"/>
      <c r="AD951" s="495"/>
      <c r="AE951" s="496"/>
      <c r="AF951" s="531"/>
      <c r="AG951" s="491"/>
      <c r="AH951" s="525"/>
      <c r="AI951" s="491"/>
      <c r="AJ951" s="446"/>
      <c r="AK951" s="491"/>
      <c r="AL951" s="500"/>
      <c r="AM951" s="436"/>
      <c r="AN951" s="438"/>
      <c r="AO951" s="531"/>
      <c r="AP951" s="491"/>
      <c r="AQ951" s="438"/>
      <c r="AR951" s="438"/>
      <c r="AS951" s="438"/>
      <c r="AT951" s="448"/>
      <c r="AU951" s="449"/>
      <c r="AV951" s="438"/>
      <c r="AW951" s="438"/>
      <c r="AX951" s="450"/>
    </row>
    <row r="952">
      <c r="A952" s="435"/>
      <c r="B952" s="485"/>
      <c r="C952" s="486"/>
      <c r="D952" s="486"/>
      <c r="E952" s="486"/>
      <c r="F952" s="528"/>
      <c r="G952" s="486"/>
      <c r="H952" s="486"/>
      <c r="I952" s="491"/>
      <c r="J952" s="491"/>
      <c r="K952" s="491"/>
      <c r="L952" s="491"/>
      <c r="M952" s="486"/>
      <c r="N952" s="422"/>
      <c r="O952" s="422"/>
      <c r="P952" s="422"/>
      <c r="Q952" s="486"/>
      <c r="R952" s="491"/>
      <c r="S952" s="491"/>
      <c r="T952" s="491"/>
      <c r="U952" s="491"/>
      <c r="V952" s="491"/>
      <c r="W952" s="493"/>
      <c r="X952" s="486"/>
      <c r="Y952" s="442"/>
      <c r="Z952" s="491"/>
      <c r="AA952" s="524"/>
      <c r="AB952" s="494"/>
      <c r="AC952" s="436"/>
      <c r="AD952" s="495"/>
      <c r="AE952" s="496"/>
      <c r="AF952" s="531"/>
      <c r="AG952" s="491"/>
      <c r="AH952" s="525"/>
      <c r="AI952" s="491"/>
      <c r="AJ952" s="446"/>
      <c r="AK952" s="491"/>
      <c r="AL952" s="500"/>
      <c r="AM952" s="436"/>
      <c r="AN952" s="438"/>
      <c r="AO952" s="531"/>
      <c r="AP952" s="491"/>
      <c r="AQ952" s="438"/>
      <c r="AR952" s="438"/>
      <c r="AS952" s="438"/>
      <c r="AT952" s="448"/>
      <c r="AU952" s="452"/>
      <c r="AV952" s="438"/>
      <c r="AW952" s="438"/>
      <c r="AX952" s="450"/>
    </row>
    <row r="953">
      <c r="A953" s="435"/>
      <c r="B953" s="485"/>
      <c r="C953" s="486"/>
      <c r="D953" s="486"/>
      <c r="E953" s="486"/>
      <c r="F953" s="528"/>
      <c r="G953" s="486"/>
      <c r="H953" s="486"/>
      <c r="I953" s="491"/>
      <c r="J953" s="491"/>
      <c r="K953" s="491"/>
      <c r="L953" s="491"/>
      <c r="M953" s="486"/>
      <c r="N953" s="422"/>
      <c r="O953" s="422"/>
      <c r="P953" s="422"/>
      <c r="Q953" s="486"/>
      <c r="R953" s="491"/>
      <c r="S953" s="491"/>
      <c r="T953" s="491"/>
      <c r="U953" s="491"/>
      <c r="V953" s="491"/>
      <c r="W953" s="493"/>
      <c r="X953" s="486"/>
      <c r="Y953" s="442"/>
      <c r="Z953" s="491"/>
      <c r="AA953" s="524"/>
      <c r="AB953" s="494"/>
      <c r="AC953" s="436"/>
      <c r="AD953" s="495"/>
      <c r="AE953" s="496"/>
      <c r="AF953" s="531"/>
      <c r="AG953" s="491"/>
      <c r="AH953" s="525"/>
      <c r="AI953" s="491"/>
      <c r="AJ953" s="446"/>
      <c r="AK953" s="491"/>
      <c r="AL953" s="500"/>
      <c r="AM953" s="436"/>
      <c r="AN953" s="438"/>
      <c r="AO953" s="531"/>
      <c r="AP953" s="491"/>
      <c r="AQ953" s="438"/>
      <c r="AR953" s="438"/>
      <c r="AS953" s="438"/>
      <c r="AT953" s="448"/>
      <c r="AU953" s="449"/>
      <c r="AV953" s="438"/>
      <c r="AW953" s="438"/>
      <c r="AX953" s="450"/>
    </row>
    <row r="954">
      <c r="A954" s="435"/>
      <c r="B954" s="485"/>
      <c r="C954" s="486"/>
      <c r="D954" s="486"/>
      <c r="E954" s="486"/>
      <c r="F954" s="528"/>
      <c r="G954" s="486"/>
      <c r="H954" s="486"/>
      <c r="I954" s="491"/>
      <c r="J954" s="491"/>
      <c r="K954" s="491"/>
      <c r="L954" s="491"/>
      <c r="M954" s="486"/>
      <c r="N954" s="422"/>
      <c r="O954" s="422"/>
      <c r="P954" s="422"/>
      <c r="Q954" s="486"/>
      <c r="R954" s="491"/>
      <c r="S954" s="491"/>
      <c r="T954" s="491"/>
      <c r="U954" s="491"/>
      <c r="V954" s="491"/>
      <c r="W954" s="493"/>
      <c r="X954" s="486"/>
      <c r="Y954" s="442"/>
      <c r="Z954" s="491"/>
      <c r="AA954" s="524"/>
      <c r="AB954" s="494"/>
      <c r="AC954" s="436"/>
      <c r="AD954" s="495"/>
      <c r="AE954" s="496"/>
      <c r="AF954" s="531"/>
      <c r="AG954" s="491"/>
      <c r="AH954" s="525"/>
      <c r="AI954" s="491"/>
      <c r="AJ954" s="446"/>
      <c r="AK954" s="491"/>
      <c r="AL954" s="500"/>
      <c r="AM954" s="436"/>
      <c r="AN954" s="438"/>
      <c r="AO954" s="531"/>
      <c r="AP954" s="491"/>
      <c r="AQ954" s="438"/>
      <c r="AR954" s="438"/>
      <c r="AS954" s="438"/>
      <c r="AT954" s="448"/>
      <c r="AU954" s="452"/>
      <c r="AV954" s="438"/>
      <c r="AW954" s="438"/>
      <c r="AX954" s="450"/>
    </row>
    <row r="955">
      <c r="A955" s="435"/>
      <c r="B955" s="485"/>
      <c r="C955" s="486"/>
      <c r="D955" s="486"/>
      <c r="E955" s="486"/>
      <c r="F955" s="528"/>
      <c r="G955" s="486"/>
      <c r="H955" s="486"/>
      <c r="I955" s="491"/>
      <c r="J955" s="491"/>
      <c r="K955" s="491"/>
      <c r="L955" s="491"/>
      <c r="M955" s="486"/>
      <c r="N955" s="422"/>
      <c r="O955" s="422"/>
      <c r="P955" s="422"/>
      <c r="Q955" s="486"/>
      <c r="R955" s="491"/>
      <c r="S955" s="491"/>
      <c r="T955" s="491"/>
      <c r="U955" s="491"/>
      <c r="V955" s="491"/>
      <c r="W955" s="493"/>
      <c r="X955" s="486"/>
      <c r="Y955" s="442"/>
      <c r="Z955" s="491"/>
      <c r="AA955" s="524"/>
      <c r="AB955" s="494"/>
      <c r="AC955" s="436"/>
      <c r="AD955" s="495"/>
      <c r="AE955" s="496"/>
      <c r="AF955" s="531"/>
      <c r="AG955" s="491"/>
      <c r="AH955" s="525"/>
      <c r="AI955" s="491"/>
      <c r="AJ955" s="446"/>
      <c r="AK955" s="491"/>
      <c r="AL955" s="500"/>
      <c r="AM955" s="436"/>
      <c r="AN955" s="438"/>
      <c r="AO955" s="531"/>
      <c r="AP955" s="491"/>
      <c r="AQ955" s="438"/>
      <c r="AR955" s="438"/>
      <c r="AS955" s="438"/>
      <c r="AT955" s="448"/>
      <c r="AU955" s="449"/>
      <c r="AV955" s="438"/>
      <c r="AW955" s="438"/>
      <c r="AX955" s="450"/>
    </row>
    <row r="956">
      <c r="A956" s="435"/>
      <c r="B956" s="485"/>
      <c r="C956" s="486"/>
      <c r="D956" s="486"/>
      <c r="E956" s="486"/>
      <c r="F956" s="528"/>
      <c r="G956" s="486"/>
      <c r="H956" s="486"/>
      <c r="I956" s="491"/>
      <c r="J956" s="491"/>
      <c r="K956" s="491"/>
      <c r="L956" s="491"/>
      <c r="M956" s="486"/>
      <c r="N956" s="422"/>
      <c r="O956" s="422"/>
      <c r="P956" s="422"/>
      <c r="Q956" s="486"/>
      <c r="R956" s="491"/>
      <c r="S956" s="491"/>
      <c r="T956" s="491"/>
      <c r="U956" s="491"/>
      <c r="V956" s="491"/>
      <c r="W956" s="493"/>
      <c r="X956" s="486"/>
      <c r="Y956" s="442"/>
      <c r="Z956" s="491"/>
      <c r="AA956" s="524"/>
      <c r="AB956" s="494"/>
      <c r="AC956" s="436"/>
      <c r="AD956" s="495"/>
      <c r="AE956" s="496"/>
      <c r="AF956" s="531"/>
      <c r="AG956" s="491"/>
      <c r="AH956" s="525"/>
      <c r="AI956" s="491"/>
      <c r="AJ956" s="446"/>
      <c r="AK956" s="491"/>
      <c r="AL956" s="500"/>
      <c r="AM956" s="436"/>
      <c r="AN956" s="438"/>
      <c r="AO956" s="531"/>
      <c r="AP956" s="491"/>
      <c r="AQ956" s="438"/>
      <c r="AR956" s="438"/>
      <c r="AS956" s="438"/>
      <c r="AT956" s="448"/>
      <c r="AU956" s="452"/>
      <c r="AV956" s="438"/>
      <c r="AW956" s="438"/>
      <c r="AX956" s="450"/>
    </row>
    <row r="957">
      <c r="A957" s="435"/>
      <c r="B957" s="485"/>
      <c r="C957" s="486"/>
      <c r="D957" s="486"/>
      <c r="E957" s="486"/>
      <c r="F957" s="528"/>
      <c r="G957" s="486"/>
      <c r="H957" s="486"/>
      <c r="I957" s="491"/>
      <c r="J957" s="491"/>
      <c r="K957" s="491"/>
      <c r="L957" s="491"/>
      <c r="M957" s="486"/>
      <c r="N957" s="422"/>
      <c r="O957" s="422"/>
      <c r="P957" s="422"/>
      <c r="Q957" s="486"/>
      <c r="R957" s="491"/>
      <c r="S957" s="491"/>
      <c r="T957" s="491"/>
      <c r="U957" s="491"/>
      <c r="V957" s="491"/>
      <c r="W957" s="493"/>
      <c r="X957" s="486"/>
      <c r="Y957" s="442"/>
      <c r="Z957" s="491"/>
      <c r="AA957" s="524"/>
      <c r="AB957" s="494"/>
      <c r="AC957" s="436"/>
      <c r="AD957" s="495"/>
      <c r="AE957" s="496"/>
      <c r="AF957" s="531"/>
      <c r="AG957" s="491"/>
      <c r="AH957" s="525"/>
      <c r="AI957" s="491"/>
      <c r="AJ957" s="446"/>
      <c r="AK957" s="491"/>
      <c r="AL957" s="500"/>
      <c r="AM957" s="436"/>
      <c r="AN957" s="438"/>
      <c r="AO957" s="531"/>
      <c r="AP957" s="491"/>
      <c r="AQ957" s="438"/>
      <c r="AR957" s="438"/>
      <c r="AS957" s="438"/>
      <c r="AT957" s="448"/>
      <c r="AU957" s="449"/>
      <c r="AV957" s="438"/>
      <c r="AW957" s="438"/>
      <c r="AX957" s="450"/>
    </row>
    <row r="958">
      <c r="A958" s="435"/>
      <c r="B958" s="485"/>
      <c r="C958" s="486"/>
      <c r="D958" s="486"/>
      <c r="E958" s="486"/>
      <c r="F958" s="528"/>
      <c r="G958" s="486"/>
      <c r="H958" s="486"/>
      <c r="I958" s="491"/>
      <c r="J958" s="491"/>
      <c r="K958" s="491"/>
      <c r="L958" s="491"/>
      <c r="M958" s="486"/>
      <c r="N958" s="422"/>
      <c r="O958" s="422"/>
      <c r="P958" s="422"/>
      <c r="Q958" s="486"/>
      <c r="R958" s="491"/>
      <c r="S958" s="491"/>
      <c r="T958" s="491"/>
      <c r="U958" s="491"/>
      <c r="V958" s="491"/>
      <c r="W958" s="493"/>
      <c r="X958" s="486"/>
      <c r="Y958" s="442"/>
      <c r="Z958" s="491"/>
      <c r="AA958" s="524"/>
      <c r="AB958" s="494"/>
      <c r="AC958" s="436"/>
      <c r="AD958" s="495"/>
      <c r="AE958" s="496"/>
      <c r="AF958" s="531"/>
      <c r="AG958" s="491"/>
      <c r="AH958" s="525"/>
      <c r="AI958" s="491"/>
      <c r="AJ958" s="446"/>
      <c r="AK958" s="491"/>
      <c r="AL958" s="500"/>
      <c r="AM958" s="436"/>
      <c r="AN958" s="438"/>
      <c r="AO958" s="531"/>
      <c r="AP958" s="491"/>
      <c r="AQ958" s="438"/>
      <c r="AR958" s="438"/>
      <c r="AS958" s="438"/>
      <c r="AT958" s="448"/>
      <c r="AU958" s="452"/>
      <c r="AV958" s="438"/>
      <c r="AW958" s="438"/>
      <c r="AX958" s="450"/>
    </row>
    <row r="959">
      <c r="A959" s="435"/>
      <c r="B959" s="485"/>
      <c r="C959" s="486"/>
      <c r="D959" s="486"/>
      <c r="E959" s="486"/>
      <c r="F959" s="528"/>
      <c r="G959" s="486"/>
      <c r="H959" s="486"/>
      <c r="I959" s="491"/>
      <c r="J959" s="491"/>
      <c r="K959" s="491"/>
      <c r="L959" s="491"/>
      <c r="M959" s="486"/>
      <c r="N959" s="422"/>
      <c r="O959" s="422"/>
      <c r="P959" s="422"/>
      <c r="Q959" s="486"/>
      <c r="R959" s="491"/>
      <c r="S959" s="491"/>
      <c r="T959" s="491"/>
      <c r="U959" s="491"/>
      <c r="V959" s="491"/>
      <c r="W959" s="493"/>
      <c r="X959" s="486"/>
      <c r="Y959" s="442"/>
      <c r="Z959" s="491"/>
      <c r="AA959" s="524"/>
      <c r="AB959" s="494"/>
      <c r="AC959" s="436"/>
      <c r="AD959" s="495"/>
      <c r="AE959" s="496"/>
      <c r="AF959" s="531"/>
      <c r="AG959" s="491"/>
      <c r="AH959" s="525"/>
      <c r="AI959" s="491"/>
      <c r="AJ959" s="446"/>
      <c r="AK959" s="491"/>
      <c r="AL959" s="500"/>
      <c r="AM959" s="436"/>
      <c r="AN959" s="438"/>
      <c r="AO959" s="531"/>
      <c r="AP959" s="491"/>
      <c r="AQ959" s="438"/>
      <c r="AR959" s="438"/>
      <c r="AS959" s="438"/>
      <c r="AT959" s="448"/>
      <c r="AU959" s="449"/>
      <c r="AV959" s="438"/>
      <c r="AW959" s="438"/>
      <c r="AX959" s="450"/>
    </row>
    <row r="960">
      <c r="A960" s="435"/>
      <c r="B960" s="485"/>
      <c r="C960" s="486"/>
      <c r="D960" s="486"/>
      <c r="E960" s="486"/>
      <c r="F960" s="528"/>
      <c r="G960" s="486"/>
      <c r="H960" s="486"/>
      <c r="I960" s="491"/>
      <c r="J960" s="491"/>
      <c r="K960" s="491"/>
      <c r="L960" s="491"/>
      <c r="M960" s="486"/>
      <c r="N960" s="422"/>
      <c r="O960" s="422"/>
      <c r="P960" s="422"/>
      <c r="Q960" s="486"/>
      <c r="R960" s="491"/>
      <c r="S960" s="491"/>
      <c r="T960" s="491"/>
      <c r="U960" s="491"/>
      <c r="V960" s="491"/>
      <c r="W960" s="493"/>
      <c r="X960" s="486"/>
      <c r="Y960" s="442"/>
      <c r="Z960" s="491"/>
      <c r="AA960" s="524"/>
      <c r="AB960" s="494"/>
      <c r="AC960" s="436"/>
      <c r="AD960" s="495"/>
      <c r="AE960" s="496"/>
      <c r="AF960" s="531"/>
      <c r="AG960" s="491"/>
      <c r="AH960" s="525"/>
      <c r="AI960" s="491"/>
      <c r="AJ960" s="446"/>
      <c r="AK960" s="491"/>
      <c r="AL960" s="500"/>
      <c r="AM960" s="436"/>
      <c r="AN960" s="438"/>
      <c r="AO960" s="531"/>
      <c r="AP960" s="491"/>
      <c r="AQ960" s="438"/>
      <c r="AR960" s="438"/>
      <c r="AS960" s="438"/>
      <c r="AT960" s="448"/>
      <c r="AU960" s="452"/>
      <c r="AV960" s="438"/>
      <c r="AW960" s="438"/>
      <c r="AX960" s="450"/>
    </row>
    <row r="961">
      <c r="A961" s="435"/>
      <c r="B961" s="485"/>
      <c r="C961" s="486"/>
      <c r="D961" s="486"/>
      <c r="E961" s="486"/>
      <c r="F961" s="528"/>
      <c r="G961" s="486"/>
      <c r="H961" s="486"/>
      <c r="I961" s="491"/>
      <c r="J961" s="491"/>
      <c r="K961" s="491"/>
      <c r="L961" s="491"/>
      <c r="M961" s="486"/>
      <c r="N961" s="422"/>
      <c r="O961" s="422"/>
      <c r="P961" s="422"/>
      <c r="Q961" s="486"/>
      <c r="R961" s="491"/>
      <c r="S961" s="491"/>
      <c r="T961" s="491"/>
      <c r="U961" s="491"/>
      <c r="V961" s="491"/>
      <c r="W961" s="493"/>
      <c r="X961" s="486"/>
      <c r="Y961" s="442"/>
      <c r="Z961" s="491"/>
      <c r="AA961" s="524"/>
      <c r="AB961" s="494"/>
      <c r="AC961" s="436"/>
      <c r="AD961" s="495"/>
      <c r="AE961" s="496"/>
      <c r="AF961" s="531"/>
      <c r="AG961" s="491"/>
      <c r="AH961" s="525"/>
      <c r="AI961" s="491"/>
      <c r="AJ961" s="446"/>
      <c r="AK961" s="491"/>
      <c r="AL961" s="500"/>
      <c r="AM961" s="436"/>
      <c r="AN961" s="438"/>
      <c r="AO961" s="531"/>
      <c r="AP961" s="491"/>
      <c r="AQ961" s="438"/>
      <c r="AR961" s="438"/>
      <c r="AS961" s="438"/>
      <c r="AT961" s="448"/>
      <c r="AU961" s="449"/>
      <c r="AV961" s="438"/>
      <c r="AW961" s="438"/>
      <c r="AX961" s="450"/>
    </row>
    <row r="962">
      <c r="A962" s="435"/>
      <c r="B962" s="485"/>
      <c r="C962" s="486"/>
      <c r="D962" s="486"/>
      <c r="E962" s="486"/>
      <c r="F962" s="528"/>
      <c r="G962" s="486"/>
      <c r="H962" s="486"/>
      <c r="I962" s="491"/>
      <c r="J962" s="491"/>
      <c r="K962" s="491"/>
      <c r="L962" s="491"/>
      <c r="M962" s="486"/>
      <c r="N962" s="422"/>
      <c r="O962" s="422"/>
      <c r="P962" s="422"/>
      <c r="Q962" s="486"/>
      <c r="R962" s="491"/>
      <c r="S962" s="491"/>
      <c r="T962" s="491"/>
      <c r="U962" s="491"/>
      <c r="V962" s="491"/>
      <c r="W962" s="493"/>
      <c r="X962" s="486"/>
      <c r="Y962" s="442"/>
      <c r="Z962" s="491"/>
      <c r="AA962" s="524"/>
      <c r="AB962" s="494"/>
      <c r="AC962" s="436"/>
      <c r="AD962" s="495"/>
      <c r="AE962" s="496"/>
      <c r="AF962" s="531"/>
      <c r="AG962" s="491"/>
      <c r="AH962" s="525"/>
      <c r="AI962" s="491"/>
      <c r="AJ962" s="446"/>
      <c r="AK962" s="491"/>
      <c r="AL962" s="500"/>
      <c r="AM962" s="436"/>
      <c r="AN962" s="438"/>
      <c r="AO962" s="531"/>
      <c r="AP962" s="491"/>
      <c r="AQ962" s="438"/>
      <c r="AR962" s="438"/>
      <c r="AS962" s="438"/>
      <c r="AT962" s="448"/>
      <c r="AU962" s="452"/>
      <c r="AV962" s="438"/>
      <c r="AW962" s="438"/>
      <c r="AX962" s="450"/>
    </row>
    <row r="963">
      <c r="A963" s="435"/>
      <c r="B963" s="485"/>
      <c r="C963" s="486"/>
      <c r="D963" s="486"/>
      <c r="E963" s="486"/>
      <c r="F963" s="528"/>
      <c r="G963" s="486"/>
      <c r="H963" s="486"/>
      <c r="I963" s="491"/>
      <c r="J963" s="491"/>
      <c r="K963" s="491"/>
      <c r="L963" s="491"/>
      <c r="M963" s="486"/>
      <c r="N963" s="422"/>
      <c r="O963" s="422"/>
      <c r="P963" s="422"/>
      <c r="Q963" s="486"/>
      <c r="R963" s="491"/>
      <c r="S963" s="491"/>
      <c r="T963" s="491"/>
      <c r="U963" s="491"/>
      <c r="V963" s="491"/>
      <c r="W963" s="493"/>
      <c r="X963" s="486"/>
      <c r="Y963" s="442"/>
      <c r="Z963" s="491"/>
      <c r="AA963" s="524"/>
      <c r="AB963" s="494"/>
      <c r="AC963" s="436"/>
      <c r="AD963" s="495"/>
      <c r="AE963" s="496"/>
      <c r="AF963" s="531"/>
      <c r="AG963" s="491"/>
      <c r="AH963" s="525"/>
      <c r="AI963" s="491"/>
      <c r="AJ963" s="446"/>
      <c r="AK963" s="491"/>
      <c r="AL963" s="500"/>
      <c r="AM963" s="436"/>
      <c r="AN963" s="438"/>
      <c r="AO963" s="531"/>
      <c r="AP963" s="491"/>
      <c r="AQ963" s="438"/>
      <c r="AR963" s="438"/>
      <c r="AS963" s="438"/>
      <c r="AT963" s="448"/>
      <c r="AU963" s="449"/>
      <c r="AV963" s="438"/>
      <c r="AW963" s="438"/>
      <c r="AX963" s="450"/>
    </row>
    <row r="964">
      <c r="A964" s="435"/>
      <c r="B964" s="485"/>
      <c r="C964" s="486"/>
      <c r="D964" s="486"/>
      <c r="E964" s="486"/>
      <c r="F964" s="528"/>
      <c r="G964" s="486"/>
      <c r="H964" s="486"/>
      <c r="I964" s="491"/>
      <c r="J964" s="491"/>
      <c r="K964" s="491"/>
      <c r="L964" s="491"/>
      <c r="M964" s="486"/>
      <c r="N964" s="422"/>
      <c r="O964" s="422"/>
      <c r="P964" s="422"/>
      <c r="Q964" s="486"/>
      <c r="R964" s="491"/>
      <c r="S964" s="491"/>
      <c r="T964" s="491"/>
      <c r="U964" s="491"/>
      <c r="V964" s="491"/>
      <c r="W964" s="493"/>
      <c r="X964" s="486"/>
      <c r="Y964" s="442"/>
      <c r="Z964" s="491"/>
      <c r="AA964" s="524"/>
      <c r="AB964" s="494"/>
      <c r="AC964" s="436"/>
      <c r="AD964" s="495"/>
      <c r="AE964" s="496"/>
      <c r="AF964" s="531"/>
      <c r="AG964" s="491"/>
      <c r="AH964" s="525"/>
      <c r="AI964" s="491"/>
      <c r="AJ964" s="446"/>
      <c r="AK964" s="491"/>
      <c r="AL964" s="500"/>
      <c r="AM964" s="436"/>
      <c r="AN964" s="438"/>
      <c r="AO964" s="531"/>
      <c r="AP964" s="491"/>
      <c r="AQ964" s="438"/>
      <c r="AR964" s="438"/>
      <c r="AS964" s="438"/>
      <c r="AT964" s="448"/>
      <c r="AU964" s="452"/>
      <c r="AV964" s="438"/>
      <c r="AW964" s="438"/>
      <c r="AX964" s="450"/>
    </row>
    <row r="965">
      <c r="A965" s="435"/>
      <c r="B965" s="485"/>
      <c r="C965" s="486"/>
      <c r="D965" s="486"/>
      <c r="E965" s="486"/>
      <c r="F965" s="528"/>
      <c r="G965" s="486"/>
      <c r="H965" s="486"/>
      <c r="I965" s="491"/>
      <c r="J965" s="491"/>
      <c r="K965" s="491"/>
      <c r="L965" s="491"/>
      <c r="M965" s="486"/>
      <c r="N965" s="422"/>
      <c r="O965" s="422"/>
      <c r="P965" s="422"/>
      <c r="Q965" s="486"/>
      <c r="R965" s="491"/>
      <c r="S965" s="491"/>
      <c r="T965" s="491"/>
      <c r="U965" s="491"/>
      <c r="V965" s="491"/>
      <c r="W965" s="493"/>
      <c r="X965" s="486"/>
      <c r="Y965" s="442"/>
      <c r="Z965" s="491"/>
      <c r="AA965" s="524"/>
      <c r="AB965" s="494"/>
      <c r="AC965" s="436"/>
      <c r="AD965" s="495"/>
      <c r="AE965" s="496"/>
      <c r="AF965" s="531"/>
      <c r="AG965" s="491"/>
      <c r="AH965" s="525"/>
      <c r="AI965" s="491"/>
      <c r="AJ965" s="446"/>
      <c r="AK965" s="491"/>
      <c r="AL965" s="500"/>
      <c r="AM965" s="436"/>
      <c r="AN965" s="438"/>
      <c r="AO965" s="531"/>
      <c r="AP965" s="491"/>
      <c r="AQ965" s="438"/>
      <c r="AR965" s="438"/>
      <c r="AS965" s="438"/>
      <c r="AT965" s="448"/>
      <c r="AU965" s="449"/>
      <c r="AV965" s="438"/>
      <c r="AW965" s="438"/>
      <c r="AX965" s="450"/>
    </row>
    <row r="966">
      <c r="A966" s="435"/>
      <c r="B966" s="485"/>
      <c r="C966" s="486"/>
      <c r="D966" s="486"/>
      <c r="E966" s="486"/>
      <c r="F966" s="528"/>
      <c r="G966" s="486"/>
      <c r="H966" s="486"/>
      <c r="I966" s="491"/>
      <c r="J966" s="491"/>
      <c r="K966" s="491"/>
      <c r="L966" s="491"/>
      <c r="M966" s="486"/>
      <c r="N966" s="422"/>
      <c r="O966" s="422"/>
      <c r="P966" s="422"/>
      <c r="Q966" s="486"/>
      <c r="R966" s="491"/>
      <c r="S966" s="491"/>
      <c r="T966" s="491"/>
      <c r="U966" s="491"/>
      <c r="V966" s="491"/>
      <c r="W966" s="493"/>
      <c r="X966" s="486"/>
      <c r="Y966" s="442"/>
      <c r="Z966" s="491"/>
      <c r="AA966" s="524"/>
      <c r="AB966" s="494"/>
      <c r="AC966" s="436"/>
      <c r="AD966" s="495"/>
      <c r="AE966" s="496"/>
      <c r="AF966" s="531"/>
      <c r="AG966" s="491"/>
      <c r="AH966" s="525"/>
      <c r="AI966" s="491"/>
      <c r="AJ966" s="446"/>
      <c r="AK966" s="491"/>
      <c r="AL966" s="500"/>
      <c r="AM966" s="436"/>
      <c r="AN966" s="438"/>
      <c r="AO966" s="531"/>
      <c r="AP966" s="491"/>
      <c r="AQ966" s="438"/>
      <c r="AR966" s="438"/>
      <c r="AS966" s="438"/>
      <c r="AT966" s="448"/>
      <c r="AU966" s="452"/>
      <c r="AV966" s="438"/>
      <c r="AW966" s="438"/>
      <c r="AX966" s="450"/>
    </row>
    <row r="967">
      <c r="A967" s="435"/>
      <c r="B967" s="485"/>
      <c r="C967" s="486"/>
      <c r="D967" s="486"/>
      <c r="E967" s="486"/>
      <c r="F967" s="528"/>
      <c r="G967" s="486"/>
      <c r="H967" s="486"/>
      <c r="I967" s="491"/>
      <c r="J967" s="491"/>
      <c r="K967" s="491"/>
      <c r="L967" s="491"/>
      <c r="M967" s="486"/>
      <c r="N967" s="422"/>
      <c r="O967" s="422"/>
      <c r="P967" s="422"/>
      <c r="Q967" s="486"/>
      <c r="R967" s="491"/>
      <c r="S967" s="491"/>
      <c r="T967" s="491"/>
      <c r="U967" s="491"/>
      <c r="V967" s="491"/>
      <c r="W967" s="493"/>
      <c r="X967" s="486"/>
      <c r="Y967" s="442"/>
      <c r="Z967" s="491"/>
      <c r="AA967" s="524"/>
      <c r="AB967" s="494"/>
      <c r="AC967" s="436"/>
      <c r="AD967" s="495"/>
      <c r="AE967" s="496"/>
      <c r="AF967" s="531"/>
      <c r="AG967" s="491"/>
      <c r="AH967" s="525"/>
      <c r="AI967" s="491"/>
      <c r="AJ967" s="446"/>
      <c r="AK967" s="491"/>
      <c r="AL967" s="500"/>
      <c r="AM967" s="436"/>
      <c r="AN967" s="438"/>
      <c r="AO967" s="531"/>
      <c r="AP967" s="491"/>
      <c r="AQ967" s="438"/>
      <c r="AR967" s="438"/>
      <c r="AS967" s="438"/>
      <c r="AT967" s="448"/>
      <c r="AU967" s="449"/>
      <c r="AV967" s="438"/>
      <c r="AW967" s="438"/>
      <c r="AX967" s="450"/>
    </row>
    <row r="968">
      <c r="A968" s="435"/>
      <c r="B968" s="485"/>
      <c r="C968" s="486"/>
      <c r="D968" s="486"/>
      <c r="E968" s="486"/>
      <c r="F968" s="528"/>
      <c r="G968" s="486"/>
      <c r="H968" s="486"/>
      <c r="I968" s="491"/>
      <c r="J968" s="491"/>
      <c r="K968" s="491"/>
      <c r="L968" s="491"/>
      <c r="M968" s="486"/>
      <c r="N968" s="422"/>
      <c r="O968" s="422"/>
      <c r="P968" s="422"/>
      <c r="Q968" s="486"/>
      <c r="R968" s="491"/>
      <c r="S968" s="491"/>
      <c r="T968" s="491"/>
      <c r="U968" s="491"/>
      <c r="V968" s="491"/>
      <c r="W968" s="493"/>
      <c r="X968" s="486"/>
      <c r="Y968" s="442"/>
      <c r="Z968" s="491"/>
      <c r="AA968" s="524"/>
      <c r="AB968" s="494"/>
      <c r="AC968" s="436"/>
      <c r="AD968" s="495"/>
      <c r="AE968" s="496"/>
      <c r="AF968" s="531"/>
      <c r="AG968" s="491"/>
      <c r="AH968" s="525"/>
      <c r="AI968" s="491"/>
      <c r="AJ968" s="446"/>
      <c r="AK968" s="491"/>
      <c r="AL968" s="500"/>
      <c r="AM968" s="436"/>
      <c r="AN968" s="438"/>
      <c r="AO968" s="531"/>
      <c r="AP968" s="491"/>
      <c r="AQ968" s="438"/>
      <c r="AR968" s="438"/>
      <c r="AS968" s="438"/>
      <c r="AT968" s="448"/>
      <c r="AU968" s="452"/>
      <c r="AV968" s="438"/>
      <c r="AW968" s="438"/>
      <c r="AX968" s="450"/>
    </row>
    <row r="969">
      <c r="A969" s="435"/>
      <c r="B969" s="485"/>
      <c r="C969" s="486"/>
      <c r="D969" s="486"/>
      <c r="E969" s="486"/>
      <c r="F969" s="528"/>
      <c r="G969" s="486"/>
      <c r="H969" s="486"/>
      <c r="I969" s="491"/>
      <c r="J969" s="491"/>
      <c r="K969" s="491"/>
      <c r="L969" s="491"/>
      <c r="M969" s="486"/>
      <c r="N969" s="422"/>
      <c r="O969" s="422"/>
      <c r="P969" s="422"/>
      <c r="Q969" s="486"/>
      <c r="R969" s="491"/>
      <c r="S969" s="491"/>
      <c r="T969" s="491"/>
      <c r="U969" s="491"/>
      <c r="V969" s="491"/>
      <c r="W969" s="493"/>
      <c r="X969" s="486"/>
      <c r="Y969" s="442"/>
      <c r="Z969" s="491"/>
      <c r="AA969" s="524"/>
      <c r="AB969" s="494"/>
      <c r="AC969" s="436"/>
      <c r="AD969" s="495"/>
      <c r="AE969" s="496"/>
      <c r="AF969" s="531"/>
      <c r="AG969" s="491"/>
      <c r="AH969" s="525"/>
      <c r="AI969" s="491"/>
      <c r="AJ969" s="446"/>
      <c r="AK969" s="491"/>
      <c r="AL969" s="500"/>
      <c r="AM969" s="436"/>
      <c r="AN969" s="438"/>
      <c r="AO969" s="531"/>
      <c r="AP969" s="491"/>
      <c r="AQ969" s="438"/>
      <c r="AR969" s="438"/>
      <c r="AS969" s="438"/>
      <c r="AT969" s="448"/>
      <c r="AU969" s="449"/>
      <c r="AV969" s="438"/>
      <c r="AW969" s="438"/>
      <c r="AX969" s="450"/>
    </row>
    <row r="970">
      <c r="A970" s="435"/>
      <c r="B970" s="485"/>
      <c r="C970" s="486"/>
      <c r="D970" s="486"/>
      <c r="E970" s="486"/>
      <c r="F970" s="528"/>
      <c r="G970" s="486"/>
      <c r="H970" s="486"/>
      <c r="I970" s="491"/>
      <c r="J970" s="491"/>
      <c r="K970" s="491"/>
      <c r="L970" s="491"/>
      <c r="M970" s="486"/>
      <c r="N970" s="422"/>
      <c r="O970" s="422"/>
      <c r="P970" s="422"/>
      <c r="Q970" s="486"/>
      <c r="R970" s="491"/>
      <c r="S970" s="491"/>
      <c r="T970" s="491"/>
      <c r="U970" s="491"/>
      <c r="V970" s="491"/>
      <c r="W970" s="493"/>
      <c r="X970" s="486"/>
      <c r="Y970" s="442"/>
      <c r="Z970" s="491"/>
      <c r="AA970" s="524"/>
      <c r="AB970" s="494"/>
      <c r="AC970" s="436"/>
      <c r="AD970" s="495"/>
      <c r="AE970" s="496"/>
      <c r="AF970" s="531"/>
      <c r="AG970" s="491"/>
      <c r="AH970" s="525"/>
      <c r="AI970" s="491"/>
      <c r="AJ970" s="446"/>
      <c r="AK970" s="491"/>
      <c r="AL970" s="500"/>
      <c r="AM970" s="436"/>
      <c r="AN970" s="438"/>
      <c r="AO970" s="531"/>
      <c r="AP970" s="491"/>
      <c r="AQ970" s="438"/>
      <c r="AR970" s="438"/>
      <c r="AS970" s="438"/>
      <c r="AT970" s="448"/>
      <c r="AU970" s="452"/>
      <c r="AV970" s="438"/>
      <c r="AW970" s="438"/>
      <c r="AX970" s="450"/>
    </row>
    <row r="971">
      <c r="A971" s="435"/>
      <c r="B971" s="485"/>
      <c r="C971" s="486"/>
      <c r="D971" s="486"/>
      <c r="E971" s="486"/>
      <c r="F971" s="528"/>
      <c r="G971" s="486"/>
      <c r="H971" s="486"/>
      <c r="I971" s="491"/>
      <c r="J971" s="491"/>
      <c r="K971" s="491"/>
      <c r="L971" s="491"/>
      <c r="M971" s="486"/>
      <c r="N971" s="422"/>
      <c r="O971" s="422"/>
      <c r="P971" s="422"/>
      <c r="Q971" s="486"/>
      <c r="R971" s="491"/>
      <c r="S971" s="491"/>
      <c r="T971" s="491"/>
      <c r="U971" s="491"/>
      <c r="V971" s="491"/>
      <c r="W971" s="493"/>
      <c r="X971" s="486"/>
      <c r="Y971" s="442"/>
      <c r="Z971" s="491"/>
      <c r="AA971" s="524"/>
      <c r="AB971" s="494"/>
      <c r="AC971" s="436"/>
      <c r="AD971" s="495"/>
      <c r="AE971" s="496"/>
      <c r="AF971" s="531"/>
      <c r="AG971" s="491"/>
      <c r="AH971" s="525"/>
      <c r="AI971" s="491"/>
      <c r="AJ971" s="446"/>
      <c r="AK971" s="491"/>
      <c r="AL971" s="500"/>
      <c r="AM971" s="436"/>
      <c r="AN971" s="438"/>
      <c r="AO971" s="531"/>
      <c r="AP971" s="491"/>
      <c r="AQ971" s="438"/>
      <c r="AR971" s="438"/>
      <c r="AS971" s="438"/>
      <c r="AT971" s="448"/>
      <c r="AU971" s="449"/>
      <c r="AV971" s="438"/>
      <c r="AW971" s="438"/>
      <c r="AX971" s="450"/>
    </row>
    <row r="972">
      <c r="A972" s="435"/>
      <c r="B972" s="485"/>
      <c r="C972" s="486"/>
      <c r="D972" s="486"/>
      <c r="E972" s="486"/>
      <c r="F972" s="528"/>
      <c r="G972" s="486"/>
      <c r="H972" s="486"/>
      <c r="I972" s="491"/>
      <c r="J972" s="491"/>
      <c r="K972" s="491"/>
      <c r="L972" s="491"/>
      <c r="M972" s="486"/>
      <c r="N972" s="422"/>
      <c r="O972" s="422"/>
      <c r="P972" s="422"/>
      <c r="Q972" s="486"/>
      <c r="R972" s="491"/>
      <c r="S972" s="491"/>
      <c r="T972" s="491"/>
      <c r="U972" s="491"/>
      <c r="V972" s="491"/>
      <c r="W972" s="493"/>
      <c r="X972" s="486"/>
      <c r="Y972" s="442"/>
      <c r="Z972" s="491"/>
      <c r="AA972" s="524"/>
      <c r="AB972" s="494"/>
      <c r="AC972" s="436"/>
      <c r="AD972" s="495"/>
      <c r="AE972" s="496"/>
      <c r="AF972" s="531"/>
      <c r="AG972" s="491"/>
      <c r="AH972" s="525"/>
      <c r="AI972" s="491"/>
      <c r="AJ972" s="446"/>
      <c r="AK972" s="491"/>
      <c r="AL972" s="500"/>
      <c r="AM972" s="436"/>
      <c r="AN972" s="438"/>
      <c r="AO972" s="531"/>
      <c r="AP972" s="491"/>
      <c r="AQ972" s="438"/>
      <c r="AR972" s="438"/>
      <c r="AS972" s="438"/>
      <c r="AT972" s="448"/>
      <c r="AU972" s="452"/>
      <c r="AV972" s="438"/>
      <c r="AW972" s="438"/>
      <c r="AX972" s="450"/>
    </row>
    <row r="973">
      <c r="A973" s="435"/>
      <c r="B973" s="485"/>
      <c r="C973" s="486"/>
      <c r="D973" s="486"/>
      <c r="E973" s="486"/>
      <c r="F973" s="528"/>
      <c r="G973" s="486"/>
      <c r="H973" s="486"/>
      <c r="I973" s="491"/>
      <c r="J973" s="491"/>
      <c r="K973" s="491"/>
      <c r="L973" s="491"/>
      <c r="M973" s="486"/>
      <c r="N973" s="422"/>
      <c r="O973" s="422"/>
      <c r="P973" s="422"/>
      <c r="Q973" s="486"/>
      <c r="R973" s="491"/>
      <c r="S973" s="491"/>
      <c r="T973" s="491"/>
      <c r="U973" s="491"/>
      <c r="V973" s="491"/>
      <c r="W973" s="493"/>
      <c r="X973" s="486"/>
      <c r="Y973" s="442"/>
      <c r="Z973" s="491"/>
      <c r="AA973" s="524"/>
      <c r="AB973" s="494"/>
      <c r="AC973" s="436"/>
      <c r="AD973" s="495"/>
      <c r="AE973" s="496"/>
      <c r="AF973" s="531"/>
      <c r="AG973" s="491"/>
      <c r="AH973" s="525"/>
      <c r="AI973" s="491"/>
      <c r="AJ973" s="446"/>
      <c r="AK973" s="491"/>
      <c r="AL973" s="500"/>
      <c r="AM973" s="436"/>
      <c r="AN973" s="438"/>
      <c r="AO973" s="531"/>
      <c r="AP973" s="491"/>
      <c r="AQ973" s="438"/>
      <c r="AR973" s="438"/>
      <c r="AS973" s="438"/>
      <c r="AT973" s="448"/>
      <c r="AU973" s="449"/>
      <c r="AV973" s="438"/>
      <c r="AW973" s="438"/>
      <c r="AX973" s="450"/>
    </row>
    <row r="974">
      <c r="A974" s="435"/>
      <c r="B974" s="485"/>
      <c r="C974" s="486"/>
      <c r="D974" s="486"/>
      <c r="E974" s="486"/>
      <c r="F974" s="528"/>
      <c r="G974" s="486"/>
      <c r="H974" s="486"/>
      <c r="I974" s="491"/>
      <c r="J974" s="491"/>
      <c r="K974" s="491"/>
      <c r="L974" s="491"/>
      <c r="M974" s="486"/>
      <c r="N974" s="422"/>
      <c r="O974" s="422"/>
      <c r="P974" s="422"/>
      <c r="Q974" s="486"/>
      <c r="R974" s="491"/>
      <c r="S974" s="491"/>
      <c r="T974" s="491"/>
      <c r="U974" s="491"/>
      <c r="V974" s="491"/>
      <c r="W974" s="493"/>
      <c r="X974" s="486"/>
      <c r="Y974" s="442"/>
      <c r="Z974" s="491"/>
      <c r="AA974" s="524"/>
      <c r="AB974" s="494"/>
      <c r="AC974" s="436"/>
      <c r="AD974" s="495"/>
      <c r="AE974" s="496"/>
      <c r="AF974" s="531"/>
      <c r="AG974" s="491"/>
      <c r="AH974" s="525"/>
      <c r="AI974" s="491"/>
      <c r="AJ974" s="446"/>
      <c r="AK974" s="491"/>
      <c r="AL974" s="500"/>
      <c r="AM974" s="436"/>
      <c r="AN974" s="438"/>
      <c r="AO974" s="531"/>
      <c r="AP974" s="491"/>
      <c r="AQ974" s="438"/>
      <c r="AR974" s="438"/>
      <c r="AS974" s="438"/>
      <c r="AT974" s="448"/>
      <c r="AU974" s="452"/>
      <c r="AV974" s="438"/>
      <c r="AW974" s="438"/>
      <c r="AX974" s="450"/>
    </row>
    <row r="975">
      <c r="A975" s="435"/>
      <c r="B975" s="485"/>
      <c r="C975" s="486"/>
      <c r="D975" s="486"/>
      <c r="E975" s="486"/>
      <c r="F975" s="528"/>
      <c r="G975" s="486"/>
      <c r="H975" s="486"/>
      <c r="I975" s="491"/>
      <c r="J975" s="491"/>
      <c r="K975" s="491"/>
      <c r="L975" s="491"/>
      <c r="M975" s="486"/>
      <c r="N975" s="422"/>
      <c r="O975" s="422"/>
      <c r="P975" s="422"/>
      <c r="Q975" s="486"/>
      <c r="R975" s="491"/>
      <c r="S975" s="491"/>
      <c r="T975" s="491"/>
      <c r="U975" s="491"/>
      <c r="V975" s="491"/>
      <c r="W975" s="493"/>
      <c r="X975" s="486"/>
      <c r="Y975" s="442"/>
      <c r="Z975" s="491"/>
      <c r="AA975" s="524"/>
      <c r="AB975" s="494"/>
      <c r="AC975" s="436"/>
      <c r="AD975" s="495"/>
      <c r="AE975" s="496"/>
      <c r="AF975" s="531"/>
      <c r="AG975" s="491"/>
      <c r="AH975" s="525"/>
      <c r="AI975" s="491"/>
      <c r="AJ975" s="446"/>
      <c r="AK975" s="491"/>
      <c r="AL975" s="500"/>
      <c r="AM975" s="436"/>
      <c r="AN975" s="438"/>
      <c r="AO975" s="531"/>
      <c r="AP975" s="491"/>
      <c r="AQ975" s="438"/>
      <c r="AR975" s="438"/>
      <c r="AS975" s="438"/>
      <c r="AT975" s="448"/>
      <c r="AU975" s="449"/>
      <c r="AV975" s="438"/>
      <c r="AW975" s="438"/>
      <c r="AX975" s="450"/>
    </row>
    <row r="976">
      <c r="A976" s="435"/>
      <c r="B976" s="485"/>
      <c r="C976" s="486"/>
      <c r="D976" s="486"/>
      <c r="E976" s="486"/>
      <c r="F976" s="528"/>
      <c r="G976" s="486"/>
      <c r="H976" s="486"/>
      <c r="I976" s="491"/>
      <c r="J976" s="491"/>
      <c r="K976" s="491"/>
      <c r="L976" s="491"/>
      <c r="M976" s="486"/>
      <c r="N976" s="422"/>
      <c r="O976" s="422"/>
      <c r="P976" s="422"/>
      <c r="Q976" s="486"/>
      <c r="R976" s="491"/>
      <c r="S976" s="491"/>
      <c r="T976" s="491"/>
      <c r="U976" s="491"/>
      <c r="V976" s="491"/>
      <c r="W976" s="493"/>
      <c r="X976" s="486"/>
      <c r="Y976" s="442"/>
      <c r="Z976" s="491"/>
      <c r="AA976" s="524"/>
      <c r="AB976" s="494"/>
      <c r="AC976" s="436"/>
      <c r="AD976" s="495"/>
      <c r="AE976" s="496"/>
      <c r="AF976" s="531"/>
      <c r="AG976" s="491"/>
      <c r="AH976" s="525"/>
      <c r="AI976" s="491"/>
      <c r="AJ976" s="446"/>
      <c r="AK976" s="491"/>
      <c r="AL976" s="500"/>
      <c r="AM976" s="436"/>
      <c r="AN976" s="438"/>
      <c r="AO976" s="531"/>
      <c r="AP976" s="491"/>
      <c r="AQ976" s="438"/>
      <c r="AR976" s="438"/>
      <c r="AS976" s="438"/>
      <c r="AT976" s="448"/>
      <c r="AU976" s="452"/>
      <c r="AV976" s="438"/>
      <c r="AW976" s="438"/>
      <c r="AX976" s="450"/>
    </row>
    <row r="977">
      <c r="A977" s="435"/>
      <c r="B977" s="485"/>
      <c r="C977" s="486"/>
      <c r="D977" s="486"/>
      <c r="E977" s="486"/>
      <c r="F977" s="528"/>
      <c r="G977" s="486"/>
      <c r="H977" s="486"/>
      <c r="I977" s="491"/>
      <c r="J977" s="491"/>
      <c r="K977" s="491"/>
      <c r="L977" s="491"/>
      <c r="M977" s="486"/>
      <c r="N977" s="422"/>
      <c r="O977" s="422"/>
      <c r="P977" s="422"/>
      <c r="Q977" s="486"/>
      <c r="R977" s="491"/>
      <c r="S977" s="491"/>
      <c r="T977" s="491"/>
      <c r="U977" s="491"/>
      <c r="V977" s="491"/>
      <c r="W977" s="493"/>
      <c r="X977" s="486"/>
      <c r="Y977" s="442"/>
      <c r="Z977" s="491"/>
      <c r="AA977" s="524"/>
      <c r="AB977" s="494"/>
      <c r="AC977" s="436"/>
      <c r="AD977" s="495"/>
      <c r="AE977" s="496"/>
      <c r="AF977" s="531"/>
      <c r="AG977" s="491"/>
      <c r="AH977" s="525"/>
      <c r="AI977" s="491"/>
      <c r="AJ977" s="446"/>
      <c r="AK977" s="491"/>
      <c r="AL977" s="500"/>
      <c r="AM977" s="436"/>
      <c r="AN977" s="438"/>
      <c r="AO977" s="531"/>
      <c r="AP977" s="491"/>
      <c r="AQ977" s="438"/>
      <c r="AR977" s="438"/>
      <c r="AS977" s="438"/>
      <c r="AT977" s="448"/>
      <c r="AU977" s="449"/>
      <c r="AV977" s="438"/>
      <c r="AW977" s="438"/>
      <c r="AX977" s="450"/>
    </row>
    <row r="978">
      <c r="A978" s="435"/>
      <c r="B978" s="485"/>
      <c r="C978" s="486"/>
      <c r="D978" s="486"/>
      <c r="E978" s="486"/>
      <c r="F978" s="528"/>
      <c r="G978" s="486"/>
      <c r="H978" s="486"/>
      <c r="I978" s="491"/>
      <c r="J978" s="491"/>
      <c r="K978" s="491"/>
      <c r="L978" s="491"/>
      <c r="M978" s="486"/>
      <c r="N978" s="422"/>
      <c r="O978" s="422"/>
      <c r="P978" s="422"/>
      <c r="Q978" s="486"/>
      <c r="R978" s="491"/>
      <c r="S978" s="491"/>
      <c r="T978" s="491"/>
      <c r="U978" s="491"/>
      <c r="V978" s="491"/>
      <c r="W978" s="493"/>
      <c r="X978" s="486"/>
      <c r="Y978" s="442"/>
      <c r="Z978" s="491"/>
      <c r="AA978" s="524"/>
      <c r="AB978" s="494"/>
      <c r="AC978" s="436"/>
      <c r="AD978" s="495"/>
      <c r="AE978" s="496"/>
      <c r="AF978" s="531"/>
      <c r="AG978" s="491"/>
      <c r="AH978" s="525"/>
      <c r="AI978" s="491"/>
      <c r="AJ978" s="446"/>
      <c r="AK978" s="491"/>
      <c r="AL978" s="500"/>
      <c r="AM978" s="436"/>
      <c r="AN978" s="438"/>
      <c r="AO978" s="531"/>
      <c r="AP978" s="491"/>
      <c r="AQ978" s="438"/>
      <c r="AR978" s="438"/>
      <c r="AS978" s="438"/>
      <c r="AT978" s="448"/>
      <c r="AU978" s="452"/>
      <c r="AV978" s="438"/>
      <c r="AW978" s="438"/>
      <c r="AX978" s="450"/>
    </row>
    <row r="979">
      <c r="A979" s="435"/>
      <c r="B979" s="485"/>
      <c r="C979" s="486"/>
      <c r="D979" s="486"/>
      <c r="E979" s="486"/>
      <c r="F979" s="528"/>
      <c r="G979" s="486"/>
      <c r="H979" s="486"/>
      <c r="I979" s="491"/>
      <c r="J979" s="491"/>
      <c r="K979" s="491"/>
      <c r="L979" s="491"/>
      <c r="M979" s="486"/>
      <c r="N979" s="422"/>
      <c r="O979" s="422"/>
      <c r="P979" s="422"/>
      <c r="Q979" s="486"/>
      <c r="R979" s="491"/>
      <c r="S979" s="491"/>
      <c r="T979" s="491"/>
      <c r="U979" s="491"/>
      <c r="V979" s="491"/>
      <c r="W979" s="493"/>
      <c r="X979" s="486"/>
      <c r="Y979" s="442"/>
      <c r="Z979" s="491"/>
      <c r="AA979" s="524"/>
      <c r="AB979" s="494"/>
      <c r="AC979" s="436"/>
      <c r="AD979" s="495"/>
      <c r="AE979" s="496"/>
      <c r="AF979" s="531"/>
      <c r="AG979" s="491"/>
      <c r="AH979" s="525"/>
      <c r="AI979" s="491"/>
      <c r="AJ979" s="446"/>
      <c r="AK979" s="491"/>
      <c r="AL979" s="500"/>
      <c r="AM979" s="436"/>
      <c r="AN979" s="438"/>
      <c r="AO979" s="531"/>
      <c r="AP979" s="491"/>
      <c r="AQ979" s="438"/>
      <c r="AR979" s="438"/>
      <c r="AS979" s="438"/>
      <c r="AT979" s="448"/>
      <c r="AU979" s="449"/>
      <c r="AV979" s="438"/>
      <c r="AW979" s="438"/>
      <c r="AX979" s="450"/>
    </row>
    <row r="980">
      <c r="A980" s="435"/>
      <c r="B980" s="485"/>
      <c r="C980" s="486"/>
      <c r="D980" s="486"/>
      <c r="E980" s="486"/>
      <c r="F980" s="528"/>
      <c r="G980" s="486"/>
      <c r="H980" s="486"/>
      <c r="I980" s="491"/>
      <c r="J980" s="491"/>
      <c r="K980" s="491"/>
      <c r="L980" s="491"/>
      <c r="M980" s="486"/>
      <c r="N980" s="422"/>
      <c r="O980" s="422"/>
      <c r="P980" s="422"/>
      <c r="Q980" s="486"/>
      <c r="R980" s="491"/>
      <c r="S980" s="491"/>
      <c r="T980" s="491"/>
      <c r="U980" s="491"/>
      <c r="V980" s="491"/>
      <c r="W980" s="493"/>
      <c r="X980" s="486"/>
      <c r="Y980" s="442"/>
      <c r="Z980" s="491"/>
      <c r="AA980" s="524"/>
      <c r="AB980" s="494"/>
      <c r="AC980" s="436"/>
      <c r="AD980" s="495"/>
      <c r="AE980" s="496"/>
      <c r="AF980" s="531"/>
      <c r="AG980" s="491"/>
      <c r="AH980" s="525"/>
      <c r="AI980" s="491"/>
      <c r="AJ980" s="446"/>
      <c r="AK980" s="491"/>
      <c r="AL980" s="500"/>
      <c r="AM980" s="436"/>
      <c r="AN980" s="438"/>
      <c r="AO980" s="531"/>
      <c r="AP980" s="491"/>
      <c r="AQ980" s="438"/>
      <c r="AR980" s="438"/>
      <c r="AS980" s="438"/>
      <c r="AT980" s="448"/>
      <c r="AU980" s="452"/>
      <c r="AV980" s="438"/>
      <c r="AW980" s="438"/>
      <c r="AX980" s="450"/>
    </row>
    <row r="981">
      <c r="A981" s="435"/>
      <c r="B981" s="485"/>
      <c r="C981" s="486"/>
      <c r="D981" s="486"/>
      <c r="E981" s="486"/>
      <c r="F981" s="528"/>
      <c r="G981" s="486"/>
      <c r="H981" s="486"/>
      <c r="I981" s="491"/>
      <c r="J981" s="491"/>
      <c r="K981" s="491"/>
      <c r="L981" s="491"/>
      <c r="M981" s="486"/>
      <c r="N981" s="422"/>
      <c r="O981" s="422"/>
      <c r="P981" s="422"/>
      <c r="Q981" s="486"/>
      <c r="R981" s="491"/>
      <c r="S981" s="491"/>
      <c r="T981" s="491"/>
      <c r="U981" s="491"/>
      <c r="V981" s="491"/>
      <c r="W981" s="493"/>
      <c r="X981" s="486"/>
      <c r="Y981" s="442"/>
      <c r="Z981" s="491"/>
      <c r="AA981" s="524"/>
      <c r="AB981" s="494"/>
      <c r="AC981" s="436"/>
      <c r="AD981" s="495"/>
      <c r="AE981" s="496"/>
      <c r="AF981" s="531"/>
      <c r="AG981" s="491"/>
      <c r="AH981" s="525"/>
      <c r="AI981" s="491"/>
      <c r="AJ981" s="446"/>
      <c r="AK981" s="491"/>
      <c r="AL981" s="500"/>
      <c r="AM981" s="436"/>
      <c r="AN981" s="438"/>
      <c r="AO981" s="531"/>
      <c r="AP981" s="491"/>
      <c r="AQ981" s="438"/>
      <c r="AR981" s="438"/>
      <c r="AS981" s="438"/>
      <c r="AT981" s="448"/>
      <c r="AU981" s="449"/>
      <c r="AV981" s="438"/>
      <c r="AW981" s="438"/>
      <c r="AX981" s="450"/>
    </row>
    <row r="982">
      <c r="A982" s="435"/>
      <c r="B982" s="485"/>
      <c r="C982" s="486"/>
      <c r="D982" s="486"/>
      <c r="E982" s="486"/>
      <c r="F982" s="528"/>
      <c r="G982" s="486"/>
      <c r="H982" s="486"/>
      <c r="I982" s="491"/>
      <c r="J982" s="491"/>
      <c r="K982" s="491"/>
      <c r="L982" s="491"/>
      <c r="M982" s="486"/>
      <c r="N982" s="422"/>
      <c r="O982" s="422"/>
      <c r="P982" s="422"/>
      <c r="Q982" s="486"/>
      <c r="R982" s="491"/>
      <c r="S982" s="491"/>
      <c r="T982" s="491"/>
      <c r="U982" s="491"/>
      <c r="V982" s="491"/>
      <c r="W982" s="493"/>
      <c r="X982" s="486"/>
      <c r="Y982" s="442"/>
      <c r="Z982" s="491"/>
      <c r="AA982" s="524"/>
      <c r="AB982" s="494"/>
      <c r="AC982" s="436"/>
      <c r="AD982" s="495"/>
      <c r="AE982" s="496"/>
      <c r="AF982" s="531"/>
      <c r="AG982" s="491"/>
      <c r="AH982" s="525"/>
      <c r="AI982" s="491"/>
      <c r="AJ982" s="446"/>
      <c r="AK982" s="491"/>
      <c r="AL982" s="500"/>
      <c r="AM982" s="436"/>
      <c r="AN982" s="438"/>
      <c r="AO982" s="531"/>
      <c r="AP982" s="491"/>
      <c r="AQ982" s="438"/>
      <c r="AR982" s="438"/>
      <c r="AS982" s="438"/>
      <c r="AT982" s="448"/>
      <c r="AU982" s="452"/>
      <c r="AV982" s="438"/>
      <c r="AW982" s="438"/>
      <c r="AX982" s="450"/>
    </row>
    <row r="983">
      <c r="A983" s="435"/>
      <c r="B983" s="485"/>
      <c r="C983" s="486"/>
      <c r="D983" s="486"/>
      <c r="E983" s="486"/>
      <c r="F983" s="528"/>
      <c r="G983" s="486"/>
      <c r="H983" s="486"/>
      <c r="I983" s="491"/>
      <c r="J983" s="491"/>
      <c r="K983" s="491"/>
      <c r="L983" s="491"/>
      <c r="M983" s="486"/>
      <c r="N983" s="422"/>
      <c r="O983" s="422"/>
      <c r="P983" s="422"/>
      <c r="Q983" s="486"/>
      <c r="R983" s="491"/>
      <c r="S983" s="491"/>
      <c r="T983" s="491"/>
      <c r="U983" s="491"/>
      <c r="V983" s="491"/>
      <c r="W983" s="493"/>
      <c r="X983" s="486"/>
      <c r="Y983" s="442"/>
      <c r="Z983" s="491"/>
      <c r="AA983" s="524"/>
      <c r="AB983" s="494"/>
      <c r="AC983" s="436"/>
      <c r="AD983" s="495"/>
      <c r="AE983" s="496"/>
      <c r="AF983" s="531"/>
      <c r="AG983" s="491"/>
      <c r="AH983" s="525"/>
      <c r="AI983" s="491"/>
      <c r="AJ983" s="446"/>
      <c r="AK983" s="491"/>
      <c r="AL983" s="500"/>
      <c r="AM983" s="436"/>
      <c r="AN983" s="438"/>
      <c r="AO983" s="531"/>
      <c r="AP983" s="491"/>
      <c r="AQ983" s="438"/>
      <c r="AR983" s="438"/>
      <c r="AS983" s="438"/>
      <c r="AT983" s="448"/>
      <c r="AU983" s="449"/>
      <c r="AV983" s="438"/>
      <c r="AW983" s="438"/>
      <c r="AX983" s="450"/>
    </row>
    <row r="984">
      <c r="A984" s="435"/>
      <c r="B984" s="485"/>
      <c r="C984" s="486"/>
      <c r="D984" s="486"/>
      <c r="E984" s="486"/>
      <c r="F984" s="528"/>
      <c r="G984" s="486"/>
      <c r="H984" s="486"/>
      <c r="I984" s="491"/>
      <c r="J984" s="491"/>
      <c r="K984" s="491"/>
      <c r="L984" s="491"/>
      <c r="M984" s="486"/>
      <c r="N984" s="422"/>
      <c r="O984" s="422"/>
      <c r="P984" s="422"/>
      <c r="Q984" s="486"/>
      <c r="R984" s="491"/>
      <c r="S984" s="491"/>
      <c r="T984" s="491"/>
      <c r="U984" s="491"/>
      <c r="V984" s="491"/>
      <c r="W984" s="493"/>
      <c r="X984" s="486"/>
      <c r="Y984" s="442"/>
      <c r="Z984" s="491"/>
      <c r="AA984" s="524"/>
      <c r="AB984" s="494"/>
      <c r="AC984" s="436"/>
      <c r="AD984" s="495"/>
      <c r="AE984" s="496"/>
      <c r="AF984" s="531"/>
      <c r="AG984" s="491"/>
      <c r="AH984" s="525"/>
      <c r="AI984" s="491"/>
      <c r="AJ984" s="446"/>
      <c r="AK984" s="491"/>
      <c r="AL984" s="500"/>
      <c r="AM984" s="436"/>
      <c r="AN984" s="438"/>
      <c r="AO984" s="531"/>
      <c r="AP984" s="491"/>
      <c r="AQ984" s="438"/>
      <c r="AR984" s="438"/>
      <c r="AS984" s="438"/>
      <c r="AT984" s="448"/>
      <c r="AU984" s="452"/>
      <c r="AV984" s="438"/>
      <c r="AW984" s="438"/>
      <c r="AX984" s="450"/>
    </row>
    <row r="985">
      <c r="A985" s="435"/>
      <c r="B985" s="485"/>
      <c r="C985" s="486"/>
      <c r="D985" s="486"/>
      <c r="E985" s="486"/>
      <c r="F985" s="528"/>
      <c r="G985" s="486"/>
      <c r="H985" s="486"/>
      <c r="I985" s="491"/>
      <c r="J985" s="491"/>
      <c r="K985" s="491"/>
      <c r="L985" s="491"/>
      <c r="M985" s="486"/>
      <c r="N985" s="422"/>
      <c r="O985" s="422"/>
      <c r="P985" s="422"/>
      <c r="Q985" s="486"/>
      <c r="R985" s="491"/>
      <c r="S985" s="491"/>
      <c r="T985" s="491"/>
      <c r="U985" s="491"/>
      <c r="V985" s="491"/>
      <c r="W985" s="493"/>
      <c r="X985" s="486"/>
      <c r="Y985" s="442"/>
      <c r="Z985" s="491"/>
      <c r="AA985" s="524"/>
      <c r="AB985" s="494"/>
      <c r="AC985" s="436"/>
      <c r="AD985" s="495"/>
      <c r="AE985" s="496"/>
      <c r="AF985" s="531"/>
      <c r="AG985" s="491"/>
      <c r="AH985" s="525"/>
      <c r="AI985" s="491"/>
      <c r="AJ985" s="446"/>
      <c r="AK985" s="491"/>
      <c r="AL985" s="500"/>
      <c r="AM985" s="436"/>
      <c r="AN985" s="438"/>
      <c r="AO985" s="531"/>
      <c r="AP985" s="491"/>
      <c r="AQ985" s="438"/>
      <c r="AR985" s="438"/>
      <c r="AS985" s="438"/>
      <c r="AT985" s="448"/>
      <c r="AU985" s="449"/>
      <c r="AV985" s="438"/>
      <c r="AW985" s="438"/>
      <c r="AX985" s="450"/>
    </row>
    <row r="986">
      <c r="A986" s="435"/>
      <c r="B986" s="485"/>
      <c r="C986" s="486"/>
      <c r="D986" s="486"/>
      <c r="E986" s="486"/>
      <c r="F986" s="528"/>
      <c r="G986" s="486"/>
      <c r="H986" s="486"/>
      <c r="I986" s="491"/>
      <c r="J986" s="491"/>
      <c r="K986" s="491"/>
      <c r="L986" s="491"/>
      <c r="M986" s="486"/>
      <c r="N986" s="422"/>
      <c r="O986" s="422"/>
      <c r="P986" s="422"/>
      <c r="Q986" s="486"/>
      <c r="R986" s="491"/>
      <c r="S986" s="491"/>
      <c r="T986" s="491"/>
      <c r="U986" s="491"/>
      <c r="V986" s="491"/>
      <c r="W986" s="493"/>
      <c r="X986" s="486"/>
      <c r="Y986" s="442"/>
      <c r="Z986" s="491"/>
      <c r="AA986" s="524"/>
      <c r="AB986" s="494"/>
      <c r="AC986" s="436"/>
      <c r="AD986" s="495"/>
      <c r="AE986" s="496"/>
      <c r="AF986" s="531"/>
      <c r="AG986" s="491"/>
      <c r="AH986" s="525"/>
      <c r="AI986" s="491"/>
      <c r="AJ986" s="446"/>
      <c r="AK986" s="491"/>
      <c r="AL986" s="500"/>
      <c r="AM986" s="436"/>
      <c r="AN986" s="438"/>
      <c r="AO986" s="531"/>
      <c r="AP986" s="491"/>
      <c r="AQ986" s="438"/>
      <c r="AR986" s="438"/>
      <c r="AS986" s="438"/>
      <c r="AT986" s="448"/>
      <c r="AU986" s="452"/>
      <c r="AV986" s="438"/>
      <c r="AW986" s="438"/>
      <c r="AX986" s="450"/>
    </row>
    <row r="987">
      <c r="A987" s="435"/>
      <c r="B987" s="485"/>
      <c r="C987" s="486"/>
      <c r="D987" s="486"/>
      <c r="E987" s="486"/>
      <c r="F987" s="528"/>
      <c r="G987" s="486"/>
      <c r="H987" s="486"/>
      <c r="I987" s="491"/>
      <c r="J987" s="491"/>
      <c r="K987" s="491"/>
      <c r="L987" s="491"/>
      <c r="M987" s="486"/>
      <c r="N987" s="422"/>
      <c r="O987" s="422"/>
      <c r="P987" s="422"/>
      <c r="Q987" s="486"/>
      <c r="R987" s="491"/>
      <c r="S987" s="491"/>
      <c r="T987" s="491"/>
      <c r="U987" s="491"/>
      <c r="V987" s="491"/>
      <c r="W987" s="493"/>
      <c r="X987" s="486"/>
      <c r="Y987" s="442"/>
      <c r="Z987" s="491"/>
      <c r="AA987" s="524"/>
      <c r="AB987" s="494"/>
      <c r="AC987" s="436"/>
      <c r="AD987" s="495"/>
      <c r="AE987" s="496"/>
      <c r="AF987" s="531"/>
      <c r="AG987" s="491"/>
      <c r="AH987" s="525"/>
      <c r="AI987" s="491"/>
      <c r="AJ987" s="446"/>
      <c r="AK987" s="491"/>
      <c r="AL987" s="500"/>
      <c r="AM987" s="436"/>
      <c r="AN987" s="438"/>
      <c r="AO987" s="531"/>
      <c r="AP987" s="491"/>
      <c r="AQ987" s="438"/>
      <c r="AR987" s="438"/>
      <c r="AS987" s="438"/>
      <c r="AT987" s="448"/>
      <c r="AU987" s="449"/>
      <c r="AV987" s="438"/>
      <c r="AW987" s="438"/>
      <c r="AX987" s="450"/>
    </row>
    <row r="988">
      <c r="A988" s="435"/>
      <c r="B988" s="485"/>
      <c r="C988" s="486"/>
      <c r="D988" s="486"/>
      <c r="E988" s="486"/>
      <c r="F988" s="528"/>
      <c r="G988" s="486"/>
      <c r="H988" s="486"/>
      <c r="I988" s="491"/>
      <c r="J988" s="491"/>
      <c r="K988" s="491"/>
      <c r="L988" s="491"/>
      <c r="M988" s="486"/>
      <c r="N988" s="422"/>
      <c r="O988" s="422"/>
      <c r="P988" s="422"/>
      <c r="Q988" s="486"/>
      <c r="R988" s="491"/>
      <c r="S988" s="491"/>
      <c r="T988" s="491"/>
      <c r="U988" s="491"/>
      <c r="V988" s="491"/>
      <c r="W988" s="493"/>
      <c r="X988" s="486"/>
      <c r="Y988" s="442"/>
      <c r="Z988" s="491"/>
      <c r="AA988" s="524"/>
      <c r="AB988" s="494"/>
      <c r="AC988" s="436"/>
      <c r="AD988" s="495"/>
      <c r="AE988" s="496"/>
      <c r="AF988" s="531"/>
      <c r="AG988" s="491"/>
      <c r="AH988" s="525"/>
      <c r="AI988" s="491"/>
      <c r="AJ988" s="446"/>
      <c r="AK988" s="491"/>
      <c r="AL988" s="500"/>
      <c r="AM988" s="436"/>
      <c r="AN988" s="438"/>
      <c r="AO988" s="531"/>
      <c r="AP988" s="491"/>
      <c r="AQ988" s="438"/>
      <c r="AR988" s="438"/>
      <c r="AS988" s="438"/>
      <c r="AT988" s="448"/>
      <c r="AU988" s="452"/>
      <c r="AV988" s="438"/>
      <c r="AW988" s="438"/>
      <c r="AX988" s="450"/>
    </row>
    <row r="989">
      <c r="A989" s="435"/>
      <c r="B989" s="485"/>
      <c r="C989" s="486"/>
      <c r="D989" s="486"/>
      <c r="E989" s="486"/>
      <c r="F989" s="528"/>
      <c r="G989" s="486"/>
      <c r="H989" s="486"/>
      <c r="I989" s="491"/>
      <c r="J989" s="491"/>
      <c r="K989" s="491"/>
      <c r="L989" s="491"/>
      <c r="M989" s="486"/>
      <c r="N989" s="422"/>
      <c r="O989" s="422"/>
      <c r="P989" s="422"/>
      <c r="Q989" s="486"/>
      <c r="R989" s="491"/>
      <c r="S989" s="491"/>
      <c r="T989" s="491"/>
      <c r="U989" s="491"/>
      <c r="V989" s="491"/>
      <c r="W989" s="493"/>
      <c r="X989" s="486"/>
      <c r="Y989" s="442"/>
      <c r="Z989" s="491"/>
      <c r="AA989" s="524"/>
      <c r="AB989" s="494"/>
      <c r="AC989" s="436"/>
      <c r="AD989" s="495"/>
      <c r="AE989" s="496"/>
      <c r="AF989" s="531"/>
      <c r="AG989" s="491"/>
      <c r="AH989" s="525"/>
      <c r="AI989" s="491"/>
      <c r="AJ989" s="446"/>
      <c r="AK989" s="491"/>
      <c r="AL989" s="500"/>
      <c r="AM989" s="436"/>
      <c r="AN989" s="438"/>
      <c r="AO989" s="531"/>
      <c r="AP989" s="491"/>
      <c r="AQ989" s="438"/>
      <c r="AR989" s="438"/>
      <c r="AS989" s="438"/>
      <c r="AT989" s="448"/>
      <c r="AU989" s="449"/>
      <c r="AV989" s="438"/>
      <c r="AW989" s="438"/>
      <c r="AX989" s="450"/>
    </row>
    <row r="990">
      <c r="A990" s="435"/>
      <c r="B990" s="485"/>
      <c r="C990" s="486"/>
      <c r="D990" s="486"/>
      <c r="E990" s="486"/>
      <c r="F990" s="528"/>
      <c r="G990" s="486"/>
      <c r="H990" s="486"/>
      <c r="I990" s="491"/>
      <c r="J990" s="491"/>
      <c r="K990" s="491"/>
      <c r="L990" s="491"/>
      <c r="M990" s="486"/>
      <c r="N990" s="422"/>
      <c r="O990" s="422"/>
      <c r="P990" s="422"/>
      <c r="Q990" s="486"/>
      <c r="R990" s="491"/>
      <c r="S990" s="491"/>
      <c r="T990" s="491"/>
      <c r="U990" s="491"/>
      <c r="V990" s="491"/>
      <c r="W990" s="493"/>
      <c r="X990" s="486"/>
      <c r="Y990" s="442"/>
      <c r="Z990" s="491"/>
      <c r="AA990" s="524"/>
      <c r="AB990" s="494"/>
      <c r="AC990" s="436"/>
      <c r="AD990" s="495"/>
      <c r="AE990" s="496"/>
      <c r="AF990" s="531"/>
      <c r="AG990" s="491"/>
      <c r="AH990" s="525"/>
      <c r="AI990" s="491"/>
      <c r="AJ990" s="446"/>
      <c r="AK990" s="491"/>
      <c r="AL990" s="500"/>
      <c r="AM990" s="436"/>
      <c r="AN990" s="438"/>
      <c r="AO990" s="531"/>
      <c r="AP990" s="491"/>
      <c r="AQ990" s="438"/>
      <c r="AR990" s="438"/>
      <c r="AS990" s="438"/>
      <c r="AT990" s="448"/>
      <c r="AU990" s="452"/>
      <c r="AV990" s="438"/>
      <c r="AW990" s="438"/>
      <c r="AX990" s="450"/>
    </row>
    <row r="991">
      <c r="A991" s="435"/>
      <c r="B991" s="485"/>
      <c r="C991" s="486"/>
      <c r="D991" s="486"/>
      <c r="E991" s="486"/>
      <c r="F991" s="528"/>
      <c r="G991" s="486"/>
      <c r="H991" s="486"/>
      <c r="I991" s="491"/>
      <c r="J991" s="491"/>
      <c r="K991" s="491"/>
      <c r="L991" s="491"/>
      <c r="M991" s="486"/>
      <c r="N991" s="422"/>
      <c r="O991" s="422"/>
      <c r="P991" s="422"/>
      <c r="Q991" s="486"/>
      <c r="R991" s="491"/>
      <c r="S991" s="491"/>
      <c r="T991" s="491"/>
      <c r="U991" s="491"/>
      <c r="V991" s="491"/>
      <c r="W991" s="493"/>
      <c r="X991" s="486"/>
      <c r="Y991" s="442"/>
      <c r="Z991" s="491"/>
      <c r="AA991" s="524"/>
      <c r="AB991" s="494"/>
      <c r="AC991" s="436"/>
      <c r="AD991" s="495"/>
      <c r="AE991" s="496"/>
      <c r="AF991" s="531"/>
      <c r="AG991" s="491"/>
      <c r="AH991" s="525"/>
      <c r="AI991" s="491"/>
      <c r="AJ991" s="446"/>
      <c r="AK991" s="491"/>
      <c r="AL991" s="500"/>
      <c r="AM991" s="436"/>
      <c r="AN991" s="438"/>
      <c r="AO991" s="531"/>
      <c r="AP991" s="491"/>
      <c r="AQ991" s="438"/>
      <c r="AR991" s="438"/>
      <c r="AS991" s="438"/>
      <c r="AT991" s="448"/>
      <c r="AU991" s="449"/>
      <c r="AV991" s="438"/>
      <c r="AW991" s="438"/>
      <c r="AX991" s="450"/>
    </row>
    <row r="992">
      <c r="A992" s="435"/>
      <c r="B992" s="485"/>
      <c r="C992" s="486"/>
      <c r="D992" s="486"/>
      <c r="E992" s="486"/>
      <c r="F992" s="528"/>
      <c r="G992" s="486"/>
      <c r="H992" s="486"/>
      <c r="I992" s="491"/>
      <c r="J992" s="491"/>
      <c r="K992" s="491"/>
      <c r="L992" s="491"/>
      <c r="M992" s="486"/>
      <c r="N992" s="422"/>
      <c r="O992" s="422"/>
      <c r="P992" s="422"/>
      <c r="Q992" s="486"/>
      <c r="R992" s="491"/>
      <c r="S992" s="491"/>
      <c r="T992" s="491"/>
      <c r="U992" s="491"/>
      <c r="V992" s="491"/>
      <c r="W992" s="493"/>
      <c r="X992" s="486"/>
      <c r="Y992" s="442"/>
      <c r="Z992" s="491"/>
      <c r="AA992" s="524"/>
      <c r="AB992" s="494"/>
      <c r="AC992" s="436"/>
      <c r="AD992" s="495"/>
      <c r="AE992" s="496"/>
      <c r="AF992" s="531"/>
      <c r="AG992" s="491"/>
      <c r="AH992" s="525"/>
      <c r="AI992" s="491"/>
      <c r="AJ992" s="446"/>
      <c r="AK992" s="491"/>
      <c r="AL992" s="500"/>
      <c r="AM992" s="436"/>
      <c r="AN992" s="438"/>
      <c r="AO992" s="531"/>
      <c r="AP992" s="491"/>
      <c r="AQ992" s="438"/>
      <c r="AR992" s="438"/>
      <c r="AS992" s="438"/>
      <c r="AT992" s="448"/>
      <c r="AU992" s="452"/>
      <c r="AV992" s="438"/>
      <c r="AW992" s="438"/>
      <c r="AX992" s="450"/>
    </row>
    <row r="993">
      <c r="A993" s="435"/>
      <c r="B993" s="485"/>
      <c r="C993" s="486"/>
      <c r="D993" s="486"/>
      <c r="E993" s="486"/>
      <c r="F993" s="528"/>
      <c r="G993" s="486"/>
      <c r="H993" s="486"/>
      <c r="I993" s="491"/>
      <c r="J993" s="491"/>
      <c r="K993" s="491"/>
      <c r="L993" s="491"/>
      <c r="M993" s="486"/>
      <c r="N993" s="422"/>
      <c r="O993" s="422"/>
      <c r="P993" s="422"/>
      <c r="Q993" s="486"/>
      <c r="R993" s="491"/>
      <c r="S993" s="491"/>
      <c r="T993" s="491"/>
      <c r="U993" s="491"/>
      <c r="V993" s="491"/>
      <c r="W993" s="493"/>
      <c r="X993" s="486"/>
      <c r="Y993" s="442"/>
      <c r="Z993" s="491"/>
      <c r="AA993" s="524"/>
      <c r="AB993" s="494"/>
      <c r="AC993" s="436"/>
      <c r="AD993" s="495"/>
      <c r="AE993" s="496"/>
      <c r="AF993" s="531"/>
      <c r="AG993" s="491"/>
      <c r="AH993" s="525"/>
      <c r="AI993" s="491"/>
      <c r="AJ993" s="446"/>
      <c r="AK993" s="491"/>
      <c r="AL993" s="500"/>
      <c r="AM993" s="436"/>
      <c r="AN993" s="438"/>
      <c r="AO993" s="531"/>
      <c r="AP993" s="491"/>
      <c r="AQ993" s="438"/>
      <c r="AR993" s="438"/>
      <c r="AS993" s="438"/>
      <c r="AT993" s="448"/>
      <c r="AU993" s="449"/>
      <c r="AV993" s="438"/>
      <c r="AW993" s="438"/>
      <c r="AX993" s="450"/>
    </row>
    <row r="994">
      <c r="A994" s="435"/>
      <c r="B994" s="485"/>
      <c r="C994" s="486"/>
      <c r="D994" s="486"/>
      <c r="E994" s="486"/>
      <c r="F994" s="528"/>
      <c r="G994" s="486"/>
      <c r="H994" s="486"/>
      <c r="I994" s="491"/>
      <c r="J994" s="491"/>
      <c r="K994" s="491"/>
      <c r="L994" s="491"/>
      <c r="M994" s="486"/>
      <c r="N994" s="422"/>
      <c r="O994" s="422"/>
      <c r="P994" s="422"/>
      <c r="Q994" s="486"/>
      <c r="R994" s="491"/>
      <c r="S994" s="491"/>
      <c r="T994" s="491"/>
      <c r="U994" s="491"/>
      <c r="V994" s="491"/>
      <c r="W994" s="493"/>
      <c r="X994" s="486"/>
      <c r="Y994" s="442"/>
      <c r="Z994" s="491"/>
      <c r="AA994" s="524"/>
      <c r="AB994" s="494"/>
      <c r="AC994" s="436"/>
      <c r="AD994" s="495"/>
      <c r="AE994" s="496"/>
      <c r="AF994" s="531"/>
      <c r="AG994" s="491"/>
      <c r="AH994" s="525"/>
      <c r="AI994" s="491"/>
      <c r="AJ994" s="446"/>
      <c r="AK994" s="491"/>
      <c r="AL994" s="500"/>
      <c r="AM994" s="436"/>
      <c r="AN994" s="438"/>
      <c r="AO994" s="531"/>
      <c r="AP994" s="491"/>
      <c r="AQ994" s="438"/>
      <c r="AR994" s="438"/>
      <c r="AS994" s="438"/>
      <c r="AT994" s="448"/>
      <c r="AU994" s="452"/>
      <c r="AV994" s="438"/>
      <c r="AW994" s="438"/>
      <c r="AX994" s="450"/>
    </row>
    <row r="995">
      <c r="A995" s="435"/>
      <c r="B995" s="485"/>
      <c r="C995" s="486"/>
      <c r="D995" s="486"/>
      <c r="E995" s="486"/>
      <c r="F995" s="528"/>
      <c r="G995" s="486"/>
      <c r="H995" s="486"/>
      <c r="I995" s="491"/>
      <c r="J995" s="491"/>
      <c r="K995" s="491"/>
      <c r="L995" s="491"/>
      <c r="M995" s="486"/>
      <c r="N995" s="422"/>
      <c r="O995" s="422"/>
      <c r="P995" s="422"/>
      <c r="Q995" s="486"/>
      <c r="R995" s="491"/>
      <c r="S995" s="491"/>
      <c r="T995" s="491"/>
      <c r="U995" s="491"/>
      <c r="V995" s="491"/>
      <c r="W995" s="493"/>
      <c r="X995" s="486"/>
      <c r="Y995" s="442"/>
      <c r="Z995" s="491"/>
      <c r="AA995" s="524"/>
      <c r="AB995" s="494"/>
      <c r="AC995" s="436"/>
      <c r="AD995" s="495"/>
      <c r="AE995" s="496"/>
      <c r="AF995" s="531"/>
      <c r="AG995" s="491"/>
      <c r="AH995" s="525"/>
      <c r="AI995" s="491"/>
      <c r="AJ995" s="446"/>
      <c r="AK995" s="491"/>
      <c r="AL995" s="500"/>
      <c r="AM995" s="436"/>
      <c r="AN995" s="438"/>
      <c r="AO995" s="531"/>
      <c r="AP995" s="491"/>
      <c r="AQ995" s="438"/>
      <c r="AR995" s="438"/>
      <c r="AS995" s="438"/>
      <c r="AT995" s="448"/>
      <c r="AU995" s="449"/>
      <c r="AV995" s="438"/>
      <c r="AW995" s="438"/>
      <c r="AX995" s="450"/>
    </row>
    <row r="996">
      <c r="A996" s="435"/>
      <c r="B996" s="485"/>
      <c r="C996" s="486"/>
      <c r="D996" s="486"/>
      <c r="E996" s="486"/>
      <c r="F996" s="528"/>
      <c r="G996" s="486"/>
      <c r="H996" s="486"/>
      <c r="I996" s="491"/>
      <c r="J996" s="491"/>
      <c r="K996" s="491"/>
      <c r="L996" s="491"/>
      <c r="M996" s="486"/>
      <c r="N996" s="422"/>
      <c r="O996" s="422"/>
      <c r="P996" s="422"/>
      <c r="Q996" s="486"/>
      <c r="R996" s="491"/>
      <c r="S996" s="491"/>
      <c r="T996" s="491"/>
      <c r="U996" s="491"/>
      <c r="V996" s="491"/>
      <c r="W996" s="493"/>
      <c r="X996" s="486"/>
      <c r="Y996" s="442"/>
      <c r="Z996" s="491"/>
      <c r="AA996" s="524"/>
      <c r="AB996" s="494"/>
      <c r="AC996" s="436"/>
      <c r="AD996" s="495"/>
      <c r="AE996" s="496"/>
      <c r="AF996" s="531"/>
      <c r="AG996" s="491"/>
      <c r="AH996" s="525"/>
      <c r="AI996" s="491"/>
      <c r="AJ996" s="446"/>
      <c r="AK996" s="491"/>
      <c r="AL996" s="500"/>
      <c r="AM996" s="436"/>
      <c r="AN996" s="438"/>
      <c r="AO996" s="531"/>
      <c r="AP996" s="491"/>
      <c r="AQ996" s="438"/>
      <c r="AR996" s="438"/>
      <c r="AS996" s="438"/>
      <c r="AT996" s="448"/>
      <c r="AU996" s="452"/>
      <c r="AV996" s="438"/>
      <c r="AW996" s="438"/>
      <c r="AX996" s="450"/>
    </row>
    <row r="997">
      <c r="A997" s="435"/>
      <c r="B997" s="485"/>
      <c r="C997" s="486"/>
      <c r="D997" s="486"/>
      <c r="E997" s="486"/>
      <c r="F997" s="528"/>
      <c r="G997" s="486"/>
      <c r="H997" s="486"/>
      <c r="I997" s="491"/>
      <c r="J997" s="491"/>
      <c r="K997" s="491"/>
      <c r="L997" s="491"/>
      <c r="M997" s="486"/>
      <c r="N997" s="422"/>
      <c r="O997" s="422"/>
      <c r="P997" s="422"/>
      <c r="Q997" s="486"/>
      <c r="R997" s="491"/>
      <c r="S997" s="491"/>
      <c r="T997" s="491"/>
      <c r="U997" s="491"/>
      <c r="V997" s="491"/>
      <c r="W997" s="493"/>
      <c r="X997" s="486"/>
      <c r="Y997" s="442"/>
      <c r="Z997" s="491"/>
      <c r="AA997" s="524"/>
      <c r="AB997" s="494"/>
      <c r="AC997" s="436"/>
      <c r="AD997" s="495"/>
      <c r="AE997" s="496"/>
      <c r="AF997" s="531"/>
      <c r="AG997" s="491"/>
      <c r="AH997" s="525"/>
      <c r="AI997" s="491"/>
      <c r="AJ997" s="446"/>
      <c r="AK997" s="491"/>
      <c r="AL997" s="500"/>
      <c r="AM997" s="436"/>
      <c r="AN997" s="438"/>
      <c r="AO997" s="531"/>
      <c r="AP997" s="491"/>
      <c r="AQ997" s="438"/>
      <c r="AR997" s="438"/>
      <c r="AS997" s="438"/>
      <c r="AT997" s="448"/>
      <c r="AU997" s="449"/>
      <c r="AV997" s="438"/>
      <c r="AW997" s="438"/>
      <c r="AX997" s="450"/>
    </row>
    <row r="998">
      <c r="A998" s="435"/>
      <c r="B998" s="485"/>
      <c r="C998" s="486"/>
      <c r="D998" s="486"/>
      <c r="E998" s="486"/>
      <c r="F998" s="528"/>
      <c r="G998" s="486"/>
      <c r="H998" s="486"/>
      <c r="I998" s="491"/>
      <c r="J998" s="491"/>
      <c r="K998" s="491"/>
      <c r="L998" s="491"/>
      <c r="M998" s="486"/>
      <c r="N998" s="422"/>
      <c r="O998" s="422"/>
      <c r="P998" s="422"/>
      <c r="Q998" s="486"/>
      <c r="R998" s="491"/>
      <c r="S998" s="491"/>
      <c r="T998" s="491"/>
      <c r="U998" s="491"/>
      <c r="V998" s="491"/>
      <c r="W998" s="493"/>
      <c r="X998" s="486"/>
      <c r="Y998" s="442"/>
      <c r="Z998" s="491"/>
      <c r="AA998" s="524"/>
      <c r="AB998" s="494"/>
      <c r="AC998" s="436"/>
      <c r="AD998" s="495"/>
      <c r="AE998" s="496"/>
      <c r="AF998" s="531"/>
      <c r="AG998" s="491"/>
      <c r="AH998" s="525"/>
      <c r="AI998" s="491"/>
      <c r="AJ998" s="446"/>
      <c r="AK998" s="491"/>
      <c r="AL998" s="500"/>
      <c r="AM998" s="436"/>
      <c r="AN998" s="438"/>
      <c r="AO998" s="531"/>
      <c r="AP998" s="491"/>
      <c r="AQ998" s="438"/>
      <c r="AR998" s="438"/>
      <c r="AS998" s="438"/>
      <c r="AT998" s="448"/>
      <c r="AU998" s="452"/>
      <c r="AV998" s="438"/>
      <c r="AW998" s="438"/>
      <c r="AX998" s="450"/>
    </row>
    <row r="999">
      <c r="A999" s="435"/>
      <c r="B999" s="485"/>
      <c r="C999" s="486"/>
      <c r="D999" s="486"/>
      <c r="E999" s="486"/>
      <c r="F999" s="528"/>
      <c r="G999" s="486"/>
      <c r="H999" s="486"/>
      <c r="I999" s="491"/>
      <c r="J999" s="491"/>
      <c r="K999" s="491"/>
      <c r="L999" s="491"/>
      <c r="M999" s="486"/>
      <c r="N999" s="422"/>
      <c r="O999" s="422"/>
      <c r="P999" s="422"/>
      <c r="Q999" s="486"/>
      <c r="R999" s="491"/>
      <c r="S999" s="491"/>
      <c r="T999" s="491"/>
      <c r="U999" s="491"/>
      <c r="V999" s="491"/>
      <c r="W999" s="493"/>
      <c r="X999" s="486"/>
      <c r="Y999" s="442"/>
      <c r="Z999" s="491"/>
      <c r="AA999" s="524"/>
      <c r="AB999" s="494"/>
      <c r="AC999" s="436"/>
      <c r="AD999" s="495"/>
      <c r="AE999" s="496"/>
      <c r="AF999" s="531"/>
      <c r="AG999" s="491"/>
      <c r="AH999" s="525"/>
      <c r="AI999" s="491"/>
      <c r="AJ999" s="446"/>
      <c r="AK999" s="491"/>
      <c r="AL999" s="500"/>
      <c r="AM999" s="436"/>
      <c r="AN999" s="438"/>
      <c r="AO999" s="531"/>
      <c r="AP999" s="491"/>
      <c r="AQ999" s="438"/>
      <c r="AR999" s="438"/>
      <c r="AS999" s="438"/>
      <c r="AT999" s="448"/>
      <c r="AU999" s="449"/>
      <c r="AV999" s="438"/>
      <c r="AW999" s="438"/>
      <c r="AX999" s="450"/>
    </row>
    <row r="1000">
      <c r="A1000" s="435"/>
      <c r="B1000" s="485"/>
      <c r="C1000" s="486"/>
      <c r="D1000" s="486"/>
      <c r="E1000" s="486"/>
      <c r="F1000" s="528"/>
      <c r="G1000" s="486"/>
      <c r="H1000" s="486"/>
      <c r="I1000" s="491"/>
      <c r="J1000" s="491"/>
      <c r="K1000" s="491"/>
      <c r="L1000" s="491"/>
      <c r="M1000" s="486"/>
      <c r="N1000" s="422"/>
      <c r="O1000" s="422"/>
      <c r="P1000" s="422"/>
      <c r="Q1000" s="486"/>
      <c r="R1000" s="491"/>
      <c r="S1000" s="491"/>
      <c r="T1000" s="491"/>
      <c r="U1000" s="491"/>
      <c r="V1000" s="491"/>
      <c r="W1000" s="493"/>
      <c r="X1000" s="486"/>
      <c r="Y1000" s="442"/>
      <c r="Z1000" s="491"/>
      <c r="AA1000" s="524"/>
      <c r="AB1000" s="494"/>
      <c r="AC1000" s="436"/>
      <c r="AD1000" s="495"/>
      <c r="AE1000" s="496"/>
      <c r="AF1000" s="531"/>
      <c r="AG1000" s="491"/>
      <c r="AH1000" s="525"/>
      <c r="AI1000" s="491"/>
      <c r="AJ1000" s="446"/>
      <c r="AK1000" s="491"/>
      <c r="AL1000" s="500"/>
      <c r="AM1000" s="436"/>
      <c r="AN1000" s="438"/>
      <c r="AO1000" s="531"/>
      <c r="AP1000" s="491"/>
      <c r="AQ1000" s="438"/>
      <c r="AR1000" s="438"/>
      <c r="AS1000" s="438"/>
      <c r="AT1000" s="448"/>
      <c r="AU1000" s="452"/>
      <c r="AV1000" s="438"/>
      <c r="AW1000" s="438"/>
      <c r="AX1000" s="450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29"/>
  </cols>
  <sheetData>
    <row r="1">
      <c r="A1" s="432" t="s">
        <v>2</v>
      </c>
      <c r="B1" s="432" t="s">
        <v>2779</v>
      </c>
      <c r="C1" s="432" t="s">
        <v>37</v>
      </c>
      <c r="D1" s="432" t="s">
        <v>2780</v>
      </c>
      <c r="E1" s="432" t="s">
        <v>2781</v>
      </c>
      <c r="F1" s="432" t="s">
        <v>2782</v>
      </c>
      <c r="G1" s="432" t="s">
        <v>2783</v>
      </c>
      <c r="H1" s="432" t="s">
        <v>2784</v>
      </c>
      <c r="I1" s="432" t="s">
        <v>2785</v>
      </c>
      <c r="J1" s="432" t="s">
        <v>2786</v>
      </c>
      <c r="K1" s="432" t="s">
        <v>2787</v>
      </c>
      <c r="L1" s="432" t="s">
        <v>2788</v>
      </c>
      <c r="M1" s="432" t="s">
        <v>2789</v>
      </c>
      <c r="N1" s="432" t="s">
        <v>2790</v>
      </c>
      <c r="O1" s="432" t="s">
        <v>2791</v>
      </c>
      <c r="P1" s="432" t="s">
        <v>2792</v>
      </c>
      <c r="Q1" s="432" t="s">
        <v>6</v>
      </c>
      <c r="R1" s="432" t="s">
        <v>2793</v>
      </c>
      <c r="S1" s="432" t="s">
        <v>47</v>
      </c>
      <c r="T1" s="432" t="s">
        <v>51</v>
      </c>
      <c r="U1" s="432" t="s">
        <v>41</v>
      </c>
      <c r="V1" s="432" t="s">
        <v>22</v>
      </c>
      <c r="W1" s="432" t="s">
        <v>24</v>
      </c>
      <c r="X1" s="574"/>
      <c r="Y1" s="574"/>
    </row>
    <row r="2">
      <c r="A2" s="455" t="s">
        <v>1699</v>
      </c>
      <c r="B2" s="455" t="s">
        <v>1700</v>
      </c>
      <c r="C2" s="455" t="s">
        <v>702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55" t="s">
        <v>137</v>
      </c>
      <c r="R2" s="448"/>
      <c r="S2" s="575">
        <v>0.25</v>
      </c>
      <c r="T2" s="575">
        <v>0.868</v>
      </c>
      <c r="U2" s="575">
        <v>381.0</v>
      </c>
      <c r="V2" s="448"/>
      <c r="W2" s="448"/>
      <c r="X2" s="448"/>
      <c r="Y2" s="448"/>
    </row>
    <row r="3">
      <c r="A3" s="455" t="s">
        <v>1707</v>
      </c>
      <c r="B3" s="455" t="s">
        <v>1708</v>
      </c>
      <c r="C3" s="455" t="s">
        <v>702</v>
      </c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55" t="s">
        <v>137</v>
      </c>
      <c r="R3" s="448"/>
      <c r="S3" s="575">
        <v>0.3</v>
      </c>
      <c r="T3" s="575">
        <v>1.34</v>
      </c>
      <c r="U3" s="575">
        <v>335.0</v>
      </c>
      <c r="V3" s="448"/>
      <c r="W3" s="448"/>
      <c r="X3" s="448"/>
      <c r="Y3" s="448"/>
    </row>
    <row r="4">
      <c r="A4" s="455" t="s">
        <v>1711</v>
      </c>
      <c r="B4" s="455" t="s">
        <v>1712</v>
      </c>
      <c r="C4" s="455" t="s">
        <v>702</v>
      </c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55" t="s">
        <v>137</v>
      </c>
      <c r="R4" s="448"/>
      <c r="S4" s="575">
        <v>0.3</v>
      </c>
      <c r="T4" s="575">
        <v>1.15</v>
      </c>
      <c r="U4" s="575">
        <v>388.0</v>
      </c>
      <c r="V4" s="448"/>
      <c r="W4" s="448"/>
      <c r="X4" s="448"/>
      <c r="Y4" s="448"/>
    </row>
    <row r="5">
      <c r="A5" s="455" t="s">
        <v>1659</v>
      </c>
      <c r="B5" s="455" t="s">
        <v>1660</v>
      </c>
      <c r="C5" s="455" t="s">
        <v>702</v>
      </c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55" t="s">
        <v>137</v>
      </c>
      <c r="R5" s="448"/>
      <c r="S5" s="575">
        <v>0.13</v>
      </c>
      <c r="T5" s="575">
        <v>0.695</v>
      </c>
      <c r="U5" s="575">
        <v>353.0</v>
      </c>
      <c r="V5" s="448"/>
      <c r="W5" s="448"/>
      <c r="X5" s="448"/>
      <c r="Y5" s="448"/>
    </row>
    <row r="6">
      <c r="A6" s="455" t="s">
        <v>1683</v>
      </c>
      <c r="B6" s="455" t="s">
        <v>1684</v>
      </c>
      <c r="C6" s="455" t="s">
        <v>702</v>
      </c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55"/>
      <c r="R6" s="448"/>
      <c r="S6" s="575">
        <v>0.2</v>
      </c>
      <c r="T6" s="575">
        <v>1.08</v>
      </c>
      <c r="U6" s="575">
        <v>402.0</v>
      </c>
      <c r="V6" s="448"/>
      <c r="W6" s="448"/>
      <c r="X6" s="448"/>
      <c r="Y6" s="448"/>
    </row>
    <row r="7">
      <c r="A7" s="455" t="s">
        <v>1652</v>
      </c>
      <c r="B7" s="455" t="s">
        <v>1653</v>
      </c>
      <c r="C7" s="455" t="s">
        <v>702</v>
      </c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55"/>
      <c r="R7" s="448"/>
      <c r="S7" s="575">
        <v>0.11</v>
      </c>
      <c r="T7" s="575">
        <v>0.602</v>
      </c>
      <c r="U7" s="575">
        <v>413.0</v>
      </c>
      <c r="V7" s="448"/>
      <c r="W7" s="448"/>
      <c r="X7" s="448"/>
      <c r="Y7" s="448"/>
    </row>
    <row r="8">
      <c r="A8" s="455" t="s">
        <v>1654</v>
      </c>
      <c r="B8" s="455" t="s">
        <v>1655</v>
      </c>
      <c r="C8" s="455" t="s">
        <v>702</v>
      </c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55" t="s">
        <v>137</v>
      </c>
      <c r="R8" s="448"/>
      <c r="S8" s="575">
        <v>0.11</v>
      </c>
      <c r="T8" s="575">
        <v>0.602</v>
      </c>
      <c r="U8" s="575">
        <v>364.0</v>
      </c>
      <c r="V8" s="448"/>
      <c r="W8" s="448"/>
      <c r="X8" s="448"/>
      <c r="Y8" s="448"/>
    </row>
    <row r="9">
      <c r="A9" s="455" t="s">
        <v>1642</v>
      </c>
      <c r="B9" s="455" t="s">
        <v>1643</v>
      </c>
      <c r="C9" s="455" t="s">
        <v>702</v>
      </c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55" t="s">
        <v>137</v>
      </c>
      <c r="R9" s="448"/>
      <c r="S9" s="575">
        <v>0.08</v>
      </c>
      <c r="T9" s="575">
        <v>0.397</v>
      </c>
      <c r="U9" s="575">
        <v>339.0</v>
      </c>
      <c r="V9" s="448"/>
      <c r="W9" s="448"/>
      <c r="X9" s="448"/>
      <c r="Y9" s="448"/>
    </row>
    <row r="10">
      <c r="A10" s="455" t="s">
        <v>1635</v>
      </c>
      <c r="B10" s="455" t="s">
        <v>1636</v>
      </c>
      <c r="C10" s="455" t="s">
        <v>702</v>
      </c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55" t="s">
        <v>137</v>
      </c>
      <c r="R10" s="448"/>
      <c r="S10" s="575">
        <v>0.06</v>
      </c>
      <c r="T10" s="575">
        <v>0.397</v>
      </c>
      <c r="U10" s="448"/>
      <c r="V10" s="455">
        <v>0.81</v>
      </c>
      <c r="W10" s="455">
        <v>0.21</v>
      </c>
      <c r="X10" s="448"/>
      <c r="Y10" s="448"/>
    </row>
    <row r="11">
      <c r="A11" s="455" t="s">
        <v>782</v>
      </c>
      <c r="B11" s="455" t="s">
        <v>783</v>
      </c>
      <c r="C11" s="455" t="s">
        <v>759</v>
      </c>
      <c r="D11" s="575">
        <v>73.2</v>
      </c>
      <c r="E11" s="448"/>
      <c r="F11" s="448"/>
      <c r="G11" s="575">
        <v>2.4E-16</v>
      </c>
      <c r="H11" s="448"/>
      <c r="I11" s="448"/>
      <c r="J11" s="448"/>
      <c r="K11" s="448"/>
      <c r="L11" s="448"/>
      <c r="M11" s="448"/>
      <c r="N11" s="448"/>
      <c r="O11" s="448"/>
      <c r="P11" s="448"/>
      <c r="Q11" s="455"/>
      <c r="R11" s="448"/>
      <c r="S11" s="575">
        <v>1.57</v>
      </c>
      <c r="T11" s="575">
        <v>2.16</v>
      </c>
      <c r="U11" s="448"/>
      <c r="V11" s="455">
        <v>5.63</v>
      </c>
      <c r="W11" s="448"/>
      <c r="X11" s="448"/>
      <c r="Y11" s="448"/>
    </row>
    <row r="12">
      <c r="A12" s="455" t="s">
        <v>764</v>
      </c>
      <c r="B12" s="455" t="s">
        <v>765</v>
      </c>
      <c r="C12" s="455" t="s">
        <v>759</v>
      </c>
      <c r="D12" s="575">
        <v>20.5</v>
      </c>
      <c r="E12" s="448"/>
      <c r="F12" s="448"/>
      <c r="G12" s="575">
        <v>1.46E-15</v>
      </c>
      <c r="H12" s="448"/>
      <c r="I12" s="448"/>
      <c r="J12" s="448"/>
      <c r="K12" s="448"/>
      <c r="L12" s="448"/>
      <c r="M12" s="448"/>
      <c r="N12" s="448"/>
      <c r="O12" s="448"/>
      <c r="P12" s="448"/>
      <c r="Q12" s="455"/>
      <c r="R12" s="448"/>
      <c r="S12" s="575">
        <v>0.91</v>
      </c>
      <c r="T12" s="575">
        <v>2.21</v>
      </c>
      <c r="U12" s="448"/>
      <c r="V12" s="455">
        <v>2.15</v>
      </c>
      <c r="W12" s="448"/>
      <c r="X12" s="448"/>
      <c r="Y12" s="448"/>
    </row>
    <row r="13">
      <c r="A13" s="455" t="s">
        <v>1354</v>
      </c>
      <c r="B13" s="455" t="s">
        <v>1989</v>
      </c>
      <c r="C13" s="455" t="s">
        <v>160</v>
      </c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55" t="s">
        <v>137</v>
      </c>
      <c r="R13" s="448"/>
      <c r="S13" s="575">
        <v>0.269</v>
      </c>
      <c r="T13" s="575">
        <v>2.16</v>
      </c>
      <c r="U13" s="448"/>
      <c r="V13" s="448"/>
      <c r="W13" s="455">
        <v>4.4</v>
      </c>
      <c r="X13" s="448"/>
      <c r="Y13" s="448"/>
    </row>
    <row r="14">
      <c r="A14" s="455" t="s">
        <v>1354</v>
      </c>
      <c r="B14" s="455" t="s">
        <v>1355</v>
      </c>
      <c r="C14" s="455" t="s">
        <v>160</v>
      </c>
      <c r="D14" s="448"/>
      <c r="E14" s="575">
        <v>0.9</v>
      </c>
      <c r="F14" s="448"/>
      <c r="G14" s="448"/>
      <c r="H14" s="448"/>
      <c r="I14" s="448"/>
      <c r="J14" s="575">
        <v>5.4E-16</v>
      </c>
      <c r="K14" s="448"/>
      <c r="L14" s="448"/>
      <c r="M14" s="448"/>
      <c r="N14" s="448"/>
      <c r="O14" s="448"/>
      <c r="P14" s="448"/>
      <c r="Q14" s="455" t="s">
        <v>137</v>
      </c>
      <c r="R14" s="448"/>
      <c r="S14" s="575">
        <v>0.141</v>
      </c>
      <c r="T14" s="575">
        <v>1.64</v>
      </c>
      <c r="U14" s="448"/>
      <c r="V14" s="448"/>
      <c r="W14" s="455">
        <v>3.8</v>
      </c>
      <c r="X14" s="448"/>
      <c r="Y14" s="448"/>
    </row>
    <row r="15">
      <c r="A15" s="455" t="s">
        <v>1696</v>
      </c>
      <c r="B15" s="455" t="s">
        <v>1697</v>
      </c>
      <c r="C15" s="455" t="s">
        <v>702</v>
      </c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55" t="s">
        <v>137</v>
      </c>
      <c r="R15" s="448"/>
      <c r="S15" s="575">
        <v>0.2</v>
      </c>
      <c r="T15" s="575">
        <v>0.531</v>
      </c>
      <c r="U15" s="575">
        <v>239.0</v>
      </c>
      <c r="V15" s="448"/>
      <c r="W15" s="448"/>
      <c r="X15" s="448"/>
      <c r="Y15" s="448"/>
    </row>
    <row r="16">
      <c r="A16" s="455" t="s">
        <v>490</v>
      </c>
      <c r="B16" s="455" t="s">
        <v>491</v>
      </c>
      <c r="C16" s="455" t="s">
        <v>476</v>
      </c>
      <c r="D16" s="448"/>
      <c r="E16" s="448"/>
      <c r="F16" s="448"/>
      <c r="G16" s="575">
        <v>9.81E-16</v>
      </c>
      <c r="H16" s="575">
        <v>1.55E-16</v>
      </c>
      <c r="I16" s="575">
        <v>6.79E-17</v>
      </c>
      <c r="J16" s="575">
        <v>1.8E-16</v>
      </c>
      <c r="K16" s="575">
        <v>4.22E-16</v>
      </c>
      <c r="L16" s="575">
        <v>1.3E-16</v>
      </c>
      <c r="M16" s="575">
        <v>1.36E-17</v>
      </c>
      <c r="N16" s="575">
        <v>2.87E-17</v>
      </c>
      <c r="O16" s="575">
        <v>5.12E-17</v>
      </c>
      <c r="P16" s="575">
        <v>4.18E-17</v>
      </c>
      <c r="Q16" s="455" t="s">
        <v>137</v>
      </c>
      <c r="R16" s="455" t="s">
        <v>492</v>
      </c>
      <c r="S16" s="575">
        <v>0.1</v>
      </c>
      <c r="T16" s="575">
        <v>1.03</v>
      </c>
      <c r="U16" s="575">
        <v>175.0</v>
      </c>
      <c r="V16" s="448"/>
      <c r="W16" s="448"/>
      <c r="X16" s="448"/>
      <c r="Y16" s="448"/>
    </row>
    <row r="17">
      <c r="A17" s="455" t="s">
        <v>630</v>
      </c>
      <c r="B17" s="448"/>
      <c r="C17" s="455" t="s">
        <v>598</v>
      </c>
      <c r="D17" s="575">
        <v>118.0</v>
      </c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55"/>
      <c r="R17" s="448"/>
      <c r="S17" s="575">
        <v>0.035</v>
      </c>
      <c r="T17" s="575">
        <v>0.5</v>
      </c>
      <c r="U17" s="575">
        <v>197.0</v>
      </c>
      <c r="V17" s="455">
        <v>0.2</v>
      </c>
      <c r="W17" s="448"/>
      <c r="X17" s="448"/>
      <c r="Y17" s="448"/>
    </row>
    <row r="18">
      <c r="A18" s="455" t="s">
        <v>630</v>
      </c>
      <c r="B18" s="455" t="s">
        <v>630</v>
      </c>
      <c r="C18" s="455" t="s">
        <v>269</v>
      </c>
      <c r="D18" s="575">
        <v>35.0</v>
      </c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55" t="s">
        <v>137</v>
      </c>
      <c r="R18" s="455" t="s">
        <v>638</v>
      </c>
      <c r="S18" s="575">
        <v>0.0315</v>
      </c>
      <c r="T18" s="575">
        <v>0.456</v>
      </c>
      <c r="U18" s="575">
        <v>197.0</v>
      </c>
      <c r="V18" s="455">
        <v>0.2</v>
      </c>
      <c r="W18" s="448"/>
      <c r="X18" s="448"/>
      <c r="Y18" s="448"/>
    </row>
    <row r="19">
      <c r="A19" s="455" t="s">
        <v>630</v>
      </c>
      <c r="B19" s="455" t="s">
        <v>630</v>
      </c>
      <c r="C19" s="455" t="s">
        <v>269</v>
      </c>
      <c r="D19" s="575">
        <v>35.0</v>
      </c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55" t="s">
        <v>137</v>
      </c>
      <c r="R19" s="455" t="s">
        <v>638</v>
      </c>
      <c r="S19" s="575">
        <v>0.0315</v>
      </c>
      <c r="T19" s="575">
        <v>0.456</v>
      </c>
      <c r="U19" s="575">
        <v>197.0</v>
      </c>
      <c r="V19" s="455">
        <v>0.2</v>
      </c>
      <c r="W19" s="448"/>
      <c r="X19" s="448"/>
      <c r="Y19" s="448"/>
    </row>
    <row r="20">
      <c r="A20" s="455" t="s">
        <v>667</v>
      </c>
      <c r="B20" s="455" t="s">
        <v>668</v>
      </c>
      <c r="C20" s="455" t="s">
        <v>598</v>
      </c>
      <c r="D20" s="575">
        <v>7.1</v>
      </c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55" t="s">
        <v>137</v>
      </c>
      <c r="R20" s="455" t="s">
        <v>638</v>
      </c>
      <c r="S20" s="575">
        <v>0.0517</v>
      </c>
      <c r="T20" s="575">
        <v>0.473</v>
      </c>
      <c r="U20" s="575">
        <v>195.0</v>
      </c>
      <c r="V20" s="455">
        <v>0.1</v>
      </c>
      <c r="W20" s="448"/>
      <c r="X20" s="448"/>
      <c r="Y20" s="448"/>
    </row>
    <row r="21">
      <c r="A21" s="455" t="s">
        <v>655</v>
      </c>
      <c r="B21" s="455" t="s">
        <v>656</v>
      </c>
      <c r="C21" s="455" t="s">
        <v>598</v>
      </c>
      <c r="D21" s="575">
        <v>14.3</v>
      </c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55"/>
      <c r="R21" s="448"/>
      <c r="S21" s="575">
        <v>0.0349</v>
      </c>
      <c r="T21" s="575">
        <v>0.313</v>
      </c>
      <c r="U21" s="575">
        <v>190.0</v>
      </c>
      <c r="V21" s="455">
        <v>0.0</v>
      </c>
      <c r="W21" s="448"/>
      <c r="X21" s="448"/>
      <c r="Y21" s="448"/>
    </row>
    <row r="22">
      <c r="A22" s="455" t="s">
        <v>670</v>
      </c>
      <c r="B22" s="455" t="s">
        <v>671</v>
      </c>
      <c r="C22" s="455" t="s">
        <v>598</v>
      </c>
      <c r="D22" s="575">
        <v>14.6</v>
      </c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55" t="s">
        <v>137</v>
      </c>
      <c r="R22" s="455" t="s">
        <v>638</v>
      </c>
      <c r="S22" s="575">
        <v>0.0469</v>
      </c>
      <c r="T22" s="575">
        <v>0.313</v>
      </c>
      <c r="U22" s="575">
        <v>189.0</v>
      </c>
      <c r="V22" s="455">
        <v>0.6</v>
      </c>
      <c r="W22" s="448"/>
      <c r="X22" s="448"/>
      <c r="Y22" s="448"/>
    </row>
    <row r="23">
      <c r="A23" s="455" t="s">
        <v>281</v>
      </c>
      <c r="B23" s="455" t="s">
        <v>281</v>
      </c>
      <c r="C23" s="455" t="s">
        <v>269</v>
      </c>
      <c r="D23" s="575">
        <v>33.0</v>
      </c>
      <c r="E23" s="575">
        <v>0.3</v>
      </c>
      <c r="F23" s="448"/>
      <c r="G23" s="448"/>
      <c r="H23" s="448"/>
      <c r="I23" s="448"/>
      <c r="J23" s="575">
        <v>1.23E-15</v>
      </c>
      <c r="K23" s="448"/>
      <c r="L23" s="448"/>
      <c r="M23" s="448"/>
      <c r="N23" s="448"/>
      <c r="O23" s="448"/>
      <c r="P23" s="448"/>
      <c r="Q23" s="455"/>
      <c r="R23" s="448"/>
      <c r="S23" s="575">
        <v>0.0387</v>
      </c>
      <c r="T23" s="575">
        <v>0.726</v>
      </c>
      <c r="U23" s="448"/>
      <c r="V23" s="455">
        <v>0.8</v>
      </c>
      <c r="W23" s="448"/>
      <c r="X23" s="448"/>
      <c r="Y23" s="448"/>
    </row>
    <row r="24">
      <c r="A24" s="455" t="s">
        <v>281</v>
      </c>
      <c r="B24" s="455" t="s">
        <v>281</v>
      </c>
      <c r="C24" s="455" t="s">
        <v>269</v>
      </c>
      <c r="D24" s="575">
        <v>33.0</v>
      </c>
      <c r="E24" s="575">
        <v>0.3</v>
      </c>
      <c r="F24" s="448"/>
      <c r="G24" s="448"/>
      <c r="H24" s="448"/>
      <c r="I24" s="448"/>
      <c r="J24" s="575">
        <v>1.23E-15</v>
      </c>
      <c r="K24" s="448"/>
      <c r="L24" s="448"/>
      <c r="M24" s="448"/>
      <c r="N24" s="448"/>
      <c r="O24" s="448"/>
      <c r="P24" s="448"/>
      <c r="Q24" s="455"/>
      <c r="R24" s="448"/>
      <c r="S24" s="575">
        <v>0.0387</v>
      </c>
      <c r="T24" s="575">
        <v>0.726</v>
      </c>
      <c r="U24" s="448"/>
      <c r="V24" s="455">
        <v>0.8</v>
      </c>
      <c r="W24" s="448"/>
      <c r="X24" s="448"/>
      <c r="Y24" s="448"/>
    </row>
    <row r="25">
      <c r="A25" s="455" t="s">
        <v>281</v>
      </c>
      <c r="B25" s="455" t="s">
        <v>282</v>
      </c>
      <c r="C25" s="455" t="s">
        <v>201</v>
      </c>
      <c r="D25" s="575">
        <v>63.3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55"/>
      <c r="R25" s="448"/>
      <c r="S25" s="575">
        <v>0.0387</v>
      </c>
      <c r="T25" s="575">
        <v>0.535</v>
      </c>
      <c r="U25" s="448"/>
      <c r="V25" s="448"/>
      <c r="W25" s="448"/>
      <c r="X25" s="448"/>
      <c r="Y25" s="448"/>
    </row>
    <row r="26">
      <c r="A26" s="455" t="s">
        <v>281</v>
      </c>
      <c r="B26" s="455" t="s">
        <v>282</v>
      </c>
      <c r="C26" s="455" t="s">
        <v>201</v>
      </c>
      <c r="D26" s="575">
        <v>63.3</v>
      </c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55"/>
      <c r="R26" s="448"/>
      <c r="S26" s="575">
        <v>0.0387</v>
      </c>
      <c r="T26" s="575">
        <v>0.535</v>
      </c>
      <c r="U26" s="448"/>
      <c r="V26" s="448"/>
      <c r="W26" s="448"/>
      <c r="X26" s="448"/>
      <c r="Y26" s="448"/>
    </row>
    <row r="27">
      <c r="A27" s="455" t="s">
        <v>657</v>
      </c>
      <c r="B27" s="455" t="s">
        <v>657</v>
      </c>
      <c r="C27" s="455" t="s">
        <v>269</v>
      </c>
      <c r="D27" s="575">
        <v>10.0</v>
      </c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55" t="s">
        <v>137</v>
      </c>
      <c r="R27" s="455" t="s">
        <v>638</v>
      </c>
      <c r="S27" s="575">
        <v>0.0387</v>
      </c>
      <c r="T27" s="575">
        <v>0.771</v>
      </c>
      <c r="U27" s="575">
        <v>197.0</v>
      </c>
      <c r="V27" s="455">
        <v>0.3</v>
      </c>
      <c r="W27" s="448"/>
      <c r="X27" s="448"/>
      <c r="Y27" s="448"/>
    </row>
    <row r="28">
      <c r="A28" s="455" t="s">
        <v>657</v>
      </c>
      <c r="B28" s="455" t="s">
        <v>657</v>
      </c>
      <c r="C28" s="455" t="s">
        <v>269</v>
      </c>
      <c r="D28" s="575">
        <v>10.0</v>
      </c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55" t="s">
        <v>137</v>
      </c>
      <c r="R28" s="455" t="s">
        <v>638</v>
      </c>
      <c r="S28" s="575">
        <v>0.0387</v>
      </c>
      <c r="T28" s="575">
        <v>0.771</v>
      </c>
      <c r="U28" s="575">
        <v>197.0</v>
      </c>
      <c r="V28" s="455">
        <v>0.3</v>
      </c>
      <c r="W28" s="448"/>
      <c r="X28" s="448"/>
      <c r="Y28" s="448"/>
    </row>
    <row r="29">
      <c r="A29" s="455" t="s">
        <v>688</v>
      </c>
      <c r="B29" s="455" t="s">
        <v>689</v>
      </c>
      <c r="C29" s="455" t="s">
        <v>269</v>
      </c>
      <c r="D29" s="575">
        <v>6.5</v>
      </c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55" t="s">
        <v>137</v>
      </c>
      <c r="R29" s="455" t="s">
        <v>638</v>
      </c>
      <c r="S29" s="575">
        <v>0.0954</v>
      </c>
      <c r="T29" s="575">
        <v>0.833</v>
      </c>
      <c r="U29" s="575">
        <v>197.0</v>
      </c>
      <c r="V29" s="448"/>
      <c r="W29" s="448"/>
      <c r="X29" s="448"/>
      <c r="Y29" s="448"/>
    </row>
    <row r="30">
      <c r="A30" s="455" t="s">
        <v>688</v>
      </c>
      <c r="B30" s="455" t="s">
        <v>689</v>
      </c>
      <c r="C30" s="455" t="s">
        <v>269</v>
      </c>
      <c r="D30" s="575">
        <v>6.5</v>
      </c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55" t="s">
        <v>137</v>
      </c>
      <c r="R30" s="455" t="s">
        <v>638</v>
      </c>
      <c r="S30" s="575">
        <v>0.0954</v>
      </c>
      <c r="T30" s="575">
        <v>0.833</v>
      </c>
      <c r="U30" s="575">
        <v>197.0</v>
      </c>
      <c r="V30" s="448"/>
      <c r="W30" s="448"/>
      <c r="X30" s="448"/>
      <c r="Y30" s="448"/>
    </row>
    <row r="31">
      <c r="A31" s="455" t="s">
        <v>266</v>
      </c>
      <c r="B31" s="455" t="s">
        <v>266</v>
      </c>
      <c r="C31" s="455" t="s">
        <v>269</v>
      </c>
      <c r="D31" s="575">
        <v>48.0</v>
      </c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55" t="s">
        <v>137</v>
      </c>
      <c r="R31" s="455" t="s">
        <v>638</v>
      </c>
      <c r="S31" s="575">
        <v>0.0387</v>
      </c>
      <c r="T31" s="575">
        <v>0.68</v>
      </c>
      <c r="U31" s="575">
        <v>179.0</v>
      </c>
      <c r="V31" s="455">
        <v>0.26</v>
      </c>
      <c r="W31" s="448"/>
      <c r="X31" s="448"/>
      <c r="Y31" s="448"/>
    </row>
    <row r="32">
      <c r="A32" s="455" t="s">
        <v>266</v>
      </c>
      <c r="B32" s="455" t="s">
        <v>266</v>
      </c>
      <c r="C32" s="455" t="s">
        <v>269</v>
      </c>
      <c r="D32" s="575">
        <v>48.0</v>
      </c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55" t="s">
        <v>137</v>
      </c>
      <c r="R32" s="455" t="s">
        <v>638</v>
      </c>
      <c r="S32" s="575">
        <v>0.0387</v>
      </c>
      <c r="T32" s="575">
        <v>0.68</v>
      </c>
      <c r="U32" s="575">
        <v>179.0</v>
      </c>
      <c r="V32" s="455">
        <v>0.26</v>
      </c>
      <c r="W32" s="448"/>
      <c r="X32" s="448"/>
      <c r="Y32" s="448"/>
    </row>
    <row r="33">
      <c r="A33" s="455" t="s">
        <v>266</v>
      </c>
      <c r="B33" s="455" t="s">
        <v>267</v>
      </c>
      <c r="C33" s="455" t="s">
        <v>201</v>
      </c>
      <c r="D33" s="575">
        <v>59.6</v>
      </c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55"/>
      <c r="R33" s="448"/>
      <c r="S33" s="575">
        <v>0.0387</v>
      </c>
      <c r="T33" s="575">
        <v>0.503</v>
      </c>
      <c r="U33" s="575">
        <v>179.0</v>
      </c>
      <c r="V33" s="448"/>
      <c r="W33" s="448"/>
      <c r="X33" s="448"/>
      <c r="Y33" s="448"/>
    </row>
    <row r="34">
      <c r="A34" s="455" t="s">
        <v>266</v>
      </c>
      <c r="B34" s="455" t="s">
        <v>267</v>
      </c>
      <c r="C34" s="455" t="s">
        <v>201</v>
      </c>
      <c r="D34" s="575">
        <v>59.6</v>
      </c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55"/>
      <c r="R34" s="448"/>
      <c r="S34" s="575">
        <v>0.0387</v>
      </c>
      <c r="T34" s="575">
        <v>0.503</v>
      </c>
      <c r="U34" s="575">
        <v>179.0</v>
      </c>
      <c r="V34" s="448"/>
      <c r="W34" s="448"/>
      <c r="X34" s="448"/>
      <c r="Y34" s="448"/>
    </row>
    <row r="35">
      <c r="A35" s="455" t="s">
        <v>632</v>
      </c>
      <c r="B35" s="455" t="s">
        <v>633</v>
      </c>
      <c r="C35" s="455" t="s">
        <v>598</v>
      </c>
      <c r="D35" s="575">
        <v>26.0</v>
      </c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55" t="s">
        <v>137</v>
      </c>
      <c r="R35" s="455" t="s">
        <v>638</v>
      </c>
      <c r="S35" s="575">
        <v>0.0284</v>
      </c>
      <c r="T35" s="575">
        <v>0.605</v>
      </c>
      <c r="U35" s="575">
        <v>184.0</v>
      </c>
      <c r="V35" s="455">
        <v>0.3</v>
      </c>
      <c r="W35" s="448"/>
      <c r="X35" s="448"/>
      <c r="Y35" s="448"/>
    </row>
    <row r="36">
      <c r="A36" s="455" t="s">
        <v>1731</v>
      </c>
      <c r="B36" s="455" t="s">
        <v>1732</v>
      </c>
      <c r="C36" s="455" t="s">
        <v>702</v>
      </c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55"/>
      <c r="R36" s="448"/>
      <c r="S36" s="575">
        <v>0.6</v>
      </c>
      <c r="T36" s="575">
        <v>2.16</v>
      </c>
      <c r="U36" s="575">
        <v>401.0</v>
      </c>
      <c r="V36" s="448"/>
      <c r="W36" s="448"/>
      <c r="X36" s="448"/>
      <c r="Y36" s="448"/>
    </row>
    <row r="37">
      <c r="A37" s="455" t="s">
        <v>2007</v>
      </c>
      <c r="B37" s="455" t="s">
        <v>2008</v>
      </c>
      <c r="C37" s="455" t="s">
        <v>702</v>
      </c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55" t="s">
        <v>137</v>
      </c>
      <c r="R37" s="455" t="s">
        <v>2794</v>
      </c>
      <c r="S37" s="575">
        <v>1.0</v>
      </c>
      <c r="T37" s="575">
        <v>1.49</v>
      </c>
      <c r="U37" s="575">
        <v>413.0</v>
      </c>
      <c r="V37" s="448"/>
      <c r="W37" s="448"/>
      <c r="X37" s="448"/>
      <c r="Y37" s="448"/>
    </row>
    <row r="38">
      <c r="A38" s="455" t="s">
        <v>2012</v>
      </c>
      <c r="B38" s="455" t="s">
        <v>2013</v>
      </c>
      <c r="C38" s="455" t="s">
        <v>702</v>
      </c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55" t="s">
        <v>137</v>
      </c>
      <c r="R38" s="455" t="s">
        <v>2794</v>
      </c>
      <c r="S38" s="575">
        <v>0.8</v>
      </c>
      <c r="T38" s="575">
        <v>3.21</v>
      </c>
      <c r="U38" s="448"/>
      <c r="V38" s="448"/>
      <c r="W38" s="448"/>
      <c r="X38" s="448"/>
      <c r="Y38" s="448"/>
    </row>
    <row r="39">
      <c r="A39" s="455" t="s">
        <v>1673</v>
      </c>
      <c r="B39" s="455" t="s">
        <v>1674</v>
      </c>
      <c r="C39" s="455" t="s">
        <v>702</v>
      </c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55"/>
      <c r="R39" s="448"/>
      <c r="S39" s="575">
        <v>0.2</v>
      </c>
      <c r="T39" s="575">
        <v>1.26</v>
      </c>
      <c r="U39" s="575">
        <v>343.0</v>
      </c>
      <c r="V39" s="448"/>
      <c r="W39" s="448"/>
      <c r="X39" s="448"/>
      <c r="Y39" s="448"/>
    </row>
    <row r="40">
      <c r="A40" s="455" t="s">
        <v>1723</v>
      </c>
      <c r="B40" s="455" t="s">
        <v>1724</v>
      </c>
      <c r="C40" s="455" t="s">
        <v>702</v>
      </c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55"/>
      <c r="R40" s="448"/>
      <c r="S40" s="575">
        <v>0.4</v>
      </c>
      <c r="T40" s="575">
        <v>2.19</v>
      </c>
      <c r="U40" s="448"/>
      <c r="V40" s="448"/>
      <c r="W40" s="448"/>
      <c r="X40" s="448"/>
      <c r="Y40" s="448"/>
    </row>
    <row r="41">
      <c r="A41" s="455" t="s">
        <v>400</v>
      </c>
      <c r="B41" s="455" t="s">
        <v>401</v>
      </c>
      <c r="C41" s="455" t="s">
        <v>702</v>
      </c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55" t="s">
        <v>137</v>
      </c>
      <c r="R41" s="448"/>
      <c r="S41" s="575">
        <v>0.3</v>
      </c>
      <c r="T41" s="575">
        <v>1.59</v>
      </c>
      <c r="U41" s="575">
        <v>385.0</v>
      </c>
      <c r="V41" s="448"/>
      <c r="W41" s="448"/>
      <c r="X41" s="448"/>
      <c r="Y41" s="448"/>
    </row>
    <row r="42">
      <c r="A42" s="455" t="s">
        <v>400</v>
      </c>
      <c r="B42" s="455" t="s">
        <v>401</v>
      </c>
      <c r="C42" s="455" t="s">
        <v>352</v>
      </c>
      <c r="D42" s="448"/>
      <c r="E42" s="448"/>
      <c r="F42" s="448"/>
      <c r="G42" s="575">
        <v>2.84E-14</v>
      </c>
      <c r="H42" s="575">
        <v>5.98E-15</v>
      </c>
      <c r="I42" s="575">
        <v>2.88E-15</v>
      </c>
      <c r="J42" s="575">
        <v>2.9E-16</v>
      </c>
      <c r="K42" s="575">
        <v>4.6E-16</v>
      </c>
      <c r="L42" s="448"/>
      <c r="M42" s="448"/>
      <c r="N42" s="448"/>
      <c r="O42" s="448"/>
      <c r="P42" s="448"/>
      <c r="Q42" s="455" t="s">
        <v>137</v>
      </c>
      <c r="R42" s="455" t="s">
        <v>2795</v>
      </c>
      <c r="S42" s="575">
        <v>0.2</v>
      </c>
      <c r="T42" s="575">
        <v>1.73</v>
      </c>
      <c r="U42" s="575">
        <v>385.0</v>
      </c>
      <c r="V42" s="448"/>
      <c r="W42" s="448"/>
      <c r="X42" s="448"/>
      <c r="Y42" s="448"/>
    </row>
    <row r="43">
      <c r="A43" s="455" t="s">
        <v>277</v>
      </c>
      <c r="B43" s="455" t="s">
        <v>278</v>
      </c>
      <c r="C43" s="455" t="s">
        <v>201</v>
      </c>
      <c r="D43" s="575">
        <v>23.0</v>
      </c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55"/>
      <c r="R43" s="448"/>
      <c r="S43" s="575">
        <v>0.12</v>
      </c>
      <c r="T43" s="448"/>
      <c r="U43" s="575">
        <v>390.0</v>
      </c>
      <c r="V43" s="448"/>
      <c r="W43" s="448"/>
      <c r="X43" s="448"/>
      <c r="Y43" s="448"/>
    </row>
    <row r="44">
      <c r="A44" s="455" t="s">
        <v>277</v>
      </c>
      <c r="B44" s="455" t="s">
        <v>278</v>
      </c>
      <c r="C44" s="455" t="s">
        <v>201</v>
      </c>
      <c r="D44" s="575">
        <v>23.0</v>
      </c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55"/>
      <c r="R44" s="448"/>
      <c r="S44" s="575">
        <v>0.12</v>
      </c>
      <c r="T44" s="448"/>
      <c r="U44" s="575">
        <v>390.0</v>
      </c>
      <c r="V44" s="448"/>
      <c r="W44" s="448"/>
      <c r="X44" s="448"/>
      <c r="Y44" s="448"/>
    </row>
    <row r="45">
      <c r="A45" s="455" t="s">
        <v>693</v>
      </c>
      <c r="B45" s="455" t="s">
        <v>694</v>
      </c>
      <c r="C45" s="455" t="s">
        <v>248</v>
      </c>
      <c r="D45" s="575">
        <v>86.0</v>
      </c>
      <c r="E45" s="448"/>
      <c r="F45" s="448"/>
      <c r="G45" s="575">
        <v>7.77E-15</v>
      </c>
      <c r="H45" s="448"/>
      <c r="I45" s="448"/>
      <c r="J45" s="448"/>
      <c r="K45" s="448"/>
      <c r="L45" s="448"/>
      <c r="M45" s="448"/>
      <c r="N45" s="448"/>
      <c r="O45" s="448"/>
      <c r="P45" s="448"/>
      <c r="Q45" s="455"/>
      <c r="R45" s="448"/>
      <c r="S45" s="575">
        <v>0.1</v>
      </c>
      <c r="T45" s="575">
        <v>1.0</v>
      </c>
      <c r="U45" s="448"/>
      <c r="V45" s="455">
        <v>1.42</v>
      </c>
      <c r="W45" s="448"/>
      <c r="X45" s="448"/>
      <c r="Y45" s="448"/>
    </row>
    <row r="46">
      <c r="A46" s="455" t="s">
        <v>261</v>
      </c>
      <c r="B46" s="455" t="s">
        <v>262</v>
      </c>
      <c r="C46" s="455" t="s">
        <v>201</v>
      </c>
      <c r="D46" s="575">
        <v>93.0</v>
      </c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55"/>
      <c r="R46" s="448"/>
      <c r="S46" s="575">
        <v>0.1</v>
      </c>
      <c r="T46" s="448"/>
      <c r="U46" s="575">
        <v>490.0</v>
      </c>
      <c r="V46" s="448"/>
      <c r="W46" s="448"/>
      <c r="X46" s="448"/>
      <c r="Y46" s="448"/>
    </row>
    <row r="47">
      <c r="A47" s="455" t="s">
        <v>261</v>
      </c>
      <c r="B47" s="455" t="s">
        <v>262</v>
      </c>
      <c r="C47" s="455" t="s">
        <v>201</v>
      </c>
      <c r="D47" s="575">
        <v>93.0</v>
      </c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55"/>
      <c r="R47" s="448"/>
      <c r="S47" s="575">
        <v>0.1</v>
      </c>
      <c r="T47" s="448"/>
      <c r="U47" s="575">
        <v>490.0</v>
      </c>
      <c r="V47" s="448"/>
      <c r="W47" s="448"/>
      <c r="X47" s="448"/>
      <c r="Y47" s="448"/>
    </row>
    <row r="48">
      <c r="A48" s="455" t="s">
        <v>261</v>
      </c>
      <c r="B48" s="455" t="s">
        <v>262</v>
      </c>
      <c r="C48" s="455" t="s">
        <v>248</v>
      </c>
      <c r="D48" s="575">
        <v>105.0</v>
      </c>
      <c r="E48" s="448"/>
      <c r="F48" s="448"/>
      <c r="G48" s="448"/>
      <c r="H48" s="448"/>
      <c r="I48" s="448"/>
      <c r="J48" s="448"/>
      <c r="K48" s="448"/>
      <c r="L48" s="448"/>
      <c r="M48" s="448"/>
      <c r="N48" s="448"/>
      <c r="O48" s="448"/>
      <c r="P48" s="448"/>
      <c r="Q48" s="455"/>
      <c r="R48" s="448"/>
      <c r="S48" s="575">
        <v>0.09</v>
      </c>
      <c r="T48" s="575">
        <v>1.0</v>
      </c>
      <c r="U48" s="575">
        <v>490.0</v>
      </c>
      <c r="V48" s="455">
        <v>1.21</v>
      </c>
      <c r="W48" s="448"/>
      <c r="X48" s="448"/>
      <c r="Y48" s="448"/>
    </row>
    <row r="49">
      <c r="A49" s="455" t="s">
        <v>346</v>
      </c>
      <c r="B49" s="455" t="s">
        <v>346</v>
      </c>
      <c r="C49" s="455" t="s">
        <v>225</v>
      </c>
      <c r="D49" s="448"/>
      <c r="E49" s="448"/>
      <c r="F49" s="448"/>
      <c r="G49" s="575">
        <v>1.5E-13</v>
      </c>
      <c r="H49" s="575">
        <v>2.5E-14</v>
      </c>
      <c r="I49" s="575">
        <v>1.3E-14</v>
      </c>
      <c r="J49" s="448"/>
      <c r="K49" s="448"/>
      <c r="L49" s="448"/>
      <c r="M49" s="448"/>
      <c r="N49" s="448"/>
      <c r="O49" s="448"/>
      <c r="P49" s="448"/>
      <c r="Q49" s="455"/>
      <c r="R49" s="455" t="s">
        <v>2445</v>
      </c>
      <c r="S49" s="575">
        <v>0.0526</v>
      </c>
      <c r="T49" s="575">
        <v>0.69</v>
      </c>
      <c r="U49" s="575">
        <v>131.0</v>
      </c>
      <c r="V49" s="455">
        <v>1.0</v>
      </c>
      <c r="W49" s="448"/>
      <c r="X49" s="448"/>
      <c r="Y49" s="448"/>
    </row>
    <row r="50">
      <c r="A50" s="455" t="s">
        <v>346</v>
      </c>
      <c r="B50" s="455" t="s">
        <v>346</v>
      </c>
      <c r="C50" s="455" t="s">
        <v>598</v>
      </c>
      <c r="D50" s="575">
        <v>250.0</v>
      </c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55"/>
      <c r="R50" s="448"/>
      <c r="S50" s="575">
        <v>0.0526</v>
      </c>
      <c r="T50" s="575">
        <v>0.69</v>
      </c>
      <c r="U50" s="575">
        <v>131.0</v>
      </c>
      <c r="V50" s="455">
        <v>1.0</v>
      </c>
      <c r="W50" s="448"/>
      <c r="X50" s="448"/>
      <c r="Y50" s="448"/>
    </row>
    <row r="51">
      <c r="A51" s="455" t="s">
        <v>286</v>
      </c>
      <c r="B51" s="455" t="s">
        <v>287</v>
      </c>
      <c r="C51" s="455" t="s">
        <v>201</v>
      </c>
      <c r="D51" s="575">
        <v>66.7</v>
      </c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55"/>
      <c r="R51" s="448"/>
      <c r="S51" s="575">
        <v>0.16</v>
      </c>
      <c r="T51" s="448"/>
      <c r="U51" s="575">
        <v>137.0</v>
      </c>
      <c r="V51" s="448"/>
      <c r="W51" s="448"/>
      <c r="X51" s="448"/>
      <c r="Y51" s="448"/>
    </row>
    <row r="52">
      <c r="A52" s="455" t="s">
        <v>286</v>
      </c>
      <c r="B52" s="455" t="s">
        <v>287</v>
      </c>
      <c r="C52" s="455" t="s">
        <v>201</v>
      </c>
      <c r="D52" s="575">
        <v>66.7</v>
      </c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55"/>
      <c r="R52" s="448"/>
      <c r="S52" s="575">
        <v>0.16</v>
      </c>
      <c r="T52" s="448"/>
      <c r="U52" s="575">
        <v>137.0</v>
      </c>
      <c r="V52" s="448"/>
      <c r="W52" s="448"/>
      <c r="X52" s="448"/>
      <c r="Y52" s="448"/>
    </row>
    <row r="53">
      <c r="A53" s="455" t="s">
        <v>279</v>
      </c>
      <c r="B53" s="455" t="s">
        <v>280</v>
      </c>
      <c r="C53" s="455" t="s">
        <v>201</v>
      </c>
      <c r="D53" s="575">
        <v>17.7</v>
      </c>
      <c r="E53" s="448"/>
      <c r="F53" s="448"/>
      <c r="G53" s="448"/>
      <c r="H53" s="448"/>
      <c r="I53" s="448"/>
      <c r="J53" s="448"/>
      <c r="K53" s="448"/>
      <c r="L53" s="448"/>
      <c r="M53" s="448"/>
      <c r="N53" s="448"/>
      <c r="O53" s="448"/>
      <c r="P53" s="448"/>
      <c r="Q53" s="455"/>
      <c r="R53" s="448"/>
      <c r="S53" s="575">
        <v>0.13</v>
      </c>
      <c r="T53" s="448"/>
      <c r="U53" s="575">
        <v>130.0</v>
      </c>
      <c r="V53" s="448"/>
      <c r="W53" s="448"/>
      <c r="X53" s="448"/>
      <c r="Y53" s="448"/>
    </row>
    <row r="54">
      <c r="A54" s="455" t="s">
        <v>279</v>
      </c>
      <c r="B54" s="455" t="s">
        <v>280</v>
      </c>
      <c r="C54" s="455" t="s">
        <v>201</v>
      </c>
      <c r="D54" s="575">
        <v>17.7</v>
      </c>
      <c r="E54" s="448"/>
      <c r="F54" s="448"/>
      <c r="G54" s="448"/>
      <c r="H54" s="448"/>
      <c r="I54" s="448"/>
      <c r="J54" s="448"/>
      <c r="K54" s="448"/>
      <c r="L54" s="448"/>
      <c r="M54" s="448"/>
      <c r="N54" s="448"/>
      <c r="O54" s="448"/>
      <c r="P54" s="448"/>
      <c r="Q54" s="455"/>
      <c r="R54" s="448"/>
      <c r="S54" s="575">
        <v>0.13</v>
      </c>
      <c r="T54" s="448"/>
      <c r="U54" s="575">
        <v>130.0</v>
      </c>
      <c r="V54" s="448"/>
      <c r="W54" s="448"/>
      <c r="X54" s="448"/>
      <c r="Y54" s="448"/>
    </row>
    <row r="55">
      <c r="A55" s="455" t="s">
        <v>652</v>
      </c>
      <c r="B55" s="455" t="s">
        <v>653</v>
      </c>
      <c r="C55" s="455" t="s">
        <v>598</v>
      </c>
      <c r="D55" s="575">
        <v>3.9</v>
      </c>
      <c r="E55" s="448"/>
      <c r="F55" s="448"/>
      <c r="G55" s="448"/>
      <c r="H55" s="448"/>
      <c r="I55" s="448"/>
      <c r="J55" s="448"/>
      <c r="K55" s="448"/>
      <c r="L55" s="448"/>
      <c r="M55" s="448"/>
      <c r="N55" s="448"/>
      <c r="O55" s="448"/>
      <c r="P55" s="448"/>
      <c r="Q55" s="455" t="s">
        <v>137</v>
      </c>
      <c r="R55" s="455" t="s">
        <v>638</v>
      </c>
      <c r="S55" s="575">
        <v>0.0314</v>
      </c>
      <c r="T55" s="575">
        <v>1.79</v>
      </c>
      <c r="U55" s="575">
        <v>126.0</v>
      </c>
      <c r="V55" s="455">
        <v>0.46</v>
      </c>
      <c r="W55" s="448"/>
      <c r="X55" s="448"/>
      <c r="Y55" s="448"/>
    </row>
    <row r="56">
      <c r="A56" s="455" t="s">
        <v>208</v>
      </c>
      <c r="B56" s="455" t="s">
        <v>209</v>
      </c>
      <c r="C56" s="455" t="s">
        <v>201</v>
      </c>
      <c r="D56" s="575">
        <v>207.0</v>
      </c>
      <c r="E56" s="448"/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55"/>
      <c r="R56" s="448"/>
      <c r="S56" s="575">
        <v>0.0181</v>
      </c>
      <c r="T56" s="448"/>
      <c r="U56" s="448"/>
      <c r="V56" s="455">
        <v>0.02</v>
      </c>
      <c r="W56" s="448"/>
      <c r="X56" s="448"/>
      <c r="Y56" s="448"/>
    </row>
    <row r="57">
      <c r="A57" s="455" t="s">
        <v>208</v>
      </c>
      <c r="B57" s="455" t="s">
        <v>209</v>
      </c>
      <c r="C57" s="455" t="s">
        <v>201</v>
      </c>
      <c r="D57" s="575">
        <v>207.0</v>
      </c>
      <c r="E57" s="448"/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55"/>
      <c r="R57" s="448"/>
      <c r="S57" s="575">
        <v>0.0181</v>
      </c>
      <c r="T57" s="448"/>
      <c r="U57" s="448"/>
      <c r="V57" s="455">
        <v>0.02</v>
      </c>
      <c r="W57" s="448"/>
      <c r="X57" s="448"/>
      <c r="Y57" s="448"/>
    </row>
    <row r="58">
      <c r="A58" s="455" t="s">
        <v>208</v>
      </c>
      <c r="B58" s="455" t="s">
        <v>209</v>
      </c>
      <c r="C58" s="455" t="s">
        <v>598</v>
      </c>
      <c r="D58" s="575">
        <v>66.8</v>
      </c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55"/>
      <c r="R58" s="448"/>
      <c r="S58" s="575">
        <v>0.0181</v>
      </c>
      <c r="T58" s="575">
        <v>0.17</v>
      </c>
      <c r="U58" s="448"/>
      <c r="V58" s="455">
        <v>0.02</v>
      </c>
      <c r="W58" s="448"/>
      <c r="X58" s="448"/>
      <c r="Y58" s="448"/>
    </row>
    <row r="59">
      <c r="A59" s="455" t="s">
        <v>251</v>
      </c>
      <c r="B59" s="455" t="s">
        <v>252</v>
      </c>
      <c r="C59" s="455" t="s">
        <v>201</v>
      </c>
      <c r="D59" s="575">
        <v>97.7</v>
      </c>
      <c r="E59" s="448"/>
      <c r="F59" s="448"/>
      <c r="G59" s="448"/>
      <c r="H59" s="448"/>
      <c r="I59" s="448"/>
      <c r="J59" s="448"/>
      <c r="K59" s="448"/>
      <c r="L59" s="448"/>
      <c r="M59" s="448"/>
      <c r="N59" s="448"/>
      <c r="O59" s="448"/>
      <c r="P59" s="448"/>
      <c r="Q59" s="455"/>
      <c r="R59" s="448"/>
      <c r="S59" s="575">
        <v>0.08</v>
      </c>
      <c r="T59" s="448"/>
      <c r="U59" s="575">
        <v>156.0</v>
      </c>
      <c r="V59" s="448"/>
      <c r="W59" s="448"/>
      <c r="X59" s="448"/>
      <c r="Y59" s="448"/>
    </row>
    <row r="60">
      <c r="A60" s="455" t="s">
        <v>251</v>
      </c>
      <c r="B60" s="455" t="s">
        <v>252</v>
      </c>
      <c r="C60" s="455" t="s">
        <v>201</v>
      </c>
      <c r="D60" s="575">
        <v>97.7</v>
      </c>
      <c r="E60" s="448"/>
      <c r="F60" s="448"/>
      <c r="G60" s="448"/>
      <c r="H60" s="448"/>
      <c r="I60" s="448"/>
      <c r="J60" s="448"/>
      <c r="K60" s="448"/>
      <c r="L60" s="448"/>
      <c r="M60" s="448"/>
      <c r="N60" s="448"/>
      <c r="O60" s="448"/>
      <c r="P60" s="448"/>
      <c r="Q60" s="455"/>
      <c r="R60" s="448"/>
      <c r="S60" s="575">
        <v>0.08</v>
      </c>
      <c r="T60" s="448"/>
      <c r="U60" s="575">
        <v>156.0</v>
      </c>
      <c r="V60" s="448"/>
      <c r="W60" s="448"/>
      <c r="X60" s="448"/>
      <c r="Y60" s="448"/>
    </row>
    <row r="61">
      <c r="A61" s="455" t="s">
        <v>251</v>
      </c>
      <c r="B61" s="455" t="s">
        <v>252</v>
      </c>
      <c r="C61" s="455" t="s">
        <v>598</v>
      </c>
      <c r="D61" s="575">
        <v>145.0</v>
      </c>
      <c r="E61" s="448"/>
      <c r="F61" s="448"/>
      <c r="G61" s="448"/>
      <c r="H61" s="448"/>
      <c r="I61" s="448"/>
      <c r="J61" s="448"/>
      <c r="K61" s="448"/>
      <c r="L61" s="448"/>
      <c r="M61" s="448"/>
      <c r="N61" s="448"/>
      <c r="O61" s="448"/>
      <c r="P61" s="448"/>
      <c r="Q61" s="455"/>
      <c r="R61" s="448"/>
      <c r="S61" s="575">
        <v>0.08</v>
      </c>
      <c r="T61" s="575">
        <v>0.53</v>
      </c>
      <c r="U61" s="575">
        <v>156.0</v>
      </c>
      <c r="V61" s="448"/>
      <c r="W61" s="448"/>
      <c r="X61" s="448"/>
      <c r="Y61" s="448"/>
    </row>
    <row r="62">
      <c r="A62" s="455" t="s">
        <v>197</v>
      </c>
      <c r="B62" s="455" t="s">
        <v>198</v>
      </c>
      <c r="C62" s="455" t="s">
        <v>201</v>
      </c>
      <c r="D62" s="575">
        <v>68.4</v>
      </c>
      <c r="E62" s="448"/>
      <c r="F62" s="448"/>
      <c r="G62" s="575">
        <v>7.5E-16</v>
      </c>
      <c r="H62" s="448"/>
      <c r="I62" s="448"/>
      <c r="J62" s="448"/>
      <c r="K62" s="448"/>
      <c r="L62" s="448"/>
      <c r="M62" s="448"/>
      <c r="N62" s="448"/>
      <c r="O62" s="448"/>
      <c r="P62" s="448"/>
      <c r="Q62" s="455"/>
      <c r="R62" s="448"/>
      <c r="S62" s="575">
        <v>0.0162</v>
      </c>
      <c r="T62" s="575">
        <v>1.73</v>
      </c>
      <c r="U62" s="575">
        <v>135.0</v>
      </c>
      <c r="V62" s="455">
        <v>2.16</v>
      </c>
      <c r="W62" s="448"/>
      <c r="X62" s="448"/>
      <c r="Y62" s="448"/>
    </row>
    <row r="63">
      <c r="A63" s="455" t="s">
        <v>197</v>
      </c>
      <c r="B63" s="455" t="s">
        <v>198</v>
      </c>
      <c r="C63" s="455" t="s">
        <v>201</v>
      </c>
      <c r="D63" s="575">
        <v>68.4</v>
      </c>
      <c r="E63" s="448"/>
      <c r="F63" s="448"/>
      <c r="G63" s="575">
        <v>7.5E-16</v>
      </c>
      <c r="H63" s="448"/>
      <c r="I63" s="448"/>
      <c r="J63" s="448"/>
      <c r="K63" s="448"/>
      <c r="L63" s="448"/>
      <c r="M63" s="448"/>
      <c r="N63" s="448"/>
      <c r="O63" s="448"/>
      <c r="P63" s="448"/>
      <c r="Q63" s="455"/>
      <c r="R63" s="448"/>
      <c r="S63" s="575">
        <v>0.0162</v>
      </c>
      <c r="T63" s="575">
        <v>1.73</v>
      </c>
      <c r="U63" s="575">
        <v>135.0</v>
      </c>
      <c r="V63" s="455">
        <v>2.16</v>
      </c>
      <c r="W63" s="448"/>
      <c r="X63" s="448"/>
      <c r="Y63" s="448"/>
    </row>
    <row r="64">
      <c r="A64" s="455" t="s">
        <v>197</v>
      </c>
      <c r="B64" s="455" t="s">
        <v>198</v>
      </c>
      <c r="C64" s="455" t="s">
        <v>598</v>
      </c>
      <c r="D64" s="575">
        <v>38.4</v>
      </c>
      <c r="E64" s="448"/>
      <c r="F64" s="448"/>
      <c r="G64" s="575">
        <v>4.21E-16</v>
      </c>
      <c r="H64" s="448"/>
      <c r="I64" s="448"/>
      <c r="J64" s="448"/>
      <c r="K64" s="448"/>
      <c r="L64" s="448"/>
      <c r="M64" s="448"/>
      <c r="N64" s="448"/>
      <c r="O64" s="448"/>
      <c r="P64" s="448"/>
      <c r="Q64" s="455" t="s">
        <v>137</v>
      </c>
      <c r="R64" s="455" t="s">
        <v>638</v>
      </c>
      <c r="S64" s="575">
        <v>0.0162</v>
      </c>
      <c r="T64" s="575">
        <v>1.73</v>
      </c>
      <c r="U64" s="575">
        <v>135.0</v>
      </c>
      <c r="V64" s="455">
        <v>2.16</v>
      </c>
      <c r="W64" s="448"/>
      <c r="X64" s="448"/>
      <c r="Y64" s="448"/>
    </row>
    <row r="65">
      <c r="A65" s="455" t="s">
        <v>639</v>
      </c>
      <c r="B65" s="455" t="s">
        <v>640</v>
      </c>
      <c r="C65" s="455" t="s">
        <v>598</v>
      </c>
      <c r="D65" s="575">
        <v>26.4</v>
      </c>
      <c r="E65" s="448"/>
      <c r="F65" s="448"/>
      <c r="G65" s="575">
        <v>1.09E-15</v>
      </c>
      <c r="H65" s="448"/>
      <c r="I65" s="448"/>
      <c r="J65" s="448"/>
      <c r="K65" s="448"/>
      <c r="L65" s="448"/>
      <c r="M65" s="448"/>
      <c r="N65" s="448"/>
      <c r="O65" s="448"/>
      <c r="P65" s="448"/>
      <c r="Q65" s="455" t="s">
        <v>137</v>
      </c>
      <c r="R65" s="455" t="s">
        <v>638</v>
      </c>
      <c r="S65" s="575">
        <v>0.0314</v>
      </c>
      <c r="T65" s="575">
        <v>0.59</v>
      </c>
      <c r="U65" s="575">
        <v>128.0</v>
      </c>
      <c r="V65" s="455">
        <v>0.13</v>
      </c>
      <c r="W65" s="448"/>
      <c r="X65" s="448"/>
      <c r="Y65" s="448"/>
    </row>
    <row r="66">
      <c r="A66" s="455" t="s">
        <v>211</v>
      </c>
      <c r="B66" s="455" t="s">
        <v>212</v>
      </c>
      <c r="C66" s="455" t="s">
        <v>201</v>
      </c>
      <c r="D66" s="575">
        <v>77.5</v>
      </c>
      <c r="E66" s="448"/>
      <c r="F66" s="448"/>
      <c r="G66" s="575">
        <v>8.34E-16</v>
      </c>
      <c r="H66" s="448"/>
      <c r="I66" s="448"/>
      <c r="J66" s="448"/>
      <c r="K66" s="448"/>
      <c r="L66" s="448"/>
      <c r="M66" s="448"/>
      <c r="N66" s="448"/>
      <c r="O66" s="448"/>
      <c r="P66" s="448"/>
      <c r="Q66" s="455"/>
      <c r="R66" s="448"/>
      <c r="S66" s="575">
        <v>0.021</v>
      </c>
      <c r="T66" s="448"/>
      <c r="U66" s="575">
        <v>116.0</v>
      </c>
      <c r="V66" s="455">
        <v>0.68</v>
      </c>
      <c r="W66" s="448"/>
      <c r="X66" s="448"/>
      <c r="Y66" s="448"/>
    </row>
    <row r="67">
      <c r="A67" s="455" t="s">
        <v>211</v>
      </c>
      <c r="B67" s="455" t="s">
        <v>212</v>
      </c>
      <c r="C67" s="455" t="s">
        <v>201</v>
      </c>
      <c r="D67" s="575">
        <v>77.5</v>
      </c>
      <c r="E67" s="448"/>
      <c r="F67" s="448"/>
      <c r="G67" s="575">
        <v>8.34E-16</v>
      </c>
      <c r="H67" s="448"/>
      <c r="I67" s="448"/>
      <c r="J67" s="448"/>
      <c r="K67" s="448"/>
      <c r="L67" s="448"/>
      <c r="M67" s="448"/>
      <c r="N67" s="448"/>
      <c r="O67" s="448"/>
      <c r="P67" s="448"/>
      <c r="Q67" s="455"/>
      <c r="R67" s="448"/>
      <c r="S67" s="575">
        <v>0.021</v>
      </c>
      <c r="T67" s="448"/>
      <c r="U67" s="575">
        <v>116.0</v>
      </c>
      <c r="V67" s="455">
        <v>0.68</v>
      </c>
      <c r="W67" s="448"/>
      <c r="X67" s="448"/>
      <c r="Y67" s="448"/>
    </row>
    <row r="68">
      <c r="A68" s="455" t="s">
        <v>211</v>
      </c>
      <c r="B68" s="455" t="s">
        <v>212</v>
      </c>
      <c r="C68" s="455" t="s">
        <v>598</v>
      </c>
      <c r="D68" s="575">
        <v>41.1</v>
      </c>
      <c r="E68" s="448"/>
      <c r="F68" s="448"/>
      <c r="G68" s="575">
        <v>4.42E-16</v>
      </c>
      <c r="H68" s="448"/>
      <c r="I68" s="448"/>
      <c r="J68" s="448"/>
      <c r="K68" s="448"/>
      <c r="L68" s="448"/>
      <c r="M68" s="448"/>
      <c r="N68" s="448"/>
      <c r="O68" s="448"/>
      <c r="P68" s="448"/>
      <c r="Q68" s="455"/>
      <c r="R68" s="448"/>
      <c r="S68" s="575">
        <v>0.021</v>
      </c>
      <c r="T68" s="575">
        <v>0.23</v>
      </c>
      <c r="U68" s="575">
        <v>116.0</v>
      </c>
      <c r="V68" s="455">
        <v>0.68</v>
      </c>
      <c r="W68" s="448"/>
      <c r="X68" s="448"/>
      <c r="Y68" s="448"/>
    </row>
    <row r="69">
      <c r="A69" s="455" t="s">
        <v>219</v>
      </c>
      <c r="B69" s="455" t="s">
        <v>220</v>
      </c>
      <c r="C69" s="455" t="s">
        <v>201</v>
      </c>
      <c r="D69" s="575">
        <v>122.0</v>
      </c>
      <c r="E69" s="448"/>
      <c r="F69" s="448"/>
      <c r="G69" s="448"/>
      <c r="H69" s="448"/>
      <c r="I69" s="448"/>
      <c r="J69" s="448"/>
      <c r="K69" s="448"/>
      <c r="L69" s="448"/>
      <c r="M69" s="448"/>
      <c r="N69" s="448"/>
      <c r="O69" s="448"/>
      <c r="P69" s="448"/>
      <c r="Q69" s="455"/>
      <c r="R69" s="448"/>
      <c r="S69" s="575">
        <v>0.023</v>
      </c>
      <c r="T69" s="448"/>
      <c r="U69" s="575">
        <v>123.0</v>
      </c>
      <c r="V69" s="455">
        <v>0.93</v>
      </c>
      <c r="W69" s="448"/>
      <c r="X69" s="448"/>
      <c r="Y69" s="448"/>
    </row>
    <row r="70">
      <c r="A70" s="455" t="s">
        <v>219</v>
      </c>
      <c r="B70" s="455" t="s">
        <v>220</v>
      </c>
      <c r="C70" s="455" t="s">
        <v>201</v>
      </c>
      <c r="D70" s="575">
        <v>122.0</v>
      </c>
      <c r="E70" s="448"/>
      <c r="F70" s="448"/>
      <c r="G70" s="448"/>
      <c r="H70" s="448"/>
      <c r="I70" s="448"/>
      <c r="J70" s="448"/>
      <c r="K70" s="448"/>
      <c r="L70" s="448"/>
      <c r="M70" s="448"/>
      <c r="N70" s="448"/>
      <c r="O70" s="448"/>
      <c r="P70" s="448"/>
      <c r="Q70" s="455"/>
      <c r="R70" s="448"/>
      <c r="S70" s="575">
        <v>0.023</v>
      </c>
      <c r="T70" s="448"/>
      <c r="U70" s="575">
        <v>123.0</v>
      </c>
      <c r="V70" s="455">
        <v>0.93</v>
      </c>
      <c r="W70" s="448"/>
      <c r="X70" s="448"/>
      <c r="Y70" s="448"/>
    </row>
    <row r="71">
      <c r="A71" s="455" t="s">
        <v>219</v>
      </c>
      <c r="B71" s="455" t="s">
        <v>220</v>
      </c>
      <c r="C71" s="455" t="s">
        <v>598</v>
      </c>
      <c r="D71" s="575">
        <v>31.1</v>
      </c>
      <c r="E71" s="448"/>
      <c r="F71" s="448"/>
      <c r="G71" s="448"/>
      <c r="H71" s="448"/>
      <c r="I71" s="448"/>
      <c r="J71" s="448"/>
      <c r="K71" s="448"/>
      <c r="L71" s="448"/>
      <c r="M71" s="448"/>
      <c r="N71" s="448"/>
      <c r="O71" s="448"/>
      <c r="P71" s="448"/>
      <c r="Q71" s="455"/>
      <c r="R71" s="448"/>
      <c r="S71" s="575">
        <v>0.023</v>
      </c>
      <c r="T71" s="575">
        <v>0.28</v>
      </c>
      <c r="U71" s="575">
        <v>123.0</v>
      </c>
      <c r="V71" s="455">
        <v>0.93</v>
      </c>
      <c r="W71" s="448"/>
      <c r="X71" s="448"/>
      <c r="Y71" s="448"/>
    </row>
    <row r="72">
      <c r="A72" s="455" t="s">
        <v>438</v>
      </c>
      <c r="B72" s="455" t="s">
        <v>439</v>
      </c>
      <c r="C72" s="455" t="s">
        <v>413</v>
      </c>
      <c r="D72" s="448"/>
      <c r="E72" s="448"/>
      <c r="F72" s="448"/>
      <c r="G72" s="448"/>
      <c r="H72" s="448"/>
      <c r="I72" s="448"/>
      <c r="J72" s="448"/>
      <c r="K72" s="448"/>
      <c r="L72" s="448"/>
      <c r="M72" s="448"/>
      <c r="N72" s="448"/>
      <c r="O72" s="448"/>
      <c r="P72" s="448"/>
      <c r="Q72" s="455"/>
      <c r="R72" s="448"/>
      <c r="S72" s="575">
        <v>0.442</v>
      </c>
      <c r="T72" s="575">
        <v>2.31</v>
      </c>
      <c r="U72" s="448"/>
      <c r="V72" s="448"/>
      <c r="W72" s="448"/>
      <c r="X72" s="448"/>
      <c r="Y72" s="448"/>
    </row>
    <row r="73">
      <c r="A73" s="455" t="s">
        <v>690</v>
      </c>
      <c r="B73" s="455" t="s">
        <v>691</v>
      </c>
      <c r="C73" s="455" t="s">
        <v>598</v>
      </c>
      <c r="D73" s="575">
        <v>14.0</v>
      </c>
      <c r="E73" s="448"/>
      <c r="F73" s="448"/>
      <c r="G73" s="448"/>
      <c r="H73" s="448"/>
      <c r="I73" s="448"/>
      <c r="J73" s="448"/>
      <c r="K73" s="448"/>
      <c r="L73" s="448"/>
      <c r="M73" s="448"/>
      <c r="N73" s="448"/>
      <c r="O73" s="448"/>
      <c r="P73" s="448"/>
      <c r="Q73" s="455" t="s">
        <v>137</v>
      </c>
      <c r="R73" s="455" t="s">
        <v>638</v>
      </c>
      <c r="S73" s="575">
        <v>0.1</v>
      </c>
      <c r="T73" s="575">
        <v>1.2</v>
      </c>
      <c r="U73" s="575">
        <v>152.0</v>
      </c>
      <c r="V73" s="448"/>
      <c r="W73" s="448"/>
      <c r="X73" s="448"/>
      <c r="Y73" s="448"/>
    </row>
    <row r="74">
      <c r="A74" s="455" t="s">
        <v>451</v>
      </c>
      <c r="B74" s="455" t="s">
        <v>452</v>
      </c>
      <c r="C74" s="455" t="s">
        <v>413</v>
      </c>
      <c r="D74" s="448"/>
      <c r="E74" s="448"/>
      <c r="F74" s="448"/>
      <c r="G74" s="448"/>
      <c r="H74" s="448"/>
      <c r="I74" s="448"/>
      <c r="J74" s="448"/>
      <c r="K74" s="448"/>
      <c r="L74" s="448"/>
      <c r="M74" s="448"/>
      <c r="N74" s="448"/>
      <c r="O74" s="448"/>
      <c r="P74" s="448"/>
      <c r="Q74" s="455"/>
      <c r="R74" s="448"/>
      <c r="S74" s="575">
        <v>0.668</v>
      </c>
      <c r="T74" s="575">
        <v>1.74</v>
      </c>
      <c r="U74" s="575">
        <v>131.0</v>
      </c>
      <c r="V74" s="448"/>
      <c r="W74" s="448"/>
      <c r="X74" s="448"/>
      <c r="Y74" s="448"/>
    </row>
    <row r="75">
      <c r="A75" s="455" t="s">
        <v>440</v>
      </c>
      <c r="B75" s="455" t="s">
        <v>441</v>
      </c>
      <c r="C75" s="455" t="s">
        <v>413</v>
      </c>
      <c r="D75" s="448"/>
      <c r="E75" s="448"/>
      <c r="F75" s="448"/>
      <c r="G75" s="448"/>
      <c r="H75" s="448"/>
      <c r="I75" s="448"/>
      <c r="J75" s="448"/>
      <c r="K75" s="448"/>
      <c r="L75" s="448"/>
      <c r="M75" s="448"/>
      <c r="N75" s="448"/>
      <c r="O75" s="448"/>
      <c r="P75" s="448"/>
      <c r="Q75" s="455"/>
      <c r="R75" s="448"/>
      <c r="S75" s="575">
        <v>0.461</v>
      </c>
      <c r="T75" s="575">
        <v>2.15</v>
      </c>
      <c r="U75" s="575">
        <v>129.0</v>
      </c>
      <c r="V75" s="448"/>
      <c r="W75" s="448"/>
      <c r="X75" s="448"/>
      <c r="Y75" s="448"/>
    </row>
    <row r="76">
      <c r="A76" s="455" t="s">
        <v>457</v>
      </c>
      <c r="B76" s="455" t="s">
        <v>458</v>
      </c>
      <c r="C76" s="455" t="s">
        <v>413</v>
      </c>
      <c r="D76" s="448"/>
      <c r="E76" s="448"/>
      <c r="F76" s="448"/>
      <c r="G76" s="448"/>
      <c r="H76" s="448"/>
      <c r="I76" s="448"/>
      <c r="J76" s="448"/>
      <c r="K76" s="448"/>
      <c r="L76" s="448"/>
      <c r="M76" s="448"/>
      <c r="N76" s="448"/>
      <c r="O76" s="448"/>
      <c r="P76" s="448"/>
      <c r="Q76" s="455"/>
      <c r="R76" s="448"/>
      <c r="S76" s="575">
        <v>0.81</v>
      </c>
      <c r="T76" s="575">
        <v>0.76</v>
      </c>
      <c r="U76" s="575">
        <v>137.0</v>
      </c>
      <c r="V76" s="448"/>
      <c r="W76" s="448"/>
      <c r="X76" s="448"/>
      <c r="Y76" s="448"/>
    </row>
    <row r="77">
      <c r="A77" s="455" t="s">
        <v>634</v>
      </c>
      <c r="B77" s="455" t="s">
        <v>635</v>
      </c>
      <c r="C77" s="455" t="s">
        <v>598</v>
      </c>
      <c r="D77" s="575">
        <v>10.5</v>
      </c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55" t="s">
        <v>137</v>
      </c>
      <c r="R77" s="455" t="s">
        <v>638</v>
      </c>
      <c r="S77" s="575">
        <v>0.0282</v>
      </c>
      <c r="T77" s="575">
        <v>0.27</v>
      </c>
      <c r="U77" s="575">
        <v>184.0</v>
      </c>
      <c r="V77" s="455">
        <v>0.81</v>
      </c>
      <c r="W77" s="448"/>
      <c r="X77" s="448"/>
      <c r="Y77" s="448"/>
    </row>
    <row r="78">
      <c r="A78" s="455" t="s">
        <v>669</v>
      </c>
      <c r="B78" s="455" t="s">
        <v>669</v>
      </c>
      <c r="C78" s="455" t="s">
        <v>598</v>
      </c>
      <c r="D78" s="575">
        <v>47.0</v>
      </c>
      <c r="E78" s="448"/>
      <c r="F78" s="448"/>
      <c r="G78" s="575">
        <v>6.25E-16</v>
      </c>
      <c r="H78" s="448"/>
      <c r="I78" s="448"/>
      <c r="J78" s="448"/>
      <c r="K78" s="448"/>
      <c r="L78" s="448"/>
      <c r="M78" s="448"/>
      <c r="N78" s="448"/>
      <c r="O78" s="448"/>
      <c r="P78" s="448"/>
      <c r="Q78" s="455"/>
      <c r="R78" s="448"/>
      <c r="S78" s="575">
        <v>0.035</v>
      </c>
      <c r="T78" s="575">
        <v>0.69</v>
      </c>
      <c r="U78" s="575">
        <v>145.0</v>
      </c>
      <c r="V78" s="455">
        <v>10.6</v>
      </c>
      <c r="W78" s="448"/>
      <c r="X78" s="448"/>
      <c r="Y78" s="448"/>
    </row>
    <row r="79">
      <c r="A79" s="455" t="s">
        <v>336</v>
      </c>
      <c r="B79" s="455" t="s">
        <v>336</v>
      </c>
      <c r="C79" s="455" t="s">
        <v>225</v>
      </c>
      <c r="D79" s="448"/>
      <c r="E79" s="448"/>
      <c r="F79" s="448"/>
      <c r="G79" s="575">
        <v>1.7E-14</v>
      </c>
      <c r="H79" s="575">
        <v>1.2E-15</v>
      </c>
      <c r="I79" s="575">
        <v>5.4E-16</v>
      </c>
      <c r="J79" s="448"/>
      <c r="K79" s="448"/>
      <c r="L79" s="448"/>
      <c r="M79" s="448"/>
      <c r="N79" s="448"/>
      <c r="O79" s="448"/>
      <c r="P79" s="448"/>
      <c r="Q79" s="455"/>
      <c r="R79" s="455" t="s">
        <v>2442</v>
      </c>
      <c r="S79" s="575">
        <v>0.035</v>
      </c>
      <c r="T79" s="575">
        <v>0.69</v>
      </c>
      <c r="U79" s="575">
        <v>144.0</v>
      </c>
      <c r="V79" s="455">
        <v>0.8</v>
      </c>
      <c r="W79" s="448"/>
      <c r="X79" s="448"/>
      <c r="Y79" s="448"/>
    </row>
    <row r="80">
      <c r="A80" s="455" t="s">
        <v>336</v>
      </c>
      <c r="B80" s="455" t="s">
        <v>336</v>
      </c>
      <c r="C80" s="455" t="s">
        <v>598</v>
      </c>
      <c r="D80" s="575">
        <v>102.0</v>
      </c>
      <c r="E80" s="448"/>
      <c r="F80" s="448"/>
      <c r="G80" s="575">
        <v>8.02E-15</v>
      </c>
      <c r="H80" s="448"/>
      <c r="I80" s="448"/>
      <c r="J80" s="448"/>
      <c r="K80" s="448"/>
      <c r="L80" s="448"/>
      <c r="M80" s="448"/>
      <c r="N80" s="448"/>
      <c r="O80" s="448"/>
      <c r="P80" s="448"/>
      <c r="Q80" s="455"/>
      <c r="R80" s="448"/>
      <c r="S80" s="575">
        <v>0.035</v>
      </c>
      <c r="T80" s="575">
        <v>0.69</v>
      </c>
      <c r="U80" s="575">
        <v>144.0</v>
      </c>
      <c r="V80" s="455">
        <v>0.8</v>
      </c>
      <c r="W80" s="448"/>
      <c r="X80" s="448"/>
      <c r="Y80" s="448"/>
    </row>
    <row r="81">
      <c r="A81" s="455" t="s">
        <v>238</v>
      </c>
      <c r="B81" s="455" t="s">
        <v>239</v>
      </c>
      <c r="C81" s="455" t="s">
        <v>201</v>
      </c>
      <c r="D81" s="575">
        <v>79.0</v>
      </c>
      <c r="E81" s="448"/>
      <c r="F81" s="448"/>
      <c r="G81" s="448"/>
      <c r="H81" s="448"/>
      <c r="I81" s="448"/>
      <c r="J81" s="448"/>
      <c r="K81" s="448"/>
      <c r="L81" s="448"/>
      <c r="M81" s="448"/>
      <c r="N81" s="448"/>
      <c r="O81" s="448"/>
      <c r="P81" s="448"/>
      <c r="Q81" s="455"/>
      <c r="R81" s="448"/>
      <c r="S81" s="575">
        <v>0.0389</v>
      </c>
      <c r="T81" s="575">
        <v>0.535</v>
      </c>
      <c r="U81" s="575">
        <v>147.0</v>
      </c>
      <c r="V81" s="455">
        <v>6.37</v>
      </c>
      <c r="W81" s="448"/>
      <c r="X81" s="448"/>
      <c r="Y81" s="448"/>
    </row>
    <row r="82">
      <c r="A82" s="455" t="s">
        <v>238</v>
      </c>
      <c r="B82" s="455" t="s">
        <v>239</v>
      </c>
      <c r="C82" s="455" t="s">
        <v>201</v>
      </c>
      <c r="D82" s="575">
        <v>79.0</v>
      </c>
      <c r="E82" s="448"/>
      <c r="F82" s="448"/>
      <c r="G82" s="448"/>
      <c r="H82" s="448"/>
      <c r="I82" s="448"/>
      <c r="J82" s="448"/>
      <c r="K82" s="448"/>
      <c r="L82" s="448"/>
      <c r="M82" s="448"/>
      <c r="N82" s="448"/>
      <c r="O82" s="448"/>
      <c r="P82" s="448"/>
      <c r="Q82" s="455"/>
      <c r="R82" s="448"/>
      <c r="S82" s="575">
        <v>0.0389</v>
      </c>
      <c r="T82" s="575">
        <v>0.535</v>
      </c>
      <c r="U82" s="575">
        <v>147.0</v>
      </c>
      <c r="V82" s="455">
        <v>6.37</v>
      </c>
      <c r="W82" s="448"/>
      <c r="X82" s="448"/>
      <c r="Y82" s="448"/>
    </row>
    <row r="83">
      <c r="A83" s="455" t="s">
        <v>238</v>
      </c>
      <c r="B83" s="455" t="s">
        <v>662</v>
      </c>
      <c r="C83" s="455" t="s">
        <v>598</v>
      </c>
      <c r="D83" s="575">
        <v>129.0</v>
      </c>
      <c r="E83" s="448"/>
      <c r="F83" s="448"/>
      <c r="G83" s="448"/>
      <c r="H83" s="448"/>
      <c r="I83" s="448"/>
      <c r="J83" s="448"/>
      <c r="K83" s="448"/>
      <c r="L83" s="448"/>
      <c r="M83" s="448"/>
      <c r="N83" s="448"/>
      <c r="O83" s="448"/>
      <c r="P83" s="448"/>
      <c r="Q83" s="455"/>
      <c r="R83" s="448"/>
      <c r="S83" s="575">
        <v>0.0389</v>
      </c>
      <c r="T83" s="575">
        <v>0.296</v>
      </c>
      <c r="U83" s="575">
        <v>147.0</v>
      </c>
      <c r="V83" s="455">
        <v>6.37</v>
      </c>
      <c r="W83" s="448"/>
      <c r="X83" s="448"/>
      <c r="Y83" s="448"/>
    </row>
    <row r="84">
      <c r="A84" s="455" t="s">
        <v>333</v>
      </c>
      <c r="B84" s="455" t="s">
        <v>333</v>
      </c>
      <c r="C84" s="455" t="s">
        <v>225</v>
      </c>
      <c r="D84" s="448"/>
      <c r="E84" s="448"/>
      <c r="F84" s="448"/>
      <c r="G84" s="575">
        <v>1.7E-14</v>
      </c>
      <c r="H84" s="575">
        <v>1.6E-15</v>
      </c>
      <c r="I84" s="575">
        <v>8.5E-16</v>
      </c>
      <c r="J84" s="448"/>
      <c r="K84" s="448"/>
      <c r="L84" s="448"/>
      <c r="M84" s="448"/>
      <c r="N84" s="448"/>
      <c r="O84" s="448"/>
      <c r="P84" s="448"/>
      <c r="Q84" s="455"/>
      <c r="R84" s="455" t="s">
        <v>2445</v>
      </c>
      <c r="S84" s="575">
        <v>0.0316</v>
      </c>
      <c r="T84" s="575">
        <v>0.424</v>
      </c>
      <c r="U84" s="575">
        <v>136.0</v>
      </c>
      <c r="V84" s="455">
        <v>1.0</v>
      </c>
      <c r="W84" s="448"/>
      <c r="X84" s="448"/>
      <c r="Y84" s="448"/>
    </row>
    <row r="85">
      <c r="A85" s="455" t="s">
        <v>333</v>
      </c>
      <c r="B85" s="455" t="s">
        <v>333</v>
      </c>
      <c r="C85" s="455" t="s">
        <v>598</v>
      </c>
      <c r="D85" s="575">
        <v>234.0</v>
      </c>
      <c r="E85" s="448"/>
      <c r="F85" s="448"/>
      <c r="G85" s="448"/>
      <c r="H85" s="448"/>
      <c r="I85" s="448"/>
      <c r="J85" s="448"/>
      <c r="K85" s="448"/>
      <c r="L85" s="448"/>
      <c r="M85" s="448"/>
      <c r="N85" s="448"/>
      <c r="O85" s="448"/>
      <c r="P85" s="448"/>
      <c r="Q85" s="455"/>
      <c r="R85" s="448"/>
      <c r="S85" s="575">
        <v>0.0316</v>
      </c>
      <c r="T85" s="575">
        <v>0.424</v>
      </c>
      <c r="U85" s="575">
        <v>136.0</v>
      </c>
      <c r="V85" s="455">
        <v>1.0</v>
      </c>
      <c r="W85" s="448"/>
      <c r="X85" s="448"/>
      <c r="Y85" s="448"/>
    </row>
    <row r="86">
      <c r="A86" s="455" t="s">
        <v>335</v>
      </c>
      <c r="B86" s="455" t="s">
        <v>335</v>
      </c>
      <c r="C86" s="455" t="s">
        <v>225</v>
      </c>
      <c r="D86" s="448"/>
      <c r="E86" s="448"/>
      <c r="F86" s="448"/>
      <c r="G86" s="575">
        <v>1.7E-14</v>
      </c>
      <c r="H86" s="575">
        <v>3.4E-15</v>
      </c>
      <c r="I86" s="575">
        <v>1.5E-15</v>
      </c>
      <c r="J86" s="448"/>
      <c r="K86" s="448"/>
      <c r="L86" s="448"/>
      <c r="M86" s="448"/>
      <c r="N86" s="448"/>
      <c r="O86" s="448"/>
      <c r="P86" s="448"/>
      <c r="Q86" s="455"/>
      <c r="R86" s="455" t="s">
        <v>2442</v>
      </c>
      <c r="S86" s="575">
        <v>0.05</v>
      </c>
      <c r="T86" s="575">
        <v>0.45</v>
      </c>
      <c r="U86" s="575">
        <v>141.0</v>
      </c>
      <c r="V86" s="448"/>
      <c r="W86" s="448"/>
      <c r="X86" s="448"/>
      <c r="Y86" s="448"/>
    </row>
    <row r="87">
      <c r="A87" s="455" t="s">
        <v>445</v>
      </c>
      <c r="B87" s="455" t="s">
        <v>446</v>
      </c>
      <c r="C87" s="455" t="s">
        <v>413</v>
      </c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8"/>
      <c r="O87" s="448"/>
      <c r="P87" s="448"/>
      <c r="Q87" s="455"/>
      <c r="R87" s="448"/>
      <c r="S87" s="575">
        <v>0.524</v>
      </c>
      <c r="T87" s="575">
        <v>1.78</v>
      </c>
      <c r="U87" s="575">
        <v>160.0</v>
      </c>
      <c r="V87" s="448"/>
      <c r="W87" s="448"/>
      <c r="X87" s="448"/>
      <c r="Y87" s="448"/>
    </row>
    <row r="88">
      <c r="A88" s="455" t="s">
        <v>396</v>
      </c>
      <c r="B88" s="455" t="s">
        <v>396</v>
      </c>
      <c r="C88" s="455" t="s">
        <v>598</v>
      </c>
      <c r="D88" s="575">
        <v>24.5</v>
      </c>
      <c r="E88" s="448"/>
      <c r="F88" s="448"/>
      <c r="G88" s="448"/>
      <c r="H88" s="448"/>
      <c r="I88" s="448"/>
      <c r="J88" s="448"/>
      <c r="K88" s="448"/>
      <c r="L88" s="448"/>
      <c r="M88" s="448"/>
      <c r="N88" s="448"/>
      <c r="O88" s="448"/>
      <c r="P88" s="448"/>
      <c r="Q88" s="455" t="s">
        <v>137</v>
      </c>
      <c r="R88" s="455" t="s">
        <v>2796</v>
      </c>
      <c r="S88" s="575">
        <v>0.2</v>
      </c>
      <c r="T88" s="575">
        <v>1.0</v>
      </c>
      <c r="U88" s="575">
        <v>157.0</v>
      </c>
      <c r="V88" s="448"/>
      <c r="W88" s="448"/>
      <c r="X88" s="448"/>
      <c r="Y88" s="448"/>
    </row>
    <row r="89">
      <c r="A89" s="455" t="s">
        <v>673</v>
      </c>
      <c r="B89" s="455" t="s">
        <v>673</v>
      </c>
      <c r="C89" s="455" t="s">
        <v>598</v>
      </c>
      <c r="D89" s="575">
        <v>14.0</v>
      </c>
      <c r="E89" s="448"/>
      <c r="F89" s="448"/>
      <c r="G89" s="448"/>
      <c r="H89" s="448"/>
      <c r="I89" s="448"/>
      <c r="J89" s="448"/>
      <c r="K89" s="448"/>
      <c r="L89" s="448"/>
      <c r="M89" s="448"/>
      <c r="N89" s="448"/>
      <c r="O89" s="448"/>
      <c r="P89" s="448"/>
      <c r="Q89" s="455" t="s">
        <v>137</v>
      </c>
      <c r="R89" s="455" t="s">
        <v>638</v>
      </c>
      <c r="S89" s="575">
        <v>0.0584</v>
      </c>
      <c r="T89" s="575">
        <v>0.279</v>
      </c>
      <c r="U89" s="575">
        <v>165.0</v>
      </c>
      <c r="V89" s="455">
        <v>1.0</v>
      </c>
      <c r="W89" s="448"/>
      <c r="X89" s="448"/>
      <c r="Y89" s="448"/>
    </row>
    <row r="90">
      <c r="A90" s="455" t="s">
        <v>1664</v>
      </c>
      <c r="B90" s="455" t="s">
        <v>1665</v>
      </c>
      <c r="C90" s="455" t="s">
        <v>702</v>
      </c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55"/>
      <c r="R90" s="448"/>
      <c r="S90" s="575">
        <v>0.15</v>
      </c>
      <c r="T90" s="575">
        <v>1.04</v>
      </c>
      <c r="U90" s="575">
        <v>349.0</v>
      </c>
      <c r="V90" s="448"/>
      <c r="W90" s="448"/>
      <c r="X90" s="448"/>
      <c r="Y90" s="448"/>
    </row>
    <row r="91">
      <c r="A91" s="455" t="s">
        <v>1664</v>
      </c>
      <c r="B91" s="455" t="s">
        <v>1717</v>
      </c>
      <c r="C91" s="455" t="s">
        <v>702</v>
      </c>
      <c r="D91" s="448"/>
      <c r="E91" s="448"/>
      <c r="F91" s="448"/>
      <c r="G91" s="448"/>
      <c r="H91" s="448"/>
      <c r="I91" s="448"/>
      <c r="J91" s="448"/>
      <c r="K91" s="448"/>
      <c r="L91" s="448"/>
      <c r="M91" s="448"/>
      <c r="N91" s="448"/>
      <c r="O91" s="448"/>
      <c r="P91" s="448"/>
      <c r="Q91" s="455"/>
      <c r="R91" s="448"/>
      <c r="S91" s="575">
        <v>0.35</v>
      </c>
      <c r="T91" s="575">
        <v>1.08</v>
      </c>
      <c r="U91" s="575">
        <v>349.0</v>
      </c>
      <c r="V91" s="448"/>
      <c r="W91" s="448"/>
      <c r="X91" s="448"/>
      <c r="Y91" s="448"/>
    </row>
    <row r="92">
      <c r="A92" s="455" t="s">
        <v>405</v>
      </c>
      <c r="B92" s="455" t="s">
        <v>406</v>
      </c>
      <c r="C92" s="455" t="s">
        <v>702</v>
      </c>
      <c r="D92" s="448"/>
      <c r="E92" s="448"/>
      <c r="F92" s="448"/>
      <c r="G92" s="448"/>
      <c r="H92" s="448"/>
      <c r="I92" s="448"/>
      <c r="J92" s="448"/>
      <c r="K92" s="448"/>
      <c r="L92" s="448"/>
      <c r="M92" s="448"/>
      <c r="N92" s="448"/>
      <c r="O92" s="448"/>
      <c r="P92" s="448"/>
      <c r="Q92" s="455"/>
      <c r="R92" s="448"/>
      <c r="S92" s="575">
        <v>0.3</v>
      </c>
      <c r="T92" s="575">
        <v>1.3</v>
      </c>
      <c r="U92" s="448"/>
      <c r="V92" s="448"/>
      <c r="W92" s="448"/>
      <c r="X92" s="448"/>
      <c r="Y92" s="448"/>
    </row>
    <row r="93">
      <c r="A93" s="455" t="s">
        <v>405</v>
      </c>
      <c r="B93" s="455" t="s">
        <v>406</v>
      </c>
      <c r="C93" s="455" t="s">
        <v>352</v>
      </c>
      <c r="D93" s="448"/>
      <c r="E93" s="448"/>
      <c r="F93" s="448"/>
      <c r="G93" s="575">
        <v>4.25E-14</v>
      </c>
      <c r="H93" s="575">
        <v>7.74E-15</v>
      </c>
      <c r="I93" s="575">
        <v>4.78E-15</v>
      </c>
      <c r="J93" s="575">
        <v>3.64E-15</v>
      </c>
      <c r="K93" s="575">
        <v>2.08E-15</v>
      </c>
      <c r="L93" s="448"/>
      <c r="M93" s="448"/>
      <c r="N93" s="448"/>
      <c r="O93" s="448"/>
      <c r="P93" s="448"/>
      <c r="Q93" s="455"/>
      <c r="R93" s="448"/>
      <c r="S93" s="575">
        <v>0.2</v>
      </c>
      <c r="T93" s="575">
        <v>1.45</v>
      </c>
      <c r="U93" s="448"/>
      <c r="V93" s="448"/>
      <c r="W93" s="448"/>
      <c r="X93" s="448"/>
      <c r="Y93" s="448"/>
    </row>
    <row r="94">
      <c r="A94" s="455" t="s">
        <v>1686</v>
      </c>
      <c r="B94" s="455" t="s">
        <v>1687</v>
      </c>
      <c r="C94" s="455" t="s">
        <v>702</v>
      </c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8"/>
      <c r="O94" s="448"/>
      <c r="P94" s="448"/>
      <c r="Q94" s="455" t="s">
        <v>137</v>
      </c>
      <c r="R94" s="448"/>
      <c r="S94" s="575">
        <v>0.2</v>
      </c>
      <c r="T94" s="575">
        <v>0.979</v>
      </c>
      <c r="U94" s="448"/>
      <c r="V94" s="448"/>
      <c r="W94" s="448"/>
      <c r="X94" s="448"/>
      <c r="Y94" s="448"/>
    </row>
    <row r="95">
      <c r="A95" s="455" t="s">
        <v>1715</v>
      </c>
      <c r="B95" s="455" t="s">
        <v>1716</v>
      </c>
      <c r="C95" s="455" t="s">
        <v>702</v>
      </c>
      <c r="D95" s="448"/>
      <c r="E95" s="448"/>
      <c r="F95" s="448"/>
      <c r="G95" s="448"/>
      <c r="H95" s="448"/>
      <c r="I95" s="448"/>
      <c r="J95" s="448"/>
      <c r="K95" s="448"/>
      <c r="L95" s="448"/>
      <c r="M95" s="448"/>
      <c r="N95" s="448"/>
      <c r="O95" s="448"/>
      <c r="P95" s="448"/>
      <c r="Q95" s="455" t="s">
        <v>137</v>
      </c>
      <c r="R95" s="448"/>
      <c r="S95" s="575">
        <v>0.35</v>
      </c>
      <c r="T95" s="575">
        <v>1.16</v>
      </c>
      <c r="U95" s="575">
        <v>403.0</v>
      </c>
      <c r="V95" s="448"/>
      <c r="W95" s="448"/>
      <c r="X95" s="448"/>
      <c r="Y95" s="448"/>
    </row>
    <row r="96">
      <c r="A96" s="455" t="s">
        <v>1692</v>
      </c>
      <c r="B96" s="455" t="s">
        <v>1693</v>
      </c>
      <c r="C96" s="455" t="s">
        <v>702</v>
      </c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55"/>
      <c r="R96" s="448"/>
      <c r="S96" s="575">
        <v>0.2</v>
      </c>
      <c r="T96" s="575">
        <v>0.73</v>
      </c>
      <c r="U96" s="448"/>
      <c r="V96" s="448"/>
      <c r="W96" s="448"/>
      <c r="X96" s="448"/>
      <c r="Y96" s="448"/>
    </row>
    <row r="97">
      <c r="A97" s="455" t="s">
        <v>424</v>
      </c>
      <c r="B97" s="455" t="s">
        <v>425</v>
      </c>
      <c r="C97" s="455" t="s">
        <v>702</v>
      </c>
      <c r="D97" s="448"/>
      <c r="E97" s="448"/>
      <c r="F97" s="448"/>
      <c r="G97" s="448"/>
      <c r="H97" s="448"/>
      <c r="I97" s="448"/>
      <c r="J97" s="448"/>
      <c r="K97" s="448"/>
      <c r="L97" s="448"/>
      <c r="M97" s="448"/>
      <c r="N97" s="448"/>
      <c r="O97" s="448"/>
      <c r="P97" s="448"/>
      <c r="Q97" s="455"/>
      <c r="R97" s="448"/>
      <c r="S97" s="575">
        <v>0.3</v>
      </c>
      <c r="T97" s="575">
        <v>1.06</v>
      </c>
      <c r="U97" s="575">
        <v>428.0</v>
      </c>
      <c r="V97" s="448"/>
      <c r="W97" s="448"/>
      <c r="X97" s="448"/>
      <c r="Y97" s="448"/>
    </row>
    <row r="98">
      <c r="A98" s="455" t="s">
        <v>424</v>
      </c>
      <c r="B98" s="455" t="s">
        <v>425</v>
      </c>
      <c r="C98" s="455" t="s">
        <v>352</v>
      </c>
      <c r="D98" s="448"/>
      <c r="E98" s="448"/>
      <c r="F98" s="448"/>
      <c r="G98" s="575">
        <v>2.32E-14</v>
      </c>
      <c r="H98" s="575">
        <v>3.54E-15</v>
      </c>
      <c r="I98" s="575">
        <v>2.67E-15</v>
      </c>
      <c r="J98" s="575">
        <v>2.26E-15</v>
      </c>
      <c r="K98" s="575">
        <v>2.87E-15</v>
      </c>
      <c r="L98" s="448"/>
      <c r="M98" s="448"/>
      <c r="N98" s="448"/>
      <c r="O98" s="448"/>
      <c r="P98" s="448"/>
      <c r="Q98" s="448"/>
      <c r="R98" s="448"/>
      <c r="S98" s="575">
        <v>0.3</v>
      </c>
      <c r="T98" s="575">
        <v>0.97</v>
      </c>
      <c r="U98" s="575">
        <v>428.0</v>
      </c>
      <c r="V98" s="448"/>
      <c r="W98" s="448"/>
      <c r="X98" s="448"/>
      <c r="Y98" s="448"/>
    </row>
    <row r="99">
      <c r="A99" s="455" t="s">
        <v>1629</v>
      </c>
      <c r="B99" s="455" t="s">
        <v>1630</v>
      </c>
      <c r="C99" s="455" t="s">
        <v>702</v>
      </c>
      <c r="D99" s="448"/>
      <c r="E99" s="448"/>
      <c r="F99" s="448"/>
      <c r="G99" s="448"/>
      <c r="H99" s="448"/>
      <c r="I99" s="448"/>
      <c r="J99" s="448"/>
      <c r="K99" s="448"/>
      <c r="L99" s="448"/>
      <c r="M99" s="448"/>
      <c r="N99" s="448"/>
      <c r="O99" s="448"/>
      <c r="P99" s="448"/>
      <c r="Q99" s="455" t="s">
        <v>137</v>
      </c>
      <c r="R99" s="448"/>
      <c r="S99" s="575">
        <v>0.06</v>
      </c>
      <c r="T99" s="575">
        <v>0.562</v>
      </c>
      <c r="U99" s="448"/>
      <c r="V99" s="455">
        <v>0.73</v>
      </c>
      <c r="W99" s="455">
        <v>0.19</v>
      </c>
      <c r="X99" s="448"/>
      <c r="Y99" s="448"/>
    </row>
    <row r="100">
      <c r="A100" s="455" t="s">
        <v>1677</v>
      </c>
      <c r="B100" s="455" t="s">
        <v>1678</v>
      </c>
      <c r="C100" s="455" t="s">
        <v>702</v>
      </c>
      <c r="D100" s="448"/>
      <c r="E100" s="448"/>
      <c r="F100" s="448"/>
      <c r="G100" s="448"/>
      <c r="H100" s="448"/>
      <c r="I100" s="448"/>
      <c r="J100" s="448"/>
      <c r="K100" s="448"/>
      <c r="L100" s="448"/>
      <c r="M100" s="448"/>
      <c r="N100" s="448"/>
      <c r="O100" s="448"/>
      <c r="P100" s="448"/>
      <c r="Q100" s="455" t="s">
        <v>137</v>
      </c>
      <c r="R100" s="448"/>
      <c r="S100" s="575">
        <v>0.2</v>
      </c>
      <c r="T100" s="575">
        <v>1.22</v>
      </c>
      <c r="U100" s="575">
        <v>372.0</v>
      </c>
      <c r="V100" s="448"/>
      <c r="W100" s="448"/>
      <c r="X100" s="448"/>
      <c r="Y100" s="448"/>
    </row>
    <row r="101">
      <c r="A101" s="455" t="s">
        <v>1640</v>
      </c>
      <c r="B101" s="455" t="s">
        <v>1641</v>
      </c>
      <c r="C101" s="455" t="s">
        <v>702</v>
      </c>
      <c r="D101" s="448"/>
      <c r="E101" s="448"/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55" t="s">
        <v>137</v>
      </c>
      <c r="R101" s="448"/>
      <c r="S101" s="575">
        <v>0.08</v>
      </c>
      <c r="T101" s="575">
        <v>0.371</v>
      </c>
      <c r="U101" s="575">
        <v>315.0</v>
      </c>
      <c r="V101" s="448"/>
      <c r="W101" s="448"/>
      <c r="X101" s="448"/>
      <c r="Y101" s="448"/>
    </row>
    <row r="102">
      <c r="A102" s="455" t="s">
        <v>1671</v>
      </c>
      <c r="B102" s="455" t="s">
        <v>1672</v>
      </c>
      <c r="C102" s="455" t="s">
        <v>702</v>
      </c>
      <c r="D102" s="448"/>
      <c r="E102" s="448"/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55" t="s">
        <v>137</v>
      </c>
      <c r="R102" s="448"/>
      <c r="S102" s="575">
        <v>0.2</v>
      </c>
      <c r="T102" s="575">
        <v>1.74</v>
      </c>
      <c r="U102" s="575">
        <v>381.0</v>
      </c>
      <c r="V102" s="448"/>
      <c r="W102" s="448"/>
      <c r="X102" s="448"/>
      <c r="Y102" s="448"/>
    </row>
    <row r="103">
      <c r="A103" s="455" t="s">
        <v>1650</v>
      </c>
      <c r="B103" s="455" t="s">
        <v>1651</v>
      </c>
      <c r="C103" s="455" t="s">
        <v>702</v>
      </c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8"/>
      <c r="O103" s="448"/>
      <c r="P103" s="448"/>
      <c r="Q103" s="455" t="s">
        <v>137</v>
      </c>
      <c r="R103" s="448"/>
      <c r="S103" s="575">
        <v>0.1</v>
      </c>
      <c r="T103" s="575">
        <v>0.742</v>
      </c>
      <c r="U103" s="575">
        <v>427.0</v>
      </c>
      <c r="V103" s="448"/>
      <c r="W103" s="448"/>
      <c r="X103" s="448"/>
      <c r="Y103" s="448"/>
    </row>
    <row r="104">
      <c r="A104" s="455" t="s">
        <v>1657</v>
      </c>
      <c r="B104" s="455" t="s">
        <v>1658</v>
      </c>
      <c r="C104" s="455" t="s">
        <v>702</v>
      </c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8"/>
      <c r="O104" s="448"/>
      <c r="P104" s="448"/>
      <c r="Q104" s="455" t="s">
        <v>137</v>
      </c>
      <c r="R104" s="448"/>
      <c r="S104" s="575">
        <v>0.13</v>
      </c>
      <c r="T104" s="575">
        <v>0.777</v>
      </c>
      <c r="U104" s="575">
        <v>399.0</v>
      </c>
      <c r="V104" s="448"/>
      <c r="W104" s="448"/>
      <c r="X104" s="448"/>
      <c r="Y104" s="448"/>
    </row>
    <row r="105">
      <c r="A105" s="455" t="s">
        <v>710</v>
      </c>
      <c r="B105" s="455" t="s">
        <v>711</v>
      </c>
      <c r="C105" s="455" t="s">
        <v>702</v>
      </c>
      <c r="D105" s="448"/>
      <c r="E105" s="448"/>
      <c r="F105" s="448"/>
      <c r="G105" s="448"/>
      <c r="H105" s="448"/>
      <c r="I105" s="448"/>
      <c r="J105" s="448"/>
      <c r="K105" s="448"/>
      <c r="L105" s="448"/>
      <c r="M105" s="448"/>
      <c r="N105" s="448"/>
      <c r="O105" s="448"/>
      <c r="P105" s="448"/>
      <c r="Q105" s="455"/>
      <c r="R105" s="448"/>
      <c r="S105" s="575">
        <v>0.7</v>
      </c>
      <c r="T105" s="575">
        <v>1.12</v>
      </c>
      <c r="U105" s="575">
        <v>399.0</v>
      </c>
      <c r="V105" s="448"/>
      <c r="W105" s="448"/>
      <c r="X105" s="448"/>
      <c r="Y105" s="448"/>
    </row>
    <row r="106">
      <c r="A106" s="455" t="s">
        <v>393</v>
      </c>
      <c r="B106" s="455" t="s">
        <v>394</v>
      </c>
      <c r="C106" s="455" t="s">
        <v>702</v>
      </c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55"/>
      <c r="R106" s="448"/>
      <c r="S106" s="575">
        <v>0.2</v>
      </c>
      <c r="T106" s="575">
        <v>0.531</v>
      </c>
      <c r="U106" s="575">
        <v>336.0</v>
      </c>
      <c r="V106" s="448"/>
      <c r="W106" s="448"/>
      <c r="X106" s="448"/>
      <c r="Y106" s="448"/>
    </row>
    <row r="107">
      <c r="A107" s="455" t="s">
        <v>393</v>
      </c>
      <c r="B107" s="455" t="s">
        <v>394</v>
      </c>
      <c r="C107" s="455" t="s">
        <v>352</v>
      </c>
      <c r="D107" s="448"/>
      <c r="E107" s="448"/>
      <c r="F107" s="448"/>
      <c r="G107" s="575">
        <v>1.79E-14</v>
      </c>
      <c r="H107" s="575">
        <v>4.03E-15</v>
      </c>
      <c r="I107" s="575">
        <v>1.8E-15</v>
      </c>
      <c r="J107" s="575">
        <v>6.91E-16</v>
      </c>
      <c r="K107" s="575">
        <v>5.01E-16</v>
      </c>
      <c r="L107" s="448"/>
      <c r="M107" s="448"/>
      <c r="N107" s="448"/>
      <c r="O107" s="448"/>
      <c r="P107" s="448"/>
      <c r="Q107" s="455"/>
      <c r="R107" s="448"/>
      <c r="S107" s="575">
        <v>0.19</v>
      </c>
      <c r="T107" s="575">
        <v>0.46</v>
      </c>
      <c r="U107" s="575">
        <v>336.0</v>
      </c>
      <c r="V107" s="448"/>
      <c r="W107" s="448"/>
      <c r="X107" s="448"/>
      <c r="Y107" s="448"/>
    </row>
    <row r="108">
      <c r="A108" s="455" t="s">
        <v>1713</v>
      </c>
      <c r="B108" s="455" t="s">
        <v>1714</v>
      </c>
      <c r="C108" s="455" t="s">
        <v>702</v>
      </c>
      <c r="D108" s="448"/>
      <c r="E108" s="448"/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455"/>
      <c r="R108" s="448"/>
      <c r="S108" s="575">
        <v>0.35</v>
      </c>
      <c r="T108" s="575">
        <v>1.19</v>
      </c>
      <c r="U108" s="575">
        <v>410.0</v>
      </c>
      <c r="V108" s="448"/>
      <c r="W108" s="448"/>
      <c r="X108" s="448"/>
      <c r="Y108" s="448"/>
    </row>
    <row r="109">
      <c r="A109" s="455" t="s">
        <v>1694</v>
      </c>
      <c r="B109" s="455" t="s">
        <v>1695</v>
      </c>
      <c r="C109" s="455" t="s">
        <v>702</v>
      </c>
      <c r="D109" s="448"/>
      <c r="E109" s="448"/>
      <c r="F109" s="448"/>
      <c r="G109" s="448"/>
      <c r="H109" s="448"/>
      <c r="I109" s="448"/>
      <c r="J109" s="448"/>
      <c r="K109" s="448"/>
      <c r="L109" s="448"/>
      <c r="M109" s="448"/>
      <c r="N109" s="448"/>
      <c r="O109" s="448"/>
      <c r="P109" s="448"/>
      <c r="Q109" s="455"/>
      <c r="R109" s="448"/>
      <c r="S109" s="575">
        <v>0.2</v>
      </c>
      <c r="T109" s="575">
        <v>0.73</v>
      </c>
      <c r="U109" s="575">
        <v>347.0</v>
      </c>
      <c r="V109" s="448"/>
      <c r="W109" s="448"/>
      <c r="X109" s="448"/>
      <c r="Y109" s="448"/>
    </row>
    <row r="110">
      <c r="A110" s="455" t="s">
        <v>1737</v>
      </c>
      <c r="B110" s="455" t="s">
        <v>1738</v>
      </c>
      <c r="C110" s="455" t="s">
        <v>702</v>
      </c>
      <c r="D110" s="448"/>
      <c r="E110" s="448"/>
      <c r="F110" s="448"/>
      <c r="G110" s="448"/>
      <c r="H110" s="448"/>
      <c r="I110" s="448"/>
      <c r="J110" s="448"/>
      <c r="K110" s="448"/>
      <c r="L110" s="448"/>
      <c r="M110" s="448"/>
      <c r="N110" s="448"/>
      <c r="O110" s="448"/>
      <c r="P110" s="448"/>
      <c r="Q110" s="455" t="s">
        <v>137</v>
      </c>
      <c r="R110" s="448"/>
      <c r="S110" s="575">
        <v>0.6</v>
      </c>
      <c r="T110" s="575">
        <v>1.53</v>
      </c>
      <c r="U110" s="575">
        <v>430.0</v>
      </c>
      <c r="V110" s="448"/>
      <c r="W110" s="448"/>
      <c r="X110" s="448"/>
      <c r="Y110" s="448"/>
    </row>
    <row r="111">
      <c r="A111" s="455" t="s">
        <v>700</v>
      </c>
      <c r="B111" s="455" t="s">
        <v>701</v>
      </c>
      <c r="C111" s="455" t="s">
        <v>702</v>
      </c>
      <c r="D111" s="448"/>
      <c r="E111" s="448"/>
      <c r="F111" s="448"/>
      <c r="G111" s="448"/>
      <c r="H111" s="448"/>
      <c r="I111" s="448"/>
      <c r="J111" s="448"/>
      <c r="K111" s="448"/>
      <c r="L111" s="448"/>
      <c r="M111" s="448"/>
      <c r="N111" s="448"/>
      <c r="O111" s="448"/>
      <c r="P111" s="448"/>
      <c r="Q111" s="455"/>
      <c r="R111" s="448"/>
      <c r="S111" s="575">
        <v>0.2</v>
      </c>
      <c r="T111" s="575">
        <v>1.03</v>
      </c>
      <c r="U111" s="575">
        <v>335.0</v>
      </c>
      <c r="V111" s="448"/>
      <c r="W111" s="448"/>
      <c r="X111" s="448"/>
      <c r="Y111" s="448"/>
    </row>
    <row r="112">
      <c r="A112" s="455" t="s">
        <v>2014</v>
      </c>
      <c r="B112" s="455" t="s">
        <v>2015</v>
      </c>
      <c r="C112" s="455" t="s">
        <v>702</v>
      </c>
      <c r="D112" s="448"/>
      <c r="E112" s="448"/>
      <c r="F112" s="448"/>
      <c r="G112" s="448"/>
      <c r="H112" s="448"/>
      <c r="I112" s="448"/>
      <c r="J112" s="448"/>
      <c r="K112" s="448"/>
      <c r="L112" s="448"/>
      <c r="M112" s="448"/>
      <c r="N112" s="448"/>
      <c r="O112" s="448"/>
      <c r="P112" s="448"/>
      <c r="Q112" s="455" t="s">
        <v>137</v>
      </c>
      <c r="R112" s="455" t="s">
        <v>2794</v>
      </c>
      <c r="S112" s="575">
        <v>1.3</v>
      </c>
      <c r="T112" s="575">
        <v>2.05</v>
      </c>
      <c r="U112" s="575">
        <v>373.0</v>
      </c>
      <c r="V112" s="448"/>
      <c r="W112" s="448"/>
      <c r="X112" s="448"/>
      <c r="Y112" s="448"/>
    </row>
    <row r="113">
      <c r="A113" s="455" t="s">
        <v>1661</v>
      </c>
      <c r="B113" s="455" t="s">
        <v>1662</v>
      </c>
      <c r="C113" s="455" t="s">
        <v>702</v>
      </c>
      <c r="D113" s="448"/>
      <c r="E113" s="448"/>
      <c r="F113" s="448"/>
      <c r="G113" s="448"/>
      <c r="H113" s="448"/>
      <c r="I113" s="448"/>
      <c r="J113" s="448"/>
      <c r="K113" s="448"/>
      <c r="L113" s="448"/>
      <c r="M113" s="448"/>
      <c r="N113" s="448"/>
      <c r="O113" s="448"/>
      <c r="P113" s="448"/>
      <c r="Q113" s="455"/>
      <c r="R113" s="448"/>
      <c r="S113" s="575">
        <v>0.15</v>
      </c>
      <c r="T113" s="575">
        <v>0.461</v>
      </c>
      <c r="U113" s="575">
        <v>1990.0</v>
      </c>
      <c r="V113" s="448"/>
      <c r="W113" s="448"/>
      <c r="X113" s="448"/>
      <c r="Y113" s="448"/>
    </row>
    <row r="114">
      <c r="A114" s="455" t="s">
        <v>1690</v>
      </c>
      <c r="B114" s="455" t="s">
        <v>1691</v>
      </c>
      <c r="C114" s="455" t="s">
        <v>702</v>
      </c>
      <c r="D114" s="448"/>
      <c r="E114" s="448"/>
      <c r="F114" s="448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55" t="s">
        <v>137</v>
      </c>
      <c r="R114" s="448"/>
      <c r="S114" s="575">
        <v>0.2</v>
      </c>
      <c r="T114" s="575">
        <v>0.923</v>
      </c>
      <c r="U114" s="575">
        <v>370.0</v>
      </c>
      <c r="V114" s="448"/>
      <c r="W114" s="448"/>
      <c r="X114" s="448"/>
      <c r="Y114" s="448"/>
    </row>
    <row r="115">
      <c r="A115" s="455" t="s">
        <v>1666</v>
      </c>
      <c r="B115" s="455" t="s">
        <v>1667</v>
      </c>
      <c r="C115" s="455" t="s">
        <v>702</v>
      </c>
      <c r="D115" s="448"/>
      <c r="E115" s="448"/>
      <c r="F115" s="448"/>
      <c r="G115" s="448"/>
      <c r="H115" s="448"/>
      <c r="I115" s="448"/>
      <c r="J115" s="448"/>
      <c r="K115" s="448"/>
      <c r="L115" s="448"/>
      <c r="M115" s="448"/>
      <c r="N115" s="448"/>
      <c r="O115" s="448"/>
      <c r="P115" s="448"/>
      <c r="Q115" s="455" t="s">
        <v>137</v>
      </c>
      <c r="R115" s="448"/>
      <c r="S115" s="575">
        <v>0.15</v>
      </c>
      <c r="T115" s="575">
        <v>0.983</v>
      </c>
      <c r="U115" s="575">
        <v>419.0</v>
      </c>
      <c r="V115" s="448"/>
      <c r="W115" s="448"/>
      <c r="X115" s="448"/>
      <c r="Y115" s="448"/>
    </row>
    <row r="116">
      <c r="A116" s="455" t="s">
        <v>1668</v>
      </c>
      <c r="B116" s="455" t="s">
        <v>1669</v>
      </c>
      <c r="C116" s="455" t="s">
        <v>702</v>
      </c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55" t="s">
        <v>1670</v>
      </c>
      <c r="R116" s="448"/>
      <c r="S116" s="575">
        <v>0.17</v>
      </c>
      <c r="T116" s="575">
        <v>1.25</v>
      </c>
      <c r="U116" s="575">
        <v>387.0</v>
      </c>
      <c r="V116" s="448"/>
      <c r="W116" s="448"/>
      <c r="X116" s="448"/>
      <c r="Y116" s="448"/>
    </row>
    <row r="117">
      <c r="A117" s="455" t="s">
        <v>1679</v>
      </c>
      <c r="B117" s="455" t="s">
        <v>1680</v>
      </c>
      <c r="C117" s="455" t="s">
        <v>702</v>
      </c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55"/>
      <c r="R117" s="448"/>
      <c r="S117" s="575">
        <v>0.2</v>
      </c>
      <c r="T117" s="575">
        <v>1.03</v>
      </c>
      <c r="U117" s="575">
        <v>363.0</v>
      </c>
      <c r="V117" s="448"/>
      <c r="W117" s="448"/>
      <c r="X117" s="448"/>
      <c r="Y117" s="448"/>
    </row>
    <row r="118">
      <c r="A118" s="455" t="s">
        <v>1688</v>
      </c>
      <c r="B118" s="455" t="s">
        <v>1689</v>
      </c>
      <c r="C118" s="455" t="s">
        <v>702</v>
      </c>
      <c r="D118" s="448"/>
      <c r="E118" s="448"/>
      <c r="F118" s="448"/>
      <c r="G118" s="448"/>
      <c r="H118" s="448"/>
      <c r="I118" s="448"/>
      <c r="J118" s="448"/>
      <c r="K118" s="448"/>
      <c r="L118" s="448"/>
      <c r="M118" s="448"/>
      <c r="N118" s="448"/>
      <c r="O118" s="448"/>
      <c r="P118" s="448"/>
      <c r="Q118" s="455"/>
      <c r="R118" s="448"/>
      <c r="S118" s="575">
        <v>0.2</v>
      </c>
      <c r="T118" s="575">
        <v>0.923</v>
      </c>
      <c r="U118" s="575">
        <v>436.0</v>
      </c>
      <c r="V118" s="448"/>
      <c r="W118" s="448"/>
      <c r="X118" s="448"/>
      <c r="Y118" s="448"/>
    </row>
    <row r="119">
      <c r="A119" s="455" t="s">
        <v>407</v>
      </c>
      <c r="B119" s="455" t="s">
        <v>408</v>
      </c>
      <c r="C119" s="455" t="s">
        <v>702</v>
      </c>
      <c r="D119" s="448"/>
      <c r="E119" s="448"/>
      <c r="F119" s="448"/>
      <c r="G119" s="448"/>
      <c r="H119" s="448"/>
      <c r="I119" s="448"/>
      <c r="J119" s="448"/>
      <c r="K119" s="448"/>
      <c r="L119" s="448"/>
      <c r="M119" s="448"/>
      <c r="N119" s="448"/>
      <c r="O119" s="448"/>
      <c r="P119" s="448"/>
      <c r="Q119" s="455"/>
      <c r="R119" s="448"/>
      <c r="S119" s="575">
        <v>0.16</v>
      </c>
      <c r="T119" s="575">
        <v>0.92</v>
      </c>
      <c r="U119" s="575">
        <v>382.0</v>
      </c>
      <c r="V119" s="448"/>
      <c r="W119" s="448"/>
      <c r="X119" s="448"/>
      <c r="Y119" s="448"/>
    </row>
    <row r="120">
      <c r="A120" s="455" t="s">
        <v>407</v>
      </c>
      <c r="B120" s="455" t="s">
        <v>408</v>
      </c>
      <c r="C120" s="455" t="s">
        <v>352</v>
      </c>
      <c r="D120" s="448"/>
      <c r="E120" s="448"/>
      <c r="F120" s="448"/>
      <c r="G120" s="575">
        <v>3.96E-15</v>
      </c>
      <c r="H120" s="575">
        <v>9.37E-16</v>
      </c>
      <c r="I120" s="575">
        <v>4.37E-16</v>
      </c>
      <c r="J120" s="448"/>
      <c r="K120" s="448"/>
      <c r="L120" s="448"/>
      <c r="M120" s="448"/>
      <c r="N120" s="448"/>
      <c r="O120" s="448"/>
      <c r="P120" s="448"/>
      <c r="Q120" s="455" t="s">
        <v>137</v>
      </c>
      <c r="R120" s="455" t="s">
        <v>2795</v>
      </c>
      <c r="S120" s="575">
        <v>0.2</v>
      </c>
      <c r="T120" s="575">
        <v>0.84</v>
      </c>
      <c r="U120" s="575">
        <v>382.0</v>
      </c>
      <c r="V120" s="448"/>
      <c r="W120" s="448"/>
      <c r="X120" s="448"/>
      <c r="Y120" s="448"/>
    </row>
    <row r="121">
      <c r="A121" s="455" t="s">
        <v>1681</v>
      </c>
      <c r="B121" s="455" t="s">
        <v>1682</v>
      </c>
      <c r="C121" s="455" t="s">
        <v>702</v>
      </c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8"/>
      <c r="O121" s="448"/>
      <c r="P121" s="448"/>
      <c r="Q121" s="455" t="s">
        <v>137</v>
      </c>
      <c r="R121" s="448"/>
      <c r="S121" s="575">
        <v>0.2</v>
      </c>
      <c r="T121" s="575">
        <v>0.863</v>
      </c>
      <c r="U121" s="575">
        <v>403.0</v>
      </c>
      <c r="V121" s="448"/>
      <c r="W121" s="448"/>
      <c r="X121" s="448"/>
      <c r="Y121" s="448"/>
    </row>
    <row r="122">
      <c r="A122" s="455" t="s">
        <v>793</v>
      </c>
      <c r="B122" s="455" t="s">
        <v>793</v>
      </c>
      <c r="C122" s="455" t="s">
        <v>759</v>
      </c>
      <c r="D122" s="575">
        <v>23.8</v>
      </c>
      <c r="E122" s="448"/>
      <c r="F122" s="448"/>
      <c r="G122" s="575">
        <v>6.67E-15</v>
      </c>
      <c r="H122" s="448"/>
      <c r="I122" s="448"/>
      <c r="J122" s="448"/>
      <c r="K122" s="448"/>
      <c r="L122" s="448"/>
      <c r="M122" s="448"/>
      <c r="N122" s="448"/>
      <c r="O122" s="448"/>
      <c r="P122" s="448"/>
      <c r="Q122" s="455"/>
      <c r="R122" s="448"/>
      <c r="S122" s="575">
        <v>1.79</v>
      </c>
      <c r="T122" s="575">
        <v>2.75</v>
      </c>
      <c r="U122" s="448"/>
      <c r="V122" s="455">
        <v>3.1</v>
      </c>
      <c r="W122" s="448"/>
      <c r="X122" s="448"/>
      <c r="Y122" s="448"/>
    </row>
    <row r="123">
      <c r="A123" s="455" t="s">
        <v>796</v>
      </c>
      <c r="B123" s="455" t="s">
        <v>796</v>
      </c>
      <c r="C123" s="455" t="s">
        <v>759</v>
      </c>
      <c r="D123" s="575">
        <v>139.0</v>
      </c>
      <c r="E123" s="448"/>
      <c r="F123" s="448"/>
      <c r="G123" s="575">
        <v>1.31E-14</v>
      </c>
      <c r="H123" s="448"/>
      <c r="I123" s="448"/>
      <c r="J123" s="448"/>
      <c r="K123" s="448"/>
      <c r="L123" s="448"/>
      <c r="M123" s="448"/>
      <c r="N123" s="448"/>
      <c r="O123" s="448"/>
      <c r="P123" s="448"/>
      <c r="Q123" s="455"/>
      <c r="R123" s="448"/>
      <c r="S123" s="575">
        <v>1.83</v>
      </c>
      <c r="T123" s="575">
        <v>2.88</v>
      </c>
      <c r="U123" s="448"/>
      <c r="V123" s="455">
        <v>3.64</v>
      </c>
      <c r="W123" s="448"/>
      <c r="X123" s="448"/>
      <c r="Y123" s="448"/>
    </row>
    <row r="124">
      <c r="A124" s="455" t="s">
        <v>781</v>
      </c>
      <c r="B124" s="455" t="s">
        <v>781</v>
      </c>
      <c r="C124" s="455" t="s">
        <v>759</v>
      </c>
      <c r="D124" s="575">
        <v>4.2</v>
      </c>
      <c r="E124" s="448"/>
      <c r="F124" s="448"/>
      <c r="G124" s="575">
        <v>8.3E-16</v>
      </c>
      <c r="H124" s="448"/>
      <c r="I124" s="448"/>
      <c r="J124" s="448"/>
      <c r="K124" s="448"/>
      <c r="L124" s="448"/>
      <c r="M124" s="448"/>
      <c r="N124" s="448"/>
      <c r="O124" s="448"/>
      <c r="P124" s="448"/>
      <c r="Q124" s="455"/>
      <c r="R124" s="448"/>
      <c r="S124" s="575">
        <v>1.57</v>
      </c>
      <c r="T124" s="575">
        <v>2.31</v>
      </c>
      <c r="U124" s="575">
        <v>5330.0</v>
      </c>
      <c r="V124" s="455">
        <v>3.0</v>
      </c>
      <c r="W124" s="448"/>
      <c r="X124" s="448"/>
      <c r="Y124" s="448"/>
    </row>
    <row r="125">
      <c r="A125" s="455" t="s">
        <v>784</v>
      </c>
      <c r="B125" s="455" t="s">
        <v>784</v>
      </c>
      <c r="C125" s="455" t="s">
        <v>759</v>
      </c>
      <c r="D125" s="575">
        <v>8.4</v>
      </c>
      <c r="E125" s="448"/>
      <c r="F125" s="448"/>
      <c r="G125" s="575">
        <v>2.44E-15</v>
      </c>
      <c r="H125" s="448"/>
      <c r="I125" s="448"/>
      <c r="J125" s="448"/>
      <c r="K125" s="448"/>
      <c r="L125" s="448"/>
      <c r="M125" s="448"/>
      <c r="N125" s="448"/>
      <c r="O125" s="448"/>
      <c r="P125" s="448"/>
      <c r="Q125" s="455"/>
      <c r="R125" s="448"/>
      <c r="S125" s="575">
        <v>1.6</v>
      </c>
      <c r="T125" s="575">
        <v>1.79</v>
      </c>
      <c r="U125" s="575">
        <v>2930.0</v>
      </c>
      <c r="V125" s="455">
        <v>1.9</v>
      </c>
      <c r="W125" s="448"/>
      <c r="X125" s="448"/>
      <c r="Y125" s="448"/>
    </row>
    <row r="126">
      <c r="A126" s="455" t="s">
        <v>795</v>
      </c>
      <c r="B126" s="455" t="s">
        <v>795</v>
      </c>
      <c r="C126" s="455" t="s">
        <v>759</v>
      </c>
      <c r="D126" s="575">
        <v>2.8</v>
      </c>
      <c r="E126" s="448"/>
      <c r="F126" s="448"/>
      <c r="G126" s="575">
        <v>1.52E-15</v>
      </c>
      <c r="H126" s="448"/>
      <c r="I126" s="448"/>
      <c r="J126" s="448"/>
      <c r="K126" s="448"/>
      <c r="L126" s="448"/>
      <c r="M126" s="448"/>
      <c r="N126" s="448"/>
      <c r="O126" s="448"/>
      <c r="P126" s="448"/>
      <c r="Q126" s="455"/>
      <c r="R126" s="448"/>
      <c r="S126" s="575">
        <v>1.79</v>
      </c>
      <c r="T126" s="575">
        <v>2.75</v>
      </c>
      <c r="U126" s="575">
        <v>6640.0</v>
      </c>
      <c r="V126" s="455">
        <v>2.28</v>
      </c>
      <c r="W126" s="448"/>
      <c r="X126" s="448"/>
      <c r="Y126" s="448"/>
    </row>
    <row r="127">
      <c r="A127" s="455" t="s">
        <v>775</v>
      </c>
      <c r="B127" s="455" t="s">
        <v>775</v>
      </c>
      <c r="C127" s="455" t="s">
        <v>759</v>
      </c>
      <c r="D127" s="575">
        <v>11.7</v>
      </c>
      <c r="E127" s="448"/>
      <c r="F127" s="448"/>
      <c r="G127" s="575">
        <v>3.1E-15</v>
      </c>
      <c r="H127" s="448"/>
      <c r="I127" s="448"/>
      <c r="J127" s="448"/>
      <c r="K127" s="448"/>
      <c r="L127" s="448"/>
      <c r="M127" s="448"/>
      <c r="N127" s="448"/>
      <c r="O127" s="448"/>
      <c r="P127" s="448"/>
      <c r="Q127" s="455"/>
      <c r="R127" s="448"/>
      <c r="S127" s="575">
        <v>1.26</v>
      </c>
      <c r="T127" s="575">
        <v>1.56</v>
      </c>
      <c r="U127" s="575">
        <v>2650.0</v>
      </c>
      <c r="V127" s="455">
        <v>1.3</v>
      </c>
      <c r="W127" s="448"/>
      <c r="X127" s="448"/>
      <c r="Y127" s="448"/>
    </row>
    <row r="128">
      <c r="A128" s="455" t="s">
        <v>791</v>
      </c>
      <c r="B128" s="455" t="s">
        <v>791</v>
      </c>
      <c r="C128" s="455" t="s">
        <v>759</v>
      </c>
      <c r="D128" s="575">
        <v>8.8</v>
      </c>
      <c r="E128" s="448"/>
      <c r="F128" s="448"/>
      <c r="G128" s="575">
        <v>1.98E-15</v>
      </c>
      <c r="H128" s="448"/>
      <c r="I128" s="448"/>
      <c r="J128" s="448"/>
      <c r="K128" s="448"/>
      <c r="L128" s="448"/>
      <c r="M128" s="448"/>
      <c r="N128" s="448"/>
      <c r="O128" s="448"/>
      <c r="P128" s="448"/>
      <c r="Q128" s="455"/>
      <c r="R128" s="448"/>
      <c r="S128" s="575">
        <v>1.75</v>
      </c>
      <c r="T128" s="575">
        <v>2.53</v>
      </c>
      <c r="U128" s="448"/>
      <c r="V128" s="455">
        <v>2.52</v>
      </c>
      <c r="W128" s="448"/>
      <c r="X128" s="448"/>
      <c r="Y128" s="448"/>
    </row>
    <row r="129">
      <c r="A129" s="455" t="s">
        <v>778</v>
      </c>
      <c r="B129" s="455" t="s">
        <v>778</v>
      </c>
      <c r="C129" s="455" t="s">
        <v>759</v>
      </c>
      <c r="D129" s="575">
        <v>14.9</v>
      </c>
      <c r="E129" s="448"/>
      <c r="F129" s="448"/>
      <c r="G129" s="575">
        <v>1.74E-15</v>
      </c>
      <c r="H129" s="448"/>
      <c r="I129" s="448"/>
      <c r="J129" s="448"/>
      <c r="K129" s="448"/>
      <c r="L129" s="448"/>
      <c r="M129" s="448"/>
      <c r="N129" s="448"/>
      <c r="O129" s="448"/>
      <c r="P129" s="448"/>
      <c r="Q129" s="455"/>
      <c r="R129" s="448"/>
      <c r="S129" s="575">
        <v>1.36</v>
      </c>
      <c r="T129" s="575">
        <v>1.71</v>
      </c>
      <c r="U129" s="575">
        <v>3830.0</v>
      </c>
      <c r="V129" s="455">
        <v>1.7</v>
      </c>
      <c r="W129" s="448"/>
      <c r="X129" s="448"/>
      <c r="Y129" s="448"/>
    </row>
    <row r="130">
      <c r="A130" s="455" t="s">
        <v>802</v>
      </c>
      <c r="B130" s="455" t="s">
        <v>802</v>
      </c>
      <c r="C130" s="455" t="s">
        <v>759</v>
      </c>
      <c r="D130" s="575">
        <v>8.23</v>
      </c>
      <c r="E130" s="448"/>
      <c r="F130" s="448"/>
      <c r="G130" s="448"/>
      <c r="H130" s="448"/>
      <c r="I130" s="448"/>
      <c r="J130" s="448"/>
      <c r="K130" s="448"/>
      <c r="L130" s="448"/>
      <c r="M130" s="448"/>
      <c r="N130" s="448"/>
      <c r="O130" s="448"/>
      <c r="P130" s="448"/>
      <c r="Q130" s="455"/>
      <c r="R130" s="448"/>
      <c r="S130" s="575">
        <v>2.08</v>
      </c>
      <c r="T130" s="575">
        <v>3.05</v>
      </c>
      <c r="U130" s="575">
        <v>5260.0</v>
      </c>
      <c r="V130" s="455">
        <v>1.93</v>
      </c>
      <c r="W130" s="448"/>
      <c r="X130" s="448"/>
      <c r="Y130" s="448"/>
    </row>
    <row r="131">
      <c r="A131" s="455" t="s">
        <v>800</v>
      </c>
      <c r="B131" s="455" t="s">
        <v>800</v>
      </c>
      <c r="C131" s="455" t="s">
        <v>759</v>
      </c>
      <c r="D131" s="575">
        <v>26.6</v>
      </c>
      <c r="E131" s="448"/>
      <c r="F131" s="448"/>
      <c r="G131" s="448"/>
      <c r="H131" s="448"/>
      <c r="I131" s="448"/>
      <c r="J131" s="448"/>
      <c r="K131" s="448"/>
      <c r="L131" s="448"/>
      <c r="M131" s="448"/>
      <c r="N131" s="448"/>
      <c r="O131" s="448"/>
      <c r="P131" s="448"/>
      <c r="Q131" s="455"/>
      <c r="R131" s="448"/>
      <c r="S131" s="575">
        <v>2.0</v>
      </c>
      <c r="T131" s="575">
        <v>3.26</v>
      </c>
      <c r="U131" s="575">
        <v>8330.0</v>
      </c>
      <c r="V131" s="455">
        <v>2.45</v>
      </c>
      <c r="W131" s="448"/>
      <c r="X131" s="448"/>
      <c r="Y131" s="448"/>
    </row>
    <row r="132">
      <c r="A132" s="455" t="s">
        <v>767</v>
      </c>
      <c r="B132" s="455" t="s">
        <v>767</v>
      </c>
      <c r="C132" s="455" t="s">
        <v>759</v>
      </c>
      <c r="D132" s="575">
        <v>31.7</v>
      </c>
      <c r="E132" s="448"/>
      <c r="F132" s="448"/>
      <c r="G132" s="575">
        <v>4.58E-16</v>
      </c>
      <c r="H132" s="448"/>
      <c r="I132" s="448"/>
      <c r="J132" s="448"/>
      <c r="K132" s="448"/>
      <c r="L132" s="448"/>
      <c r="M132" s="448"/>
      <c r="N132" s="448"/>
      <c r="O132" s="448"/>
      <c r="P132" s="448"/>
      <c r="Q132" s="455"/>
      <c r="R132" s="448"/>
      <c r="S132" s="575">
        <v>1.05</v>
      </c>
      <c r="T132" s="575">
        <v>1.92</v>
      </c>
      <c r="U132" s="448"/>
      <c r="V132" s="455">
        <v>1.89</v>
      </c>
      <c r="W132" s="448"/>
      <c r="X132" s="448"/>
      <c r="Y132" s="448"/>
    </row>
    <row r="133">
      <c r="A133" s="455" t="s">
        <v>789</v>
      </c>
      <c r="B133" s="455" t="s">
        <v>789</v>
      </c>
      <c r="C133" s="455" t="s">
        <v>759</v>
      </c>
      <c r="D133" s="575">
        <v>43.6</v>
      </c>
      <c r="E133" s="448"/>
      <c r="F133" s="448"/>
      <c r="G133" s="575">
        <v>1.87E-14</v>
      </c>
      <c r="H133" s="448"/>
      <c r="I133" s="448"/>
      <c r="J133" s="448"/>
      <c r="K133" s="448"/>
      <c r="L133" s="448"/>
      <c r="M133" s="448"/>
      <c r="N133" s="448"/>
      <c r="O133" s="448"/>
      <c r="P133" s="448"/>
      <c r="Q133" s="455"/>
      <c r="R133" s="448"/>
      <c r="S133" s="575">
        <v>1.75</v>
      </c>
      <c r="T133" s="575">
        <v>2.94</v>
      </c>
      <c r="U133" s="575">
        <v>8530.0</v>
      </c>
      <c r="V133" s="455">
        <v>2.45</v>
      </c>
      <c r="W133" s="448"/>
      <c r="X133" s="448"/>
      <c r="Y133" s="448"/>
    </row>
    <row r="134">
      <c r="A134" s="455" t="s">
        <v>777</v>
      </c>
      <c r="B134" s="455" t="s">
        <v>777</v>
      </c>
      <c r="C134" s="455" t="s">
        <v>759</v>
      </c>
      <c r="D134" s="575">
        <v>33.7</v>
      </c>
      <c r="E134" s="448"/>
      <c r="F134" s="448"/>
      <c r="G134" s="575">
        <v>2.09E-15</v>
      </c>
      <c r="H134" s="448"/>
      <c r="I134" s="448"/>
      <c r="J134" s="448"/>
      <c r="K134" s="448"/>
      <c r="L134" s="448"/>
      <c r="M134" s="448"/>
      <c r="N134" s="448"/>
      <c r="O134" s="448"/>
      <c r="P134" s="448"/>
      <c r="Q134" s="455"/>
      <c r="R134" s="448"/>
      <c r="S134" s="575">
        <v>1.3</v>
      </c>
      <c r="T134" s="575">
        <v>1.64</v>
      </c>
      <c r="U134" s="448"/>
      <c r="V134" s="455">
        <v>3.14</v>
      </c>
      <c r="W134" s="448"/>
      <c r="X134" s="448"/>
      <c r="Y134" s="448"/>
    </row>
    <row r="135">
      <c r="A135" s="455" t="s">
        <v>804</v>
      </c>
      <c r="B135" s="455" t="s">
        <v>804</v>
      </c>
      <c r="C135" s="455" t="s">
        <v>759</v>
      </c>
      <c r="D135" s="575">
        <v>1.9</v>
      </c>
      <c r="E135" s="448"/>
      <c r="F135" s="448"/>
      <c r="G135" s="575">
        <v>1.59E-15</v>
      </c>
      <c r="H135" s="448"/>
      <c r="I135" s="448"/>
      <c r="J135" s="448"/>
      <c r="K135" s="448"/>
      <c r="L135" s="448"/>
      <c r="M135" s="448"/>
      <c r="N135" s="448"/>
      <c r="O135" s="448"/>
      <c r="P135" s="448"/>
      <c r="Q135" s="455"/>
      <c r="R135" s="448"/>
      <c r="S135" s="575">
        <v>2.16</v>
      </c>
      <c r="T135" s="575">
        <v>4.11</v>
      </c>
      <c r="U135" s="575">
        <v>17300.0</v>
      </c>
      <c r="V135" s="455">
        <v>2.06</v>
      </c>
      <c r="W135" s="448"/>
      <c r="X135" s="448"/>
      <c r="Y135" s="448"/>
    </row>
    <row r="136">
      <c r="A136" s="455" t="s">
        <v>805</v>
      </c>
      <c r="B136" s="455" t="s">
        <v>805</v>
      </c>
      <c r="C136" s="455" t="s">
        <v>759</v>
      </c>
      <c r="D136" s="575">
        <v>14.0</v>
      </c>
      <c r="E136" s="448"/>
      <c r="F136" s="448"/>
      <c r="G136" s="575">
        <v>2.41E-14</v>
      </c>
      <c r="H136" s="448"/>
      <c r="I136" s="448"/>
      <c r="J136" s="448"/>
      <c r="K136" s="448"/>
      <c r="L136" s="448"/>
      <c r="M136" s="448"/>
      <c r="N136" s="448"/>
      <c r="O136" s="448"/>
      <c r="P136" s="448"/>
      <c r="Q136" s="455"/>
      <c r="R136" s="448"/>
      <c r="S136" s="575">
        <v>2.62</v>
      </c>
      <c r="T136" s="575">
        <v>4.16</v>
      </c>
      <c r="U136" s="575">
        <v>5540.0</v>
      </c>
      <c r="V136" s="455">
        <v>2.11</v>
      </c>
      <c r="W136" s="448"/>
      <c r="X136" s="448"/>
      <c r="Y136" s="448"/>
    </row>
    <row r="137">
      <c r="A137" s="455" t="s">
        <v>771</v>
      </c>
      <c r="B137" s="455" t="s">
        <v>771</v>
      </c>
      <c r="C137" s="455" t="s">
        <v>759</v>
      </c>
      <c r="D137" s="575">
        <v>40.5</v>
      </c>
      <c r="E137" s="448"/>
      <c r="F137" s="448"/>
      <c r="G137" s="575">
        <v>1.51E-15</v>
      </c>
      <c r="H137" s="448"/>
      <c r="I137" s="448"/>
      <c r="J137" s="448"/>
      <c r="K137" s="448"/>
      <c r="L137" s="448"/>
      <c r="M137" s="448"/>
      <c r="N137" s="448"/>
      <c r="O137" s="448"/>
      <c r="P137" s="448"/>
      <c r="Q137" s="455"/>
      <c r="R137" s="448"/>
      <c r="S137" s="575">
        <v>1.15</v>
      </c>
      <c r="T137" s="575">
        <v>1.35</v>
      </c>
      <c r="U137" s="448"/>
      <c r="V137" s="455">
        <v>2.64</v>
      </c>
      <c r="W137" s="448"/>
      <c r="X137" s="448"/>
      <c r="Y137" s="448"/>
    </row>
    <row r="138">
      <c r="A138" s="455" t="s">
        <v>773</v>
      </c>
      <c r="B138" s="455" t="s">
        <v>773</v>
      </c>
      <c r="C138" s="455" t="s">
        <v>759</v>
      </c>
      <c r="D138" s="575">
        <v>5.3</v>
      </c>
      <c r="E138" s="448"/>
      <c r="F138" s="448"/>
      <c r="G138" s="575">
        <v>2.42E-16</v>
      </c>
      <c r="H138" s="448"/>
      <c r="I138" s="448"/>
      <c r="J138" s="448"/>
      <c r="K138" s="448"/>
      <c r="L138" s="448"/>
      <c r="M138" s="448"/>
      <c r="N138" s="448"/>
      <c r="O138" s="448"/>
      <c r="P138" s="448"/>
      <c r="Q138" s="455"/>
      <c r="R138" s="448"/>
      <c r="S138" s="575">
        <v>1.23</v>
      </c>
      <c r="T138" s="575">
        <v>1.28</v>
      </c>
      <c r="U138" s="448"/>
      <c r="V138" s="455">
        <v>3.84</v>
      </c>
      <c r="W138" s="448"/>
      <c r="X138" s="448"/>
      <c r="Y138" s="448"/>
    </row>
    <row r="139">
      <c r="A139" s="455" t="s">
        <v>798</v>
      </c>
      <c r="B139" s="455" t="s">
        <v>798</v>
      </c>
      <c r="C139" s="455" t="s">
        <v>759</v>
      </c>
      <c r="D139" s="575">
        <v>10.3</v>
      </c>
      <c r="E139" s="448"/>
      <c r="F139" s="448"/>
      <c r="G139" s="575">
        <v>2.27E-15</v>
      </c>
      <c r="H139" s="448"/>
      <c r="I139" s="448"/>
      <c r="J139" s="448"/>
      <c r="K139" s="448"/>
      <c r="L139" s="448"/>
      <c r="M139" s="448"/>
      <c r="N139" s="448"/>
      <c r="O139" s="448"/>
      <c r="P139" s="448"/>
      <c r="Q139" s="455"/>
      <c r="R139" s="448"/>
      <c r="S139" s="575">
        <v>2.0</v>
      </c>
      <c r="T139" s="575">
        <v>2.01</v>
      </c>
      <c r="U139" s="575">
        <v>3360.0</v>
      </c>
      <c r="V139" s="455">
        <v>3.82</v>
      </c>
      <c r="W139" s="448"/>
      <c r="X139" s="448"/>
      <c r="Y139" s="448"/>
    </row>
    <row r="140">
      <c r="A140" s="455" t="s">
        <v>780</v>
      </c>
      <c r="B140" s="455" t="s">
        <v>780</v>
      </c>
      <c r="C140" s="455" t="s">
        <v>759</v>
      </c>
      <c r="D140" s="575">
        <v>16.6</v>
      </c>
      <c r="E140" s="448"/>
      <c r="F140" s="448"/>
      <c r="G140" s="575">
        <v>2.88E-15</v>
      </c>
      <c r="H140" s="448"/>
      <c r="I140" s="448"/>
      <c r="J140" s="448"/>
      <c r="K140" s="448"/>
      <c r="L140" s="448"/>
      <c r="M140" s="448"/>
      <c r="N140" s="448"/>
      <c r="O140" s="448"/>
      <c r="P140" s="448"/>
      <c r="Q140" s="455"/>
      <c r="R140" s="448"/>
      <c r="S140" s="575">
        <v>1.57</v>
      </c>
      <c r="T140" s="575">
        <v>2.31</v>
      </c>
      <c r="U140" s="575">
        <v>1650.0</v>
      </c>
      <c r="V140" s="455">
        <v>2.69</v>
      </c>
      <c r="W140" s="448"/>
      <c r="X140" s="448"/>
      <c r="Y140" s="448"/>
    </row>
    <row r="141">
      <c r="A141" s="455" t="s">
        <v>769</v>
      </c>
      <c r="B141" s="455" t="s">
        <v>769</v>
      </c>
      <c r="C141" s="455" t="s">
        <v>759</v>
      </c>
      <c r="D141" s="575">
        <v>5.2</v>
      </c>
      <c r="E141" s="448"/>
      <c r="F141" s="448"/>
      <c r="G141" s="575">
        <v>5.15E-16</v>
      </c>
      <c r="H141" s="448"/>
      <c r="I141" s="448"/>
      <c r="J141" s="448"/>
      <c r="K141" s="448"/>
      <c r="L141" s="448"/>
      <c r="M141" s="448"/>
      <c r="N141" s="448"/>
      <c r="O141" s="448"/>
      <c r="P141" s="448"/>
      <c r="Q141" s="455"/>
      <c r="R141" s="448"/>
      <c r="S141" s="575">
        <v>1.12</v>
      </c>
      <c r="T141" s="575">
        <v>1.31</v>
      </c>
      <c r="U141" s="575">
        <v>1480.0</v>
      </c>
      <c r="V141" s="455">
        <v>1.05</v>
      </c>
      <c r="W141" s="448"/>
      <c r="X141" s="448"/>
      <c r="Y141" s="448"/>
    </row>
    <row r="142">
      <c r="A142" s="455" t="s">
        <v>787</v>
      </c>
      <c r="B142" s="455" t="s">
        <v>787</v>
      </c>
      <c r="C142" s="455" t="s">
        <v>759</v>
      </c>
      <c r="D142" s="575">
        <v>21.2</v>
      </c>
      <c r="E142" s="448"/>
      <c r="F142" s="448"/>
      <c r="G142" s="575">
        <v>9.86E-16</v>
      </c>
      <c r="H142" s="448"/>
      <c r="I142" s="448"/>
      <c r="J142" s="448"/>
      <c r="K142" s="448"/>
      <c r="L142" s="448"/>
      <c r="M142" s="448"/>
      <c r="N142" s="448"/>
      <c r="O142" s="448"/>
      <c r="P142" s="448"/>
      <c r="Q142" s="455"/>
      <c r="R142" s="448"/>
      <c r="S142" s="575">
        <v>1.66</v>
      </c>
      <c r="T142" s="575">
        <v>2.75</v>
      </c>
      <c r="U142" s="575">
        <v>326.0</v>
      </c>
      <c r="V142" s="455">
        <v>2.33</v>
      </c>
      <c r="W142" s="448"/>
      <c r="X142" s="448"/>
      <c r="Y142" s="448"/>
    </row>
    <row r="143">
      <c r="A143" s="455" t="s">
        <v>757</v>
      </c>
      <c r="B143" s="455" t="s">
        <v>757</v>
      </c>
      <c r="C143" s="455" t="s">
        <v>759</v>
      </c>
      <c r="D143" s="575">
        <v>29.0</v>
      </c>
      <c r="E143" s="448"/>
      <c r="F143" s="448"/>
      <c r="G143" s="575">
        <v>4.27E-16</v>
      </c>
      <c r="H143" s="448"/>
      <c r="I143" s="448"/>
      <c r="J143" s="448"/>
      <c r="K143" s="448"/>
      <c r="L143" s="448"/>
      <c r="M143" s="448"/>
      <c r="N143" s="448"/>
      <c r="O143" s="448"/>
      <c r="P143" s="448"/>
      <c r="Q143" s="455"/>
      <c r="R143" s="448"/>
      <c r="S143" s="575">
        <v>0.56</v>
      </c>
      <c r="T143" s="575">
        <v>1.88</v>
      </c>
      <c r="U143" s="575">
        <v>3630.0</v>
      </c>
      <c r="V143" s="455">
        <v>2.77</v>
      </c>
      <c r="W143" s="448"/>
      <c r="X143" s="448"/>
      <c r="Y143" s="448"/>
    </row>
    <row r="144">
      <c r="A144" s="455" t="s">
        <v>692</v>
      </c>
      <c r="B144" s="455" t="s">
        <v>692</v>
      </c>
      <c r="C144" s="455" t="s">
        <v>598</v>
      </c>
      <c r="D144" s="575">
        <v>41.4</v>
      </c>
      <c r="E144" s="448"/>
      <c r="F144" s="448"/>
      <c r="G144" s="448"/>
      <c r="H144" s="448"/>
      <c r="I144" s="448"/>
      <c r="J144" s="448"/>
      <c r="K144" s="448"/>
      <c r="L144" s="448"/>
      <c r="M144" s="448"/>
      <c r="N144" s="448"/>
      <c r="O144" s="448"/>
      <c r="P144" s="448"/>
      <c r="Q144" s="455"/>
      <c r="R144" s="448"/>
      <c r="S144" s="575">
        <v>0.1</v>
      </c>
      <c r="T144" s="575">
        <v>0.64</v>
      </c>
      <c r="U144" s="575">
        <v>196.0</v>
      </c>
      <c r="V144" s="448"/>
      <c r="W144" s="448"/>
      <c r="X144" s="448"/>
      <c r="Y144" s="448"/>
    </row>
    <row r="145">
      <c r="A145" s="455" t="s">
        <v>695</v>
      </c>
      <c r="B145" s="455" t="s">
        <v>695</v>
      </c>
      <c r="C145" s="455" t="s">
        <v>598</v>
      </c>
      <c r="D145" s="575">
        <v>5.0</v>
      </c>
      <c r="E145" s="448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55" t="s">
        <v>137</v>
      </c>
      <c r="R145" s="455" t="s">
        <v>638</v>
      </c>
      <c r="S145" s="575">
        <v>0.1</v>
      </c>
      <c r="T145" s="575">
        <v>0.47</v>
      </c>
      <c r="U145" s="575">
        <v>187.0</v>
      </c>
      <c r="V145" s="448"/>
      <c r="W145" s="448"/>
      <c r="X145" s="448"/>
      <c r="Y145" s="448"/>
    </row>
    <row r="146">
      <c r="A146" s="455" t="s">
        <v>654</v>
      </c>
      <c r="B146" s="455" t="s">
        <v>654</v>
      </c>
      <c r="C146" s="455" t="s">
        <v>598</v>
      </c>
      <c r="D146" s="575">
        <v>10.1</v>
      </c>
      <c r="E146" s="448"/>
      <c r="F146" s="448"/>
      <c r="G146" s="575">
        <v>3.16E-16</v>
      </c>
      <c r="H146" s="448"/>
      <c r="I146" s="448"/>
      <c r="J146" s="448"/>
      <c r="K146" s="448"/>
      <c r="L146" s="448"/>
      <c r="M146" s="448"/>
      <c r="N146" s="448"/>
      <c r="O146" s="448"/>
      <c r="P146" s="448"/>
      <c r="Q146" s="455" t="s">
        <v>137</v>
      </c>
      <c r="R146" s="455" t="s">
        <v>638</v>
      </c>
      <c r="S146" s="575">
        <v>0.0349</v>
      </c>
      <c r="T146" s="575">
        <v>0.279</v>
      </c>
      <c r="U146" s="575">
        <v>185.0</v>
      </c>
      <c r="V146" s="455">
        <v>1.59</v>
      </c>
      <c r="W146" s="448"/>
      <c r="X146" s="448"/>
      <c r="Y146" s="448"/>
    </row>
    <row r="147">
      <c r="A147" s="455" t="s">
        <v>1950</v>
      </c>
      <c r="B147" s="455" t="s">
        <v>1951</v>
      </c>
      <c r="C147" s="455" t="s">
        <v>598</v>
      </c>
      <c r="D147" s="575">
        <v>66.8</v>
      </c>
      <c r="E147" s="448"/>
      <c r="F147" s="448"/>
      <c r="G147" s="448"/>
      <c r="H147" s="448"/>
      <c r="I147" s="448"/>
      <c r="J147" s="448"/>
      <c r="K147" s="448"/>
      <c r="L147" s="448"/>
      <c r="M147" s="448"/>
      <c r="N147" s="448"/>
      <c r="O147" s="448"/>
      <c r="P147" s="448"/>
      <c r="Q147" s="455" t="s">
        <v>137</v>
      </c>
      <c r="R147" s="455" t="s">
        <v>638</v>
      </c>
      <c r="S147" s="575">
        <v>0.0258</v>
      </c>
      <c r="T147" s="575">
        <v>0.3</v>
      </c>
      <c r="U147" s="575">
        <v>173.0</v>
      </c>
      <c r="V147" s="455">
        <v>0.0</v>
      </c>
      <c r="W147" s="448"/>
      <c r="X147" s="448"/>
      <c r="Y147" s="448"/>
    </row>
    <row r="148">
      <c r="A148" s="455" t="s">
        <v>322</v>
      </c>
      <c r="B148" s="455" t="s">
        <v>323</v>
      </c>
      <c r="C148" s="455" t="s">
        <v>306</v>
      </c>
      <c r="D148" s="575">
        <v>50.0</v>
      </c>
      <c r="E148" s="448"/>
      <c r="F148" s="448"/>
      <c r="G148" s="575">
        <v>2.4E-15</v>
      </c>
      <c r="H148" s="448"/>
      <c r="I148" s="448"/>
      <c r="J148" s="448"/>
      <c r="K148" s="448"/>
      <c r="L148" s="448"/>
      <c r="M148" s="448"/>
      <c r="N148" s="448"/>
      <c r="O148" s="448"/>
      <c r="P148" s="448"/>
      <c r="Q148" s="455"/>
      <c r="R148" s="448"/>
      <c r="S148" s="575">
        <v>0.026</v>
      </c>
      <c r="T148" s="575">
        <v>0.23</v>
      </c>
      <c r="U148" s="575">
        <v>60.0</v>
      </c>
      <c r="V148" s="455">
        <v>0.0</v>
      </c>
      <c r="W148" s="448"/>
      <c r="X148" s="448"/>
      <c r="Y148" s="448"/>
    </row>
    <row r="149">
      <c r="A149" s="455" t="s">
        <v>665</v>
      </c>
      <c r="B149" s="455" t="s">
        <v>665</v>
      </c>
      <c r="C149" s="455" t="s">
        <v>598</v>
      </c>
      <c r="D149" s="575">
        <v>9.3</v>
      </c>
      <c r="E149" s="448"/>
      <c r="F149" s="448"/>
      <c r="G149" s="448"/>
      <c r="H149" s="448"/>
      <c r="I149" s="448"/>
      <c r="J149" s="448"/>
      <c r="K149" s="448"/>
      <c r="L149" s="448"/>
      <c r="M149" s="448"/>
      <c r="N149" s="448"/>
      <c r="O149" s="448"/>
      <c r="P149" s="448"/>
      <c r="Q149" s="455" t="s">
        <v>137</v>
      </c>
      <c r="R149" s="455" t="s">
        <v>638</v>
      </c>
      <c r="S149" s="575">
        <v>0.0572</v>
      </c>
      <c r="T149" s="575">
        <v>0.3</v>
      </c>
      <c r="U149" s="575">
        <v>202.0</v>
      </c>
      <c r="V149" s="455">
        <v>0.39</v>
      </c>
      <c r="W149" s="448"/>
      <c r="X149" s="448"/>
      <c r="Y149" s="448"/>
    </row>
    <row r="150">
      <c r="A150" s="455" t="s">
        <v>697</v>
      </c>
      <c r="B150" s="455" t="s">
        <v>697</v>
      </c>
      <c r="C150" s="455" t="s">
        <v>598</v>
      </c>
      <c r="D150" s="575">
        <v>8.8</v>
      </c>
      <c r="E150" s="448"/>
      <c r="F150" s="448"/>
      <c r="G150" s="575">
        <v>2.4E-16</v>
      </c>
      <c r="H150" s="448"/>
      <c r="I150" s="448"/>
      <c r="J150" s="448"/>
      <c r="K150" s="448"/>
      <c r="L150" s="448"/>
      <c r="M150" s="448"/>
      <c r="N150" s="448"/>
      <c r="O150" s="448"/>
      <c r="P150" s="448"/>
      <c r="Q150" s="455" t="s">
        <v>137</v>
      </c>
      <c r="R150" s="455" t="s">
        <v>638</v>
      </c>
      <c r="S150" s="575">
        <v>0.11</v>
      </c>
      <c r="T150" s="575">
        <v>0.75</v>
      </c>
      <c r="U150" s="575">
        <v>193.0</v>
      </c>
      <c r="V150" s="448"/>
      <c r="W150" s="448"/>
      <c r="X150" s="448"/>
      <c r="Y150" s="448"/>
    </row>
    <row r="151">
      <c r="A151" s="455" t="s">
        <v>698</v>
      </c>
      <c r="B151" s="455" t="s">
        <v>698</v>
      </c>
      <c r="C151" s="455" t="s">
        <v>598</v>
      </c>
      <c r="D151" s="575">
        <v>8.4</v>
      </c>
      <c r="E151" s="448"/>
      <c r="F151" s="448"/>
      <c r="G151" s="575">
        <v>1.08E-15</v>
      </c>
      <c r="H151" s="448"/>
      <c r="I151" s="448"/>
      <c r="J151" s="448"/>
      <c r="K151" s="448"/>
      <c r="L151" s="448"/>
      <c r="M151" s="448"/>
      <c r="N151" s="448"/>
      <c r="O151" s="448"/>
      <c r="P151" s="448"/>
      <c r="Q151" s="455" t="s">
        <v>137</v>
      </c>
      <c r="R151" s="455" t="s">
        <v>638</v>
      </c>
      <c r="S151" s="575">
        <v>0.12</v>
      </c>
      <c r="T151" s="575">
        <v>0.95</v>
      </c>
      <c r="U151" s="575">
        <v>194.0</v>
      </c>
      <c r="V151" s="448"/>
      <c r="W151" s="448"/>
      <c r="X151" s="448"/>
      <c r="Y151" s="448"/>
    </row>
    <row r="152">
      <c r="A152" s="455" t="s">
        <v>675</v>
      </c>
      <c r="B152" s="455" t="s">
        <v>675</v>
      </c>
      <c r="C152" s="455" t="s">
        <v>598</v>
      </c>
      <c r="D152" s="575">
        <v>5.0</v>
      </c>
      <c r="E152" s="448"/>
      <c r="F152" s="448"/>
      <c r="G152" s="575">
        <v>4.69E-16</v>
      </c>
      <c r="H152" s="448"/>
      <c r="I152" s="448"/>
      <c r="J152" s="448"/>
      <c r="K152" s="448"/>
      <c r="L152" s="448"/>
      <c r="M152" s="448"/>
      <c r="N152" s="448"/>
      <c r="O152" s="448"/>
      <c r="P152" s="448"/>
      <c r="Q152" s="455" t="s">
        <v>137</v>
      </c>
      <c r="R152" s="455" t="s">
        <v>638</v>
      </c>
      <c r="S152" s="575">
        <v>0.08</v>
      </c>
      <c r="T152" s="575">
        <v>0.58</v>
      </c>
      <c r="U152" s="575">
        <v>193.0</v>
      </c>
      <c r="V152" s="448"/>
      <c r="W152" s="448"/>
      <c r="X152" s="448"/>
      <c r="Y152" s="448"/>
    </row>
    <row r="153">
      <c r="A153" s="455" t="s">
        <v>682</v>
      </c>
      <c r="B153" s="455" t="s">
        <v>2354</v>
      </c>
      <c r="C153" s="455" t="s">
        <v>598</v>
      </c>
      <c r="D153" s="575">
        <v>66.1</v>
      </c>
      <c r="E153" s="448"/>
      <c r="F153" s="448"/>
      <c r="G153" s="448"/>
      <c r="H153" s="448"/>
      <c r="I153" s="448"/>
      <c r="J153" s="448"/>
      <c r="K153" s="448"/>
      <c r="L153" s="448"/>
      <c r="M153" s="448"/>
      <c r="N153" s="448"/>
      <c r="O153" s="448"/>
      <c r="P153" s="448"/>
      <c r="Q153" s="455"/>
      <c r="R153" s="448"/>
      <c r="S153" s="575">
        <v>0.08</v>
      </c>
      <c r="T153" s="575">
        <v>0.64</v>
      </c>
      <c r="U153" s="575">
        <v>240.0</v>
      </c>
      <c r="V153" s="448"/>
      <c r="W153" s="448"/>
      <c r="X153" s="448"/>
      <c r="Y153" s="448"/>
    </row>
    <row r="154">
      <c r="A154" s="455" t="s">
        <v>685</v>
      </c>
      <c r="B154" s="455" t="s">
        <v>2356</v>
      </c>
      <c r="C154" s="455" t="s">
        <v>598</v>
      </c>
      <c r="D154" s="575">
        <v>173.0</v>
      </c>
      <c r="E154" s="448"/>
      <c r="F154" s="448"/>
      <c r="G154" s="575">
        <v>2.95E-15</v>
      </c>
      <c r="H154" s="448"/>
      <c r="I154" s="448"/>
      <c r="J154" s="448"/>
      <c r="K154" s="448"/>
      <c r="L154" s="448"/>
      <c r="M154" s="448"/>
      <c r="N154" s="448"/>
      <c r="O154" s="448"/>
      <c r="P154" s="448"/>
      <c r="Q154" s="455"/>
      <c r="R154" s="448"/>
      <c r="S154" s="575">
        <v>0.08</v>
      </c>
      <c r="T154" s="575">
        <v>0.62</v>
      </c>
      <c r="U154" s="575">
        <v>204.0</v>
      </c>
      <c r="V154" s="448"/>
      <c r="W154" s="448"/>
      <c r="X154" s="448"/>
      <c r="Y154" s="448"/>
    </row>
    <row r="155">
      <c r="A155" s="455" t="s">
        <v>1952</v>
      </c>
      <c r="B155" s="455" t="s">
        <v>1953</v>
      </c>
      <c r="C155" s="455" t="s">
        <v>598</v>
      </c>
      <c r="D155" s="448"/>
      <c r="E155" s="448"/>
      <c r="F155" s="448"/>
      <c r="G155" s="448"/>
      <c r="H155" s="448"/>
      <c r="I155" s="448"/>
      <c r="J155" s="448"/>
      <c r="K155" s="448"/>
      <c r="L155" s="448"/>
      <c r="M155" s="448"/>
      <c r="N155" s="448"/>
      <c r="O155" s="448"/>
      <c r="P155" s="448"/>
      <c r="Q155" s="455" t="s">
        <v>137</v>
      </c>
      <c r="R155" s="455" t="s">
        <v>638</v>
      </c>
      <c r="S155" s="575">
        <v>0.44</v>
      </c>
      <c r="T155" s="575">
        <v>1.7</v>
      </c>
      <c r="U155" s="448"/>
      <c r="V155" s="448"/>
      <c r="W155" s="448"/>
      <c r="X155" s="448"/>
      <c r="Y155" s="448"/>
    </row>
    <row r="156">
      <c r="A156" s="455" t="s">
        <v>681</v>
      </c>
      <c r="B156" s="455" t="s">
        <v>681</v>
      </c>
      <c r="C156" s="455" t="s">
        <v>598</v>
      </c>
      <c r="D156" s="575">
        <v>11.8</v>
      </c>
      <c r="E156" s="448"/>
      <c r="F156" s="448"/>
      <c r="G156" s="448"/>
      <c r="H156" s="448"/>
      <c r="I156" s="448"/>
      <c r="J156" s="448"/>
      <c r="K156" s="448"/>
      <c r="L156" s="448"/>
      <c r="M156" s="448"/>
      <c r="N156" s="448"/>
      <c r="O156" s="448"/>
      <c r="P156" s="448"/>
      <c r="Q156" s="455" t="s">
        <v>137</v>
      </c>
      <c r="R156" s="455" t="s">
        <v>638</v>
      </c>
      <c r="S156" s="575">
        <v>0.08</v>
      </c>
      <c r="T156" s="575">
        <v>0.42</v>
      </c>
      <c r="U156" s="575">
        <v>160.0</v>
      </c>
      <c r="V156" s="448"/>
      <c r="W156" s="448"/>
      <c r="X156" s="448"/>
      <c r="Y156" s="448"/>
    </row>
    <row r="157">
      <c r="A157" s="455" t="s">
        <v>222</v>
      </c>
      <c r="B157" s="455" t="s">
        <v>222</v>
      </c>
      <c r="C157" s="455" t="s">
        <v>225</v>
      </c>
      <c r="D157" s="448"/>
      <c r="E157" s="448"/>
      <c r="F157" s="448"/>
      <c r="G157" s="575">
        <v>3.7E-14</v>
      </c>
      <c r="H157" s="575">
        <v>5.3E-15</v>
      </c>
      <c r="I157" s="575">
        <v>2.7E-15</v>
      </c>
      <c r="J157" s="448"/>
      <c r="K157" s="448"/>
      <c r="L157" s="448"/>
      <c r="M157" s="448"/>
      <c r="N157" s="448"/>
      <c r="O157" s="448"/>
      <c r="P157" s="448"/>
      <c r="Q157" s="455"/>
      <c r="R157" s="448"/>
      <c r="S157" s="575">
        <v>0.024</v>
      </c>
      <c r="T157" s="575">
        <v>0.525</v>
      </c>
      <c r="U157" s="575">
        <v>64.0</v>
      </c>
      <c r="V157" s="455">
        <v>0.0</v>
      </c>
      <c r="W157" s="448"/>
      <c r="X157" s="448"/>
      <c r="Y157" s="448"/>
    </row>
    <row r="158">
      <c r="A158" s="455" t="s">
        <v>222</v>
      </c>
      <c r="B158" s="455" t="s">
        <v>222</v>
      </c>
      <c r="C158" s="455" t="s">
        <v>225</v>
      </c>
      <c r="D158" s="448"/>
      <c r="E158" s="448"/>
      <c r="F158" s="448"/>
      <c r="G158" s="575">
        <v>1.21E-14</v>
      </c>
      <c r="H158" s="575">
        <v>1.9E-15</v>
      </c>
      <c r="I158" s="575">
        <v>1.19E-15</v>
      </c>
      <c r="J158" s="448"/>
      <c r="K158" s="448"/>
      <c r="L158" s="448"/>
      <c r="M158" s="448"/>
      <c r="N158" s="448"/>
      <c r="O158" s="448"/>
      <c r="P158" s="448"/>
      <c r="Q158" s="455"/>
      <c r="R158" s="448"/>
      <c r="S158" s="575">
        <v>0.024</v>
      </c>
      <c r="T158" s="575">
        <v>0.525</v>
      </c>
      <c r="U158" s="575">
        <v>64.0</v>
      </c>
      <c r="V158" s="455">
        <v>0.0</v>
      </c>
      <c r="W158" s="448"/>
      <c r="X158" s="448"/>
      <c r="Y158" s="448"/>
    </row>
    <row r="159">
      <c r="A159" s="455" t="s">
        <v>222</v>
      </c>
      <c r="B159" s="455" t="s">
        <v>222</v>
      </c>
      <c r="C159" s="455" t="s">
        <v>306</v>
      </c>
      <c r="D159" s="575">
        <v>126.0</v>
      </c>
      <c r="E159" s="448"/>
      <c r="F159" s="448"/>
      <c r="G159" s="575">
        <v>9.33E-15</v>
      </c>
      <c r="H159" s="448"/>
      <c r="I159" s="448"/>
      <c r="J159" s="448"/>
      <c r="K159" s="448"/>
      <c r="L159" s="448"/>
      <c r="M159" s="448"/>
      <c r="N159" s="448"/>
      <c r="O159" s="448"/>
      <c r="P159" s="448"/>
      <c r="Q159" s="455"/>
      <c r="R159" s="448"/>
      <c r="S159" s="575">
        <v>0.035</v>
      </c>
      <c r="T159" s="575">
        <v>0.525</v>
      </c>
      <c r="U159" s="575">
        <v>64.0</v>
      </c>
      <c r="V159" s="455">
        <v>0.0</v>
      </c>
      <c r="W159" s="448"/>
      <c r="X159" s="448"/>
      <c r="Y159" s="448"/>
    </row>
    <row r="160">
      <c r="A160" s="455" t="s">
        <v>222</v>
      </c>
      <c r="B160" s="455" t="s">
        <v>223</v>
      </c>
      <c r="C160" s="455" t="s">
        <v>201</v>
      </c>
      <c r="D160" s="575">
        <v>27.7</v>
      </c>
      <c r="E160" s="448"/>
      <c r="F160" s="448"/>
      <c r="G160" s="575">
        <v>3.18E-15</v>
      </c>
      <c r="H160" s="448"/>
      <c r="I160" s="448"/>
      <c r="J160" s="448"/>
      <c r="K160" s="448"/>
      <c r="L160" s="448"/>
      <c r="M160" s="448"/>
      <c r="N160" s="448"/>
      <c r="O160" s="448"/>
      <c r="P160" s="448"/>
      <c r="Q160" s="455"/>
      <c r="R160" s="448"/>
      <c r="S160" s="575">
        <v>0.035</v>
      </c>
      <c r="T160" s="448"/>
      <c r="U160" s="575">
        <v>64.0</v>
      </c>
      <c r="V160" s="455">
        <v>0.0</v>
      </c>
      <c r="W160" s="448"/>
      <c r="X160" s="448"/>
      <c r="Y160" s="448"/>
    </row>
    <row r="161">
      <c r="A161" s="455" t="s">
        <v>222</v>
      </c>
      <c r="B161" s="455" t="s">
        <v>223</v>
      </c>
      <c r="C161" s="455" t="s">
        <v>201</v>
      </c>
      <c r="D161" s="575">
        <v>27.7</v>
      </c>
      <c r="E161" s="448"/>
      <c r="F161" s="448"/>
      <c r="G161" s="575">
        <v>3.18E-15</v>
      </c>
      <c r="H161" s="448"/>
      <c r="I161" s="448"/>
      <c r="J161" s="448"/>
      <c r="K161" s="448"/>
      <c r="L161" s="448"/>
      <c r="M161" s="448"/>
      <c r="N161" s="448"/>
      <c r="O161" s="448"/>
      <c r="P161" s="448"/>
      <c r="Q161" s="455"/>
      <c r="R161" s="448"/>
      <c r="S161" s="575">
        <v>0.035</v>
      </c>
      <c r="T161" s="448"/>
      <c r="U161" s="575">
        <v>64.0</v>
      </c>
      <c r="V161" s="455">
        <v>0.0</v>
      </c>
      <c r="W161" s="448"/>
      <c r="X161" s="448"/>
      <c r="Y161" s="448"/>
    </row>
    <row r="162">
      <c r="A162" s="455" t="s">
        <v>482</v>
      </c>
      <c r="B162" s="455" t="s">
        <v>483</v>
      </c>
      <c r="C162" s="455" t="s">
        <v>476</v>
      </c>
      <c r="D162" s="448"/>
      <c r="E162" s="448"/>
      <c r="F162" s="448"/>
      <c r="G162" s="575">
        <v>2.05E-15</v>
      </c>
      <c r="H162" s="575">
        <v>6.65E-16</v>
      </c>
      <c r="I162" s="575">
        <v>3.87E-16</v>
      </c>
      <c r="J162" s="575">
        <v>2.5E-16</v>
      </c>
      <c r="K162" s="575">
        <v>9.6E-17</v>
      </c>
      <c r="L162" s="575">
        <v>1.58E-16</v>
      </c>
      <c r="M162" s="575">
        <v>6.52E-17</v>
      </c>
      <c r="N162" s="575">
        <v>2.76E-17</v>
      </c>
      <c r="O162" s="575">
        <v>2.46E-16</v>
      </c>
      <c r="P162" s="575">
        <v>2.26E-16</v>
      </c>
      <c r="Q162" s="455"/>
      <c r="R162" s="448"/>
      <c r="S162" s="575">
        <v>0.0458</v>
      </c>
      <c r="T162" s="575">
        <v>0.265</v>
      </c>
      <c r="U162" s="575">
        <v>149.0</v>
      </c>
      <c r="V162" s="575">
        <v>0.0</v>
      </c>
      <c r="W162" s="448"/>
      <c r="X162" s="448"/>
      <c r="Y162" s="448"/>
    </row>
    <row r="163">
      <c r="A163" s="455" t="s">
        <v>497</v>
      </c>
      <c r="B163" s="455" t="s">
        <v>498</v>
      </c>
      <c r="C163" s="455" t="s">
        <v>476</v>
      </c>
      <c r="D163" s="448"/>
      <c r="E163" s="448"/>
      <c r="F163" s="448"/>
      <c r="G163" s="448"/>
      <c r="H163" s="448"/>
      <c r="I163" s="448"/>
      <c r="J163" s="448"/>
      <c r="K163" s="448"/>
      <c r="L163" s="448"/>
      <c r="M163" s="448"/>
      <c r="N163" s="448"/>
      <c r="O163" s="448"/>
      <c r="P163" s="448"/>
      <c r="Q163" s="455"/>
      <c r="R163" s="448"/>
      <c r="S163" s="575">
        <v>0.12</v>
      </c>
      <c r="T163" s="575">
        <v>0.44</v>
      </c>
      <c r="U163" s="575">
        <v>153.0</v>
      </c>
      <c r="V163" s="448"/>
      <c r="W163" s="448"/>
      <c r="X163" s="448"/>
      <c r="Y163" s="448"/>
    </row>
    <row r="164">
      <c r="A164" s="455" t="s">
        <v>503</v>
      </c>
      <c r="B164" s="455" t="s">
        <v>504</v>
      </c>
      <c r="C164" s="455" t="s">
        <v>476</v>
      </c>
      <c r="D164" s="448"/>
      <c r="E164" s="448"/>
      <c r="F164" s="448"/>
      <c r="G164" s="575">
        <v>6.11E-13</v>
      </c>
      <c r="H164" s="575">
        <v>9.52E-14</v>
      </c>
      <c r="I164" s="575">
        <v>4.62E-14</v>
      </c>
      <c r="J164" s="575">
        <v>4.89E-14</v>
      </c>
      <c r="K164" s="575">
        <v>3.29E-14</v>
      </c>
      <c r="L164" s="575">
        <v>1.64E-14</v>
      </c>
      <c r="M164" s="575">
        <v>7.42E-15</v>
      </c>
      <c r="N164" s="575">
        <v>3.41E-15</v>
      </c>
      <c r="O164" s="575">
        <v>1.09E-13</v>
      </c>
      <c r="P164" s="575">
        <v>8.26E-14</v>
      </c>
      <c r="Q164" s="455"/>
      <c r="R164" s="448"/>
      <c r="S164" s="575">
        <v>0.14</v>
      </c>
      <c r="T164" s="575">
        <v>0.85</v>
      </c>
      <c r="U164" s="575">
        <v>155.0</v>
      </c>
      <c r="V164" s="448"/>
      <c r="W164" s="448"/>
      <c r="X164" s="448"/>
      <c r="Y164" s="448"/>
    </row>
    <row r="165">
      <c r="A165" s="455" t="s">
        <v>343</v>
      </c>
      <c r="B165" s="455" t="s">
        <v>344</v>
      </c>
      <c r="C165" s="455" t="s">
        <v>306</v>
      </c>
      <c r="D165" s="575">
        <v>102.0</v>
      </c>
      <c r="E165" s="448"/>
      <c r="F165" s="448"/>
      <c r="G165" s="575">
        <v>5.37E-15</v>
      </c>
      <c r="H165" s="448"/>
      <c r="I165" s="448"/>
      <c r="J165" s="448"/>
      <c r="K165" s="448"/>
      <c r="L165" s="448"/>
      <c r="M165" s="448"/>
      <c r="N165" s="448"/>
      <c r="O165" s="448"/>
      <c r="P165" s="448"/>
      <c r="Q165" s="455"/>
      <c r="R165" s="448"/>
      <c r="S165" s="575">
        <v>0.0398</v>
      </c>
      <c r="T165" s="575">
        <v>0.975</v>
      </c>
      <c r="U165" s="575">
        <v>140.0</v>
      </c>
      <c r="V165" s="455">
        <v>0.0</v>
      </c>
      <c r="W165" s="448"/>
      <c r="X165" s="448"/>
      <c r="Y165" s="448"/>
    </row>
    <row r="166">
      <c r="A166" s="455" t="s">
        <v>572</v>
      </c>
      <c r="B166" s="455" t="s">
        <v>573</v>
      </c>
      <c r="C166" s="455" t="s">
        <v>476</v>
      </c>
      <c r="D166" s="448"/>
      <c r="E166" s="448"/>
      <c r="F166" s="448"/>
      <c r="G166" s="575">
        <v>1.53E-12</v>
      </c>
      <c r="H166" s="575">
        <v>6.68E-13</v>
      </c>
      <c r="I166" s="575">
        <v>6.37E-13</v>
      </c>
      <c r="J166" s="575">
        <v>7.75E-14</v>
      </c>
      <c r="K166" s="575">
        <v>9.71E-14</v>
      </c>
      <c r="L166" s="575">
        <v>3.29E-14</v>
      </c>
      <c r="M166" s="575">
        <v>9.32E-14</v>
      </c>
      <c r="N166" s="575">
        <v>2.43E-14</v>
      </c>
      <c r="O166" s="575">
        <v>4.01E-13</v>
      </c>
      <c r="P166" s="575">
        <v>5.32E-13</v>
      </c>
      <c r="Q166" s="455"/>
      <c r="R166" s="448"/>
      <c r="S166" s="575">
        <v>0.56</v>
      </c>
      <c r="T166" s="575">
        <v>2.49</v>
      </c>
      <c r="U166" s="575">
        <v>158.0</v>
      </c>
      <c r="V166" s="448"/>
      <c r="W166" s="448"/>
      <c r="X166" s="448"/>
      <c r="Y166" s="448"/>
    </row>
    <row r="167">
      <c r="A167" s="455" t="s">
        <v>330</v>
      </c>
      <c r="B167" s="455" t="s">
        <v>331</v>
      </c>
      <c r="C167" s="455" t="s">
        <v>306</v>
      </c>
      <c r="D167" s="575">
        <v>760.0</v>
      </c>
      <c r="E167" s="448"/>
      <c r="F167" s="448"/>
      <c r="G167" s="575">
        <v>2.75E-15</v>
      </c>
      <c r="H167" s="448"/>
      <c r="I167" s="448"/>
      <c r="J167" s="448"/>
      <c r="K167" s="448"/>
      <c r="L167" s="448"/>
      <c r="M167" s="448"/>
      <c r="N167" s="448"/>
      <c r="O167" s="448"/>
      <c r="P167" s="448"/>
      <c r="Q167" s="455"/>
      <c r="R167" s="448"/>
      <c r="S167" s="575">
        <v>0.0237</v>
      </c>
      <c r="T167" s="575">
        <v>0.17</v>
      </c>
      <c r="U167" s="448"/>
      <c r="V167" s="455">
        <v>0.0</v>
      </c>
      <c r="W167" s="448"/>
      <c r="X167" s="448"/>
      <c r="Y167" s="448"/>
    </row>
    <row r="168">
      <c r="A168" s="455" t="s">
        <v>324</v>
      </c>
      <c r="B168" s="455" t="s">
        <v>2371</v>
      </c>
      <c r="C168" s="455" t="s">
        <v>306</v>
      </c>
      <c r="D168" s="575">
        <v>11.5</v>
      </c>
      <c r="E168" s="448"/>
      <c r="F168" s="448"/>
      <c r="G168" s="448"/>
      <c r="H168" s="448"/>
      <c r="I168" s="448"/>
      <c r="J168" s="448"/>
      <c r="K168" s="448"/>
      <c r="L168" s="448"/>
      <c r="M168" s="448"/>
      <c r="N168" s="448"/>
      <c r="O168" s="448"/>
      <c r="P168" s="448"/>
      <c r="Q168" s="455"/>
      <c r="R168" s="448"/>
      <c r="S168" s="575">
        <v>0.0253</v>
      </c>
      <c r="T168" s="575">
        <v>0.22</v>
      </c>
      <c r="U168" s="575">
        <v>119.0</v>
      </c>
      <c r="V168" s="455">
        <v>0.3</v>
      </c>
      <c r="W168" s="448"/>
      <c r="X168" s="448"/>
      <c r="Y168" s="448"/>
    </row>
    <row r="169">
      <c r="A169" s="455" t="s">
        <v>495</v>
      </c>
      <c r="B169" s="455" t="s">
        <v>496</v>
      </c>
      <c r="C169" s="455" t="s">
        <v>476</v>
      </c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55"/>
      <c r="R169" s="448"/>
      <c r="S169" s="575">
        <v>0.11</v>
      </c>
      <c r="T169" s="575">
        <v>0.52</v>
      </c>
      <c r="U169" s="575">
        <v>174.0</v>
      </c>
      <c r="V169" s="448"/>
      <c r="W169" s="448"/>
      <c r="X169" s="448"/>
      <c r="Y169" s="448"/>
    </row>
    <row r="170">
      <c r="A170" s="455" t="s">
        <v>494</v>
      </c>
      <c r="B170" s="455" t="s">
        <v>494</v>
      </c>
      <c r="C170" s="455" t="s">
        <v>476</v>
      </c>
      <c r="D170" s="448"/>
      <c r="E170" s="448"/>
      <c r="F170" s="448"/>
      <c r="G170" s="575">
        <v>1.26E-14</v>
      </c>
      <c r="H170" s="575">
        <v>3.73E-15</v>
      </c>
      <c r="I170" s="575">
        <v>2.34E-15</v>
      </c>
      <c r="J170" s="575">
        <v>3.27E-16</v>
      </c>
      <c r="K170" s="575">
        <v>4.03E-16</v>
      </c>
      <c r="L170" s="575">
        <v>2.52E-16</v>
      </c>
      <c r="M170" s="575">
        <v>4.16E-16</v>
      </c>
      <c r="N170" s="575">
        <v>1.69E-16</v>
      </c>
      <c r="O170" s="575">
        <v>9.46E-16</v>
      </c>
      <c r="P170" s="575">
        <v>1.19E-15</v>
      </c>
      <c r="Q170" s="455"/>
      <c r="R170" s="448"/>
      <c r="S170" s="575">
        <v>0.1</v>
      </c>
      <c r="T170" s="575">
        <v>0.33</v>
      </c>
      <c r="U170" s="575">
        <v>146.0</v>
      </c>
      <c r="V170" s="448"/>
      <c r="W170" s="448"/>
      <c r="X170" s="448"/>
      <c r="Y170" s="448"/>
    </row>
    <row r="171">
      <c r="A171" s="455" t="s">
        <v>613</v>
      </c>
      <c r="B171" s="455" t="s">
        <v>614</v>
      </c>
      <c r="C171" s="455" t="s">
        <v>609</v>
      </c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8"/>
      <c r="O171" s="448"/>
      <c r="P171" s="448"/>
      <c r="Q171" s="448"/>
      <c r="R171" s="448"/>
      <c r="S171" s="575">
        <v>0.0229</v>
      </c>
      <c r="T171" s="575">
        <v>0.26</v>
      </c>
      <c r="U171" s="448"/>
      <c r="V171" s="455">
        <v>0.13</v>
      </c>
      <c r="W171" s="448"/>
      <c r="X171" s="448"/>
      <c r="Y171" s="448"/>
    </row>
    <row r="172">
      <c r="A172" s="455" t="s">
        <v>480</v>
      </c>
      <c r="B172" s="455" t="s">
        <v>481</v>
      </c>
      <c r="C172" s="455" t="s">
        <v>476</v>
      </c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55"/>
      <c r="R172" s="448"/>
      <c r="S172" s="575">
        <v>0.0318</v>
      </c>
      <c r="T172" s="575">
        <v>0.22</v>
      </c>
      <c r="U172" s="575">
        <v>187.0</v>
      </c>
      <c r="V172" s="575">
        <v>0.0</v>
      </c>
      <c r="W172" s="448"/>
      <c r="X172" s="448"/>
      <c r="Y172" s="448"/>
    </row>
    <row r="173">
      <c r="A173" s="455" t="s">
        <v>551</v>
      </c>
      <c r="B173" s="455" t="s">
        <v>551</v>
      </c>
      <c r="C173" s="455" t="s">
        <v>476</v>
      </c>
      <c r="D173" s="448"/>
      <c r="E173" s="448"/>
      <c r="F173" s="448"/>
      <c r="G173" s="575">
        <v>4.87E-14</v>
      </c>
      <c r="H173" s="575">
        <v>9.61E-15</v>
      </c>
      <c r="I173" s="575">
        <v>5.92E-15</v>
      </c>
      <c r="J173" s="575">
        <v>9.7E-15</v>
      </c>
      <c r="K173" s="575">
        <v>5.07E-15</v>
      </c>
      <c r="L173" s="575">
        <v>2.41E-15</v>
      </c>
      <c r="M173" s="575">
        <v>1.2E-15</v>
      </c>
      <c r="N173" s="575">
        <v>1.39E-15</v>
      </c>
      <c r="O173" s="575">
        <v>9.6E-15</v>
      </c>
      <c r="P173" s="575">
        <v>8.31E-15</v>
      </c>
      <c r="Q173" s="455"/>
      <c r="R173" s="448"/>
      <c r="S173" s="575">
        <v>0.32</v>
      </c>
      <c r="T173" s="575">
        <v>1.57</v>
      </c>
      <c r="U173" s="575">
        <v>168.0</v>
      </c>
      <c r="V173" s="448"/>
      <c r="W173" s="448"/>
      <c r="X173" s="448"/>
      <c r="Y173" s="448"/>
    </row>
    <row r="174">
      <c r="A174" s="455" t="s">
        <v>493</v>
      </c>
      <c r="B174" s="455" t="s">
        <v>493</v>
      </c>
      <c r="C174" s="455" t="s">
        <v>476</v>
      </c>
      <c r="D174" s="448"/>
      <c r="E174" s="448"/>
      <c r="F174" s="448"/>
      <c r="G174" s="575">
        <v>6.72E-15</v>
      </c>
      <c r="H174" s="448"/>
      <c r="I174" s="448"/>
      <c r="J174" s="575">
        <v>1.09E-15</v>
      </c>
      <c r="K174" s="575">
        <v>9.89E-16</v>
      </c>
      <c r="L174" s="575">
        <v>2.76E-16</v>
      </c>
      <c r="M174" s="575">
        <v>1.62E-15</v>
      </c>
      <c r="N174" s="575">
        <v>8.1E-16</v>
      </c>
      <c r="O174" s="448"/>
      <c r="P174" s="448"/>
      <c r="Q174" s="455"/>
      <c r="R174" s="448"/>
      <c r="S174" s="575">
        <v>0.1</v>
      </c>
      <c r="T174" s="575">
        <v>0.29</v>
      </c>
      <c r="U174" s="575">
        <v>134.0</v>
      </c>
      <c r="V174" s="448"/>
      <c r="W174" s="448"/>
      <c r="X174" s="448"/>
      <c r="Y174" s="448"/>
    </row>
    <row r="175">
      <c r="A175" s="455" t="s">
        <v>488</v>
      </c>
      <c r="B175" s="455" t="s">
        <v>488</v>
      </c>
      <c r="C175" s="455" t="s">
        <v>476</v>
      </c>
      <c r="D175" s="448"/>
      <c r="E175" s="448"/>
      <c r="F175" s="448"/>
      <c r="G175" s="575">
        <v>1.06E-14</v>
      </c>
      <c r="H175" s="575">
        <v>1.37E-15</v>
      </c>
      <c r="I175" s="575">
        <v>8.13E-16</v>
      </c>
      <c r="J175" s="575">
        <v>8.4E-16</v>
      </c>
      <c r="K175" s="575">
        <v>3.0E-16</v>
      </c>
      <c r="L175" s="575">
        <v>1.98E-16</v>
      </c>
      <c r="M175" s="575">
        <v>2.63E-16</v>
      </c>
      <c r="N175" s="575">
        <v>9.3E-17</v>
      </c>
      <c r="O175" s="575">
        <v>6.04E-16</v>
      </c>
      <c r="P175" s="575">
        <v>5.28E-16</v>
      </c>
      <c r="Q175" s="455"/>
      <c r="R175" s="448"/>
      <c r="S175" s="575">
        <v>0.1</v>
      </c>
      <c r="T175" s="575">
        <v>1.07</v>
      </c>
      <c r="U175" s="575">
        <v>158.0</v>
      </c>
      <c r="V175" s="448"/>
      <c r="W175" s="448"/>
      <c r="X175" s="448"/>
      <c r="Y175" s="448"/>
    </row>
    <row r="176">
      <c r="A176" s="455" t="s">
        <v>475</v>
      </c>
      <c r="B176" s="455" t="s">
        <v>475</v>
      </c>
      <c r="C176" s="455" t="s">
        <v>476</v>
      </c>
      <c r="D176" s="448"/>
      <c r="E176" s="448"/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55"/>
      <c r="R176" s="448"/>
      <c r="S176" s="575">
        <v>0.0237</v>
      </c>
      <c r="T176" s="575">
        <v>0.287</v>
      </c>
      <c r="U176" s="575">
        <v>150.0</v>
      </c>
      <c r="V176" s="575">
        <v>0.0</v>
      </c>
      <c r="W176" s="448"/>
      <c r="X176" s="448"/>
      <c r="Y176" s="448"/>
    </row>
    <row r="177">
      <c r="A177" s="455" t="s">
        <v>538</v>
      </c>
      <c r="B177" s="455" t="s">
        <v>539</v>
      </c>
      <c r="C177" s="455" t="s">
        <v>476</v>
      </c>
      <c r="D177" s="448"/>
      <c r="E177" s="448"/>
      <c r="F177" s="448"/>
      <c r="G177" s="448"/>
      <c r="H177" s="448"/>
      <c r="I177" s="448"/>
      <c r="J177" s="448"/>
      <c r="K177" s="448"/>
      <c r="L177" s="448"/>
      <c r="M177" s="448"/>
      <c r="N177" s="448"/>
      <c r="O177" s="448"/>
      <c r="P177" s="448"/>
      <c r="Q177" s="455"/>
      <c r="R177" s="448"/>
      <c r="S177" s="575">
        <v>0.24</v>
      </c>
      <c r="T177" s="575">
        <v>1.25</v>
      </c>
      <c r="U177" s="575">
        <v>164.0</v>
      </c>
      <c r="V177" s="448"/>
      <c r="W177" s="448"/>
      <c r="X177" s="448"/>
      <c r="Y177" s="448"/>
    </row>
    <row r="178">
      <c r="A178" s="455" t="s">
        <v>484</v>
      </c>
      <c r="B178" s="455" t="s">
        <v>485</v>
      </c>
      <c r="C178" s="455" t="s">
        <v>476</v>
      </c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8"/>
      <c r="O178" s="448"/>
      <c r="P178" s="448"/>
      <c r="Q178" s="455"/>
      <c r="R178" s="448"/>
      <c r="S178" s="575">
        <v>0.1</v>
      </c>
      <c r="T178" s="575">
        <v>0.58</v>
      </c>
      <c r="U178" s="575">
        <v>2200.0</v>
      </c>
      <c r="V178" s="448"/>
      <c r="W178" s="448"/>
      <c r="X178" s="448"/>
      <c r="Y178" s="448"/>
    </row>
    <row r="179">
      <c r="A179" s="455" t="s">
        <v>505</v>
      </c>
      <c r="B179" s="455" t="s">
        <v>505</v>
      </c>
      <c r="C179" s="455" t="s">
        <v>476</v>
      </c>
      <c r="D179" s="448"/>
      <c r="E179" s="448"/>
      <c r="F179" s="448"/>
      <c r="G179" s="575">
        <v>2.2E-14</v>
      </c>
      <c r="H179" s="575">
        <v>2.2E-15</v>
      </c>
      <c r="I179" s="575">
        <v>1.01E-15</v>
      </c>
      <c r="J179" s="575">
        <v>7.31E-16</v>
      </c>
      <c r="K179" s="575">
        <v>8.32E-16</v>
      </c>
      <c r="L179" s="575">
        <v>6.18E-16</v>
      </c>
      <c r="M179" s="575">
        <v>4.51E-16</v>
      </c>
      <c r="N179" s="575">
        <v>2.21E-16</v>
      </c>
      <c r="O179" s="575">
        <v>9.91E-16</v>
      </c>
      <c r="P179" s="575">
        <v>9.44E-16</v>
      </c>
      <c r="Q179" s="455"/>
      <c r="R179" s="448"/>
      <c r="S179" s="575">
        <v>0.14</v>
      </c>
      <c r="T179" s="575">
        <v>1.77</v>
      </c>
      <c r="U179" s="575">
        <v>193.0</v>
      </c>
      <c r="V179" s="448"/>
      <c r="W179" s="448"/>
      <c r="X179" s="448"/>
      <c r="Y179" s="448"/>
    </row>
    <row r="180">
      <c r="A180" s="455" t="s">
        <v>506</v>
      </c>
      <c r="B180" s="455" t="s">
        <v>507</v>
      </c>
      <c r="C180" s="455" t="s">
        <v>476</v>
      </c>
      <c r="D180" s="448"/>
      <c r="E180" s="448"/>
      <c r="F180" s="448"/>
      <c r="G180" s="448"/>
      <c r="H180" s="448"/>
      <c r="I180" s="448"/>
      <c r="J180" s="448"/>
      <c r="K180" s="448"/>
      <c r="L180" s="448"/>
      <c r="M180" s="448"/>
      <c r="N180" s="448"/>
      <c r="O180" s="448"/>
      <c r="P180" s="448"/>
      <c r="Q180" s="455"/>
      <c r="R180" s="448"/>
      <c r="S180" s="575">
        <v>0.15</v>
      </c>
      <c r="T180" s="575">
        <v>0.85</v>
      </c>
      <c r="U180" s="575">
        <v>165.0</v>
      </c>
      <c r="V180" s="448"/>
      <c r="W180" s="448"/>
      <c r="X180" s="448"/>
      <c r="Y180" s="448"/>
    </row>
    <row r="181">
      <c r="A181" s="455" t="s">
        <v>1435</v>
      </c>
      <c r="B181" s="455" t="s">
        <v>1436</v>
      </c>
      <c r="C181" s="455" t="s">
        <v>160</v>
      </c>
      <c r="D181" s="448"/>
      <c r="E181" s="575">
        <v>0.7</v>
      </c>
      <c r="F181" s="448"/>
      <c r="G181" s="448"/>
      <c r="H181" s="448"/>
      <c r="I181" s="448"/>
      <c r="J181" s="575">
        <v>1.49E-14</v>
      </c>
      <c r="K181" s="448"/>
      <c r="L181" s="448"/>
      <c r="M181" s="448"/>
      <c r="N181" s="448"/>
      <c r="O181" s="448"/>
      <c r="P181" s="448"/>
      <c r="Q181" s="455" t="s">
        <v>137</v>
      </c>
      <c r="R181" s="448"/>
      <c r="S181" s="575">
        <v>0.55</v>
      </c>
      <c r="T181" s="575">
        <v>2.81</v>
      </c>
      <c r="U181" s="575">
        <v>143.0</v>
      </c>
      <c r="V181" s="448"/>
      <c r="W181" s="455">
        <v>1.8</v>
      </c>
      <c r="X181" s="448"/>
      <c r="Y181" s="448"/>
    </row>
    <row r="182">
      <c r="A182" s="455" t="s">
        <v>1403</v>
      </c>
      <c r="B182" s="455" t="s">
        <v>1404</v>
      </c>
      <c r="C182" s="455" t="s">
        <v>160</v>
      </c>
      <c r="D182" s="448"/>
      <c r="E182" s="575">
        <v>3.9</v>
      </c>
      <c r="F182" s="448"/>
      <c r="G182" s="448"/>
      <c r="H182" s="448"/>
      <c r="I182" s="448"/>
      <c r="J182" s="575">
        <v>2.14E-14</v>
      </c>
      <c r="K182" s="448"/>
      <c r="L182" s="448"/>
      <c r="M182" s="448"/>
      <c r="N182" s="448"/>
      <c r="O182" s="448"/>
      <c r="P182" s="448"/>
      <c r="Q182" s="455"/>
      <c r="R182" s="448"/>
      <c r="S182" s="575">
        <v>0.363</v>
      </c>
      <c r="T182" s="575">
        <v>2.37</v>
      </c>
      <c r="U182" s="448"/>
      <c r="V182" s="448"/>
      <c r="W182" s="455">
        <v>2.5</v>
      </c>
      <c r="X182" s="448"/>
      <c r="Y182" s="448"/>
    </row>
    <row r="183">
      <c r="A183" s="455" t="s">
        <v>1432</v>
      </c>
      <c r="B183" s="455" t="s">
        <v>1433</v>
      </c>
      <c r="C183" s="455" t="s">
        <v>160</v>
      </c>
      <c r="D183" s="448"/>
      <c r="E183" s="575">
        <v>0.5</v>
      </c>
      <c r="F183" s="448"/>
      <c r="G183" s="448"/>
      <c r="H183" s="448"/>
      <c r="I183" s="448"/>
      <c r="J183" s="575">
        <v>1.59E-14</v>
      </c>
      <c r="K183" s="448"/>
      <c r="L183" s="448"/>
      <c r="M183" s="448"/>
      <c r="N183" s="448"/>
      <c r="O183" s="448"/>
      <c r="P183" s="448"/>
      <c r="Q183" s="455" t="s">
        <v>137</v>
      </c>
      <c r="R183" s="448"/>
      <c r="S183" s="575">
        <v>0.55</v>
      </c>
      <c r="T183" s="448"/>
      <c r="U183" s="575">
        <v>142.0</v>
      </c>
      <c r="V183" s="448"/>
      <c r="W183" s="455">
        <v>1.4</v>
      </c>
      <c r="X183" s="448"/>
      <c r="Y183" s="448"/>
    </row>
    <row r="184">
      <c r="A184" s="455" t="s">
        <v>1428</v>
      </c>
      <c r="B184" s="455" t="s">
        <v>1429</v>
      </c>
      <c r="C184" s="455" t="s">
        <v>160</v>
      </c>
      <c r="D184" s="448"/>
      <c r="E184" s="575">
        <v>19.0</v>
      </c>
      <c r="F184" s="448"/>
      <c r="G184" s="448"/>
      <c r="H184" s="448"/>
      <c r="I184" s="448"/>
      <c r="J184" s="575">
        <v>1.3E-12</v>
      </c>
      <c r="K184" s="448"/>
      <c r="L184" s="448"/>
      <c r="M184" s="448"/>
      <c r="N184" s="448"/>
      <c r="O184" s="448"/>
      <c r="P184" s="448"/>
      <c r="Q184" s="455"/>
      <c r="R184" s="448"/>
      <c r="S184" s="575">
        <v>0.525</v>
      </c>
      <c r="T184" s="575">
        <v>1.79</v>
      </c>
      <c r="U184" s="575">
        <v>135.0</v>
      </c>
      <c r="V184" s="448"/>
      <c r="W184" s="455">
        <v>0.5</v>
      </c>
      <c r="X184" s="448"/>
      <c r="Y184" s="448"/>
    </row>
    <row r="185">
      <c r="A185" s="455" t="s">
        <v>1336</v>
      </c>
      <c r="B185" s="455" t="s">
        <v>1337</v>
      </c>
      <c r="C185" s="455" t="s">
        <v>160</v>
      </c>
      <c r="D185" s="448"/>
      <c r="E185" s="575">
        <v>0.3</v>
      </c>
      <c r="F185" s="448"/>
      <c r="G185" s="448"/>
      <c r="H185" s="448"/>
      <c r="I185" s="448"/>
      <c r="J185" s="575">
        <v>1.6E-16</v>
      </c>
      <c r="K185" s="448"/>
      <c r="L185" s="448"/>
      <c r="M185" s="448"/>
      <c r="N185" s="448"/>
      <c r="O185" s="448"/>
      <c r="P185" s="448"/>
      <c r="Q185" s="455" t="s">
        <v>137</v>
      </c>
      <c r="R185" s="448"/>
      <c r="S185" s="575">
        <v>0.0933</v>
      </c>
      <c r="T185" s="575">
        <v>1.23</v>
      </c>
      <c r="U185" s="448"/>
      <c r="V185" s="448"/>
      <c r="W185" s="455">
        <v>2.8</v>
      </c>
      <c r="X185" s="448"/>
      <c r="Y185" s="448"/>
    </row>
    <row r="186">
      <c r="A186" s="455" t="s">
        <v>1396</v>
      </c>
      <c r="B186" s="455" t="s">
        <v>1397</v>
      </c>
      <c r="C186" s="455" t="s">
        <v>160</v>
      </c>
      <c r="D186" s="448"/>
      <c r="E186" s="575">
        <v>0.8</v>
      </c>
      <c r="F186" s="448"/>
      <c r="G186" s="448"/>
      <c r="H186" s="448"/>
      <c r="I186" s="448"/>
      <c r="J186" s="575">
        <v>1.35E-14</v>
      </c>
      <c r="K186" s="448"/>
      <c r="L186" s="448"/>
      <c r="M186" s="448"/>
      <c r="N186" s="448"/>
      <c r="O186" s="448"/>
      <c r="P186" s="448"/>
      <c r="Q186" s="455" t="s">
        <v>137</v>
      </c>
      <c r="R186" s="448"/>
      <c r="S186" s="575">
        <v>0.324</v>
      </c>
      <c r="T186" s="448"/>
      <c r="U186" s="448"/>
      <c r="V186" s="448"/>
      <c r="W186" s="455">
        <v>1.2</v>
      </c>
      <c r="X186" s="448"/>
      <c r="Y186" s="448"/>
    </row>
    <row r="187">
      <c r="A187" s="455" t="s">
        <v>1339</v>
      </c>
      <c r="B187" s="455" t="s">
        <v>1340</v>
      </c>
      <c r="C187" s="455" t="s">
        <v>160</v>
      </c>
      <c r="D187" s="448"/>
      <c r="E187" s="575">
        <v>0.2</v>
      </c>
      <c r="F187" s="448"/>
      <c r="G187" s="448"/>
      <c r="H187" s="448"/>
      <c r="I187" s="448"/>
      <c r="J187" s="575">
        <v>3.03E-17</v>
      </c>
      <c r="K187" s="448"/>
      <c r="L187" s="448"/>
      <c r="M187" s="448"/>
      <c r="N187" s="448"/>
      <c r="O187" s="448"/>
      <c r="P187" s="448"/>
      <c r="Q187" s="455" t="s">
        <v>137</v>
      </c>
      <c r="R187" s="448"/>
      <c r="S187" s="575">
        <v>0.0955</v>
      </c>
      <c r="T187" s="575">
        <v>1.26</v>
      </c>
      <c r="U187" s="448"/>
      <c r="V187" s="448"/>
      <c r="W187" s="455">
        <v>4.2</v>
      </c>
      <c r="X187" s="448"/>
      <c r="Y187" s="448"/>
    </row>
    <row r="188">
      <c r="A188" s="455" t="s">
        <v>1380</v>
      </c>
      <c r="B188" s="455" t="s">
        <v>1381</v>
      </c>
      <c r="C188" s="455" t="s">
        <v>160</v>
      </c>
      <c r="D188" s="448"/>
      <c r="E188" s="575">
        <v>2.1</v>
      </c>
      <c r="F188" s="448"/>
      <c r="G188" s="448"/>
      <c r="H188" s="448"/>
      <c r="I188" s="448"/>
      <c r="J188" s="575">
        <v>4.8E-16</v>
      </c>
      <c r="K188" s="448"/>
      <c r="L188" s="448"/>
      <c r="M188" s="448"/>
      <c r="N188" s="448"/>
      <c r="O188" s="448"/>
      <c r="P188" s="448"/>
      <c r="Q188" s="455"/>
      <c r="R188" s="448"/>
      <c r="S188" s="575">
        <v>0.24</v>
      </c>
      <c r="T188" s="575">
        <v>2.06</v>
      </c>
      <c r="U188" s="448"/>
      <c r="V188" s="448"/>
      <c r="W188" s="455">
        <v>5.2</v>
      </c>
      <c r="X188" s="448"/>
      <c r="Y188" s="448"/>
    </row>
    <row r="189">
      <c r="A189" s="455" t="s">
        <v>1413</v>
      </c>
      <c r="B189" s="455" t="s">
        <v>1414</v>
      </c>
      <c r="C189" s="455" t="s">
        <v>160</v>
      </c>
      <c r="D189" s="448"/>
      <c r="E189" s="575">
        <v>0.5</v>
      </c>
      <c r="F189" s="448"/>
      <c r="G189" s="448"/>
      <c r="H189" s="448"/>
      <c r="I189" s="448"/>
      <c r="J189" s="575">
        <v>2.11E-16</v>
      </c>
      <c r="K189" s="448"/>
      <c r="L189" s="448"/>
      <c r="M189" s="448"/>
      <c r="N189" s="448"/>
      <c r="O189" s="448"/>
      <c r="P189" s="448"/>
      <c r="Q189" s="455" t="s">
        <v>137</v>
      </c>
      <c r="R189" s="448"/>
      <c r="S189" s="575">
        <v>0.398</v>
      </c>
      <c r="T189" s="448"/>
      <c r="U189" s="448"/>
      <c r="V189" s="448"/>
      <c r="W189" s="455">
        <v>5.4</v>
      </c>
      <c r="X189" s="448"/>
      <c r="Y189" s="448"/>
    </row>
    <row r="190">
      <c r="A190" s="455" t="s">
        <v>1960</v>
      </c>
      <c r="B190" s="455" t="s">
        <v>1961</v>
      </c>
      <c r="C190" s="455" t="s">
        <v>160</v>
      </c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55" t="s">
        <v>137</v>
      </c>
      <c r="R190" s="448"/>
      <c r="S190" s="575">
        <v>1.0</v>
      </c>
      <c r="T190" s="448"/>
      <c r="U190" s="575">
        <v>142.0</v>
      </c>
      <c r="V190" s="448"/>
      <c r="W190" s="448"/>
      <c r="X190" s="448"/>
      <c r="Y190" s="448"/>
    </row>
    <row r="191">
      <c r="A191" s="455" t="s">
        <v>1448</v>
      </c>
      <c r="B191" s="455" t="s">
        <v>1449</v>
      </c>
      <c r="C191" s="455" t="s">
        <v>160</v>
      </c>
      <c r="D191" s="448"/>
      <c r="E191" s="575">
        <v>0.8</v>
      </c>
      <c r="F191" s="448"/>
      <c r="G191" s="448"/>
      <c r="H191" s="448"/>
      <c r="I191" s="448"/>
      <c r="J191" s="575">
        <v>4.49E-16</v>
      </c>
      <c r="K191" s="448"/>
      <c r="L191" s="448"/>
      <c r="M191" s="448"/>
      <c r="N191" s="448"/>
      <c r="O191" s="448"/>
      <c r="P191" s="448"/>
      <c r="Q191" s="455" t="s">
        <v>137</v>
      </c>
      <c r="R191" s="448"/>
      <c r="S191" s="575">
        <v>0.646</v>
      </c>
      <c r="T191" s="575">
        <v>2.94</v>
      </c>
      <c r="U191" s="448"/>
      <c r="V191" s="448"/>
      <c r="W191" s="455">
        <v>5.8</v>
      </c>
      <c r="X191" s="448"/>
      <c r="Y191" s="448"/>
    </row>
    <row r="192">
      <c r="A192" s="455" t="s">
        <v>1411</v>
      </c>
      <c r="B192" s="455" t="s">
        <v>1412</v>
      </c>
      <c r="C192" s="455" t="s">
        <v>160</v>
      </c>
      <c r="D192" s="448"/>
      <c r="E192" s="575">
        <v>0.5</v>
      </c>
      <c r="F192" s="448"/>
      <c r="G192" s="448"/>
      <c r="H192" s="448"/>
      <c r="I192" s="448"/>
      <c r="J192" s="575">
        <v>3.84E-16</v>
      </c>
      <c r="K192" s="448"/>
      <c r="L192" s="448"/>
      <c r="M192" s="448"/>
      <c r="N192" s="448"/>
      <c r="O192" s="448"/>
      <c r="P192" s="448"/>
      <c r="Q192" s="455" t="s">
        <v>137</v>
      </c>
      <c r="R192" s="448"/>
      <c r="S192" s="575">
        <v>0.398</v>
      </c>
      <c r="T192" s="448"/>
      <c r="U192" s="448"/>
      <c r="V192" s="448"/>
      <c r="W192" s="455">
        <v>4.8</v>
      </c>
      <c r="X192" s="448"/>
      <c r="Y192" s="448"/>
    </row>
    <row r="193">
      <c r="A193" s="455" t="s">
        <v>1466</v>
      </c>
      <c r="B193" s="455" t="s">
        <v>1467</v>
      </c>
      <c r="C193" s="455" t="s">
        <v>160</v>
      </c>
      <c r="D193" s="448"/>
      <c r="E193" s="575">
        <v>0.9</v>
      </c>
      <c r="F193" s="448"/>
      <c r="G193" s="448"/>
      <c r="H193" s="448"/>
      <c r="I193" s="448"/>
      <c r="J193" s="575">
        <v>1.1E-14</v>
      </c>
      <c r="K193" s="448"/>
      <c r="L193" s="448"/>
      <c r="M193" s="448"/>
      <c r="N193" s="448"/>
      <c r="O193" s="448"/>
      <c r="P193" s="448"/>
      <c r="Q193" s="455" t="s">
        <v>137</v>
      </c>
      <c r="R193" s="448"/>
      <c r="S193" s="575">
        <v>0.871</v>
      </c>
      <c r="T193" s="575">
        <v>3.26</v>
      </c>
      <c r="U193" s="575">
        <v>138.0</v>
      </c>
      <c r="V193" s="448"/>
      <c r="W193" s="455">
        <v>3.1</v>
      </c>
      <c r="X193" s="448"/>
      <c r="Y193" s="448"/>
    </row>
    <row r="194">
      <c r="A194" s="455" t="s">
        <v>1421</v>
      </c>
      <c r="B194" s="455" t="s">
        <v>1422</v>
      </c>
      <c r="C194" s="455" t="s">
        <v>160</v>
      </c>
      <c r="D194" s="448"/>
      <c r="E194" s="575">
        <v>1.2</v>
      </c>
      <c r="F194" s="448"/>
      <c r="G194" s="448"/>
      <c r="H194" s="448"/>
      <c r="I194" s="448"/>
      <c r="J194" s="575">
        <v>5.2E-14</v>
      </c>
      <c r="K194" s="448"/>
      <c r="L194" s="448"/>
      <c r="M194" s="448"/>
      <c r="N194" s="448"/>
      <c r="O194" s="448"/>
      <c r="P194" s="448"/>
      <c r="Q194" s="455"/>
      <c r="R194" s="448"/>
      <c r="S194" s="575">
        <v>0.468</v>
      </c>
      <c r="T194" s="575">
        <v>2.59</v>
      </c>
      <c r="U194" s="575">
        <v>134.0</v>
      </c>
      <c r="V194" s="448"/>
      <c r="W194" s="455">
        <v>0.8</v>
      </c>
      <c r="X194" s="448"/>
      <c r="Y194" s="448"/>
    </row>
    <row r="195">
      <c r="A195" s="455" t="s">
        <v>1430</v>
      </c>
      <c r="B195" s="455" t="s">
        <v>1431</v>
      </c>
      <c r="C195" s="455" t="s">
        <v>160</v>
      </c>
      <c r="D195" s="448"/>
      <c r="E195" s="575">
        <v>8.9</v>
      </c>
      <c r="F195" s="448"/>
      <c r="G195" s="448"/>
      <c r="H195" s="448"/>
      <c r="I195" s="448"/>
      <c r="J195" s="575">
        <v>2.6E-14</v>
      </c>
      <c r="K195" s="448"/>
      <c r="L195" s="448"/>
      <c r="M195" s="448"/>
      <c r="N195" s="448"/>
      <c r="O195" s="448"/>
      <c r="P195" s="448"/>
      <c r="Q195" s="455"/>
      <c r="R195" s="448"/>
      <c r="S195" s="575">
        <v>0.525</v>
      </c>
      <c r="T195" s="575">
        <v>2.72</v>
      </c>
      <c r="U195" s="575">
        <v>138.0</v>
      </c>
      <c r="V195" s="448"/>
      <c r="W195" s="455">
        <v>3.7</v>
      </c>
      <c r="X195" s="448"/>
      <c r="Y195" s="448"/>
    </row>
    <row r="196">
      <c r="A196" s="455" t="s">
        <v>1382</v>
      </c>
      <c r="B196" s="455" t="s">
        <v>1383</v>
      </c>
      <c r="C196" s="455" t="s">
        <v>160</v>
      </c>
      <c r="D196" s="448"/>
      <c r="E196" s="575">
        <v>2.4</v>
      </c>
      <c r="F196" s="448"/>
      <c r="G196" s="448"/>
      <c r="H196" s="448"/>
      <c r="I196" s="448"/>
      <c r="J196" s="575">
        <v>2.64E-16</v>
      </c>
      <c r="K196" s="448"/>
      <c r="L196" s="448"/>
      <c r="M196" s="448"/>
      <c r="N196" s="448"/>
      <c r="O196" s="448"/>
      <c r="P196" s="448"/>
      <c r="Q196" s="455"/>
      <c r="R196" s="448"/>
      <c r="S196" s="575">
        <v>0.257</v>
      </c>
      <c r="T196" s="575">
        <v>2.08</v>
      </c>
      <c r="U196" s="448"/>
      <c r="V196" s="448"/>
      <c r="W196" s="455">
        <v>1.0</v>
      </c>
      <c r="X196" s="448"/>
      <c r="Y196" s="448"/>
    </row>
    <row r="197">
      <c r="A197" s="455" t="s">
        <v>1460</v>
      </c>
      <c r="B197" s="455" t="s">
        <v>1461</v>
      </c>
      <c r="C197" s="455" t="s">
        <v>160</v>
      </c>
      <c r="D197" s="448"/>
      <c r="E197" s="575">
        <v>0.6</v>
      </c>
      <c r="F197" s="448"/>
      <c r="G197" s="448"/>
      <c r="H197" s="448"/>
      <c r="I197" s="448"/>
      <c r="J197" s="575">
        <v>1.45E-15</v>
      </c>
      <c r="K197" s="448"/>
      <c r="L197" s="448"/>
      <c r="M197" s="448"/>
      <c r="N197" s="448"/>
      <c r="O197" s="448"/>
      <c r="P197" s="448"/>
      <c r="Q197" s="455" t="s">
        <v>137</v>
      </c>
      <c r="R197" s="448"/>
      <c r="S197" s="575">
        <v>0.724</v>
      </c>
      <c r="T197" s="448"/>
      <c r="U197" s="575">
        <v>1360.0</v>
      </c>
      <c r="V197" s="448"/>
      <c r="W197" s="455">
        <v>4.5</v>
      </c>
      <c r="X197" s="448"/>
      <c r="Y197" s="448"/>
    </row>
    <row r="198">
      <c r="A198" s="455" t="s">
        <v>273</v>
      </c>
      <c r="B198" s="455" t="s">
        <v>661</v>
      </c>
      <c r="C198" s="455" t="s">
        <v>1309</v>
      </c>
      <c r="D198" s="448"/>
      <c r="E198" s="575">
        <v>0.9</v>
      </c>
      <c r="F198" s="575">
        <v>6.0</v>
      </c>
      <c r="G198" s="448"/>
      <c r="H198" s="448"/>
      <c r="I198" s="448"/>
      <c r="J198" s="575">
        <v>2.65E-15</v>
      </c>
      <c r="K198" s="448"/>
      <c r="L198" s="575">
        <v>1.11E-14</v>
      </c>
      <c r="M198" s="448"/>
      <c r="N198" s="448"/>
      <c r="O198" s="448"/>
      <c r="P198" s="448"/>
      <c r="Q198" s="455" t="s">
        <v>137</v>
      </c>
      <c r="R198" s="448"/>
      <c r="S198" s="575">
        <v>0.0584</v>
      </c>
      <c r="T198" s="575">
        <v>0.374</v>
      </c>
      <c r="U198" s="575">
        <v>137.0</v>
      </c>
      <c r="V198" s="455">
        <v>3.0</v>
      </c>
      <c r="W198" s="448"/>
      <c r="X198" s="448"/>
      <c r="Y198" s="448"/>
    </row>
    <row r="199">
      <c r="A199" s="455" t="s">
        <v>273</v>
      </c>
      <c r="B199" s="455" t="s">
        <v>661</v>
      </c>
      <c r="C199" s="455" t="s">
        <v>269</v>
      </c>
      <c r="D199" s="575">
        <v>30.0</v>
      </c>
      <c r="E199" s="575">
        <v>0.3</v>
      </c>
      <c r="F199" s="448"/>
      <c r="G199" s="575">
        <v>2.59E-15</v>
      </c>
      <c r="H199" s="448"/>
      <c r="I199" s="448"/>
      <c r="J199" s="575">
        <v>8.83E-16</v>
      </c>
      <c r="K199" s="448"/>
      <c r="L199" s="448"/>
      <c r="M199" s="448"/>
      <c r="N199" s="448"/>
      <c r="O199" s="448"/>
      <c r="P199" s="448"/>
      <c r="Q199" s="455"/>
      <c r="R199" s="448"/>
      <c r="S199" s="575">
        <v>0.0584</v>
      </c>
      <c r="T199" s="575">
        <v>0.374</v>
      </c>
      <c r="U199" s="575">
        <v>137.0</v>
      </c>
      <c r="V199" s="455">
        <v>3.0</v>
      </c>
      <c r="W199" s="448"/>
      <c r="X199" s="448"/>
      <c r="Y199" s="448"/>
    </row>
    <row r="200">
      <c r="A200" s="455" t="s">
        <v>273</v>
      </c>
      <c r="B200" s="455" t="s">
        <v>661</v>
      </c>
      <c r="C200" s="455" t="s">
        <v>269</v>
      </c>
      <c r="D200" s="575">
        <v>30.0</v>
      </c>
      <c r="E200" s="575">
        <v>0.3</v>
      </c>
      <c r="F200" s="448"/>
      <c r="G200" s="575">
        <v>2.59E-15</v>
      </c>
      <c r="H200" s="448"/>
      <c r="I200" s="448"/>
      <c r="J200" s="575">
        <v>8.83E-16</v>
      </c>
      <c r="K200" s="448"/>
      <c r="L200" s="448"/>
      <c r="M200" s="448"/>
      <c r="N200" s="448"/>
      <c r="O200" s="448"/>
      <c r="P200" s="448"/>
      <c r="Q200" s="455"/>
      <c r="R200" s="448"/>
      <c r="S200" s="575">
        <v>0.0584</v>
      </c>
      <c r="T200" s="575">
        <v>0.374</v>
      </c>
      <c r="U200" s="575">
        <v>137.0</v>
      </c>
      <c r="V200" s="455">
        <v>3.0</v>
      </c>
      <c r="W200" s="448"/>
      <c r="X200" s="448"/>
      <c r="Y200" s="448"/>
    </row>
    <row r="201">
      <c r="A201" s="455" t="s">
        <v>273</v>
      </c>
      <c r="B201" s="455" t="s">
        <v>274</v>
      </c>
      <c r="C201" s="455" t="s">
        <v>201</v>
      </c>
      <c r="D201" s="575">
        <v>64.9</v>
      </c>
      <c r="E201" s="448"/>
      <c r="F201" s="448"/>
      <c r="G201" s="575">
        <v>5.6E-15</v>
      </c>
      <c r="H201" s="448"/>
      <c r="I201" s="448"/>
      <c r="J201" s="448"/>
      <c r="K201" s="448"/>
      <c r="L201" s="448"/>
      <c r="M201" s="448"/>
      <c r="N201" s="448"/>
      <c r="O201" s="448"/>
      <c r="P201" s="448"/>
      <c r="Q201" s="455"/>
      <c r="R201" s="448"/>
      <c r="S201" s="575">
        <v>0.12</v>
      </c>
      <c r="T201" s="448"/>
      <c r="U201" s="575">
        <v>137.0</v>
      </c>
      <c r="V201" s="448"/>
      <c r="W201" s="448"/>
      <c r="X201" s="448"/>
      <c r="Y201" s="448"/>
    </row>
    <row r="202">
      <c r="A202" s="455" t="s">
        <v>273</v>
      </c>
      <c r="B202" s="455" t="s">
        <v>274</v>
      </c>
      <c r="C202" s="455" t="s">
        <v>201</v>
      </c>
      <c r="D202" s="575">
        <v>64.9</v>
      </c>
      <c r="E202" s="448"/>
      <c r="F202" s="448"/>
      <c r="G202" s="575">
        <v>5.6E-15</v>
      </c>
      <c r="H202" s="448"/>
      <c r="I202" s="448"/>
      <c r="J202" s="448"/>
      <c r="K202" s="448"/>
      <c r="L202" s="448"/>
      <c r="M202" s="448"/>
      <c r="N202" s="448"/>
      <c r="O202" s="448"/>
      <c r="P202" s="448"/>
      <c r="Q202" s="455"/>
      <c r="R202" s="448"/>
      <c r="S202" s="575">
        <v>0.12</v>
      </c>
      <c r="T202" s="448"/>
      <c r="U202" s="575">
        <v>137.0</v>
      </c>
      <c r="V202" s="448"/>
      <c r="W202" s="448"/>
      <c r="X202" s="448"/>
      <c r="Y202" s="448"/>
    </row>
    <row r="203">
      <c r="A203" s="455" t="s">
        <v>273</v>
      </c>
      <c r="B203" s="455" t="s">
        <v>661</v>
      </c>
      <c r="C203" s="455" t="s">
        <v>160</v>
      </c>
      <c r="D203" s="448"/>
      <c r="E203" s="575">
        <v>0.3</v>
      </c>
      <c r="F203" s="448"/>
      <c r="G203" s="448"/>
      <c r="H203" s="448"/>
      <c r="I203" s="448"/>
      <c r="J203" s="575">
        <v>8.83E-16</v>
      </c>
      <c r="K203" s="448"/>
      <c r="L203" s="448"/>
      <c r="M203" s="448"/>
      <c r="N203" s="448"/>
      <c r="O203" s="448"/>
      <c r="P203" s="448"/>
      <c r="Q203" s="455"/>
      <c r="R203" s="448"/>
      <c r="S203" s="575">
        <v>0.0584</v>
      </c>
      <c r="T203" s="575">
        <v>0.374</v>
      </c>
      <c r="U203" s="575">
        <v>137.0</v>
      </c>
      <c r="V203" s="448"/>
      <c r="W203" s="455">
        <v>0.7</v>
      </c>
      <c r="X203" s="448"/>
      <c r="Y203" s="448"/>
    </row>
    <row r="204">
      <c r="A204" s="455" t="s">
        <v>154</v>
      </c>
      <c r="B204" s="455" t="s">
        <v>155</v>
      </c>
      <c r="C204" s="455" t="s">
        <v>160</v>
      </c>
      <c r="D204" s="448"/>
      <c r="E204" s="448"/>
      <c r="F204" s="575">
        <v>1.2</v>
      </c>
      <c r="G204" s="448"/>
      <c r="H204" s="448"/>
      <c r="I204" s="448"/>
      <c r="J204" s="448"/>
      <c r="K204" s="448"/>
      <c r="L204" s="575">
        <v>1.68E-15</v>
      </c>
      <c r="M204" s="448"/>
      <c r="N204" s="448"/>
      <c r="O204" s="448"/>
      <c r="P204" s="448"/>
      <c r="Q204" s="455" t="s">
        <v>137</v>
      </c>
      <c r="R204" s="448"/>
      <c r="S204" s="575">
        <v>0.00589</v>
      </c>
      <c r="T204" s="575">
        <v>0.337</v>
      </c>
      <c r="U204" s="448"/>
      <c r="V204" s="455">
        <v>3.5</v>
      </c>
      <c r="W204" s="455">
        <v>1.0</v>
      </c>
      <c r="X204" s="448"/>
      <c r="Y204" s="448"/>
    </row>
    <row r="205">
      <c r="A205" s="455" t="s">
        <v>1969</v>
      </c>
      <c r="B205" s="455" t="s">
        <v>1970</v>
      </c>
      <c r="C205" s="455" t="s">
        <v>160</v>
      </c>
      <c r="D205" s="448"/>
      <c r="E205" s="575">
        <v>3.0</v>
      </c>
      <c r="F205" s="448"/>
      <c r="G205" s="448"/>
      <c r="H205" s="448"/>
      <c r="I205" s="448"/>
      <c r="J205" s="575">
        <v>6.4E-17</v>
      </c>
      <c r="K205" s="448"/>
      <c r="L205" s="448"/>
      <c r="M205" s="448"/>
      <c r="N205" s="448"/>
      <c r="O205" s="448"/>
      <c r="P205" s="448"/>
      <c r="Q205" s="455" t="s">
        <v>137</v>
      </c>
      <c r="R205" s="448"/>
      <c r="S205" s="575">
        <v>0.0741</v>
      </c>
      <c r="T205" s="575">
        <v>0.473</v>
      </c>
      <c r="U205" s="448"/>
      <c r="V205" s="455">
        <v>21.0</v>
      </c>
      <c r="W205" s="455">
        <v>6.0</v>
      </c>
      <c r="X205" s="448"/>
      <c r="Y205" s="448"/>
    </row>
    <row r="206">
      <c r="A206" s="455" t="s">
        <v>241</v>
      </c>
      <c r="B206" s="455" t="s">
        <v>1323</v>
      </c>
      <c r="C206" s="455" t="s">
        <v>1309</v>
      </c>
      <c r="D206" s="448"/>
      <c r="E206" s="575">
        <v>0.3</v>
      </c>
      <c r="F206" s="575">
        <v>2.8</v>
      </c>
      <c r="G206" s="448"/>
      <c r="H206" s="448"/>
      <c r="I206" s="448"/>
      <c r="J206" s="575">
        <v>4.63E-16</v>
      </c>
      <c r="K206" s="448"/>
      <c r="L206" s="575">
        <v>4.46E-15</v>
      </c>
      <c r="M206" s="448"/>
      <c r="N206" s="448"/>
      <c r="O206" s="448"/>
      <c r="P206" s="448"/>
      <c r="Q206" s="455" t="s">
        <v>137</v>
      </c>
      <c r="R206" s="448"/>
      <c r="S206" s="575">
        <v>0.0389</v>
      </c>
      <c r="T206" s="575">
        <v>0.69</v>
      </c>
      <c r="U206" s="575">
        <v>143.0</v>
      </c>
      <c r="V206" s="455">
        <v>7.0</v>
      </c>
      <c r="W206" s="448"/>
      <c r="X206" s="448"/>
      <c r="Y206" s="448"/>
    </row>
    <row r="207">
      <c r="A207" s="455" t="s">
        <v>241</v>
      </c>
      <c r="B207" s="455" t="s">
        <v>1323</v>
      </c>
      <c r="C207" s="455" t="s">
        <v>754</v>
      </c>
      <c r="D207" s="448"/>
      <c r="E207" s="448"/>
      <c r="F207" s="448"/>
      <c r="G207" s="575">
        <v>1.05E-13</v>
      </c>
      <c r="H207" s="448"/>
      <c r="I207" s="448"/>
      <c r="J207" s="575">
        <v>1.5E-14</v>
      </c>
      <c r="K207" s="448"/>
      <c r="L207" s="448"/>
      <c r="M207" s="448"/>
      <c r="N207" s="448"/>
      <c r="O207" s="448"/>
      <c r="P207" s="448"/>
      <c r="Q207" s="455"/>
      <c r="R207" s="448"/>
      <c r="S207" s="575">
        <v>0.0389</v>
      </c>
      <c r="T207" s="575">
        <v>0.69</v>
      </c>
      <c r="U207" s="575">
        <v>143.0</v>
      </c>
      <c r="V207" s="455">
        <v>6.73</v>
      </c>
      <c r="W207" s="448"/>
      <c r="X207" s="448"/>
      <c r="Y207" s="448"/>
    </row>
    <row r="208">
      <c r="A208" s="455" t="s">
        <v>241</v>
      </c>
      <c r="B208" s="455" t="s">
        <v>242</v>
      </c>
      <c r="C208" s="455" t="s">
        <v>201</v>
      </c>
      <c r="D208" s="575">
        <v>17.2</v>
      </c>
      <c r="E208" s="448"/>
      <c r="F208" s="448"/>
      <c r="G208" s="448"/>
      <c r="H208" s="448"/>
      <c r="I208" s="448"/>
      <c r="J208" s="448"/>
      <c r="K208" s="448"/>
      <c r="L208" s="448"/>
      <c r="M208" s="448"/>
      <c r="N208" s="448"/>
      <c r="O208" s="448"/>
      <c r="P208" s="448"/>
      <c r="Q208" s="455"/>
      <c r="R208" s="448"/>
      <c r="S208" s="575">
        <v>0.0389</v>
      </c>
      <c r="T208" s="448"/>
      <c r="U208" s="575">
        <v>143.0</v>
      </c>
      <c r="V208" s="455">
        <v>6.0</v>
      </c>
      <c r="W208" s="448"/>
      <c r="X208" s="448"/>
      <c r="Y208" s="448"/>
    </row>
    <row r="209">
      <c r="A209" s="455" t="s">
        <v>241</v>
      </c>
      <c r="B209" s="455" t="s">
        <v>242</v>
      </c>
      <c r="C209" s="455" t="s">
        <v>201</v>
      </c>
      <c r="D209" s="575">
        <v>17.2</v>
      </c>
      <c r="E209" s="448"/>
      <c r="F209" s="448"/>
      <c r="G209" s="448"/>
      <c r="H209" s="448"/>
      <c r="I209" s="448"/>
      <c r="J209" s="448"/>
      <c r="K209" s="448"/>
      <c r="L209" s="448"/>
      <c r="M209" s="448"/>
      <c r="N209" s="448"/>
      <c r="O209" s="448"/>
      <c r="P209" s="448"/>
      <c r="Q209" s="455"/>
      <c r="R209" s="448"/>
      <c r="S209" s="575">
        <v>0.0389</v>
      </c>
      <c r="T209" s="448"/>
      <c r="U209" s="575">
        <v>143.0</v>
      </c>
      <c r="V209" s="455">
        <v>6.0</v>
      </c>
      <c r="W209" s="448"/>
      <c r="X209" s="448"/>
      <c r="Y209" s="448"/>
    </row>
    <row r="210">
      <c r="A210" s="455" t="s">
        <v>241</v>
      </c>
      <c r="B210" s="455" t="s">
        <v>1323</v>
      </c>
      <c r="C210" s="455" t="s">
        <v>160</v>
      </c>
      <c r="D210" s="448"/>
      <c r="E210" s="575">
        <v>0.8</v>
      </c>
      <c r="F210" s="448"/>
      <c r="G210" s="448"/>
      <c r="H210" s="448"/>
      <c r="I210" s="448"/>
      <c r="J210" s="575">
        <v>1.23E-15</v>
      </c>
      <c r="K210" s="448"/>
      <c r="L210" s="448"/>
      <c r="M210" s="448"/>
      <c r="N210" s="448"/>
      <c r="O210" s="448"/>
      <c r="P210" s="448"/>
      <c r="Q210" s="455"/>
      <c r="R210" s="448"/>
      <c r="S210" s="575">
        <v>0.0389</v>
      </c>
      <c r="T210" s="575">
        <v>0.69</v>
      </c>
      <c r="U210" s="575">
        <v>143.0</v>
      </c>
      <c r="V210" s="448"/>
      <c r="W210" s="455">
        <v>1.2</v>
      </c>
      <c r="X210" s="448"/>
      <c r="Y210" s="448"/>
    </row>
    <row r="211">
      <c r="A211" s="455" t="s">
        <v>2423</v>
      </c>
      <c r="B211" s="455" t="s">
        <v>2424</v>
      </c>
      <c r="C211" s="455" t="s">
        <v>1479</v>
      </c>
      <c r="D211" s="448"/>
      <c r="E211" s="448"/>
      <c r="F211" s="448"/>
      <c r="G211" s="448"/>
      <c r="H211" s="448"/>
      <c r="I211" s="448"/>
      <c r="J211" s="448"/>
      <c r="K211" s="448"/>
      <c r="L211" s="448"/>
      <c r="M211" s="448"/>
      <c r="N211" s="448"/>
      <c r="O211" s="448"/>
      <c r="P211" s="448"/>
      <c r="Q211" s="455"/>
      <c r="R211" s="448"/>
      <c r="S211" s="575">
        <v>1.4</v>
      </c>
      <c r="T211" s="575">
        <v>2.4</v>
      </c>
      <c r="U211" s="575">
        <v>121.0</v>
      </c>
      <c r="V211" s="448"/>
      <c r="W211" s="448"/>
      <c r="X211" s="448"/>
      <c r="Y211" s="448"/>
    </row>
    <row r="212">
      <c r="A212" s="455" t="s">
        <v>254</v>
      </c>
      <c r="B212" s="455" t="s">
        <v>255</v>
      </c>
      <c r="C212" s="455" t="s">
        <v>201</v>
      </c>
      <c r="D212" s="575">
        <v>53.0</v>
      </c>
      <c r="E212" s="448"/>
      <c r="F212" s="448"/>
      <c r="G212" s="448"/>
      <c r="H212" s="448"/>
      <c r="I212" s="448"/>
      <c r="J212" s="448"/>
      <c r="K212" s="448"/>
      <c r="L212" s="448"/>
      <c r="M212" s="448"/>
      <c r="N212" s="448"/>
      <c r="O212" s="448"/>
      <c r="P212" s="448"/>
      <c r="Q212" s="455"/>
      <c r="R212" s="448"/>
      <c r="S212" s="575">
        <v>0.08</v>
      </c>
      <c r="T212" s="448"/>
      <c r="U212" s="575">
        <v>148.0</v>
      </c>
      <c r="V212" s="448"/>
      <c r="W212" s="448"/>
      <c r="X212" s="448"/>
      <c r="Y212" s="448"/>
    </row>
    <row r="213">
      <c r="A213" s="455" t="s">
        <v>254</v>
      </c>
      <c r="B213" s="455" t="s">
        <v>255</v>
      </c>
      <c r="C213" s="455" t="s">
        <v>201</v>
      </c>
      <c r="D213" s="575">
        <v>53.0</v>
      </c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55"/>
      <c r="R213" s="448"/>
      <c r="S213" s="575">
        <v>0.08</v>
      </c>
      <c r="T213" s="448"/>
      <c r="U213" s="575">
        <v>148.0</v>
      </c>
      <c r="V213" s="448"/>
      <c r="W213" s="448"/>
      <c r="X213" s="448"/>
      <c r="Y213" s="448"/>
    </row>
    <row r="214">
      <c r="A214" s="455" t="s">
        <v>2433</v>
      </c>
      <c r="B214" s="455" t="s">
        <v>2434</v>
      </c>
      <c r="C214" s="455" t="s">
        <v>1479</v>
      </c>
      <c r="D214" s="448"/>
      <c r="E214" s="448"/>
      <c r="F214" s="448"/>
      <c r="G214" s="448"/>
      <c r="H214" s="448"/>
      <c r="I214" s="448"/>
      <c r="J214" s="448"/>
      <c r="K214" s="448"/>
      <c r="L214" s="448"/>
      <c r="M214" s="448"/>
      <c r="N214" s="448"/>
      <c r="O214" s="448"/>
      <c r="P214" s="448"/>
      <c r="Q214" s="455" t="s">
        <v>137</v>
      </c>
      <c r="R214" s="455" t="s">
        <v>2794</v>
      </c>
      <c r="S214" s="448"/>
      <c r="T214" s="448"/>
      <c r="U214" s="448"/>
      <c r="V214" s="448"/>
      <c r="W214" s="448"/>
      <c r="X214" s="448"/>
      <c r="Y214" s="448"/>
    </row>
    <row r="215">
      <c r="A215" s="455" t="s">
        <v>567</v>
      </c>
      <c r="B215" s="455" t="s">
        <v>568</v>
      </c>
      <c r="C215" s="455" t="s">
        <v>476</v>
      </c>
      <c r="D215" s="448"/>
      <c r="E215" s="448"/>
      <c r="F215" s="448"/>
      <c r="G215" s="575">
        <v>9.66E-12</v>
      </c>
      <c r="H215" s="575">
        <v>1.37E-12</v>
      </c>
      <c r="I215" s="575">
        <v>7.48E-13</v>
      </c>
      <c r="J215" s="575">
        <v>6.92E-13</v>
      </c>
      <c r="K215" s="575">
        <v>4.31E-13</v>
      </c>
      <c r="L215" s="575">
        <v>1.4E-13</v>
      </c>
      <c r="M215" s="575">
        <v>2.23E-13</v>
      </c>
      <c r="N215" s="575">
        <v>3.08E-14</v>
      </c>
      <c r="O215" s="575">
        <v>9.01E-13</v>
      </c>
      <c r="P215" s="575">
        <v>9.38E-13</v>
      </c>
      <c r="Q215" s="455"/>
      <c r="R215" s="448"/>
      <c r="S215" s="575">
        <v>0.51</v>
      </c>
      <c r="T215" s="575">
        <v>2.26</v>
      </c>
      <c r="U215" s="575">
        <v>152.0</v>
      </c>
      <c r="V215" s="448"/>
      <c r="W215" s="448"/>
      <c r="X215" s="448"/>
      <c r="Y215" s="448"/>
    </row>
    <row r="216">
      <c r="A216" s="455" t="s">
        <v>2437</v>
      </c>
      <c r="B216" s="455" t="s">
        <v>313</v>
      </c>
      <c r="C216" s="455" t="s">
        <v>291</v>
      </c>
      <c r="D216" s="448"/>
      <c r="E216" s="448"/>
      <c r="F216" s="448"/>
      <c r="G216" s="575">
        <v>7.78E-17</v>
      </c>
      <c r="H216" s="448"/>
      <c r="I216" s="448"/>
      <c r="J216" s="448"/>
      <c r="K216" s="448"/>
      <c r="L216" s="448"/>
      <c r="M216" s="448"/>
      <c r="N216" s="448"/>
      <c r="O216" s="448"/>
      <c r="P216" s="448"/>
      <c r="Q216" s="455"/>
      <c r="R216" s="448"/>
      <c r="S216" s="575">
        <v>0.0296</v>
      </c>
      <c r="T216" s="575">
        <v>0.503</v>
      </c>
      <c r="U216" s="575">
        <v>155.0</v>
      </c>
      <c r="V216" s="575">
        <v>1.6</v>
      </c>
      <c r="W216" s="448"/>
      <c r="X216" s="448"/>
      <c r="Y216" s="448"/>
    </row>
    <row r="217">
      <c r="A217" s="455" t="s">
        <v>2437</v>
      </c>
      <c r="B217" s="455" t="s">
        <v>313</v>
      </c>
      <c r="C217" s="455" t="s">
        <v>291</v>
      </c>
      <c r="D217" s="448"/>
      <c r="E217" s="448"/>
      <c r="F217" s="448"/>
      <c r="G217" s="575">
        <v>7.78E-17</v>
      </c>
      <c r="H217" s="448"/>
      <c r="I217" s="448"/>
      <c r="J217" s="448"/>
      <c r="K217" s="448"/>
      <c r="L217" s="448"/>
      <c r="M217" s="448"/>
      <c r="N217" s="448"/>
      <c r="O217" s="448"/>
      <c r="P217" s="448"/>
      <c r="Q217" s="455"/>
      <c r="R217" s="448"/>
      <c r="S217" s="575">
        <v>0.0229</v>
      </c>
      <c r="T217" s="575">
        <v>0.503</v>
      </c>
      <c r="U217" s="575">
        <v>155.0</v>
      </c>
      <c r="V217" s="575">
        <v>1.6</v>
      </c>
      <c r="W217" s="448"/>
      <c r="X217" s="448"/>
      <c r="Y217" s="448"/>
    </row>
    <row r="218">
      <c r="A218" s="455" t="s">
        <v>2437</v>
      </c>
      <c r="B218" s="455" t="s">
        <v>313</v>
      </c>
      <c r="C218" s="455" t="s">
        <v>1626</v>
      </c>
      <c r="D218" s="448"/>
      <c r="E218" s="448"/>
      <c r="F218" s="448"/>
      <c r="G218" s="448"/>
      <c r="H218" s="448"/>
      <c r="I218" s="448"/>
      <c r="J218" s="448"/>
      <c r="K218" s="448"/>
      <c r="L218" s="448"/>
      <c r="M218" s="448"/>
      <c r="N218" s="448"/>
      <c r="O218" s="448"/>
      <c r="P218" s="448"/>
      <c r="Q218" s="455"/>
      <c r="R218" s="448"/>
      <c r="S218" s="575">
        <v>0.0239</v>
      </c>
      <c r="T218" s="575">
        <v>0.503</v>
      </c>
      <c r="U218" s="448"/>
      <c r="V218" s="455">
        <v>1.6</v>
      </c>
      <c r="W218" s="448"/>
      <c r="X218" s="448"/>
      <c r="Y218" s="448"/>
    </row>
    <row r="219">
      <c r="A219" s="455" t="s">
        <v>627</v>
      </c>
      <c r="B219" s="455" t="s">
        <v>627</v>
      </c>
      <c r="C219" s="455" t="s">
        <v>598</v>
      </c>
      <c r="D219" s="575">
        <v>85.3</v>
      </c>
      <c r="E219" s="448"/>
      <c r="F219" s="448"/>
      <c r="G219" s="448"/>
      <c r="H219" s="448"/>
      <c r="I219" s="448"/>
      <c r="J219" s="448"/>
      <c r="K219" s="448"/>
      <c r="L219" s="448"/>
      <c r="M219" s="448"/>
      <c r="N219" s="448"/>
      <c r="O219" s="448"/>
      <c r="P219" s="448"/>
      <c r="Q219" s="455" t="s">
        <v>137</v>
      </c>
      <c r="R219" s="455" t="s">
        <v>638</v>
      </c>
      <c r="S219" s="575">
        <v>0.0258</v>
      </c>
      <c r="T219" s="575">
        <v>0.605</v>
      </c>
      <c r="U219" s="575">
        <v>190.0</v>
      </c>
      <c r="V219" s="455">
        <v>0.0</v>
      </c>
      <c r="W219" s="448"/>
      <c r="X219" s="448"/>
      <c r="Y219" s="448"/>
    </row>
    <row r="220">
      <c r="A220" s="455" t="s">
        <v>666</v>
      </c>
      <c r="B220" s="455" t="s">
        <v>666</v>
      </c>
      <c r="C220" s="455" t="s">
        <v>598</v>
      </c>
      <c r="D220" s="575">
        <v>72.0</v>
      </c>
      <c r="E220" s="448"/>
      <c r="F220" s="448"/>
      <c r="G220" s="448"/>
      <c r="H220" s="448"/>
      <c r="I220" s="448"/>
      <c r="J220" s="448"/>
      <c r="K220" s="448"/>
      <c r="L220" s="448"/>
      <c r="M220" s="448"/>
      <c r="N220" s="448"/>
      <c r="O220" s="448"/>
      <c r="P220" s="448"/>
      <c r="Q220" s="455"/>
      <c r="R220" s="448"/>
      <c r="S220" s="575">
        <v>0.0572</v>
      </c>
      <c r="T220" s="575">
        <v>0.356</v>
      </c>
      <c r="U220" s="575">
        <v>187.0</v>
      </c>
      <c r="V220" s="455">
        <v>1.6</v>
      </c>
      <c r="W220" s="448"/>
      <c r="X220" s="448"/>
      <c r="Y220" s="448"/>
    </row>
    <row r="221">
      <c r="A221" s="455" t="s">
        <v>1520</v>
      </c>
      <c r="B221" s="455" t="s">
        <v>1520</v>
      </c>
      <c r="C221" s="455" t="s">
        <v>1479</v>
      </c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8"/>
      <c r="O221" s="448"/>
      <c r="P221" s="448"/>
      <c r="Q221" s="455"/>
      <c r="R221" s="448"/>
      <c r="S221" s="575">
        <v>0.77</v>
      </c>
      <c r="T221" s="575">
        <v>1.86</v>
      </c>
      <c r="U221" s="575">
        <v>159.0</v>
      </c>
      <c r="V221" s="448"/>
      <c r="W221" s="448"/>
      <c r="X221" s="448"/>
      <c r="Y221" s="448"/>
    </row>
    <row r="222">
      <c r="A222" s="455" t="s">
        <v>2449</v>
      </c>
      <c r="B222" s="455" t="s">
        <v>2449</v>
      </c>
      <c r="C222" s="455" t="s">
        <v>1479</v>
      </c>
      <c r="D222" s="448"/>
      <c r="E222" s="448"/>
      <c r="F222" s="448"/>
      <c r="G222" s="448"/>
      <c r="H222" s="448"/>
      <c r="I222" s="448"/>
      <c r="J222" s="448"/>
      <c r="K222" s="448"/>
      <c r="L222" s="448"/>
      <c r="M222" s="448"/>
      <c r="N222" s="448"/>
      <c r="O222" s="448"/>
      <c r="P222" s="448"/>
      <c r="Q222" s="455" t="s">
        <v>137</v>
      </c>
      <c r="R222" s="455" t="s">
        <v>2794</v>
      </c>
      <c r="S222" s="448"/>
      <c r="T222" s="448"/>
      <c r="U222" s="575">
        <v>413.0</v>
      </c>
      <c r="V222" s="448"/>
      <c r="W222" s="448"/>
      <c r="X222" s="448"/>
      <c r="Y222" s="448"/>
    </row>
    <row r="223">
      <c r="A223" s="455" t="s">
        <v>285</v>
      </c>
      <c r="B223" s="455" t="s">
        <v>285</v>
      </c>
      <c r="C223" s="455" t="s">
        <v>201</v>
      </c>
      <c r="D223" s="575">
        <v>66.0</v>
      </c>
      <c r="E223" s="448"/>
      <c r="F223" s="448"/>
      <c r="G223" s="575">
        <v>9.8E-15</v>
      </c>
      <c r="H223" s="448"/>
      <c r="I223" s="448"/>
      <c r="J223" s="448"/>
      <c r="K223" s="448"/>
      <c r="L223" s="448"/>
      <c r="M223" s="448"/>
      <c r="N223" s="448"/>
      <c r="O223" s="448"/>
      <c r="P223" s="448"/>
      <c r="Q223" s="455"/>
      <c r="R223" s="448"/>
      <c r="S223" s="575">
        <v>0.14</v>
      </c>
      <c r="T223" s="448"/>
      <c r="U223" s="575">
        <v>321.0</v>
      </c>
      <c r="V223" s="448"/>
      <c r="W223" s="448"/>
      <c r="X223" s="448"/>
      <c r="Y223" s="448"/>
    </row>
    <row r="224">
      <c r="A224" s="455" t="s">
        <v>285</v>
      </c>
      <c r="B224" s="455" t="s">
        <v>285</v>
      </c>
      <c r="C224" s="455" t="s">
        <v>201</v>
      </c>
      <c r="D224" s="575">
        <v>66.0</v>
      </c>
      <c r="E224" s="448"/>
      <c r="F224" s="448"/>
      <c r="G224" s="575">
        <v>9.8E-15</v>
      </c>
      <c r="H224" s="448"/>
      <c r="I224" s="448"/>
      <c r="J224" s="448"/>
      <c r="K224" s="448"/>
      <c r="L224" s="448"/>
      <c r="M224" s="448"/>
      <c r="N224" s="448"/>
      <c r="O224" s="448"/>
      <c r="P224" s="448"/>
      <c r="Q224" s="455"/>
      <c r="R224" s="448"/>
      <c r="S224" s="575">
        <v>0.14</v>
      </c>
      <c r="T224" s="448"/>
      <c r="U224" s="575">
        <v>321.0</v>
      </c>
      <c r="V224" s="448"/>
      <c r="W224" s="448"/>
      <c r="X224" s="448"/>
      <c r="Y224" s="448"/>
    </row>
    <row r="225">
      <c r="A225" s="455" t="s">
        <v>285</v>
      </c>
      <c r="B225" s="455" t="s">
        <v>285</v>
      </c>
      <c r="C225" s="455" t="s">
        <v>248</v>
      </c>
      <c r="D225" s="575">
        <v>54.0</v>
      </c>
      <c r="E225" s="448"/>
      <c r="F225" s="448"/>
      <c r="G225" s="575">
        <v>8.02E-15</v>
      </c>
      <c r="H225" s="448"/>
      <c r="I225" s="448"/>
      <c r="J225" s="448"/>
      <c r="K225" s="448"/>
      <c r="L225" s="448"/>
      <c r="M225" s="448"/>
      <c r="N225" s="448"/>
      <c r="O225" s="448"/>
      <c r="P225" s="448"/>
      <c r="Q225" s="455"/>
      <c r="R225" s="448"/>
      <c r="S225" s="575">
        <v>0.12</v>
      </c>
      <c r="T225" s="575">
        <v>1.0</v>
      </c>
      <c r="U225" s="575">
        <v>321.0</v>
      </c>
      <c r="V225" s="455">
        <v>2.41</v>
      </c>
      <c r="W225" s="448"/>
      <c r="X225" s="448"/>
      <c r="Y225" s="448"/>
    </row>
    <row r="226">
      <c r="A226" s="455" t="s">
        <v>233</v>
      </c>
      <c r="B226" s="455" t="s">
        <v>234</v>
      </c>
      <c r="C226" s="455" t="s">
        <v>201</v>
      </c>
      <c r="D226" s="575">
        <v>32.4</v>
      </c>
      <c r="E226" s="448"/>
      <c r="F226" s="448"/>
      <c r="G226" s="575">
        <v>9.51E-16</v>
      </c>
      <c r="H226" s="448"/>
      <c r="I226" s="448"/>
      <c r="J226" s="448"/>
      <c r="K226" s="448"/>
      <c r="L226" s="448"/>
      <c r="M226" s="448"/>
      <c r="N226" s="448"/>
      <c r="O226" s="448"/>
      <c r="P226" s="448"/>
      <c r="Q226" s="455"/>
      <c r="R226" s="448"/>
      <c r="S226" s="575">
        <v>0.035</v>
      </c>
      <c r="T226" s="448"/>
      <c r="U226" s="575">
        <v>235.0</v>
      </c>
      <c r="V226" s="455">
        <v>1.06</v>
      </c>
      <c r="W226" s="448"/>
      <c r="X226" s="448"/>
      <c r="Y226" s="448"/>
    </row>
    <row r="227">
      <c r="A227" s="455" t="s">
        <v>233</v>
      </c>
      <c r="B227" s="455" t="s">
        <v>234</v>
      </c>
      <c r="C227" s="455" t="s">
        <v>201</v>
      </c>
      <c r="D227" s="575">
        <v>32.4</v>
      </c>
      <c r="E227" s="448"/>
      <c r="F227" s="448"/>
      <c r="G227" s="575">
        <v>9.51E-16</v>
      </c>
      <c r="H227" s="448"/>
      <c r="I227" s="448"/>
      <c r="J227" s="448"/>
      <c r="K227" s="448"/>
      <c r="L227" s="448"/>
      <c r="M227" s="448"/>
      <c r="N227" s="448"/>
      <c r="O227" s="448"/>
      <c r="P227" s="448"/>
      <c r="Q227" s="455"/>
      <c r="R227" s="448"/>
      <c r="S227" s="575">
        <v>0.035</v>
      </c>
      <c r="T227" s="448"/>
      <c r="U227" s="575">
        <v>235.0</v>
      </c>
      <c r="V227" s="455">
        <v>1.06</v>
      </c>
      <c r="W227" s="448"/>
      <c r="X227" s="448"/>
      <c r="Y227" s="448"/>
    </row>
    <row r="228">
      <c r="A228" s="455" t="s">
        <v>696</v>
      </c>
      <c r="B228" s="455" t="s">
        <v>696</v>
      </c>
      <c r="C228" s="455" t="s">
        <v>248</v>
      </c>
      <c r="D228" s="575">
        <v>121.0</v>
      </c>
      <c r="E228" s="448"/>
      <c r="F228" s="448"/>
      <c r="G228" s="575">
        <v>1.17E-15</v>
      </c>
      <c r="H228" s="448"/>
      <c r="I228" s="448"/>
      <c r="J228" s="448"/>
      <c r="K228" s="448"/>
      <c r="L228" s="448"/>
      <c r="M228" s="448"/>
      <c r="N228" s="448"/>
      <c r="O228" s="448"/>
      <c r="P228" s="448"/>
      <c r="Q228" s="455"/>
      <c r="R228" s="448"/>
      <c r="S228" s="575">
        <v>0.1</v>
      </c>
      <c r="T228" s="575">
        <v>1.0</v>
      </c>
      <c r="U228" s="575">
        <v>249.0</v>
      </c>
      <c r="V228" s="455">
        <v>3.12</v>
      </c>
      <c r="W228" s="448"/>
      <c r="X228" s="448"/>
      <c r="Y228" s="448"/>
    </row>
    <row r="229">
      <c r="A229" s="455" t="s">
        <v>263</v>
      </c>
      <c r="B229" s="455" t="s">
        <v>645</v>
      </c>
      <c r="C229" s="455" t="s">
        <v>248</v>
      </c>
      <c r="D229" s="575">
        <v>70.0</v>
      </c>
      <c r="E229" s="448"/>
      <c r="F229" s="448"/>
      <c r="G229" s="448"/>
      <c r="H229" s="448"/>
      <c r="I229" s="448"/>
      <c r="J229" s="448"/>
      <c r="K229" s="448"/>
      <c r="L229" s="448"/>
      <c r="M229" s="448"/>
      <c r="N229" s="448"/>
      <c r="O229" s="448"/>
      <c r="P229" s="448"/>
      <c r="Q229" s="455"/>
      <c r="R229" s="448"/>
      <c r="S229" s="575">
        <v>0.0469</v>
      </c>
      <c r="T229" s="575">
        <v>0.5</v>
      </c>
      <c r="U229" s="448"/>
      <c r="V229" s="455">
        <v>5.1</v>
      </c>
      <c r="W229" s="448"/>
      <c r="X229" s="448"/>
      <c r="Y229" s="448"/>
    </row>
    <row r="230">
      <c r="A230" s="455" t="s">
        <v>263</v>
      </c>
      <c r="B230" s="455" t="s">
        <v>263</v>
      </c>
      <c r="C230" s="455" t="s">
        <v>201</v>
      </c>
      <c r="D230" s="575">
        <v>15.0</v>
      </c>
      <c r="E230" s="448"/>
      <c r="F230" s="448"/>
      <c r="G230" s="448"/>
      <c r="H230" s="448"/>
      <c r="I230" s="448"/>
      <c r="J230" s="448"/>
      <c r="K230" s="448"/>
      <c r="L230" s="448"/>
      <c r="M230" s="448"/>
      <c r="N230" s="448"/>
      <c r="O230" s="448"/>
      <c r="P230" s="448"/>
      <c r="Q230" s="455"/>
      <c r="R230" s="448"/>
      <c r="S230" s="575">
        <v>0.0469</v>
      </c>
      <c r="T230" s="575">
        <v>0.337</v>
      </c>
      <c r="U230" s="448"/>
      <c r="V230" s="455">
        <v>5.1</v>
      </c>
      <c r="W230" s="448"/>
      <c r="X230" s="448"/>
      <c r="Y230" s="448"/>
    </row>
    <row r="231">
      <c r="A231" s="455" t="s">
        <v>263</v>
      </c>
      <c r="B231" s="455" t="s">
        <v>263</v>
      </c>
      <c r="C231" s="455" t="s">
        <v>201</v>
      </c>
      <c r="D231" s="575">
        <v>15.0</v>
      </c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55"/>
      <c r="R231" s="448"/>
      <c r="S231" s="575">
        <v>0.0469</v>
      </c>
      <c r="T231" s="575">
        <v>0.337</v>
      </c>
      <c r="U231" s="448"/>
      <c r="V231" s="455">
        <v>5.1</v>
      </c>
      <c r="W231" s="448"/>
      <c r="X231" s="448"/>
      <c r="Y231" s="448"/>
    </row>
    <row r="232">
      <c r="A232" s="455" t="s">
        <v>246</v>
      </c>
      <c r="B232" s="455" t="s">
        <v>247</v>
      </c>
      <c r="C232" s="455" t="s">
        <v>201</v>
      </c>
      <c r="D232" s="575">
        <v>80.0</v>
      </c>
      <c r="E232" s="448"/>
      <c r="F232" s="448"/>
      <c r="G232" s="448"/>
      <c r="H232" s="448"/>
      <c r="I232" s="448"/>
      <c r="J232" s="448"/>
      <c r="K232" s="448"/>
      <c r="L232" s="448"/>
      <c r="M232" s="448"/>
      <c r="N232" s="448"/>
      <c r="O232" s="448"/>
      <c r="P232" s="448"/>
      <c r="Q232" s="455"/>
      <c r="R232" s="448"/>
      <c r="S232" s="575">
        <v>0.0517</v>
      </c>
      <c r="T232" s="448"/>
      <c r="U232" s="575">
        <v>418.0</v>
      </c>
      <c r="V232" s="455">
        <v>2.9</v>
      </c>
      <c r="W232" s="448"/>
      <c r="X232" s="448"/>
      <c r="Y232" s="448"/>
    </row>
    <row r="233">
      <c r="A233" s="455" t="s">
        <v>246</v>
      </c>
      <c r="B233" s="455" t="s">
        <v>247</v>
      </c>
      <c r="C233" s="455" t="s">
        <v>201</v>
      </c>
      <c r="D233" s="575">
        <v>80.0</v>
      </c>
      <c r="E233" s="448"/>
      <c r="F233" s="448"/>
      <c r="G233" s="448"/>
      <c r="H233" s="448"/>
      <c r="I233" s="448"/>
      <c r="J233" s="448"/>
      <c r="K233" s="448"/>
      <c r="L233" s="448"/>
      <c r="M233" s="448"/>
      <c r="N233" s="448"/>
      <c r="O233" s="448"/>
      <c r="P233" s="448"/>
      <c r="Q233" s="455"/>
      <c r="R233" s="448"/>
      <c r="S233" s="575">
        <v>0.0517</v>
      </c>
      <c r="T233" s="448"/>
      <c r="U233" s="575">
        <v>418.0</v>
      </c>
      <c r="V233" s="455">
        <v>2.9</v>
      </c>
      <c r="W233" s="448"/>
      <c r="X233" s="448"/>
      <c r="Y233" s="448"/>
    </row>
    <row r="234">
      <c r="A234" s="455" t="s">
        <v>246</v>
      </c>
      <c r="B234" s="455" t="s">
        <v>247</v>
      </c>
      <c r="C234" s="455" t="s">
        <v>248</v>
      </c>
      <c r="D234" s="575">
        <v>70.0</v>
      </c>
      <c r="E234" s="448"/>
      <c r="F234" s="448"/>
      <c r="G234" s="448"/>
      <c r="H234" s="448"/>
      <c r="I234" s="448"/>
      <c r="J234" s="448"/>
      <c r="K234" s="448"/>
      <c r="L234" s="448"/>
      <c r="M234" s="448"/>
      <c r="N234" s="448"/>
      <c r="O234" s="448"/>
      <c r="P234" s="448"/>
      <c r="Q234" s="455"/>
      <c r="R234" s="448"/>
      <c r="S234" s="575">
        <v>0.0517</v>
      </c>
      <c r="T234" s="575">
        <v>0.5</v>
      </c>
      <c r="U234" s="575">
        <v>418.0</v>
      </c>
      <c r="V234" s="455">
        <v>2.9</v>
      </c>
      <c r="W234" s="448"/>
      <c r="X234" s="448"/>
      <c r="Y234" s="448"/>
    </row>
    <row r="235">
      <c r="A235" s="455" t="s">
        <v>1566</v>
      </c>
      <c r="B235" s="455" t="s">
        <v>1566</v>
      </c>
      <c r="C235" s="455" t="s">
        <v>1479</v>
      </c>
      <c r="D235" s="448"/>
      <c r="E235" s="448"/>
      <c r="F235" s="448"/>
      <c r="G235" s="448"/>
      <c r="H235" s="448"/>
      <c r="I235" s="448"/>
      <c r="J235" s="448"/>
      <c r="K235" s="448"/>
      <c r="L235" s="448"/>
      <c r="M235" s="448"/>
      <c r="N235" s="448"/>
      <c r="O235" s="448"/>
      <c r="P235" s="448"/>
      <c r="Q235" s="455"/>
      <c r="R235" s="448"/>
      <c r="S235" s="575">
        <v>2.1</v>
      </c>
      <c r="T235" s="575">
        <v>3.2</v>
      </c>
      <c r="U235" s="575">
        <v>193.0</v>
      </c>
      <c r="V235" s="448"/>
      <c r="W235" s="448"/>
      <c r="X235" s="448"/>
      <c r="Y235" s="448"/>
    </row>
    <row r="236">
      <c r="A236" s="455" t="s">
        <v>435</v>
      </c>
      <c r="B236" s="455" t="s">
        <v>435</v>
      </c>
      <c r="C236" s="455" t="s">
        <v>413</v>
      </c>
      <c r="D236" s="448"/>
      <c r="E236" s="448"/>
      <c r="F236" s="448"/>
      <c r="G236" s="448"/>
      <c r="H236" s="448"/>
      <c r="I236" s="448"/>
      <c r="J236" s="448"/>
      <c r="K236" s="448"/>
      <c r="L236" s="448"/>
      <c r="M236" s="448"/>
      <c r="N236" s="448"/>
      <c r="O236" s="448"/>
      <c r="P236" s="448"/>
      <c r="Q236" s="455"/>
      <c r="R236" s="448"/>
      <c r="S236" s="575">
        <v>0.424</v>
      </c>
      <c r="T236" s="575">
        <v>1.63</v>
      </c>
      <c r="U236" s="575">
        <v>129.0</v>
      </c>
      <c r="V236" s="448"/>
      <c r="W236" s="448"/>
      <c r="X236" s="448"/>
      <c r="Y236" s="448"/>
    </row>
    <row r="237">
      <c r="A237" s="455" t="s">
        <v>412</v>
      </c>
      <c r="B237" s="455" t="s">
        <v>412</v>
      </c>
      <c r="C237" s="455" t="s">
        <v>413</v>
      </c>
      <c r="D237" s="448"/>
      <c r="E237" s="448"/>
      <c r="F237" s="448"/>
      <c r="G237" s="448"/>
      <c r="H237" s="448"/>
      <c r="I237" s="448"/>
      <c r="J237" s="448"/>
      <c r="K237" s="448"/>
      <c r="L237" s="448"/>
      <c r="M237" s="448"/>
      <c r="N237" s="448"/>
      <c r="O237" s="448"/>
      <c r="P237" s="448"/>
      <c r="Q237" s="455"/>
      <c r="R237" s="448"/>
      <c r="S237" s="575">
        <v>0.259</v>
      </c>
      <c r="T237" s="575">
        <v>2.45</v>
      </c>
      <c r="U237" s="575">
        <v>127.0</v>
      </c>
      <c r="V237" s="448"/>
      <c r="W237" s="448"/>
      <c r="X237" s="448"/>
      <c r="Y237" s="448"/>
    </row>
    <row r="238">
      <c r="A238" s="455" t="s">
        <v>230</v>
      </c>
      <c r="B238" s="455" t="s">
        <v>231</v>
      </c>
      <c r="C238" s="455" t="s">
        <v>201</v>
      </c>
      <c r="D238" s="575">
        <v>70.0</v>
      </c>
      <c r="E238" s="448"/>
      <c r="F238" s="448"/>
      <c r="G238" s="448"/>
      <c r="H238" s="448"/>
      <c r="I238" s="448"/>
      <c r="J238" s="448"/>
      <c r="K238" s="448"/>
      <c r="L238" s="448"/>
      <c r="M238" s="448"/>
      <c r="N238" s="448"/>
      <c r="O238" s="448"/>
      <c r="P238" s="448"/>
      <c r="Q238" s="455"/>
      <c r="R238" s="448"/>
      <c r="S238" s="575">
        <v>0.0341</v>
      </c>
      <c r="T238" s="448"/>
      <c r="U238" s="575">
        <v>137.0</v>
      </c>
      <c r="V238" s="455">
        <v>0.0</v>
      </c>
      <c r="W238" s="448"/>
      <c r="X238" s="448"/>
      <c r="Y238" s="448"/>
    </row>
    <row r="239">
      <c r="A239" s="455" t="s">
        <v>230</v>
      </c>
      <c r="B239" s="455" t="s">
        <v>231</v>
      </c>
      <c r="C239" s="455" t="s">
        <v>201</v>
      </c>
      <c r="D239" s="575">
        <v>70.0</v>
      </c>
      <c r="E239" s="448"/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55"/>
      <c r="R239" s="448"/>
      <c r="S239" s="575">
        <v>0.0341</v>
      </c>
      <c r="T239" s="448"/>
      <c r="U239" s="575">
        <v>137.0</v>
      </c>
      <c r="V239" s="455">
        <v>0.0</v>
      </c>
      <c r="W239" s="448"/>
      <c r="X239" s="448"/>
      <c r="Y239" s="448"/>
    </row>
    <row r="240">
      <c r="A240" s="455" t="s">
        <v>230</v>
      </c>
      <c r="B240" s="455" t="s">
        <v>337</v>
      </c>
      <c r="C240" s="455" t="s">
        <v>306</v>
      </c>
      <c r="D240" s="575">
        <v>131.0</v>
      </c>
      <c r="E240" s="448"/>
      <c r="F240" s="448"/>
      <c r="G240" s="575">
        <v>8.32E-15</v>
      </c>
      <c r="H240" s="448"/>
      <c r="I240" s="448"/>
      <c r="J240" s="448"/>
      <c r="K240" s="448"/>
      <c r="L240" s="448"/>
      <c r="M240" s="448"/>
      <c r="N240" s="448"/>
      <c r="O240" s="448"/>
      <c r="P240" s="448"/>
      <c r="Q240" s="455"/>
      <c r="R240" s="448"/>
      <c r="S240" s="575">
        <v>0.0369</v>
      </c>
      <c r="T240" s="575">
        <v>0.35</v>
      </c>
      <c r="U240" s="575">
        <v>137.0</v>
      </c>
      <c r="V240" s="455">
        <v>0.0</v>
      </c>
      <c r="W240" s="448"/>
      <c r="X240" s="448"/>
      <c r="Y240" s="448"/>
    </row>
    <row r="241">
      <c r="A241" s="455" t="s">
        <v>648</v>
      </c>
      <c r="B241" s="455" t="s">
        <v>648</v>
      </c>
      <c r="C241" s="455" t="s">
        <v>649</v>
      </c>
      <c r="D241" s="448"/>
      <c r="E241" s="448"/>
      <c r="F241" s="448"/>
      <c r="G241" s="448"/>
      <c r="H241" s="448"/>
      <c r="I241" s="448"/>
      <c r="J241" s="448"/>
      <c r="K241" s="448"/>
      <c r="L241" s="448"/>
      <c r="M241" s="448"/>
      <c r="N241" s="448"/>
      <c r="O241" s="448"/>
      <c r="P241" s="448"/>
      <c r="Q241" s="448"/>
      <c r="R241" s="448"/>
      <c r="S241" s="448"/>
      <c r="T241" s="575">
        <v>0.287</v>
      </c>
      <c r="U241" s="448"/>
      <c r="V241" s="448"/>
      <c r="W241" s="448"/>
      <c r="X241" s="448"/>
      <c r="Y241" s="448"/>
    </row>
    <row r="242">
      <c r="A242" s="455" t="s">
        <v>418</v>
      </c>
      <c r="B242" s="455" t="s">
        <v>418</v>
      </c>
      <c r="C242" s="455" t="s">
        <v>413</v>
      </c>
      <c r="D242" s="448"/>
      <c r="E242" s="448"/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55"/>
      <c r="R242" s="448"/>
      <c r="S242" s="575">
        <v>0.27</v>
      </c>
      <c r="T242" s="575">
        <v>3.37</v>
      </c>
      <c r="U242" s="575">
        <v>124.0</v>
      </c>
      <c r="V242" s="448"/>
      <c r="W242" s="448"/>
      <c r="X242" s="448"/>
      <c r="Y242" s="448"/>
    </row>
    <row r="243">
      <c r="A243" s="455" t="s">
        <v>436</v>
      </c>
      <c r="B243" s="455" t="s">
        <v>436</v>
      </c>
      <c r="C243" s="455" t="s">
        <v>413</v>
      </c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55"/>
      <c r="R243" s="448"/>
      <c r="S243" s="575">
        <v>0.431</v>
      </c>
      <c r="T243" s="575">
        <v>2.49</v>
      </c>
      <c r="U243" s="575">
        <v>129.0</v>
      </c>
      <c r="V243" s="448"/>
      <c r="W243" s="448"/>
      <c r="X243" s="448"/>
      <c r="Y243" s="448"/>
    </row>
    <row r="244">
      <c r="A244" s="455" t="s">
        <v>431</v>
      </c>
      <c r="B244" s="455" t="s">
        <v>431</v>
      </c>
      <c r="C244" s="455" t="s">
        <v>413</v>
      </c>
      <c r="D244" s="448"/>
      <c r="E244" s="448"/>
      <c r="F244" s="448"/>
      <c r="G244" s="448"/>
      <c r="H244" s="448"/>
      <c r="I244" s="448"/>
      <c r="J244" s="448"/>
      <c r="K244" s="448"/>
      <c r="L244" s="448"/>
      <c r="M244" s="448"/>
      <c r="N244" s="448"/>
      <c r="O244" s="448"/>
      <c r="P244" s="448"/>
      <c r="Q244" s="455"/>
      <c r="R244" s="448"/>
      <c r="S244" s="575">
        <v>0.382</v>
      </c>
      <c r="T244" s="575">
        <v>2.09</v>
      </c>
      <c r="U244" s="575">
        <v>128.0</v>
      </c>
      <c r="V244" s="448"/>
      <c r="W244" s="448"/>
      <c r="X244" s="448"/>
      <c r="Y244" s="448"/>
    </row>
    <row r="245">
      <c r="A245" s="455" t="s">
        <v>426</v>
      </c>
      <c r="B245" s="455" t="s">
        <v>426</v>
      </c>
      <c r="C245" s="455" t="s">
        <v>413</v>
      </c>
      <c r="D245" s="448"/>
      <c r="E245" s="448"/>
      <c r="F245" s="448"/>
      <c r="G245" s="448"/>
      <c r="H245" s="448"/>
      <c r="I245" s="448"/>
      <c r="J245" s="448"/>
      <c r="K245" s="448"/>
      <c r="L245" s="448"/>
      <c r="M245" s="448"/>
      <c r="N245" s="448"/>
      <c r="O245" s="448"/>
      <c r="P245" s="448"/>
      <c r="Q245" s="455"/>
      <c r="R245" s="448"/>
      <c r="S245" s="575">
        <v>0.369</v>
      </c>
      <c r="T245" s="575">
        <v>2.25</v>
      </c>
      <c r="U245" s="575">
        <v>139.0</v>
      </c>
      <c r="V245" s="448"/>
      <c r="W245" s="448"/>
      <c r="X245" s="448"/>
      <c r="Y245" s="448"/>
    </row>
    <row r="246">
      <c r="A246" s="455" t="s">
        <v>437</v>
      </c>
      <c r="B246" s="455" t="s">
        <v>437</v>
      </c>
      <c r="C246" s="455" t="s">
        <v>413</v>
      </c>
      <c r="D246" s="448"/>
      <c r="E246" s="448"/>
      <c r="F246" s="448"/>
      <c r="G246" s="448"/>
      <c r="H246" s="448"/>
      <c r="I246" s="448"/>
      <c r="J246" s="448"/>
      <c r="K246" s="448"/>
      <c r="L246" s="448"/>
      <c r="M246" s="448"/>
      <c r="N246" s="448"/>
      <c r="O246" s="448"/>
      <c r="P246" s="448"/>
      <c r="Q246" s="455"/>
      <c r="R246" s="448"/>
      <c r="S246" s="575">
        <v>0.439</v>
      </c>
      <c r="T246" s="575">
        <v>1.79</v>
      </c>
      <c r="U246" s="575">
        <v>197.0</v>
      </c>
      <c r="V246" s="448"/>
      <c r="W246" s="448"/>
      <c r="X246" s="448"/>
      <c r="Y246" s="448"/>
    </row>
    <row r="247">
      <c r="A247" s="455" t="s">
        <v>462</v>
      </c>
      <c r="B247" s="455" t="s">
        <v>462</v>
      </c>
      <c r="C247" s="455" t="s">
        <v>413</v>
      </c>
      <c r="D247" s="448"/>
      <c r="E247" s="448"/>
      <c r="F247" s="448"/>
      <c r="G247" s="448"/>
      <c r="H247" s="448"/>
      <c r="I247" s="448"/>
      <c r="J247" s="448"/>
      <c r="K247" s="448"/>
      <c r="L247" s="448"/>
      <c r="M247" s="448"/>
      <c r="N247" s="448"/>
      <c r="O247" s="448"/>
      <c r="P247" s="448"/>
      <c r="Q247" s="455"/>
      <c r="R247" s="448"/>
      <c r="S247" s="575">
        <v>0.87</v>
      </c>
      <c r="T247" s="575">
        <v>1.36</v>
      </c>
      <c r="U247" s="575">
        <v>159.0</v>
      </c>
      <c r="V247" s="448"/>
      <c r="W247" s="448"/>
      <c r="X247" s="448"/>
      <c r="Y247" s="448"/>
    </row>
    <row r="248">
      <c r="A248" s="455" t="s">
        <v>808</v>
      </c>
      <c r="B248" s="455" t="s">
        <v>809</v>
      </c>
      <c r="C248" s="455" t="s">
        <v>810</v>
      </c>
      <c r="D248" s="575">
        <v>39.4</v>
      </c>
      <c r="E248" s="448"/>
      <c r="F248" s="448"/>
      <c r="G248" s="448"/>
      <c r="H248" s="448"/>
      <c r="I248" s="448"/>
      <c r="J248" s="448"/>
      <c r="K248" s="448"/>
      <c r="L248" s="448"/>
      <c r="M248" s="448"/>
      <c r="N248" s="448"/>
      <c r="O248" s="448"/>
      <c r="P248" s="448"/>
      <c r="Q248" s="448"/>
      <c r="R248" s="448"/>
      <c r="S248" s="575">
        <v>0.00477</v>
      </c>
      <c r="T248" s="575">
        <v>0.161</v>
      </c>
      <c r="U248" s="575">
        <v>159.0</v>
      </c>
      <c r="V248" s="455">
        <v>0.75</v>
      </c>
      <c r="W248" s="448"/>
      <c r="X248" s="448"/>
      <c r="Y248" s="448"/>
    </row>
    <row r="249">
      <c r="A249" s="455" t="s">
        <v>1456</v>
      </c>
      <c r="B249" s="455" t="s">
        <v>1457</v>
      </c>
      <c r="C249" s="455" t="s">
        <v>160</v>
      </c>
      <c r="D249" s="448"/>
      <c r="E249" s="575">
        <v>10.5</v>
      </c>
      <c r="F249" s="448"/>
      <c r="G249" s="448"/>
      <c r="H249" s="448"/>
      <c r="I249" s="448"/>
      <c r="J249" s="575">
        <v>4.14E-13</v>
      </c>
      <c r="K249" s="448"/>
      <c r="L249" s="448"/>
      <c r="M249" s="448"/>
      <c r="N249" s="448"/>
      <c r="O249" s="448"/>
      <c r="P249" s="448"/>
      <c r="Q249" s="455"/>
      <c r="R249" s="448"/>
      <c r="S249" s="575">
        <v>0.724</v>
      </c>
      <c r="T249" s="575">
        <v>3.05</v>
      </c>
      <c r="U249" s="448"/>
      <c r="V249" s="448"/>
      <c r="W249" s="455">
        <v>1.5</v>
      </c>
      <c r="X249" s="448"/>
      <c r="Y249" s="448"/>
    </row>
    <row r="250">
      <c r="A250" s="455" t="s">
        <v>1454</v>
      </c>
      <c r="B250" s="455" t="s">
        <v>1455</v>
      </c>
      <c r="C250" s="455" t="s">
        <v>160</v>
      </c>
      <c r="D250" s="448"/>
      <c r="E250" s="575">
        <v>7.0</v>
      </c>
      <c r="F250" s="448"/>
      <c r="G250" s="448"/>
      <c r="H250" s="448"/>
      <c r="I250" s="448"/>
      <c r="J250" s="575">
        <v>1.57E-13</v>
      </c>
      <c r="K250" s="448"/>
      <c r="L250" s="448"/>
      <c r="M250" s="448"/>
      <c r="N250" s="448"/>
      <c r="O250" s="448"/>
      <c r="P250" s="448"/>
      <c r="Q250" s="455"/>
      <c r="R250" s="448"/>
      <c r="S250" s="575">
        <v>0.708</v>
      </c>
      <c r="T250" s="575">
        <v>3.01</v>
      </c>
      <c r="U250" s="448"/>
      <c r="V250" s="448"/>
      <c r="W250" s="455">
        <v>2.1</v>
      </c>
      <c r="X250" s="448"/>
      <c r="Y250" s="448"/>
    </row>
    <row r="251">
      <c r="A251" s="455" t="s">
        <v>1719</v>
      </c>
      <c r="B251" s="455" t="s">
        <v>1720</v>
      </c>
      <c r="C251" s="455" t="s">
        <v>702</v>
      </c>
      <c r="D251" s="448"/>
      <c r="E251" s="448"/>
      <c r="F251" s="448"/>
      <c r="G251" s="448"/>
      <c r="H251" s="448"/>
      <c r="I251" s="448"/>
      <c r="J251" s="448"/>
      <c r="K251" s="448"/>
      <c r="L251" s="448"/>
      <c r="M251" s="448"/>
      <c r="N251" s="448"/>
      <c r="O251" s="448"/>
      <c r="P251" s="448"/>
      <c r="Q251" s="455"/>
      <c r="R251" s="448"/>
      <c r="S251" s="575">
        <v>0.35</v>
      </c>
      <c r="T251" s="575">
        <v>1.04</v>
      </c>
      <c r="U251" s="575">
        <v>371.0</v>
      </c>
      <c r="V251" s="448"/>
      <c r="W251" s="448"/>
      <c r="X251" s="448"/>
      <c r="Y251" s="448"/>
    </row>
    <row r="252">
      <c r="A252" s="455" t="s">
        <v>1725</v>
      </c>
      <c r="B252" s="455" t="s">
        <v>1726</v>
      </c>
      <c r="C252" s="455" t="s">
        <v>702</v>
      </c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55"/>
      <c r="R252" s="448"/>
      <c r="S252" s="575">
        <v>0.4</v>
      </c>
      <c r="T252" s="575">
        <v>1.36</v>
      </c>
      <c r="U252" s="448"/>
      <c r="V252" s="448"/>
      <c r="W252" s="448"/>
      <c r="X252" s="448"/>
      <c r="Y252" s="448"/>
    </row>
    <row r="253">
      <c r="A253" s="455" t="s">
        <v>1749</v>
      </c>
      <c r="B253" s="455" t="s">
        <v>1750</v>
      </c>
      <c r="C253" s="455" t="s">
        <v>702</v>
      </c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8"/>
      <c r="O253" s="448"/>
      <c r="P253" s="448"/>
      <c r="Q253" s="455" t="s">
        <v>137</v>
      </c>
      <c r="R253" s="448"/>
      <c r="S253" s="575">
        <v>0.9</v>
      </c>
      <c r="T253" s="575">
        <v>1.41</v>
      </c>
      <c r="U253" s="575">
        <v>381.0</v>
      </c>
      <c r="V253" s="448"/>
      <c r="W253" s="448"/>
      <c r="X253" s="448"/>
      <c r="Y253" s="448"/>
    </row>
    <row r="254">
      <c r="A254" s="455" t="s">
        <v>1733</v>
      </c>
      <c r="B254" s="455" t="s">
        <v>1734</v>
      </c>
      <c r="C254" s="455" t="s">
        <v>702</v>
      </c>
      <c r="D254" s="448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55"/>
      <c r="R254" s="448"/>
      <c r="S254" s="575">
        <v>0.6</v>
      </c>
      <c r="T254" s="575">
        <v>1.67</v>
      </c>
      <c r="U254" s="575">
        <v>420.0</v>
      </c>
      <c r="V254" s="448"/>
      <c r="W254" s="448"/>
      <c r="X254" s="448"/>
      <c r="Y254" s="448"/>
    </row>
    <row r="255">
      <c r="A255" s="455" t="s">
        <v>1721</v>
      </c>
      <c r="B255" s="455" t="s">
        <v>1722</v>
      </c>
      <c r="C255" s="455" t="s">
        <v>702</v>
      </c>
      <c r="D255" s="448"/>
      <c r="E255" s="448"/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55"/>
      <c r="R255" s="448"/>
      <c r="S255" s="575">
        <v>0.35</v>
      </c>
      <c r="T255" s="575">
        <v>0.708</v>
      </c>
      <c r="U255" s="575">
        <v>396.0</v>
      </c>
      <c r="V255" s="448"/>
      <c r="W255" s="448"/>
      <c r="X255" s="448"/>
      <c r="Y255" s="448"/>
    </row>
    <row r="256">
      <c r="A256" s="455" t="s">
        <v>714</v>
      </c>
      <c r="B256" s="455" t="s">
        <v>715</v>
      </c>
      <c r="C256" s="455" t="s">
        <v>702</v>
      </c>
      <c r="D256" s="448"/>
      <c r="E256" s="448"/>
      <c r="F256" s="448"/>
      <c r="G256" s="448"/>
      <c r="H256" s="448"/>
      <c r="I256" s="448"/>
      <c r="J256" s="448"/>
      <c r="K256" s="448"/>
      <c r="L256" s="448"/>
      <c r="M256" s="448"/>
      <c r="N256" s="448"/>
      <c r="O256" s="448"/>
      <c r="P256" s="448"/>
      <c r="Q256" s="455" t="s">
        <v>1670</v>
      </c>
      <c r="R256" s="448"/>
      <c r="S256" s="575">
        <v>0.8</v>
      </c>
      <c r="T256" s="575">
        <v>1.73</v>
      </c>
      <c r="U256" s="575">
        <v>401.0</v>
      </c>
      <c r="V256" s="448"/>
      <c r="W256" s="448"/>
      <c r="X256" s="448"/>
      <c r="Y256" s="448"/>
    </row>
    <row r="257">
      <c r="A257" s="455" t="s">
        <v>1742</v>
      </c>
      <c r="B257" s="455" t="s">
        <v>1743</v>
      </c>
      <c r="C257" s="455" t="s">
        <v>702</v>
      </c>
      <c r="D257" s="448"/>
      <c r="E257" s="448"/>
      <c r="F257" s="448"/>
      <c r="G257" s="448"/>
      <c r="H257" s="448"/>
      <c r="I257" s="448"/>
      <c r="J257" s="448"/>
      <c r="K257" s="448"/>
      <c r="L257" s="448"/>
      <c r="M257" s="448"/>
      <c r="N257" s="448"/>
      <c r="O257" s="448"/>
      <c r="P257" s="448"/>
      <c r="Q257" s="455" t="s">
        <v>137</v>
      </c>
      <c r="R257" s="448"/>
      <c r="S257" s="575">
        <v>0.7</v>
      </c>
      <c r="T257" s="575">
        <v>1.31</v>
      </c>
      <c r="U257" s="575">
        <v>411.0</v>
      </c>
      <c r="V257" s="448"/>
      <c r="W257" s="448"/>
      <c r="X257" s="448"/>
      <c r="Y257" s="448"/>
    </row>
    <row r="258">
      <c r="A258" s="455" t="s">
        <v>1746</v>
      </c>
      <c r="B258" s="455" t="s">
        <v>1747</v>
      </c>
      <c r="C258" s="455" t="s">
        <v>702</v>
      </c>
      <c r="D258" s="448"/>
      <c r="E258" s="448"/>
      <c r="F258" s="448"/>
      <c r="G258" s="448"/>
      <c r="H258" s="448"/>
      <c r="I258" s="448"/>
      <c r="J258" s="448"/>
      <c r="K258" s="448"/>
      <c r="L258" s="448"/>
      <c r="M258" s="448"/>
      <c r="N258" s="448"/>
      <c r="O258" s="448"/>
      <c r="P258" s="448"/>
      <c r="Q258" s="455" t="s">
        <v>137</v>
      </c>
      <c r="R258" s="448"/>
      <c r="S258" s="575">
        <v>0.9</v>
      </c>
      <c r="T258" s="575">
        <v>1.68</v>
      </c>
      <c r="U258" s="575">
        <v>402.0</v>
      </c>
      <c r="V258" s="448"/>
      <c r="W258" s="448"/>
      <c r="X258" s="448"/>
      <c r="Y258" s="448"/>
    </row>
    <row r="259">
      <c r="A259" s="455" t="s">
        <v>416</v>
      </c>
      <c r="B259" s="455" t="s">
        <v>417</v>
      </c>
      <c r="C259" s="455" t="s">
        <v>702</v>
      </c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8"/>
      <c r="O259" s="448"/>
      <c r="P259" s="448"/>
      <c r="Q259" s="455"/>
      <c r="R259" s="448"/>
      <c r="S259" s="575">
        <v>0.35</v>
      </c>
      <c r="T259" s="575">
        <v>1.04</v>
      </c>
      <c r="U259" s="575">
        <v>388.0</v>
      </c>
      <c r="V259" s="448"/>
      <c r="W259" s="448"/>
      <c r="X259" s="448"/>
      <c r="Y259" s="448"/>
    </row>
    <row r="260">
      <c r="A260" s="455" t="s">
        <v>416</v>
      </c>
      <c r="B260" s="455" t="s">
        <v>417</v>
      </c>
      <c r="C260" s="455" t="s">
        <v>352</v>
      </c>
      <c r="D260" s="448"/>
      <c r="E260" s="448"/>
      <c r="F260" s="448"/>
      <c r="G260" s="575">
        <v>1.43E-13</v>
      </c>
      <c r="H260" s="575">
        <v>2.58E-14</v>
      </c>
      <c r="I260" s="575">
        <v>1.62E-14</v>
      </c>
      <c r="J260" s="575">
        <v>9.39E-15</v>
      </c>
      <c r="K260" s="575">
        <v>1.33E-14</v>
      </c>
      <c r="L260" s="448"/>
      <c r="M260" s="448"/>
      <c r="N260" s="448"/>
      <c r="O260" s="448"/>
      <c r="P260" s="448"/>
      <c r="Q260" s="455"/>
      <c r="R260" s="448"/>
      <c r="S260" s="575">
        <v>0.26</v>
      </c>
      <c r="T260" s="575">
        <v>1.12</v>
      </c>
      <c r="U260" s="575">
        <v>388.0</v>
      </c>
      <c r="V260" s="448"/>
      <c r="W260" s="448"/>
      <c r="X260" s="448"/>
      <c r="Y260" s="448"/>
    </row>
    <row r="261">
      <c r="A261" s="455" t="s">
        <v>1739</v>
      </c>
      <c r="B261" s="455" t="s">
        <v>1740</v>
      </c>
      <c r="C261" s="455" t="s">
        <v>702</v>
      </c>
      <c r="D261" s="448"/>
      <c r="E261" s="448"/>
      <c r="F261" s="448"/>
      <c r="G261" s="448"/>
      <c r="H261" s="448"/>
      <c r="I261" s="448"/>
      <c r="J261" s="448"/>
      <c r="K261" s="448"/>
      <c r="L261" s="448"/>
      <c r="M261" s="448"/>
      <c r="N261" s="448"/>
      <c r="O261" s="448"/>
      <c r="P261" s="448"/>
      <c r="Q261" s="455" t="s">
        <v>1670</v>
      </c>
      <c r="R261" s="448"/>
      <c r="S261" s="575">
        <v>0.7</v>
      </c>
      <c r="T261" s="575">
        <v>2.06</v>
      </c>
      <c r="U261" s="575">
        <v>407.0</v>
      </c>
      <c r="V261" s="448"/>
      <c r="W261" s="448"/>
      <c r="X261" s="448"/>
      <c r="Y261" s="448"/>
    </row>
    <row r="262">
      <c r="A262" s="455" t="s">
        <v>1705</v>
      </c>
      <c r="B262" s="455" t="s">
        <v>1706</v>
      </c>
      <c r="C262" s="455" t="s">
        <v>702</v>
      </c>
      <c r="D262" s="448"/>
      <c r="E262" s="448"/>
      <c r="F262" s="448"/>
      <c r="G262" s="448"/>
      <c r="H262" s="448"/>
      <c r="I262" s="448"/>
      <c r="J262" s="448"/>
      <c r="K262" s="448"/>
      <c r="L262" s="448"/>
      <c r="M262" s="448"/>
      <c r="N262" s="448"/>
      <c r="O262" s="448"/>
      <c r="P262" s="448"/>
      <c r="Q262" s="455"/>
      <c r="R262" s="448"/>
      <c r="S262" s="575">
        <v>0.3</v>
      </c>
      <c r="T262" s="575">
        <v>1.37</v>
      </c>
      <c r="U262" s="575">
        <v>373.0</v>
      </c>
      <c r="V262" s="448"/>
      <c r="W262" s="448"/>
      <c r="X262" s="448"/>
      <c r="Y262" s="448"/>
    </row>
    <row r="263">
      <c r="A263" s="455" t="s">
        <v>2001</v>
      </c>
      <c r="B263" s="455" t="s">
        <v>2002</v>
      </c>
      <c r="C263" s="455" t="s">
        <v>702</v>
      </c>
      <c r="D263" s="448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55" t="s">
        <v>137</v>
      </c>
      <c r="R263" s="455" t="s">
        <v>2794</v>
      </c>
      <c r="S263" s="575">
        <v>1.0</v>
      </c>
      <c r="T263" s="575">
        <v>1.37</v>
      </c>
      <c r="U263" s="575">
        <v>415.0</v>
      </c>
      <c r="V263" s="448"/>
      <c r="W263" s="448"/>
      <c r="X263" s="448"/>
      <c r="Y263" s="448"/>
    </row>
    <row r="264">
      <c r="A264" s="455" t="s">
        <v>372</v>
      </c>
      <c r="B264" s="455" t="s">
        <v>2494</v>
      </c>
      <c r="C264" s="455" t="s">
        <v>248</v>
      </c>
      <c r="D264" s="575">
        <v>34.0</v>
      </c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55"/>
      <c r="R264" s="448"/>
      <c r="S264" s="575">
        <v>0.12</v>
      </c>
      <c r="T264" s="575">
        <v>1.0</v>
      </c>
      <c r="U264" s="575">
        <v>171.0</v>
      </c>
      <c r="V264" s="455">
        <v>0.34</v>
      </c>
      <c r="W264" s="448"/>
      <c r="X264" s="448"/>
      <c r="Y264" s="448"/>
    </row>
    <row r="265">
      <c r="A265" s="455" t="s">
        <v>444</v>
      </c>
      <c r="B265" s="455" t="s">
        <v>444</v>
      </c>
      <c r="C265" s="455" t="s">
        <v>413</v>
      </c>
      <c r="D265" s="448"/>
      <c r="E265" s="448"/>
      <c r="F265" s="448"/>
      <c r="G265" s="448"/>
      <c r="H265" s="448"/>
      <c r="I265" s="448"/>
      <c r="J265" s="448"/>
      <c r="K265" s="448"/>
      <c r="L265" s="448"/>
      <c r="M265" s="448"/>
      <c r="N265" s="448"/>
      <c r="O265" s="448"/>
      <c r="P265" s="448"/>
      <c r="Q265" s="455"/>
      <c r="R265" s="448"/>
      <c r="S265" s="575">
        <v>0.522</v>
      </c>
      <c r="T265" s="575">
        <v>1.44</v>
      </c>
      <c r="U265" s="575">
        <v>131.0</v>
      </c>
      <c r="V265" s="448"/>
      <c r="W265" s="448"/>
      <c r="X265" s="448"/>
      <c r="Y265" s="448"/>
    </row>
    <row r="266">
      <c r="A266" s="455" t="s">
        <v>545</v>
      </c>
      <c r="B266" s="455" t="s">
        <v>546</v>
      </c>
      <c r="C266" s="455" t="s">
        <v>476</v>
      </c>
      <c r="D266" s="448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55"/>
      <c r="R266" s="448"/>
      <c r="S266" s="575">
        <v>0.26</v>
      </c>
      <c r="T266" s="575">
        <v>1.59</v>
      </c>
      <c r="U266" s="448"/>
      <c r="V266" s="448"/>
      <c r="W266" s="448"/>
      <c r="X266" s="448"/>
      <c r="Y266" s="448"/>
    </row>
    <row r="267">
      <c r="A267" s="455" t="s">
        <v>1394</v>
      </c>
      <c r="B267" s="455" t="s">
        <v>1394</v>
      </c>
      <c r="C267" s="455" t="s">
        <v>160</v>
      </c>
      <c r="D267" s="448"/>
      <c r="E267" s="575">
        <v>2.8</v>
      </c>
      <c r="F267" s="448"/>
      <c r="G267" s="448"/>
      <c r="H267" s="448"/>
      <c r="I267" s="448"/>
      <c r="J267" s="575">
        <v>6.44E-15</v>
      </c>
      <c r="K267" s="448"/>
      <c r="L267" s="448"/>
      <c r="M267" s="448"/>
      <c r="N267" s="448"/>
      <c r="O267" s="448"/>
      <c r="P267" s="448"/>
      <c r="Q267" s="455"/>
      <c r="R267" s="448"/>
      <c r="S267" s="575">
        <v>0.302</v>
      </c>
      <c r="T267" s="575">
        <v>2.23</v>
      </c>
      <c r="U267" s="575">
        <v>144.0</v>
      </c>
      <c r="V267" s="448"/>
      <c r="W267" s="455">
        <v>3.1</v>
      </c>
      <c r="X267" s="448"/>
      <c r="Y267" s="448"/>
    </row>
    <row r="268">
      <c r="A268" s="455" t="s">
        <v>1394</v>
      </c>
      <c r="B268" s="455" t="s">
        <v>1394</v>
      </c>
      <c r="C268" s="455" t="s">
        <v>1309</v>
      </c>
      <c r="D268" s="448"/>
      <c r="E268" s="575">
        <v>1.9</v>
      </c>
      <c r="F268" s="575">
        <v>2.1</v>
      </c>
      <c r="G268" s="448"/>
      <c r="H268" s="448"/>
      <c r="I268" s="448"/>
      <c r="J268" s="575">
        <v>4.37E-15</v>
      </c>
      <c r="K268" s="448"/>
      <c r="L268" s="575">
        <v>1.37E-14</v>
      </c>
      <c r="M268" s="448"/>
      <c r="N268" s="448"/>
      <c r="O268" s="448"/>
      <c r="P268" s="448"/>
      <c r="Q268" s="455"/>
      <c r="R268" s="448"/>
      <c r="S268" s="575">
        <v>0.4</v>
      </c>
      <c r="T268" s="575">
        <v>1.67</v>
      </c>
      <c r="U268" s="575">
        <v>144.0</v>
      </c>
      <c r="V268" s="448"/>
      <c r="W268" s="448"/>
      <c r="X268" s="448"/>
      <c r="Y268" s="448"/>
    </row>
    <row r="269">
      <c r="A269" s="455" t="s">
        <v>1319</v>
      </c>
      <c r="B269" s="455" t="s">
        <v>1319</v>
      </c>
      <c r="C269" s="455" t="s">
        <v>1309</v>
      </c>
      <c r="D269" s="448"/>
      <c r="E269" s="575">
        <v>1.2</v>
      </c>
      <c r="F269" s="575">
        <v>1.6</v>
      </c>
      <c r="G269" s="448"/>
      <c r="H269" s="448"/>
      <c r="I269" s="448"/>
      <c r="J269" s="575">
        <v>4.35E-16</v>
      </c>
      <c r="K269" s="448"/>
      <c r="L269" s="575">
        <v>9.54E-16</v>
      </c>
      <c r="M269" s="448"/>
      <c r="N269" s="448"/>
      <c r="O269" s="448"/>
      <c r="P269" s="448"/>
      <c r="Q269" s="455"/>
      <c r="R269" s="448"/>
      <c r="S269" s="575">
        <v>0.0584</v>
      </c>
      <c r="T269" s="575">
        <v>0.433</v>
      </c>
      <c r="U269" s="448"/>
      <c r="V269" s="455">
        <v>9.0</v>
      </c>
      <c r="W269" s="448"/>
      <c r="X269" s="448"/>
      <c r="Y269" s="448"/>
    </row>
    <row r="270">
      <c r="A270" s="455" t="s">
        <v>1319</v>
      </c>
      <c r="B270" s="455" t="s">
        <v>1319</v>
      </c>
      <c r="C270" s="455" t="s">
        <v>754</v>
      </c>
      <c r="D270" s="448"/>
      <c r="E270" s="448"/>
      <c r="F270" s="448"/>
      <c r="G270" s="575">
        <v>1.03E-13</v>
      </c>
      <c r="H270" s="448"/>
      <c r="I270" s="448"/>
      <c r="J270" s="575">
        <v>3.0E-15</v>
      </c>
      <c r="K270" s="448"/>
      <c r="L270" s="575">
        <v>2.0E-15</v>
      </c>
      <c r="M270" s="448"/>
      <c r="N270" s="448"/>
      <c r="O270" s="448"/>
      <c r="P270" s="448"/>
      <c r="Q270" s="455"/>
      <c r="R270" s="448"/>
      <c r="S270" s="575">
        <v>0.0584</v>
      </c>
      <c r="T270" s="575">
        <v>0.433</v>
      </c>
      <c r="U270" s="448"/>
      <c r="V270" s="455">
        <v>8.5</v>
      </c>
      <c r="W270" s="448"/>
      <c r="X270" s="448"/>
      <c r="Y270" s="448"/>
    </row>
    <row r="271">
      <c r="A271" s="455" t="s">
        <v>1319</v>
      </c>
      <c r="B271" s="455" t="s">
        <v>1319</v>
      </c>
      <c r="C271" s="455" t="s">
        <v>269</v>
      </c>
      <c r="D271" s="448"/>
      <c r="E271" s="575">
        <v>1.8</v>
      </c>
      <c r="F271" s="448"/>
      <c r="G271" s="448"/>
      <c r="H271" s="448"/>
      <c r="I271" s="448"/>
      <c r="J271" s="575">
        <v>6.53E-16</v>
      </c>
      <c r="K271" s="448"/>
      <c r="L271" s="448"/>
      <c r="M271" s="448"/>
      <c r="N271" s="448"/>
      <c r="O271" s="448"/>
      <c r="P271" s="448"/>
      <c r="Q271" s="455"/>
      <c r="R271" s="448"/>
      <c r="S271" s="575">
        <v>0.0584</v>
      </c>
      <c r="T271" s="575">
        <v>0.433</v>
      </c>
      <c r="U271" s="448"/>
      <c r="V271" s="455">
        <v>9.0</v>
      </c>
      <c r="W271" s="448"/>
      <c r="X271" s="448"/>
      <c r="Y271" s="448"/>
    </row>
    <row r="272">
      <c r="A272" s="455" t="s">
        <v>1319</v>
      </c>
      <c r="B272" s="455" t="s">
        <v>1319</v>
      </c>
      <c r="C272" s="455" t="s">
        <v>160</v>
      </c>
      <c r="D272" s="448"/>
      <c r="E272" s="575">
        <v>1.8</v>
      </c>
      <c r="F272" s="448"/>
      <c r="G272" s="448"/>
      <c r="H272" s="448"/>
      <c r="I272" s="448"/>
      <c r="J272" s="575">
        <v>6.53E-16</v>
      </c>
      <c r="K272" s="448"/>
      <c r="L272" s="448"/>
      <c r="M272" s="448"/>
      <c r="N272" s="448"/>
      <c r="O272" s="448"/>
      <c r="P272" s="448"/>
      <c r="Q272" s="455"/>
      <c r="R272" s="448"/>
      <c r="S272" s="575">
        <v>0.0584</v>
      </c>
      <c r="T272" s="575">
        <v>0.433</v>
      </c>
      <c r="U272" s="448"/>
      <c r="V272" s="455">
        <v>8.5</v>
      </c>
      <c r="W272" s="455">
        <v>1.8</v>
      </c>
      <c r="X272" s="448"/>
      <c r="Y272" s="448"/>
    </row>
    <row r="273">
      <c r="A273" s="455" t="s">
        <v>636</v>
      </c>
      <c r="B273" s="455" t="s">
        <v>636</v>
      </c>
      <c r="C273" s="455" t="s">
        <v>754</v>
      </c>
      <c r="D273" s="448"/>
      <c r="E273" s="448"/>
      <c r="F273" s="448"/>
      <c r="G273" s="575">
        <v>2.46E-14</v>
      </c>
      <c r="H273" s="448"/>
      <c r="I273" s="448"/>
      <c r="J273" s="575">
        <v>7.0E-16</v>
      </c>
      <c r="K273" s="448"/>
      <c r="L273" s="448"/>
      <c r="M273" s="448"/>
      <c r="N273" s="448"/>
      <c r="O273" s="448"/>
      <c r="P273" s="448"/>
      <c r="Q273" s="455"/>
      <c r="R273" s="448"/>
      <c r="S273" s="575">
        <v>0.0476</v>
      </c>
      <c r="T273" s="575">
        <v>0.543</v>
      </c>
      <c r="U273" s="575">
        <v>151.0</v>
      </c>
      <c r="V273" s="455">
        <v>2.0</v>
      </c>
      <c r="W273" s="448"/>
      <c r="X273" s="448"/>
      <c r="Y273" s="448"/>
    </row>
    <row r="274">
      <c r="A274" s="455" t="s">
        <v>636</v>
      </c>
      <c r="B274" s="455" t="s">
        <v>636</v>
      </c>
      <c r="C274" s="455" t="s">
        <v>269</v>
      </c>
      <c r="D274" s="575">
        <v>50.0</v>
      </c>
      <c r="E274" s="575">
        <v>0.4</v>
      </c>
      <c r="F274" s="448"/>
      <c r="G274" s="575">
        <v>5.95E-15</v>
      </c>
      <c r="H274" s="448"/>
      <c r="I274" s="448"/>
      <c r="J274" s="575">
        <v>1.46E-15</v>
      </c>
      <c r="K274" s="448"/>
      <c r="L274" s="448"/>
      <c r="M274" s="448"/>
      <c r="N274" s="448"/>
      <c r="O274" s="448"/>
      <c r="P274" s="448"/>
      <c r="Q274" s="455"/>
      <c r="R274" s="448"/>
      <c r="S274" s="575">
        <v>0.0476</v>
      </c>
      <c r="T274" s="575">
        <v>0.543</v>
      </c>
      <c r="U274" s="575">
        <v>151.0</v>
      </c>
      <c r="V274" s="455">
        <v>2.0</v>
      </c>
      <c r="W274" s="448"/>
      <c r="X274" s="448"/>
      <c r="Y274" s="448"/>
    </row>
    <row r="275">
      <c r="A275" s="455" t="s">
        <v>636</v>
      </c>
      <c r="B275" s="455" t="s">
        <v>636</v>
      </c>
      <c r="C275" s="455" t="s">
        <v>160</v>
      </c>
      <c r="D275" s="448"/>
      <c r="E275" s="575">
        <v>0.4</v>
      </c>
      <c r="F275" s="448"/>
      <c r="G275" s="448"/>
      <c r="H275" s="448"/>
      <c r="I275" s="448"/>
      <c r="J275" s="575">
        <v>1.46E-15</v>
      </c>
      <c r="K275" s="448"/>
      <c r="L275" s="448"/>
      <c r="M275" s="448"/>
      <c r="N275" s="448"/>
      <c r="O275" s="448"/>
      <c r="P275" s="448"/>
      <c r="Q275" s="455"/>
      <c r="R275" s="448"/>
      <c r="S275" s="575">
        <v>0.0476</v>
      </c>
      <c r="T275" s="575">
        <v>0.543</v>
      </c>
      <c r="U275" s="575">
        <v>151.0</v>
      </c>
      <c r="V275" s="455">
        <v>2.0</v>
      </c>
      <c r="W275" s="455">
        <v>0.0</v>
      </c>
      <c r="X275" s="448"/>
      <c r="Y275" s="448"/>
    </row>
    <row r="276">
      <c r="A276" s="455" t="s">
        <v>636</v>
      </c>
      <c r="B276" s="455" t="s">
        <v>636</v>
      </c>
      <c r="C276" s="455" t="s">
        <v>754</v>
      </c>
      <c r="D276" s="448"/>
      <c r="E276" s="448"/>
      <c r="F276" s="448"/>
      <c r="G276" s="575">
        <v>2.46E-14</v>
      </c>
      <c r="H276" s="448"/>
      <c r="I276" s="448"/>
      <c r="J276" s="575">
        <v>7.0E-16</v>
      </c>
      <c r="K276" s="448"/>
      <c r="L276" s="448"/>
      <c r="M276" s="448"/>
      <c r="N276" s="448"/>
      <c r="O276" s="448"/>
      <c r="P276" s="448"/>
      <c r="Q276" s="455"/>
      <c r="R276" s="448"/>
      <c r="S276" s="575">
        <v>0.0476</v>
      </c>
      <c r="T276" s="575">
        <v>0.543</v>
      </c>
      <c r="U276" s="575">
        <v>151.0</v>
      </c>
      <c r="V276" s="448"/>
      <c r="W276" s="448"/>
      <c r="X276" s="448"/>
      <c r="Y276" s="448"/>
    </row>
    <row r="277">
      <c r="A277" s="455" t="s">
        <v>214</v>
      </c>
      <c r="B277" s="455" t="s">
        <v>214</v>
      </c>
      <c r="C277" s="455" t="s">
        <v>215</v>
      </c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448"/>
      <c r="S277" s="575">
        <v>0.0476</v>
      </c>
      <c r="T277" s="575">
        <v>0.638</v>
      </c>
      <c r="U277" s="448"/>
      <c r="V277" s="455">
        <v>8.0</v>
      </c>
      <c r="W277" s="448"/>
      <c r="X277" s="448"/>
      <c r="Y277" s="448"/>
    </row>
    <row r="278">
      <c r="A278" s="455" t="s">
        <v>214</v>
      </c>
      <c r="B278" s="455" t="s">
        <v>214</v>
      </c>
      <c r="C278" s="455" t="s">
        <v>1309</v>
      </c>
      <c r="D278" s="448"/>
      <c r="E278" s="575">
        <v>0.7</v>
      </c>
      <c r="F278" s="575">
        <v>2.7</v>
      </c>
      <c r="G278" s="448"/>
      <c r="H278" s="448"/>
      <c r="I278" s="448"/>
      <c r="J278" s="575">
        <v>5.78E-17</v>
      </c>
      <c r="K278" s="448"/>
      <c r="L278" s="575">
        <v>3.09E-16</v>
      </c>
      <c r="M278" s="448"/>
      <c r="N278" s="448"/>
      <c r="O278" s="448"/>
      <c r="P278" s="448"/>
      <c r="Q278" s="455" t="s">
        <v>137</v>
      </c>
      <c r="R278" s="448"/>
      <c r="S278" s="575">
        <v>0.0476</v>
      </c>
      <c r="T278" s="575">
        <v>0.638</v>
      </c>
      <c r="U278" s="448"/>
      <c r="V278" s="455">
        <v>8.0</v>
      </c>
      <c r="W278" s="448"/>
      <c r="X278" s="448"/>
      <c r="Y278" s="448"/>
    </row>
    <row r="279">
      <c r="A279" s="455" t="s">
        <v>214</v>
      </c>
      <c r="B279" s="455" t="s">
        <v>214</v>
      </c>
      <c r="C279" s="455" t="s">
        <v>754</v>
      </c>
      <c r="D279" s="448"/>
      <c r="E279" s="448"/>
      <c r="F279" s="448"/>
      <c r="G279" s="575">
        <v>1.3E-14</v>
      </c>
      <c r="H279" s="448"/>
      <c r="I279" s="448"/>
      <c r="J279" s="448"/>
      <c r="K279" s="448"/>
      <c r="L279" s="448"/>
      <c r="M279" s="448"/>
      <c r="N279" s="448"/>
      <c r="O279" s="448"/>
      <c r="P279" s="448"/>
      <c r="Q279" s="455"/>
      <c r="R279" s="448"/>
      <c r="S279" s="575">
        <v>0.0476</v>
      </c>
      <c r="T279" s="575">
        <v>0.638</v>
      </c>
      <c r="U279" s="448"/>
      <c r="V279" s="455">
        <v>7.8</v>
      </c>
      <c r="W279" s="448"/>
      <c r="X279" s="448"/>
      <c r="Y279" s="448"/>
    </row>
    <row r="280">
      <c r="A280" s="455" t="s">
        <v>214</v>
      </c>
      <c r="B280" s="455" t="s">
        <v>214</v>
      </c>
      <c r="C280" s="455" t="s">
        <v>160</v>
      </c>
      <c r="D280" s="448"/>
      <c r="E280" s="575">
        <v>0.7</v>
      </c>
      <c r="F280" s="448"/>
      <c r="G280" s="448"/>
      <c r="H280" s="448"/>
      <c r="I280" s="448"/>
      <c r="J280" s="575">
        <v>5.78E-17</v>
      </c>
      <c r="K280" s="448"/>
      <c r="L280" s="448"/>
      <c r="M280" s="448"/>
      <c r="N280" s="448"/>
      <c r="O280" s="448"/>
      <c r="P280" s="448"/>
      <c r="Q280" s="455" t="s">
        <v>137</v>
      </c>
      <c r="R280" s="448"/>
      <c r="S280" s="575">
        <v>0.0476</v>
      </c>
      <c r="T280" s="575">
        <v>0.638</v>
      </c>
      <c r="U280" s="448"/>
      <c r="V280" s="455">
        <v>7.8</v>
      </c>
      <c r="W280" s="455">
        <v>0.6</v>
      </c>
      <c r="X280" s="448"/>
      <c r="Y280" s="448"/>
    </row>
    <row r="281">
      <c r="A281" s="455" t="s">
        <v>1967</v>
      </c>
      <c r="B281" s="455" t="s">
        <v>1967</v>
      </c>
      <c r="C281" s="455" t="s">
        <v>160</v>
      </c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55"/>
      <c r="R281" s="448"/>
      <c r="S281" s="575">
        <v>0.0871</v>
      </c>
      <c r="T281" s="575">
        <v>1.16</v>
      </c>
      <c r="U281" s="448"/>
      <c r="V281" s="448"/>
      <c r="W281" s="455">
        <v>3.2</v>
      </c>
      <c r="X281" s="448"/>
      <c r="Y281" s="448"/>
    </row>
    <row r="282">
      <c r="A282" s="455" t="s">
        <v>1475</v>
      </c>
      <c r="B282" s="455" t="s">
        <v>1475</v>
      </c>
      <c r="C282" s="455" t="s">
        <v>160</v>
      </c>
      <c r="D282" s="448"/>
      <c r="E282" s="575">
        <v>0.7</v>
      </c>
      <c r="F282" s="448"/>
      <c r="G282" s="448"/>
      <c r="H282" s="448"/>
      <c r="I282" s="448"/>
      <c r="J282" s="575">
        <v>5.68E-14</v>
      </c>
      <c r="K282" s="448"/>
      <c r="L282" s="448"/>
      <c r="M282" s="448"/>
      <c r="N282" s="448"/>
      <c r="O282" s="448"/>
      <c r="P282" s="448"/>
      <c r="Q282" s="455"/>
      <c r="R282" s="448"/>
      <c r="S282" s="575">
        <v>1.12</v>
      </c>
      <c r="T282" s="575">
        <v>3.71</v>
      </c>
      <c r="U282" s="575">
        <v>138.0</v>
      </c>
      <c r="V282" s="448"/>
      <c r="W282" s="455">
        <v>1.5</v>
      </c>
      <c r="X282" s="448"/>
      <c r="Y282" s="448"/>
    </row>
    <row r="283">
      <c r="A283" s="455" t="s">
        <v>1350</v>
      </c>
      <c r="B283" s="455" t="s">
        <v>1350</v>
      </c>
      <c r="C283" s="455" t="s">
        <v>1309</v>
      </c>
      <c r="D283" s="448"/>
      <c r="E283" s="575">
        <v>4.4</v>
      </c>
      <c r="F283" s="575">
        <v>0.8</v>
      </c>
      <c r="G283" s="448"/>
      <c r="H283" s="448"/>
      <c r="I283" s="448"/>
      <c r="J283" s="575">
        <v>1.32E-15</v>
      </c>
      <c r="K283" s="448"/>
      <c r="L283" s="575">
        <v>2.79E-15</v>
      </c>
      <c r="M283" s="448"/>
      <c r="N283" s="448"/>
      <c r="O283" s="448"/>
      <c r="P283" s="448"/>
      <c r="Q283" s="455"/>
      <c r="R283" s="448"/>
      <c r="S283" s="575">
        <v>0.7</v>
      </c>
      <c r="T283" s="575">
        <v>0.706</v>
      </c>
      <c r="U283" s="448"/>
      <c r="V283" s="448"/>
      <c r="W283" s="448"/>
      <c r="X283" s="448"/>
      <c r="Y283" s="448"/>
    </row>
    <row r="284">
      <c r="A284" s="455" t="s">
        <v>1350</v>
      </c>
      <c r="B284" s="455" t="s">
        <v>1350</v>
      </c>
      <c r="C284" s="455" t="s">
        <v>754</v>
      </c>
      <c r="D284" s="448"/>
      <c r="E284" s="575">
        <v>3.0</v>
      </c>
      <c r="F284" s="448"/>
      <c r="G284" s="575">
        <v>3.43E-11</v>
      </c>
      <c r="H284" s="448"/>
      <c r="I284" s="448"/>
      <c r="J284" s="575">
        <v>2.45E-13</v>
      </c>
      <c r="K284" s="448"/>
      <c r="L284" s="448"/>
      <c r="M284" s="448"/>
      <c r="N284" s="448"/>
      <c r="O284" s="448"/>
      <c r="P284" s="448"/>
      <c r="Q284" s="455"/>
      <c r="R284" s="448"/>
      <c r="S284" s="575">
        <v>1.02</v>
      </c>
      <c r="T284" s="575">
        <v>1.31</v>
      </c>
      <c r="U284" s="448"/>
      <c r="V284" s="448"/>
      <c r="W284" s="448"/>
      <c r="X284" s="448"/>
      <c r="Y284" s="448"/>
    </row>
    <row r="285">
      <c r="A285" s="455" t="s">
        <v>1350</v>
      </c>
      <c r="B285" s="455" t="s">
        <v>1350</v>
      </c>
      <c r="C285" s="455" t="s">
        <v>160</v>
      </c>
      <c r="D285" s="448"/>
      <c r="E285" s="575">
        <v>3.0</v>
      </c>
      <c r="F285" s="448"/>
      <c r="G285" s="448"/>
      <c r="H285" s="448"/>
      <c r="I285" s="448"/>
      <c r="J285" s="575">
        <v>8.98E-16</v>
      </c>
      <c r="K285" s="448"/>
      <c r="L285" s="448"/>
      <c r="M285" s="448"/>
      <c r="N285" s="448"/>
      <c r="O285" s="448"/>
      <c r="P285" s="448"/>
      <c r="Q285" s="455"/>
      <c r="R285" s="448"/>
      <c r="S285" s="575">
        <v>0.132</v>
      </c>
      <c r="T285" s="575">
        <v>1.56</v>
      </c>
      <c r="U285" s="448"/>
      <c r="V285" s="448"/>
      <c r="W285" s="455">
        <v>3.9</v>
      </c>
      <c r="X285" s="448"/>
      <c r="Y285" s="448"/>
    </row>
    <row r="286">
      <c r="A286" s="455" t="s">
        <v>1425</v>
      </c>
      <c r="B286" s="455" t="s">
        <v>1425</v>
      </c>
      <c r="C286" s="455" t="s">
        <v>160</v>
      </c>
      <c r="D286" s="448"/>
      <c r="E286" s="575">
        <v>0.3</v>
      </c>
      <c r="F286" s="448"/>
      <c r="G286" s="448"/>
      <c r="H286" s="448"/>
      <c r="I286" s="448"/>
      <c r="J286" s="575">
        <v>1.65E-14</v>
      </c>
      <c r="K286" s="448"/>
      <c r="L286" s="448"/>
      <c r="M286" s="448"/>
      <c r="N286" s="448"/>
      <c r="O286" s="448"/>
      <c r="P286" s="448"/>
      <c r="Q286" s="455"/>
      <c r="R286" s="448"/>
      <c r="S286" s="575">
        <v>0.49</v>
      </c>
      <c r="T286" s="575">
        <v>2.68</v>
      </c>
      <c r="U286" s="575">
        <v>138.0</v>
      </c>
      <c r="V286" s="448"/>
      <c r="W286" s="455">
        <v>0.6</v>
      </c>
      <c r="X286" s="448"/>
      <c r="Y286" s="448"/>
    </row>
    <row r="287">
      <c r="A287" s="455" t="s">
        <v>1478</v>
      </c>
      <c r="B287" s="455" t="s">
        <v>1478</v>
      </c>
      <c r="C287" s="455" t="s">
        <v>160</v>
      </c>
      <c r="D287" s="448"/>
      <c r="E287" s="575">
        <v>0.5</v>
      </c>
      <c r="F287" s="448"/>
      <c r="G287" s="448"/>
      <c r="H287" s="448"/>
      <c r="I287" s="448"/>
      <c r="J287" s="575">
        <v>5.62E-15</v>
      </c>
      <c r="K287" s="448"/>
      <c r="L287" s="448"/>
      <c r="M287" s="448"/>
      <c r="N287" s="448"/>
      <c r="O287" s="448"/>
      <c r="P287" s="448"/>
      <c r="Q287" s="455"/>
      <c r="R287" s="448"/>
      <c r="S287" s="575">
        <v>1.35</v>
      </c>
      <c r="T287" s="575">
        <v>3.93</v>
      </c>
      <c r="U287" s="575">
        <v>138.0</v>
      </c>
      <c r="V287" s="448"/>
      <c r="W287" s="455">
        <v>3.9</v>
      </c>
      <c r="X287" s="448"/>
      <c r="Y287" s="448"/>
    </row>
    <row r="288">
      <c r="A288" s="455" t="s">
        <v>1463</v>
      </c>
      <c r="B288" s="455" t="s">
        <v>1463</v>
      </c>
      <c r="C288" s="455" t="s">
        <v>160</v>
      </c>
      <c r="D288" s="448"/>
      <c r="E288" s="575">
        <v>12.7</v>
      </c>
      <c r="F288" s="448"/>
      <c r="G288" s="448"/>
      <c r="H288" s="448"/>
      <c r="I288" s="448"/>
      <c r="J288" s="575">
        <v>3.99E-13</v>
      </c>
      <c r="K288" s="448"/>
      <c r="L288" s="448"/>
      <c r="M288" s="448"/>
      <c r="N288" s="448"/>
      <c r="O288" s="448"/>
      <c r="P288" s="448"/>
      <c r="Q288" s="455"/>
      <c r="R288" s="448"/>
      <c r="S288" s="575">
        <v>0.851</v>
      </c>
      <c r="T288" s="575">
        <v>3.38</v>
      </c>
      <c r="U288" s="575">
        <v>136.0</v>
      </c>
      <c r="V288" s="448"/>
      <c r="W288" s="455">
        <v>2.0</v>
      </c>
      <c r="X288" s="448"/>
      <c r="Y288" s="448"/>
    </row>
    <row r="289">
      <c r="A289" s="455" t="s">
        <v>1357</v>
      </c>
      <c r="B289" s="455" t="s">
        <v>1357</v>
      </c>
      <c r="C289" s="455" t="s">
        <v>160</v>
      </c>
      <c r="D289" s="448"/>
      <c r="E289" s="575">
        <v>0.3</v>
      </c>
      <c r="F289" s="448"/>
      <c r="G289" s="448"/>
      <c r="H289" s="448"/>
      <c r="I289" s="448"/>
      <c r="J289" s="575">
        <v>2.9E-17</v>
      </c>
      <c r="K289" s="448"/>
      <c r="L289" s="448"/>
      <c r="M289" s="448"/>
      <c r="N289" s="448"/>
      <c r="O289" s="448"/>
      <c r="P289" s="448"/>
      <c r="Q289" s="455"/>
      <c r="R289" s="448"/>
      <c r="S289" s="575">
        <v>0.148</v>
      </c>
      <c r="T289" s="575">
        <v>1.71</v>
      </c>
      <c r="U289" s="448"/>
      <c r="V289" s="448"/>
      <c r="W289" s="455">
        <v>5.3</v>
      </c>
      <c r="X289" s="448"/>
      <c r="Y289" s="448"/>
    </row>
    <row r="290">
      <c r="A290" s="455" t="s">
        <v>1405</v>
      </c>
      <c r="B290" s="455" t="s">
        <v>1405</v>
      </c>
      <c r="C290" s="455" t="s">
        <v>160</v>
      </c>
      <c r="D290" s="448"/>
      <c r="E290" s="575">
        <v>1.0</v>
      </c>
      <c r="F290" s="448"/>
      <c r="G290" s="448"/>
      <c r="H290" s="448"/>
      <c r="I290" s="448"/>
      <c r="J290" s="575">
        <v>7.6E-16</v>
      </c>
      <c r="K290" s="448"/>
      <c r="L290" s="448"/>
      <c r="M290" s="448"/>
      <c r="N290" s="448"/>
      <c r="O290" s="448"/>
      <c r="P290" s="448"/>
      <c r="Q290" s="455"/>
      <c r="R290" s="448"/>
      <c r="S290" s="575">
        <v>0.363</v>
      </c>
      <c r="T290" s="575">
        <v>2.39</v>
      </c>
      <c r="U290" s="448"/>
      <c r="V290" s="448"/>
      <c r="W290" s="455">
        <v>4.6</v>
      </c>
      <c r="X290" s="448"/>
      <c r="Y290" s="448"/>
    </row>
    <row r="291">
      <c r="A291" s="455" t="s">
        <v>1385</v>
      </c>
      <c r="B291" s="455" t="s">
        <v>1385</v>
      </c>
      <c r="C291" s="455" t="s">
        <v>160</v>
      </c>
      <c r="D291" s="448"/>
      <c r="E291" s="575">
        <v>0.7</v>
      </c>
      <c r="F291" s="448"/>
      <c r="G291" s="448"/>
      <c r="H291" s="448"/>
      <c r="I291" s="448"/>
      <c r="J291" s="575">
        <v>1.65E-16</v>
      </c>
      <c r="K291" s="448"/>
      <c r="L291" s="448"/>
      <c r="M291" s="448"/>
      <c r="N291" s="448"/>
      <c r="O291" s="448"/>
      <c r="P291" s="448"/>
      <c r="Q291" s="455" t="s">
        <v>137</v>
      </c>
      <c r="R291" s="448"/>
      <c r="S291" s="575">
        <v>0.275</v>
      </c>
      <c r="T291" s="575">
        <v>2.18</v>
      </c>
      <c r="U291" s="448"/>
      <c r="V291" s="448"/>
      <c r="W291" s="455">
        <v>5.4</v>
      </c>
      <c r="X291" s="448"/>
      <c r="Y291" s="448"/>
    </row>
    <row r="292">
      <c r="A292" s="455" t="s">
        <v>1384</v>
      </c>
      <c r="B292" s="455" t="s">
        <v>1384</v>
      </c>
      <c r="C292" s="455" t="s">
        <v>160</v>
      </c>
      <c r="D292" s="448"/>
      <c r="E292" s="575">
        <v>16.5</v>
      </c>
      <c r="F292" s="448"/>
      <c r="G292" s="448"/>
      <c r="H292" s="448"/>
      <c r="I292" s="448"/>
      <c r="J292" s="575">
        <v>1.54E-15</v>
      </c>
      <c r="K292" s="448"/>
      <c r="L292" s="448"/>
      <c r="M292" s="448"/>
      <c r="N292" s="448"/>
      <c r="O292" s="448"/>
      <c r="P292" s="448"/>
      <c r="Q292" s="455"/>
      <c r="R292" s="448"/>
      <c r="S292" s="575">
        <v>0.269</v>
      </c>
      <c r="T292" s="575">
        <v>2.16</v>
      </c>
      <c r="U292" s="448"/>
      <c r="V292" s="448"/>
      <c r="W292" s="455">
        <v>6.3</v>
      </c>
      <c r="X292" s="448"/>
      <c r="Y292" s="448"/>
    </row>
    <row r="293">
      <c r="A293" s="455" t="s">
        <v>177</v>
      </c>
      <c r="B293" s="455" t="s">
        <v>177</v>
      </c>
      <c r="C293" s="455" t="s">
        <v>160</v>
      </c>
      <c r="D293" s="448"/>
      <c r="E293" s="448"/>
      <c r="F293" s="575">
        <v>4.71</v>
      </c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55" t="s">
        <v>137</v>
      </c>
      <c r="R293" s="448"/>
      <c r="S293" s="575">
        <v>0.209</v>
      </c>
      <c r="T293" s="575">
        <v>1.9</v>
      </c>
      <c r="U293" s="448"/>
      <c r="V293" s="448"/>
      <c r="W293" s="455">
        <v>4.6</v>
      </c>
      <c r="X293" s="448"/>
      <c r="Y293" s="448"/>
    </row>
    <row r="294">
      <c r="A294" s="455" t="s">
        <v>1364</v>
      </c>
      <c r="B294" s="455" t="s">
        <v>1364</v>
      </c>
      <c r="C294" s="455" t="s">
        <v>160</v>
      </c>
      <c r="D294" s="448"/>
      <c r="E294" s="575">
        <v>0.4</v>
      </c>
      <c r="F294" s="448"/>
      <c r="G294" s="448"/>
      <c r="H294" s="448"/>
      <c r="I294" s="448"/>
      <c r="J294" s="575">
        <v>1.08E-15</v>
      </c>
      <c r="K294" s="448"/>
      <c r="L294" s="448"/>
      <c r="M294" s="448"/>
      <c r="N294" s="448"/>
      <c r="O294" s="448"/>
      <c r="P294" s="448"/>
      <c r="Q294" s="455"/>
      <c r="R294" s="448"/>
      <c r="S294" s="575">
        <v>0.178</v>
      </c>
      <c r="T294" s="575">
        <v>1.81</v>
      </c>
      <c r="U294" s="575">
        <v>136.0</v>
      </c>
      <c r="V294" s="448"/>
      <c r="W294" s="455">
        <v>2.1</v>
      </c>
      <c r="X294" s="448"/>
      <c r="Y294" s="448"/>
    </row>
    <row r="295">
      <c r="A295" s="455" t="s">
        <v>1346</v>
      </c>
      <c r="B295" s="455" t="s">
        <v>1346</v>
      </c>
      <c r="C295" s="455" t="s">
        <v>160</v>
      </c>
      <c r="D295" s="448"/>
      <c r="E295" s="575">
        <v>5.9</v>
      </c>
      <c r="F295" s="448"/>
      <c r="G295" s="448"/>
      <c r="H295" s="448"/>
      <c r="I295" s="448"/>
      <c r="J295" s="575">
        <v>9.36E-16</v>
      </c>
      <c r="K295" s="448"/>
      <c r="L295" s="448"/>
      <c r="M295" s="448"/>
      <c r="N295" s="448"/>
      <c r="O295" s="448"/>
      <c r="P295" s="448"/>
      <c r="Q295" s="455"/>
      <c r="R295" s="448"/>
      <c r="S295" s="575">
        <v>0.126</v>
      </c>
      <c r="T295" s="575">
        <v>1.49</v>
      </c>
      <c r="U295" s="448"/>
      <c r="V295" s="448"/>
      <c r="W295" s="455">
        <v>4.5</v>
      </c>
      <c r="X295" s="448"/>
      <c r="Y295" s="448"/>
    </row>
    <row r="296">
      <c r="A296" s="455" t="s">
        <v>1349</v>
      </c>
      <c r="B296" s="455" t="s">
        <v>1349</v>
      </c>
      <c r="C296" s="455" t="s">
        <v>160</v>
      </c>
      <c r="D296" s="448"/>
      <c r="E296" s="575">
        <v>0.3</v>
      </c>
      <c r="F296" s="448"/>
      <c r="G296" s="448"/>
      <c r="H296" s="448"/>
      <c r="I296" s="448"/>
      <c r="J296" s="575">
        <v>9.14E-17</v>
      </c>
      <c r="K296" s="448"/>
      <c r="L296" s="448"/>
      <c r="M296" s="448"/>
      <c r="N296" s="448"/>
      <c r="O296" s="448"/>
      <c r="P296" s="448"/>
      <c r="Q296" s="455"/>
      <c r="R296" s="448"/>
      <c r="S296" s="575">
        <v>0.129</v>
      </c>
      <c r="T296" s="575">
        <v>1.53</v>
      </c>
      <c r="U296" s="448"/>
      <c r="V296" s="448"/>
      <c r="W296" s="455">
        <v>4.2</v>
      </c>
      <c r="X296" s="448"/>
      <c r="Y296" s="448"/>
    </row>
    <row r="297">
      <c r="A297" s="455" t="s">
        <v>1374</v>
      </c>
      <c r="B297" s="455" t="s">
        <v>1374</v>
      </c>
      <c r="C297" s="455" t="s">
        <v>160</v>
      </c>
      <c r="D297" s="448"/>
      <c r="E297" s="575">
        <v>0.5</v>
      </c>
      <c r="F297" s="448"/>
      <c r="G297" s="448"/>
      <c r="H297" s="448"/>
      <c r="I297" s="448"/>
      <c r="J297" s="575">
        <v>7.7E-15</v>
      </c>
      <c r="K297" s="448"/>
      <c r="L297" s="448"/>
      <c r="M297" s="448"/>
      <c r="N297" s="448"/>
      <c r="O297" s="448"/>
      <c r="P297" s="448"/>
      <c r="Q297" s="455"/>
      <c r="R297" s="448"/>
      <c r="S297" s="575">
        <v>0.234</v>
      </c>
      <c r="T297" s="575">
        <v>2.01</v>
      </c>
      <c r="U297" s="575">
        <v>168.0</v>
      </c>
      <c r="V297" s="448"/>
      <c r="W297" s="455">
        <v>0.8</v>
      </c>
      <c r="X297" s="448"/>
      <c r="Y297" s="448"/>
    </row>
    <row r="298">
      <c r="A298" s="455" t="s">
        <v>178</v>
      </c>
      <c r="B298" s="455" t="s">
        <v>178</v>
      </c>
      <c r="C298" s="455" t="s">
        <v>160</v>
      </c>
      <c r="D298" s="448"/>
      <c r="E298" s="448"/>
      <c r="F298" s="575">
        <v>0.6</v>
      </c>
      <c r="G298" s="448"/>
      <c r="H298" s="448"/>
      <c r="I298" s="448"/>
      <c r="J298" s="448"/>
      <c r="K298" s="448"/>
      <c r="L298" s="575">
        <v>6.32E-16</v>
      </c>
      <c r="M298" s="448"/>
      <c r="N298" s="448"/>
      <c r="O298" s="448"/>
      <c r="P298" s="448"/>
      <c r="Q298" s="455" t="s">
        <v>137</v>
      </c>
      <c r="R298" s="448"/>
      <c r="S298" s="575">
        <v>0.209</v>
      </c>
      <c r="T298" s="575">
        <v>6.15</v>
      </c>
      <c r="U298" s="448"/>
      <c r="V298" s="448"/>
      <c r="W298" s="455">
        <v>4.6</v>
      </c>
      <c r="X298" s="448"/>
      <c r="Y298" s="448"/>
    </row>
    <row r="299">
      <c r="A299" s="455" t="s">
        <v>1464</v>
      </c>
      <c r="B299" s="455" t="s">
        <v>1464</v>
      </c>
      <c r="C299" s="455" t="s">
        <v>160</v>
      </c>
      <c r="D299" s="448"/>
      <c r="E299" s="575">
        <v>1.4</v>
      </c>
      <c r="F299" s="448"/>
      <c r="G299" s="448"/>
      <c r="H299" s="448"/>
      <c r="I299" s="448"/>
      <c r="J299" s="575">
        <v>2.78E-14</v>
      </c>
      <c r="K299" s="448"/>
      <c r="L299" s="448"/>
      <c r="M299" s="448"/>
      <c r="N299" s="448"/>
      <c r="O299" s="448"/>
      <c r="P299" s="448"/>
      <c r="Q299" s="455"/>
      <c r="R299" s="448"/>
      <c r="S299" s="575">
        <v>0.851</v>
      </c>
      <c r="T299" s="575">
        <v>3.38</v>
      </c>
      <c r="U299" s="575">
        <v>131.0</v>
      </c>
      <c r="V299" s="448"/>
      <c r="W299" s="455">
        <v>2.5</v>
      </c>
      <c r="X299" s="448"/>
      <c r="Y299" s="448"/>
    </row>
    <row r="300">
      <c r="A300" s="455" t="s">
        <v>1352</v>
      </c>
      <c r="B300" s="455" t="s">
        <v>1352</v>
      </c>
      <c r="C300" s="455" t="s">
        <v>160</v>
      </c>
      <c r="D300" s="448"/>
      <c r="E300" s="575">
        <v>0.3</v>
      </c>
      <c r="F300" s="448"/>
      <c r="G300" s="448"/>
      <c r="H300" s="448"/>
      <c r="I300" s="448"/>
      <c r="J300" s="575">
        <v>6.96E-17</v>
      </c>
      <c r="K300" s="448"/>
      <c r="L300" s="448"/>
      <c r="M300" s="448"/>
      <c r="N300" s="448"/>
      <c r="O300" s="448"/>
      <c r="P300" s="448"/>
      <c r="Q300" s="455" t="s">
        <v>137</v>
      </c>
      <c r="R300" s="448"/>
      <c r="S300" s="575">
        <v>0.135</v>
      </c>
      <c r="T300" s="575">
        <v>1.6</v>
      </c>
      <c r="U300" s="448"/>
      <c r="V300" s="448"/>
      <c r="W300" s="455">
        <v>4.3</v>
      </c>
      <c r="X300" s="448"/>
      <c r="Y300" s="448"/>
    </row>
    <row r="301">
      <c r="A301" s="455" t="s">
        <v>1418</v>
      </c>
      <c r="B301" s="455" t="s">
        <v>1418</v>
      </c>
      <c r="C301" s="455" t="s">
        <v>160</v>
      </c>
      <c r="D301" s="448"/>
      <c r="E301" s="575">
        <v>0.7</v>
      </c>
      <c r="F301" s="448"/>
      <c r="G301" s="448"/>
      <c r="H301" s="448"/>
      <c r="I301" s="448"/>
      <c r="J301" s="575">
        <v>1.41E-15</v>
      </c>
      <c r="K301" s="448"/>
      <c r="L301" s="448"/>
      <c r="M301" s="448"/>
      <c r="N301" s="448"/>
      <c r="O301" s="448"/>
      <c r="P301" s="448"/>
      <c r="Q301" s="455" t="s">
        <v>137</v>
      </c>
      <c r="R301" s="448"/>
      <c r="S301" s="575">
        <v>0.417</v>
      </c>
      <c r="T301" s="575">
        <v>2.53</v>
      </c>
      <c r="U301" s="575">
        <v>151.0</v>
      </c>
      <c r="V301" s="448"/>
      <c r="W301" s="455">
        <v>3.8</v>
      </c>
      <c r="X301" s="448"/>
      <c r="Y301" s="448"/>
    </row>
    <row r="302">
      <c r="A302" s="455" t="s">
        <v>1371</v>
      </c>
      <c r="B302" s="455" t="s">
        <v>1371</v>
      </c>
      <c r="C302" s="455" t="s">
        <v>160</v>
      </c>
      <c r="D302" s="448"/>
      <c r="E302" s="575">
        <v>0.8</v>
      </c>
      <c r="F302" s="448"/>
      <c r="G302" s="448"/>
      <c r="H302" s="448"/>
      <c r="I302" s="448"/>
      <c r="J302" s="575">
        <v>1.01E-14</v>
      </c>
      <c r="K302" s="448"/>
      <c r="L302" s="448"/>
      <c r="M302" s="448"/>
      <c r="N302" s="448"/>
      <c r="O302" s="448"/>
      <c r="P302" s="448"/>
      <c r="Q302" s="455" t="s">
        <v>137</v>
      </c>
      <c r="R302" s="448"/>
      <c r="S302" s="575">
        <v>0.204</v>
      </c>
      <c r="T302" s="575">
        <v>1.94</v>
      </c>
      <c r="U302" s="575">
        <v>140.0</v>
      </c>
      <c r="V302" s="448"/>
      <c r="W302" s="455">
        <v>0.7</v>
      </c>
      <c r="X302" s="448"/>
      <c r="Y302" s="448"/>
    </row>
    <row r="303">
      <c r="A303" s="455" t="s">
        <v>1424</v>
      </c>
      <c r="B303" s="455" t="s">
        <v>1424</v>
      </c>
      <c r="C303" s="455" t="s">
        <v>160</v>
      </c>
      <c r="D303" s="448"/>
      <c r="E303" s="575">
        <v>10.0</v>
      </c>
      <c r="F303" s="448"/>
      <c r="G303" s="448"/>
      <c r="H303" s="448"/>
      <c r="I303" s="448"/>
      <c r="J303" s="575">
        <v>1.58E-14</v>
      </c>
      <c r="K303" s="448"/>
      <c r="L303" s="448"/>
      <c r="M303" s="448"/>
      <c r="N303" s="448"/>
      <c r="O303" s="448"/>
      <c r="P303" s="448"/>
      <c r="Q303" s="455"/>
      <c r="R303" s="448"/>
      <c r="S303" s="575">
        <v>0.468</v>
      </c>
      <c r="T303" s="575">
        <v>2.68</v>
      </c>
      <c r="U303" s="575">
        <v>116.0</v>
      </c>
      <c r="V303" s="448"/>
      <c r="W303" s="455">
        <v>4.2</v>
      </c>
      <c r="X303" s="448"/>
      <c r="Y303" s="448"/>
    </row>
    <row r="304">
      <c r="A304" s="455" t="s">
        <v>1347</v>
      </c>
      <c r="B304" s="455" t="s">
        <v>1347</v>
      </c>
      <c r="C304" s="455" t="s">
        <v>160</v>
      </c>
      <c r="D304" s="448"/>
      <c r="E304" s="575">
        <v>0.4</v>
      </c>
      <c r="F304" s="448"/>
      <c r="G304" s="448"/>
      <c r="H304" s="448"/>
      <c r="I304" s="448"/>
      <c r="J304" s="575">
        <v>1.47E-15</v>
      </c>
      <c r="K304" s="448"/>
      <c r="L304" s="448"/>
      <c r="M304" s="448"/>
      <c r="N304" s="448"/>
      <c r="O304" s="448"/>
      <c r="P304" s="448"/>
      <c r="Q304" s="455" t="s">
        <v>137</v>
      </c>
      <c r="R304" s="448"/>
      <c r="S304" s="575">
        <v>0.129</v>
      </c>
      <c r="T304" s="575">
        <v>1.54</v>
      </c>
      <c r="U304" s="575">
        <v>146.0</v>
      </c>
      <c r="V304" s="448"/>
      <c r="W304" s="455">
        <v>1.3</v>
      </c>
      <c r="X304" s="448"/>
      <c r="Y304" s="448"/>
    </row>
    <row r="305">
      <c r="A305" s="455" t="s">
        <v>1351</v>
      </c>
      <c r="B305" s="455" t="s">
        <v>1351</v>
      </c>
      <c r="C305" s="455" t="s">
        <v>754</v>
      </c>
      <c r="D305" s="448"/>
      <c r="E305" s="448"/>
      <c r="F305" s="448"/>
      <c r="G305" s="575">
        <v>2.34E-12</v>
      </c>
      <c r="H305" s="448"/>
      <c r="I305" s="448"/>
      <c r="J305" s="575">
        <v>3.95E-13</v>
      </c>
      <c r="K305" s="448"/>
      <c r="L305" s="575">
        <v>1.41E-13</v>
      </c>
      <c r="M305" s="448"/>
      <c r="N305" s="448"/>
      <c r="O305" s="448"/>
      <c r="P305" s="448"/>
      <c r="Q305" s="455"/>
      <c r="R305" s="448"/>
      <c r="S305" s="575">
        <v>0.3</v>
      </c>
      <c r="T305" s="575">
        <v>0.97</v>
      </c>
      <c r="U305" s="575">
        <v>133.0</v>
      </c>
      <c r="V305" s="448"/>
      <c r="W305" s="448"/>
      <c r="X305" s="448"/>
      <c r="Y305" s="448"/>
    </row>
    <row r="306">
      <c r="A306" s="455" t="s">
        <v>1351</v>
      </c>
      <c r="B306" s="455" t="s">
        <v>1351</v>
      </c>
      <c r="C306" s="455" t="s">
        <v>160</v>
      </c>
      <c r="D306" s="448"/>
      <c r="E306" s="575">
        <v>36.0</v>
      </c>
      <c r="F306" s="448"/>
      <c r="G306" s="448"/>
      <c r="H306" s="448"/>
      <c r="I306" s="448"/>
      <c r="J306" s="575">
        <v>4.5E-14</v>
      </c>
      <c r="K306" s="448"/>
      <c r="L306" s="448"/>
      <c r="M306" s="448"/>
      <c r="N306" s="448"/>
      <c r="O306" s="448"/>
      <c r="P306" s="448"/>
      <c r="Q306" s="455"/>
      <c r="R306" s="448"/>
      <c r="S306" s="575">
        <v>0.135</v>
      </c>
      <c r="T306" s="575">
        <v>1.58</v>
      </c>
      <c r="U306" s="575">
        <v>133.0</v>
      </c>
      <c r="V306" s="448"/>
      <c r="W306" s="455">
        <v>2.5</v>
      </c>
      <c r="X306" s="448"/>
      <c r="Y306" s="448"/>
    </row>
    <row r="307">
      <c r="A307" s="455" t="s">
        <v>1465</v>
      </c>
      <c r="B307" s="455" t="s">
        <v>1465</v>
      </c>
      <c r="C307" s="455" t="s">
        <v>160</v>
      </c>
      <c r="D307" s="448"/>
      <c r="E307" s="575">
        <v>0.4</v>
      </c>
      <c r="F307" s="448"/>
      <c r="G307" s="448"/>
      <c r="H307" s="448"/>
      <c r="I307" s="448"/>
      <c r="J307" s="575">
        <v>1.66E-15</v>
      </c>
      <c r="K307" s="448"/>
      <c r="L307" s="448"/>
      <c r="M307" s="448"/>
      <c r="N307" s="448"/>
      <c r="O307" s="448"/>
      <c r="P307" s="448"/>
      <c r="Q307" s="455" t="s">
        <v>137</v>
      </c>
      <c r="R307" s="448"/>
      <c r="S307" s="575">
        <v>0.851</v>
      </c>
      <c r="T307" s="575">
        <v>3.38</v>
      </c>
      <c r="U307" s="448"/>
      <c r="V307" s="448"/>
      <c r="W307" s="455">
        <v>4.2</v>
      </c>
      <c r="X307" s="448"/>
      <c r="Y307" s="448"/>
    </row>
    <row r="308">
      <c r="A308" s="455" t="s">
        <v>1968</v>
      </c>
      <c r="B308" s="455" t="s">
        <v>1968</v>
      </c>
      <c r="C308" s="455" t="s">
        <v>160</v>
      </c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8"/>
      <c r="O308" s="448"/>
      <c r="P308" s="448"/>
      <c r="Q308" s="455" t="s">
        <v>137</v>
      </c>
      <c r="R308" s="448"/>
      <c r="S308" s="448"/>
      <c r="T308" s="448"/>
      <c r="U308" s="448"/>
      <c r="V308" s="448"/>
      <c r="W308" s="448"/>
      <c r="X308" s="448"/>
      <c r="Y308" s="448"/>
    </row>
    <row r="309">
      <c r="A309" s="455" t="s">
        <v>175</v>
      </c>
      <c r="B309" s="455" t="s">
        <v>175</v>
      </c>
      <c r="C309" s="455" t="s">
        <v>160</v>
      </c>
      <c r="D309" s="448"/>
      <c r="E309" s="448"/>
      <c r="F309" s="575">
        <v>3.9</v>
      </c>
      <c r="G309" s="448"/>
      <c r="H309" s="448"/>
      <c r="I309" s="448"/>
      <c r="J309" s="448"/>
      <c r="K309" s="448"/>
      <c r="L309" s="575">
        <v>6.92E-16</v>
      </c>
      <c r="M309" s="448"/>
      <c r="N309" s="448"/>
      <c r="O309" s="448"/>
      <c r="P309" s="448"/>
      <c r="Q309" s="455" t="s">
        <v>137</v>
      </c>
      <c r="R309" s="448"/>
      <c r="S309" s="575">
        <v>0.158</v>
      </c>
      <c r="T309" s="575">
        <v>1.73</v>
      </c>
      <c r="U309" s="448"/>
      <c r="V309" s="448"/>
      <c r="W309" s="455">
        <v>10.4</v>
      </c>
      <c r="X309" s="448"/>
      <c r="Y309" s="448"/>
    </row>
    <row r="310">
      <c r="A310" s="455" t="s">
        <v>180</v>
      </c>
      <c r="B310" s="455" t="s">
        <v>180</v>
      </c>
      <c r="C310" s="455" t="s">
        <v>160</v>
      </c>
      <c r="D310" s="448"/>
      <c r="E310" s="448"/>
      <c r="F310" s="575">
        <v>3.0</v>
      </c>
      <c r="G310" s="448"/>
      <c r="H310" s="448"/>
      <c r="I310" s="448"/>
      <c r="J310" s="448"/>
      <c r="K310" s="448"/>
      <c r="L310" s="575">
        <v>7.28E-16</v>
      </c>
      <c r="M310" s="448"/>
      <c r="N310" s="448"/>
      <c r="O310" s="448"/>
      <c r="P310" s="448"/>
      <c r="Q310" s="455" t="s">
        <v>137</v>
      </c>
      <c r="R310" s="448"/>
      <c r="S310" s="575">
        <v>0.214</v>
      </c>
      <c r="T310" s="575">
        <v>1.92</v>
      </c>
      <c r="U310" s="448"/>
      <c r="V310" s="448"/>
      <c r="W310" s="455">
        <v>10.7</v>
      </c>
      <c r="X310" s="448"/>
      <c r="Y310" s="448"/>
    </row>
    <row r="311">
      <c r="A311" s="455" t="s">
        <v>1419</v>
      </c>
      <c r="B311" s="455" t="s">
        <v>1419</v>
      </c>
      <c r="C311" s="455" t="s">
        <v>160</v>
      </c>
      <c r="D311" s="448"/>
      <c r="E311" s="575">
        <v>0.4</v>
      </c>
      <c r="F311" s="448"/>
      <c r="G311" s="448"/>
      <c r="H311" s="448"/>
      <c r="I311" s="448"/>
      <c r="J311" s="575">
        <v>1.66E-16</v>
      </c>
      <c r="K311" s="448"/>
      <c r="L311" s="448"/>
      <c r="M311" s="448"/>
      <c r="N311" s="448"/>
      <c r="O311" s="448"/>
      <c r="P311" s="448"/>
      <c r="Q311" s="455" t="s">
        <v>137</v>
      </c>
      <c r="R311" s="448"/>
      <c r="S311" s="575">
        <v>0.427</v>
      </c>
      <c r="T311" s="575">
        <v>2.48</v>
      </c>
      <c r="U311" s="448"/>
      <c r="V311" s="448"/>
      <c r="W311" s="455">
        <v>5.5</v>
      </c>
      <c r="X311" s="448"/>
      <c r="Y311" s="448"/>
    </row>
    <row r="312">
      <c r="A312" s="455" t="s">
        <v>1312</v>
      </c>
      <c r="B312" s="455" t="s">
        <v>1312</v>
      </c>
      <c r="C312" s="455" t="s">
        <v>160</v>
      </c>
      <c r="D312" s="448"/>
      <c r="E312" s="575">
        <v>2.0</v>
      </c>
      <c r="F312" s="448"/>
      <c r="G312" s="448"/>
      <c r="H312" s="448"/>
      <c r="I312" s="448"/>
      <c r="J312" s="575">
        <v>3.3E-17</v>
      </c>
      <c r="K312" s="448"/>
      <c r="L312" s="448"/>
      <c r="M312" s="448"/>
      <c r="N312" s="448"/>
      <c r="O312" s="448"/>
      <c r="P312" s="448"/>
      <c r="Q312" s="455" t="s">
        <v>137</v>
      </c>
      <c r="R312" s="448"/>
      <c r="S312" s="575">
        <v>0.325</v>
      </c>
      <c r="T312" s="575">
        <v>0.384</v>
      </c>
      <c r="U312" s="448"/>
      <c r="V312" s="455">
        <v>13.47</v>
      </c>
      <c r="W312" s="455">
        <v>3.8</v>
      </c>
      <c r="X312" s="448"/>
      <c r="Y312" s="448"/>
    </row>
    <row r="313">
      <c r="A313" s="455" t="s">
        <v>1407</v>
      </c>
      <c r="B313" s="455" t="s">
        <v>1407</v>
      </c>
      <c r="C313" s="455" t="s">
        <v>1309</v>
      </c>
      <c r="D313" s="448"/>
      <c r="E313" s="575">
        <v>2.1</v>
      </c>
      <c r="F313" s="448"/>
      <c r="G313" s="448"/>
      <c r="H313" s="448"/>
      <c r="I313" s="448"/>
      <c r="J313" s="575">
        <v>8.25E-15</v>
      </c>
      <c r="K313" s="448"/>
      <c r="L313" s="448"/>
      <c r="M313" s="448"/>
      <c r="N313" s="448"/>
      <c r="O313" s="448"/>
      <c r="P313" s="448"/>
      <c r="Q313" s="455"/>
      <c r="R313" s="448"/>
      <c r="S313" s="575">
        <v>0.4</v>
      </c>
      <c r="T313" s="575">
        <v>2.05</v>
      </c>
      <c r="U313" s="575">
        <v>134.0</v>
      </c>
      <c r="V313" s="448"/>
      <c r="W313" s="448"/>
      <c r="X313" s="448"/>
      <c r="Y313" s="448"/>
    </row>
    <row r="314">
      <c r="A314" s="455" t="s">
        <v>1407</v>
      </c>
      <c r="B314" s="455" t="s">
        <v>1407</v>
      </c>
      <c r="C314" s="455" t="s">
        <v>160</v>
      </c>
      <c r="D314" s="448"/>
      <c r="E314" s="575">
        <v>4.5</v>
      </c>
      <c r="F314" s="448"/>
      <c r="G314" s="448"/>
      <c r="H314" s="448"/>
      <c r="I314" s="448"/>
      <c r="J314" s="575">
        <v>1.77E-14</v>
      </c>
      <c r="K314" s="448"/>
      <c r="L314" s="448"/>
      <c r="M314" s="448"/>
      <c r="N314" s="448"/>
      <c r="O314" s="448"/>
      <c r="P314" s="448"/>
      <c r="Q314" s="455"/>
      <c r="R314" s="448"/>
      <c r="S314" s="575">
        <v>0.38</v>
      </c>
      <c r="T314" s="575">
        <v>2.37</v>
      </c>
      <c r="U314" s="575">
        <v>134.0</v>
      </c>
      <c r="V314" s="448"/>
      <c r="W314" s="455">
        <v>3.0</v>
      </c>
      <c r="X314" s="448"/>
      <c r="Y314" s="448"/>
    </row>
    <row r="315">
      <c r="A315" s="455" t="s">
        <v>1971</v>
      </c>
      <c r="B315" s="455" t="s">
        <v>1971</v>
      </c>
      <c r="C315" s="455" t="s">
        <v>160</v>
      </c>
      <c r="D315" s="448"/>
      <c r="E315" s="575">
        <v>5.0</v>
      </c>
      <c r="F315" s="448"/>
      <c r="G315" s="448"/>
      <c r="H315" s="448"/>
      <c r="I315" s="448"/>
      <c r="J315" s="575">
        <v>3.29E-17</v>
      </c>
      <c r="K315" s="448"/>
      <c r="L315" s="448"/>
      <c r="M315" s="448"/>
      <c r="N315" s="448"/>
      <c r="O315" s="448"/>
      <c r="P315" s="448"/>
      <c r="Q315" s="455" t="s">
        <v>137</v>
      </c>
      <c r="R315" s="448"/>
      <c r="S315" s="575">
        <v>0.105</v>
      </c>
      <c r="T315" s="575">
        <v>1.35</v>
      </c>
      <c r="U315" s="448"/>
      <c r="V315" s="448"/>
      <c r="W315" s="455">
        <v>7.1</v>
      </c>
      <c r="X315" s="448"/>
      <c r="Y315" s="448"/>
    </row>
    <row r="316">
      <c r="A316" s="455" t="s">
        <v>1973</v>
      </c>
      <c r="B316" s="455" t="s">
        <v>1973</v>
      </c>
      <c r="C316" s="455" t="s">
        <v>160</v>
      </c>
      <c r="D316" s="448"/>
      <c r="E316" s="448"/>
      <c r="F316" s="575">
        <v>8.0</v>
      </c>
      <c r="G316" s="448"/>
      <c r="H316" s="448"/>
      <c r="I316" s="448"/>
      <c r="J316" s="448"/>
      <c r="K316" s="448"/>
      <c r="L316" s="575">
        <v>5.93E-16</v>
      </c>
      <c r="M316" s="448"/>
      <c r="N316" s="448"/>
      <c r="O316" s="448"/>
      <c r="P316" s="448"/>
      <c r="Q316" s="455" t="s">
        <v>137</v>
      </c>
      <c r="R316" s="448"/>
      <c r="S316" s="448"/>
      <c r="T316" s="575">
        <v>1.92</v>
      </c>
      <c r="U316" s="448"/>
      <c r="V316" s="448"/>
      <c r="W316" s="455">
        <v>-1.0</v>
      </c>
      <c r="X316" s="448"/>
      <c r="Y316" s="448"/>
    </row>
    <row r="317">
      <c r="A317" s="455" t="s">
        <v>1358</v>
      </c>
      <c r="B317" s="455" t="s">
        <v>1358</v>
      </c>
      <c r="C317" s="455" t="s">
        <v>160</v>
      </c>
      <c r="D317" s="448"/>
      <c r="E317" s="575">
        <v>0.8</v>
      </c>
      <c r="F317" s="448"/>
      <c r="G317" s="448"/>
      <c r="H317" s="448"/>
      <c r="I317" s="448"/>
      <c r="J317" s="575">
        <v>9.95E-17</v>
      </c>
      <c r="K317" s="448"/>
      <c r="L317" s="448"/>
      <c r="M317" s="448"/>
      <c r="N317" s="448"/>
      <c r="O317" s="448"/>
      <c r="P317" s="448"/>
      <c r="Q317" s="455" t="s">
        <v>137</v>
      </c>
      <c r="R317" s="448"/>
      <c r="S317" s="575">
        <v>0.151</v>
      </c>
      <c r="T317" s="575">
        <v>1.67</v>
      </c>
      <c r="U317" s="448"/>
      <c r="V317" s="448"/>
      <c r="W317" s="455">
        <v>5.1</v>
      </c>
      <c r="X317" s="448"/>
      <c r="Y317" s="448"/>
    </row>
    <row r="318">
      <c r="A318" s="455" t="s">
        <v>753</v>
      </c>
      <c r="B318" s="455" t="s">
        <v>753</v>
      </c>
      <c r="C318" s="455" t="s">
        <v>754</v>
      </c>
      <c r="D318" s="448"/>
      <c r="E318" s="448"/>
      <c r="F318" s="448"/>
      <c r="G318" s="448"/>
      <c r="H318" s="448"/>
      <c r="I318" s="448"/>
      <c r="J318" s="448"/>
      <c r="K318" s="448"/>
      <c r="L318" s="448"/>
      <c r="M318" s="448"/>
      <c r="N318" s="448"/>
      <c r="O318" s="448"/>
      <c r="P318" s="448"/>
      <c r="Q318" s="455"/>
      <c r="R318" s="448"/>
      <c r="S318" s="575">
        <v>0.22</v>
      </c>
      <c r="T318" s="575">
        <v>1.08</v>
      </c>
      <c r="U318" s="448"/>
      <c r="V318" s="448"/>
      <c r="W318" s="448"/>
      <c r="X318" s="448"/>
      <c r="Y318" s="448"/>
    </row>
    <row r="319">
      <c r="A319" s="455" t="s">
        <v>753</v>
      </c>
      <c r="B319" s="455" t="s">
        <v>753</v>
      </c>
      <c r="C319" s="455" t="s">
        <v>160</v>
      </c>
      <c r="D319" s="448"/>
      <c r="E319" s="575">
        <v>2.4</v>
      </c>
      <c r="F319" s="448"/>
      <c r="G319" s="448"/>
      <c r="H319" s="448"/>
      <c r="I319" s="448"/>
      <c r="J319" s="575">
        <v>4.98E-16</v>
      </c>
      <c r="K319" s="448"/>
      <c r="L319" s="448"/>
      <c r="M319" s="448"/>
      <c r="N319" s="448"/>
      <c r="O319" s="448"/>
      <c r="P319" s="448"/>
      <c r="Q319" s="455"/>
      <c r="R319" s="448"/>
      <c r="S319" s="575">
        <v>0.0912</v>
      </c>
      <c r="T319" s="575">
        <v>1.2</v>
      </c>
      <c r="U319" s="448"/>
      <c r="V319" s="448"/>
      <c r="W319" s="455">
        <v>3.7</v>
      </c>
      <c r="X319" s="448"/>
      <c r="Y319" s="448"/>
    </row>
    <row r="320">
      <c r="A320" s="455" t="s">
        <v>1345</v>
      </c>
      <c r="B320" s="455" t="s">
        <v>1345</v>
      </c>
      <c r="C320" s="455" t="s">
        <v>160</v>
      </c>
      <c r="D320" s="448"/>
      <c r="E320" s="575">
        <v>0.5</v>
      </c>
      <c r="F320" s="448"/>
      <c r="G320" s="448"/>
      <c r="H320" s="448"/>
      <c r="I320" s="448"/>
      <c r="J320" s="575">
        <v>5.96E-17</v>
      </c>
      <c r="K320" s="448"/>
      <c r="L320" s="448"/>
      <c r="M320" s="448"/>
      <c r="N320" s="448"/>
      <c r="O320" s="448"/>
      <c r="P320" s="448"/>
      <c r="Q320" s="455" t="s">
        <v>137</v>
      </c>
      <c r="R320" s="448"/>
      <c r="S320" s="575">
        <v>0.115</v>
      </c>
      <c r="T320" s="575">
        <v>1.38</v>
      </c>
      <c r="U320" s="448"/>
      <c r="V320" s="448"/>
      <c r="W320" s="455">
        <v>4.7</v>
      </c>
      <c r="X320" s="448"/>
      <c r="Y320" s="448"/>
    </row>
    <row r="321">
      <c r="A321" s="455" t="s">
        <v>1976</v>
      </c>
      <c r="B321" s="455" t="s">
        <v>1976</v>
      </c>
      <c r="C321" s="455" t="s">
        <v>160</v>
      </c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8"/>
      <c r="O321" s="448"/>
      <c r="P321" s="448"/>
      <c r="Q321" s="455" t="s">
        <v>137</v>
      </c>
      <c r="R321" s="448"/>
      <c r="S321" s="575">
        <v>0.813</v>
      </c>
      <c r="T321" s="575">
        <v>3.23</v>
      </c>
      <c r="U321" s="448"/>
      <c r="V321" s="448"/>
      <c r="W321" s="455">
        <v>6.1</v>
      </c>
      <c r="X321" s="448"/>
      <c r="Y321" s="448"/>
    </row>
    <row r="322">
      <c r="A322" s="455" t="s">
        <v>1472</v>
      </c>
      <c r="B322" s="455" t="s">
        <v>1472</v>
      </c>
      <c r="C322" s="455" t="s">
        <v>160</v>
      </c>
      <c r="D322" s="448"/>
      <c r="E322" s="575">
        <v>8.4</v>
      </c>
      <c r="F322" s="448"/>
      <c r="G322" s="448"/>
      <c r="H322" s="448"/>
      <c r="I322" s="448"/>
      <c r="J322" s="575">
        <v>5.7E-15</v>
      </c>
      <c r="K322" s="448"/>
      <c r="L322" s="448"/>
      <c r="M322" s="448"/>
      <c r="N322" s="448"/>
      <c r="O322" s="448"/>
      <c r="P322" s="448"/>
      <c r="Q322" s="455"/>
      <c r="R322" s="448"/>
      <c r="S322" s="575">
        <v>1.02</v>
      </c>
      <c r="T322" s="575">
        <v>3.58</v>
      </c>
      <c r="U322" s="448"/>
      <c r="V322" s="448"/>
      <c r="W322" s="455">
        <v>6.3</v>
      </c>
      <c r="X322" s="448"/>
      <c r="Y322" s="448"/>
    </row>
    <row r="323">
      <c r="A323" s="455" t="s">
        <v>1392</v>
      </c>
      <c r="B323" s="455" t="s">
        <v>1392</v>
      </c>
      <c r="C323" s="455" t="s">
        <v>160</v>
      </c>
      <c r="D323" s="448"/>
      <c r="E323" s="575">
        <v>20.0</v>
      </c>
      <c r="F323" s="448"/>
      <c r="G323" s="448"/>
      <c r="H323" s="448"/>
      <c r="I323" s="448"/>
      <c r="J323" s="448"/>
      <c r="K323" s="448"/>
      <c r="L323" s="448"/>
      <c r="M323" s="448"/>
      <c r="N323" s="448"/>
      <c r="O323" s="448"/>
      <c r="P323" s="448"/>
      <c r="Q323" s="455" t="s">
        <v>137</v>
      </c>
      <c r="R323" s="448"/>
      <c r="S323" s="575">
        <v>0.295</v>
      </c>
      <c r="T323" s="575">
        <v>2.21</v>
      </c>
      <c r="U323" s="448"/>
      <c r="V323" s="448"/>
      <c r="W323" s="455">
        <v>10.6</v>
      </c>
      <c r="X323" s="448"/>
      <c r="Y323" s="448"/>
    </row>
    <row r="324">
      <c r="A324" s="455" t="s">
        <v>1316</v>
      </c>
      <c r="B324" s="455" t="s">
        <v>1316</v>
      </c>
      <c r="C324" s="455" t="s">
        <v>160</v>
      </c>
      <c r="D324" s="448"/>
      <c r="E324" s="575">
        <v>5.0</v>
      </c>
      <c r="F324" s="448"/>
      <c r="G324" s="448"/>
      <c r="H324" s="448"/>
      <c r="I324" s="448"/>
      <c r="J324" s="575">
        <v>1.99E-16</v>
      </c>
      <c r="K324" s="448"/>
      <c r="L324" s="448"/>
      <c r="M324" s="448"/>
      <c r="N324" s="448"/>
      <c r="O324" s="448"/>
      <c r="P324" s="448"/>
      <c r="Q324" s="455"/>
      <c r="R324" s="448"/>
      <c r="S324" s="575">
        <v>0.398</v>
      </c>
      <c r="T324" s="575">
        <v>0.401</v>
      </c>
      <c r="U324" s="448"/>
      <c r="V324" s="455">
        <v>13.12</v>
      </c>
      <c r="W324" s="455">
        <v>3.7</v>
      </c>
      <c r="X324" s="448"/>
      <c r="Y324" s="448"/>
    </row>
    <row r="325">
      <c r="A325" s="455" t="s">
        <v>1316</v>
      </c>
      <c r="B325" s="455" t="s">
        <v>1316</v>
      </c>
      <c r="C325" s="455" t="s">
        <v>754</v>
      </c>
      <c r="D325" s="448"/>
      <c r="E325" s="448"/>
      <c r="F325" s="448"/>
      <c r="G325" s="448"/>
      <c r="H325" s="448"/>
      <c r="I325" s="448"/>
      <c r="J325" s="575">
        <v>2.0E-15</v>
      </c>
      <c r="K325" s="448"/>
      <c r="L325" s="448"/>
      <c r="M325" s="448"/>
      <c r="N325" s="448"/>
      <c r="O325" s="448"/>
      <c r="P325" s="448"/>
      <c r="Q325" s="455"/>
      <c r="R325" s="448"/>
      <c r="S325" s="575">
        <v>0.398</v>
      </c>
      <c r="T325" s="575">
        <v>0.401</v>
      </c>
      <c r="U325" s="448"/>
      <c r="V325" s="448"/>
      <c r="W325" s="448"/>
      <c r="X325" s="448"/>
      <c r="Y325" s="448"/>
    </row>
    <row r="326">
      <c r="A326" s="455" t="s">
        <v>1399</v>
      </c>
      <c r="B326" s="455" t="s">
        <v>1399</v>
      </c>
      <c r="C326" s="455" t="s">
        <v>160</v>
      </c>
      <c r="D326" s="448"/>
      <c r="E326" s="575">
        <v>0.6</v>
      </c>
      <c r="F326" s="448"/>
      <c r="G326" s="448"/>
      <c r="H326" s="448"/>
      <c r="I326" s="448"/>
      <c r="J326" s="575">
        <v>3.26E-17</v>
      </c>
      <c r="K326" s="448"/>
      <c r="L326" s="448"/>
      <c r="M326" s="448"/>
      <c r="N326" s="448"/>
      <c r="O326" s="448"/>
      <c r="P326" s="448"/>
      <c r="Q326" s="455" t="s">
        <v>137</v>
      </c>
      <c r="R326" s="448"/>
      <c r="S326" s="575">
        <v>0.331</v>
      </c>
      <c r="T326" s="575">
        <v>2.34</v>
      </c>
      <c r="U326" s="448"/>
      <c r="V326" s="448"/>
      <c r="W326" s="455">
        <v>7.2</v>
      </c>
      <c r="X326" s="448"/>
      <c r="Y326" s="448"/>
    </row>
    <row r="327">
      <c r="A327" s="455" t="s">
        <v>1398</v>
      </c>
      <c r="B327" s="455" t="s">
        <v>1398</v>
      </c>
      <c r="C327" s="455" t="s">
        <v>160</v>
      </c>
      <c r="D327" s="448"/>
      <c r="E327" s="575">
        <v>0.7</v>
      </c>
      <c r="F327" s="448"/>
      <c r="G327" s="448"/>
      <c r="H327" s="448"/>
      <c r="I327" s="448"/>
      <c r="J327" s="575">
        <v>5.64E-17</v>
      </c>
      <c r="K327" s="448"/>
      <c r="L327" s="448"/>
      <c r="M327" s="448"/>
      <c r="N327" s="448"/>
      <c r="O327" s="448"/>
      <c r="P327" s="448"/>
      <c r="Q327" s="455" t="s">
        <v>137</v>
      </c>
      <c r="R327" s="448"/>
      <c r="S327" s="575">
        <v>0.324</v>
      </c>
      <c r="T327" s="575">
        <v>2.28</v>
      </c>
      <c r="U327" s="448"/>
      <c r="V327" s="448"/>
      <c r="W327" s="455">
        <v>6.8</v>
      </c>
      <c r="X327" s="448"/>
      <c r="Y327" s="448"/>
    </row>
    <row r="328">
      <c r="A328" s="455" t="s">
        <v>659</v>
      </c>
      <c r="B328" s="455" t="s">
        <v>659</v>
      </c>
      <c r="C328" s="455" t="s">
        <v>1309</v>
      </c>
      <c r="D328" s="448"/>
      <c r="E328" s="575">
        <v>1.4</v>
      </c>
      <c r="F328" s="575">
        <v>1.8</v>
      </c>
      <c r="G328" s="448"/>
      <c r="H328" s="448"/>
      <c r="I328" s="448"/>
      <c r="J328" s="575">
        <v>4.68E-15</v>
      </c>
      <c r="K328" s="448"/>
      <c r="L328" s="575">
        <v>3.81E-15</v>
      </c>
      <c r="M328" s="448"/>
      <c r="N328" s="448"/>
      <c r="O328" s="448"/>
      <c r="P328" s="448"/>
      <c r="Q328" s="455"/>
      <c r="R328" s="448"/>
      <c r="S328" s="575">
        <v>0.0584</v>
      </c>
      <c r="T328" s="575">
        <v>0.402</v>
      </c>
      <c r="U328" s="575">
        <v>142.0</v>
      </c>
      <c r="V328" s="455">
        <v>3.0</v>
      </c>
      <c r="W328" s="448"/>
      <c r="X328" s="448"/>
      <c r="Y328" s="448"/>
    </row>
    <row r="329">
      <c r="A329" s="455" t="s">
        <v>659</v>
      </c>
      <c r="B329" s="455" t="s">
        <v>659</v>
      </c>
      <c r="C329" s="455" t="s">
        <v>269</v>
      </c>
      <c r="D329" s="575">
        <v>40.0</v>
      </c>
      <c r="E329" s="575">
        <v>2.0</v>
      </c>
      <c r="F329" s="448"/>
      <c r="G329" s="575">
        <v>6.76E-15</v>
      </c>
      <c r="H329" s="448"/>
      <c r="I329" s="448"/>
      <c r="J329" s="575">
        <v>6.68E-15</v>
      </c>
      <c r="K329" s="448"/>
      <c r="L329" s="448"/>
      <c r="M329" s="448"/>
      <c r="N329" s="448"/>
      <c r="O329" s="448"/>
      <c r="P329" s="448"/>
      <c r="Q329" s="455"/>
      <c r="R329" s="448"/>
      <c r="S329" s="575">
        <v>0.0584</v>
      </c>
      <c r="T329" s="575">
        <v>0.402</v>
      </c>
      <c r="U329" s="575">
        <v>142.0</v>
      </c>
      <c r="V329" s="455">
        <v>3.0</v>
      </c>
      <c r="W329" s="448"/>
      <c r="X329" s="448"/>
      <c r="Y329" s="448"/>
    </row>
    <row r="330">
      <c r="A330" s="455" t="s">
        <v>659</v>
      </c>
      <c r="B330" s="455" t="s">
        <v>659</v>
      </c>
      <c r="C330" s="455" t="s">
        <v>269</v>
      </c>
      <c r="D330" s="575">
        <v>40.0</v>
      </c>
      <c r="E330" s="575">
        <v>2.0</v>
      </c>
      <c r="F330" s="448"/>
      <c r="G330" s="575">
        <v>6.76E-15</v>
      </c>
      <c r="H330" s="448"/>
      <c r="I330" s="448"/>
      <c r="J330" s="575">
        <v>6.68E-15</v>
      </c>
      <c r="K330" s="448"/>
      <c r="L330" s="448"/>
      <c r="M330" s="448"/>
      <c r="N330" s="448"/>
      <c r="O330" s="448"/>
      <c r="P330" s="448"/>
      <c r="Q330" s="455"/>
      <c r="R330" s="448"/>
      <c r="S330" s="575">
        <v>0.0584</v>
      </c>
      <c r="T330" s="575">
        <v>0.402</v>
      </c>
      <c r="U330" s="575">
        <v>142.0</v>
      </c>
      <c r="V330" s="455">
        <v>3.0</v>
      </c>
      <c r="W330" s="448"/>
      <c r="X330" s="448"/>
      <c r="Y330" s="448"/>
    </row>
    <row r="331">
      <c r="A331" s="455" t="s">
        <v>659</v>
      </c>
      <c r="B331" s="455" t="s">
        <v>659</v>
      </c>
      <c r="C331" s="455" t="s">
        <v>754</v>
      </c>
      <c r="D331" s="448"/>
      <c r="E331" s="448"/>
      <c r="F331" s="448"/>
      <c r="G331" s="575">
        <v>8.8E-14</v>
      </c>
      <c r="H331" s="448"/>
      <c r="I331" s="448"/>
      <c r="J331" s="448"/>
      <c r="K331" s="448"/>
      <c r="L331" s="448"/>
      <c r="M331" s="448"/>
      <c r="N331" s="448"/>
      <c r="O331" s="448"/>
      <c r="P331" s="448"/>
      <c r="Q331" s="455"/>
      <c r="R331" s="448"/>
      <c r="S331" s="575">
        <v>0.0584</v>
      </c>
      <c r="T331" s="575">
        <v>0.402</v>
      </c>
      <c r="U331" s="575">
        <v>142.0</v>
      </c>
      <c r="V331" s="448"/>
      <c r="W331" s="448"/>
      <c r="X331" s="448"/>
      <c r="Y331" s="448"/>
    </row>
    <row r="332">
      <c r="A332" s="455" t="s">
        <v>659</v>
      </c>
      <c r="B332" s="455" t="s">
        <v>659</v>
      </c>
      <c r="C332" s="455" t="s">
        <v>160</v>
      </c>
      <c r="D332" s="448"/>
      <c r="E332" s="575">
        <v>2.0</v>
      </c>
      <c r="F332" s="448"/>
      <c r="G332" s="448"/>
      <c r="H332" s="448"/>
      <c r="I332" s="448"/>
      <c r="J332" s="575">
        <v>6.68E-15</v>
      </c>
      <c r="K332" s="448"/>
      <c r="L332" s="448"/>
      <c r="M332" s="448"/>
      <c r="N332" s="448"/>
      <c r="O332" s="448"/>
      <c r="P332" s="448"/>
      <c r="Q332" s="455"/>
      <c r="R332" s="448"/>
      <c r="S332" s="575">
        <v>0.0584</v>
      </c>
      <c r="T332" s="575">
        <v>0.402</v>
      </c>
      <c r="U332" s="575">
        <v>142.0</v>
      </c>
      <c r="V332" s="448"/>
      <c r="W332" s="455">
        <v>0.6</v>
      </c>
      <c r="X332" s="448"/>
      <c r="Y332" s="448"/>
    </row>
    <row r="333">
      <c r="A333" s="455" t="s">
        <v>1977</v>
      </c>
      <c r="B333" s="455" t="s">
        <v>1977</v>
      </c>
      <c r="C333" s="455" t="s">
        <v>160</v>
      </c>
      <c r="D333" s="448"/>
      <c r="E333" s="575">
        <v>0.6</v>
      </c>
      <c r="F333" s="448"/>
      <c r="G333" s="448"/>
      <c r="H333" s="448"/>
      <c r="I333" s="448"/>
      <c r="J333" s="575">
        <v>5.19E-18</v>
      </c>
      <c r="K333" s="448"/>
      <c r="L333" s="448"/>
      <c r="M333" s="448"/>
      <c r="N333" s="448"/>
      <c r="O333" s="448"/>
      <c r="P333" s="448"/>
      <c r="Q333" s="455" t="s">
        <v>137</v>
      </c>
      <c r="R333" s="448"/>
      <c r="S333" s="575">
        <v>1.1</v>
      </c>
      <c r="T333" s="575">
        <v>3.62</v>
      </c>
      <c r="U333" s="448"/>
      <c r="V333" s="448"/>
      <c r="W333" s="455">
        <v>11.6</v>
      </c>
      <c r="X333" s="448"/>
      <c r="Y333" s="448"/>
    </row>
    <row r="334">
      <c r="A334" s="455" t="s">
        <v>1400</v>
      </c>
      <c r="B334" s="455" t="s">
        <v>1400</v>
      </c>
      <c r="C334" s="455" t="s">
        <v>1309</v>
      </c>
      <c r="D334" s="448"/>
      <c r="E334" s="575">
        <v>1.3</v>
      </c>
      <c r="F334" s="448"/>
      <c r="G334" s="448"/>
      <c r="H334" s="448"/>
      <c r="I334" s="448"/>
      <c r="J334" s="575">
        <v>3.91E-15</v>
      </c>
      <c r="K334" s="448"/>
      <c r="L334" s="448"/>
      <c r="M334" s="448"/>
      <c r="N334" s="448"/>
      <c r="O334" s="448"/>
      <c r="P334" s="448"/>
      <c r="Q334" s="455"/>
      <c r="R334" s="448"/>
      <c r="S334" s="575">
        <v>0.35</v>
      </c>
      <c r="T334" s="575">
        <v>2.69</v>
      </c>
      <c r="U334" s="575">
        <v>131.0</v>
      </c>
      <c r="V334" s="448"/>
      <c r="W334" s="448"/>
      <c r="X334" s="448"/>
      <c r="Y334" s="448"/>
    </row>
    <row r="335">
      <c r="A335" s="455" t="s">
        <v>1400</v>
      </c>
      <c r="B335" s="455" t="s">
        <v>1400</v>
      </c>
      <c r="C335" s="455" t="s">
        <v>160</v>
      </c>
      <c r="D335" s="448"/>
      <c r="E335" s="575">
        <v>1.7</v>
      </c>
      <c r="F335" s="448"/>
      <c r="G335" s="448"/>
      <c r="H335" s="448"/>
      <c r="I335" s="448"/>
      <c r="J335" s="575">
        <v>5.11E-15</v>
      </c>
      <c r="K335" s="448"/>
      <c r="L335" s="448"/>
      <c r="M335" s="448"/>
      <c r="N335" s="448"/>
      <c r="O335" s="448"/>
      <c r="P335" s="448"/>
      <c r="Q335" s="455"/>
      <c r="R335" s="448"/>
      <c r="S335" s="575">
        <v>0.617</v>
      </c>
      <c r="T335" s="575">
        <v>2.94</v>
      </c>
      <c r="U335" s="575">
        <v>131.0</v>
      </c>
      <c r="V335" s="448"/>
      <c r="W335" s="455">
        <v>4.0</v>
      </c>
      <c r="X335" s="448"/>
      <c r="Y335" s="448"/>
    </row>
    <row r="336">
      <c r="A336" s="455" t="s">
        <v>1373</v>
      </c>
      <c r="B336" s="455" t="s">
        <v>1373</v>
      </c>
      <c r="C336" s="455" t="s">
        <v>160</v>
      </c>
      <c r="D336" s="448"/>
      <c r="E336" s="448"/>
      <c r="F336" s="448"/>
      <c r="G336" s="448"/>
      <c r="H336" s="448"/>
      <c r="I336" s="448"/>
      <c r="J336" s="448"/>
      <c r="K336" s="448"/>
      <c r="L336" s="448"/>
      <c r="M336" s="448"/>
      <c r="N336" s="448"/>
      <c r="O336" s="448"/>
      <c r="P336" s="448"/>
      <c r="Q336" s="455" t="s">
        <v>137</v>
      </c>
      <c r="R336" s="448"/>
      <c r="S336" s="575">
        <v>0.224</v>
      </c>
      <c r="T336" s="575">
        <v>2.01</v>
      </c>
      <c r="U336" s="575">
        <v>141.0</v>
      </c>
      <c r="V336" s="448"/>
      <c r="W336" s="455">
        <v>2.3</v>
      </c>
      <c r="X336" s="448"/>
      <c r="Y336" s="448"/>
    </row>
    <row r="337">
      <c r="A337" s="455" t="s">
        <v>1978</v>
      </c>
      <c r="B337" s="455" t="s">
        <v>1978</v>
      </c>
      <c r="C337" s="455" t="s">
        <v>160</v>
      </c>
      <c r="D337" s="448"/>
      <c r="E337" s="575">
        <v>1.3</v>
      </c>
      <c r="F337" s="448"/>
      <c r="G337" s="448"/>
      <c r="H337" s="448"/>
      <c r="I337" s="448"/>
      <c r="J337" s="575">
        <v>4.43E-17</v>
      </c>
      <c r="K337" s="448"/>
      <c r="L337" s="448"/>
      <c r="M337" s="448"/>
      <c r="N337" s="448"/>
      <c r="O337" s="448"/>
      <c r="P337" s="448"/>
      <c r="Q337" s="455" t="s">
        <v>137</v>
      </c>
      <c r="R337" s="448"/>
      <c r="S337" s="575">
        <v>0.275</v>
      </c>
      <c r="T337" s="575">
        <v>2.16</v>
      </c>
      <c r="U337" s="448"/>
      <c r="V337" s="448"/>
      <c r="W337" s="455">
        <v>7.0</v>
      </c>
      <c r="X337" s="448"/>
      <c r="Y337" s="448"/>
    </row>
    <row r="338">
      <c r="A338" s="455" t="s">
        <v>184</v>
      </c>
      <c r="B338" s="455" t="s">
        <v>184</v>
      </c>
      <c r="C338" s="455" t="s">
        <v>160</v>
      </c>
      <c r="D338" s="448"/>
      <c r="E338" s="448"/>
      <c r="F338" s="575">
        <v>1.3</v>
      </c>
      <c r="G338" s="448"/>
      <c r="H338" s="448"/>
      <c r="I338" s="448"/>
      <c r="J338" s="448"/>
      <c r="K338" s="448"/>
      <c r="L338" s="575">
        <v>7.77E-14</v>
      </c>
      <c r="M338" s="448"/>
      <c r="N338" s="448"/>
      <c r="O338" s="448"/>
      <c r="P338" s="448"/>
      <c r="Q338" s="455"/>
      <c r="R338" s="448"/>
      <c r="S338" s="575">
        <v>3.02</v>
      </c>
      <c r="T338" s="448"/>
      <c r="U338" s="448"/>
      <c r="V338" s="448"/>
      <c r="W338" s="455">
        <v>10.5</v>
      </c>
      <c r="X338" s="448"/>
      <c r="Y338" s="448"/>
    </row>
    <row r="339">
      <c r="A339" s="455" t="s">
        <v>1468</v>
      </c>
      <c r="B339" s="455" t="s">
        <v>1468</v>
      </c>
      <c r="C339" s="455" t="s">
        <v>160</v>
      </c>
      <c r="D339" s="448"/>
      <c r="E339" s="575">
        <v>0.3</v>
      </c>
      <c r="F339" s="448"/>
      <c r="G339" s="448"/>
      <c r="H339" s="448"/>
      <c r="I339" s="448"/>
      <c r="J339" s="575">
        <v>2.99E-14</v>
      </c>
      <c r="K339" s="448"/>
      <c r="L339" s="448"/>
      <c r="M339" s="448"/>
      <c r="N339" s="448"/>
      <c r="O339" s="448"/>
      <c r="P339" s="448"/>
      <c r="Q339" s="455" t="s">
        <v>137</v>
      </c>
      <c r="R339" s="448"/>
      <c r="S339" s="575">
        <v>0.912</v>
      </c>
      <c r="T339" s="575">
        <v>3.42</v>
      </c>
      <c r="U339" s="575">
        <v>138.0</v>
      </c>
      <c r="V339" s="448"/>
      <c r="W339" s="455">
        <v>0.9</v>
      </c>
      <c r="X339" s="448"/>
      <c r="Y339" s="448"/>
    </row>
    <row r="340">
      <c r="A340" s="455" t="s">
        <v>1980</v>
      </c>
      <c r="B340" s="455" t="s">
        <v>1980</v>
      </c>
      <c r="C340" s="455" t="s">
        <v>160</v>
      </c>
      <c r="D340" s="448"/>
      <c r="E340" s="575">
        <v>17.9</v>
      </c>
      <c r="F340" s="448"/>
      <c r="G340" s="448"/>
      <c r="H340" s="448"/>
      <c r="I340" s="448"/>
      <c r="J340" s="575">
        <v>4.22E-16</v>
      </c>
      <c r="K340" s="448"/>
      <c r="L340" s="448"/>
      <c r="M340" s="448"/>
      <c r="N340" s="448"/>
      <c r="O340" s="448"/>
      <c r="P340" s="448"/>
      <c r="Q340" s="455"/>
      <c r="R340" s="448"/>
      <c r="S340" s="575">
        <v>0.912</v>
      </c>
      <c r="T340" s="575">
        <v>3.38</v>
      </c>
      <c r="U340" s="448"/>
      <c r="V340" s="448"/>
      <c r="W340" s="455">
        <v>8.9</v>
      </c>
      <c r="X340" s="448"/>
      <c r="Y340" s="448"/>
    </row>
    <row r="341">
      <c r="A341" s="455" t="s">
        <v>1981</v>
      </c>
      <c r="B341" s="455" t="s">
        <v>1981</v>
      </c>
      <c r="C341" s="455" t="s">
        <v>160</v>
      </c>
      <c r="D341" s="448"/>
      <c r="E341" s="448"/>
      <c r="F341" s="448"/>
      <c r="G341" s="448"/>
      <c r="H341" s="448"/>
      <c r="I341" s="448"/>
      <c r="J341" s="448"/>
      <c r="K341" s="448"/>
      <c r="L341" s="448"/>
      <c r="M341" s="448"/>
      <c r="N341" s="448"/>
      <c r="O341" s="448"/>
      <c r="P341" s="448"/>
      <c r="Q341" s="455" t="s">
        <v>137</v>
      </c>
      <c r="R341" s="448"/>
      <c r="S341" s="448"/>
      <c r="T341" s="448"/>
      <c r="U341" s="448"/>
      <c r="V341" s="448"/>
      <c r="W341" s="448"/>
      <c r="X341" s="448"/>
      <c r="Y341" s="448"/>
    </row>
    <row r="342">
      <c r="A342" s="455" t="s">
        <v>1982</v>
      </c>
      <c r="B342" s="455" t="s">
        <v>1982</v>
      </c>
      <c r="C342" s="455" t="s">
        <v>160</v>
      </c>
      <c r="D342" s="448"/>
      <c r="E342" s="575">
        <v>8.0</v>
      </c>
      <c r="F342" s="448"/>
      <c r="G342" s="448"/>
      <c r="H342" s="448"/>
      <c r="I342" s="448"/>
      <c r="J342" s="575">
        <v>9.12E-18</v>
      </c>
      <c r="K342" s="448"/>
      <c r="L342" s="448"/>
      <c r="M342" s="448"/>
      <c r="N342" s="448"/>
      <c r="O342" s="448"/>
      <c r="P342" s="448"/>
      <c r="Q342" s="455" t="s">
        <v>137</v>
      </c>
      <c r="R342" s="448"/>
      <c r="S342" s="575">
        <v>4.37</v>
      </c>
      <c r="T342" s="575">
        <v>6.29</v>
      </c>
      <c r="U342" s="448"/>
      <c r="V342" s="448"/>
      <c r="W342" s="455">
        <v>16.2</v>
      </c>
      <c r="X342" s="448"/>
      <c r="Y342" s="448"/>
    </row>
    <row r="343">
      <c r="A343" s="455" t="s">
        <v>1333</v>
      </c>
      <c r="B343" s="455" t="s">
        <v>1333</v>
      </c>
      <c r="C343" s="455" t="s">
        <v>1309</v>
      </c>
      <c r="D343" s="448"/>
      <c r="E343" s="575">
        <v>1.1</v>
      </c>
      <c r="F343" s="448"/>
      <c r="G343" s="448"/>
      <c r="H343" s="448"/>
      <c r="I343" s="448"/>
      <c r="J343" s="575">
        <v>1.96E-16</v>
      </c>
      <c r="K343" s="448"/>
      <c r="L343" s="448"/>
      <c r="M343" s="448"/>
      <c r="N343" s="448"/>
      <c r="O343" s="448"/>
      <c r="P343" s="448"/>
      <c r="Q343" s="455"/>
      <c r="R343" s="448"/>
      <c r="S343" s="575">
        <v>0.6</v>
      </c>
      <c r="T343" s="575">
        <v>0.596</v>
      </c>
      <c r="U343" s="448"/>
      <c r="V343" s="448"/>
      <c r="W343" s="448"/>
      <c r="X343" s="448"/>
      <c r="Y343" s="448"/>
    </row>
    <row r="344">
      <c r="A344" s="455" t="s">
        <v>1333</v>
      </c>
      <c r="B344" s="455" t="s">
        <v>1333</v>
      </c>
      <c r="C344" s="455" t="s">
        <v>754</v>
      </c>
      <c r="D344" s="448"/>
      <c r="E344" s="448"/>
      <c r="F344" s="448"/>
      <c r="G344" s="448"/>
      <c r="H344" s="448"/>
      <c r="I344" s="448"/>
      <c r="J344" s="575">
        <v>3.0E-14</v>
      </c>
      <c r="K344" s="448"/>
      <c r="L344" s="448"/>
      <c r="M344" s="448"/>
      <c r="N344" s="448"/>
      <c r="O344" s="448"/>
      <c r="P344" s="448"/>
      <c r="Q344" s="455"/>
      <c r="R344" s="448"/>
      <c r="S344" s="575">
        <v>0.51</v>
      </c>
      <c r="T344" s="575">
        <v>1.0</v>
      </c>
      <c r="U344" s="448"/>
      <c r="V344" s="448"/>
      <c r="W344" s="448"/>
      <c r="X344" s="448"/>
      <c r="Y344" s="448"/>
    </row>
    <row r="345">
      <c r="A345" s="455" t="s">
        <v>1333</v>
      </c>
      <c r="B345" s="455" t="s">
        <v>1333</v>
      </c>
      <c r="C345" s="455" t="s">
        <v>160</v>
      </c>
      <c r="D345" s="448"/>
      <c r="E345" s="575">
        <v>2.7</v>
      </c>
      <c r="F345" s="448"/>
      <c r="G345" s="448"/>
      <c r="H345" s="448"/>
      <c r="I345" s="448"/>
      <c r="J345" s="575">
        <v>4.81E-16</v>
      </c>
      <c r="K345" s="448"/>
      <c r="L345" s="448"/>
      <c r="M345" s="448"/>
      <c r="N345" s="448"/>
      <c r="O345" s="448"/>
      <c r="P345" s="448"/>
      <c r="Q345" s="455"/>
      <c r="R345" s="448"/>
      <c r="S345" s="575">
        <v>0.0832</v>
      </c>
      <c r="T345" s="575">
        <v>1.11</v>
      </c>
      <c r="U345" s="448"/>
      <c r="V345" s="448"/>
      <c r="W345" s="455">
        <v>3.7</v>
      </c>
      <c r="X345" s="448"/>
      <c r="Y345" s="448"/>
    </row>
    <row r="346">
      <c r="A346" s="455" t="s">
        <v>1426</v>
      </c>
      <c r="B346" s="455" t="s">
        <v>1426</v>
      </c>
      <c r="C346" s="455" t="s">
        <v>160</v>
      </c>
      <c r="D346" s="448"/>
      <c r="E346" s="575">
        <v>1.0</v>
      </c>
      <c r="F346" s="448"/>
      <c r="G346" s="448"/>
      <c r="H346" s="448"/>
      <c r="I346" s="448"/>
      <c r="J346" s="575">
        <v>3.93E-15</v>
      </c>
      <c r="K346" s="448"/>
      <c r="L346" s="448"/>
      <c r="M346" s="448"/>
      <c r="N346" s="448"/>
      <c r="O346" s="448"/>
      <c r="P346" s="448"/>
      <c r="Q346" s="455" t="s">
        <v>137</v>
      </c>
      <c r="R346" s="448"/>
      <c r="S346" s="575">
        <v>0.501</v>
      </c>
      <c r="T346" s="575">
        <v>2.75</v>
      </c>
      <c r="U346" s="575">
        <v>137.0</v>
      </c>
      <c r="V346" s="448"/>
      <c r="W346" s="455">
        <v>3.4</v>
      </c>
      <c r="X346" s="448"/>
      <c r="Y346" s="448"/>
    </row>
    <row r="347">
      <c r="A347" s="455" t="s">
        <v>1372</v>
      </c>
      <c r="B347" s="455" t="s">
        <v>1372</v>
      </c>
      <c r="C347" s="455" t="s">
        <v>1309</v>
      </c>
      <c r="D347" s="448"/>
      <c r="E347" s="575">
        <v>6.5</v>
      </c>
      <c r="F347" s="575">
        <v>3.3</v>
      </c>
      <c r="G347" s="448"/>
      <c r="H347" s="448"/>
      <c r="I347" s="448"/>
      <c r="J347" s="575">
        <v>9.55E-15</v>
      </c>
      <c r="K347" s="448"/>
      <c r="L347" s="575">
        <v>1.44E-14</v>
      </c>
      <c r="M347" s="448"/>
      <c r="N347" s="448"/>
      <c r="O347" s="448"/>
      <c r="P347" s="448"/>
      <c r="Q347" s="455"/>
      <c r="R347" s="448"/>
      <c r="S347" s="575">
        <v>0.6</v>
      </c>
      <c r="T347" s="575">
        <v>1.27</v>
      </c>
      <c r="U347" s="575">
        <v>145.0</v>
      </c>
      <c r="V347" s="448"/>
      <c r="W347" s="448"/>
      <c r="X347" s="448"/>
      <c r="Y347" s="448"/>
    </row>
    <row r="348">
      <c r="A348" s="455" t="s">
        <v>1372</v>
      </c>
      <c r="B348" s="455" t="s">
        <v>1372</v>
      </c>
      <c r="C348" s="455" t="s">
        <v>754</v>
      </c>
      <c r="D348" s="448"/>
      <c r="E348" s="448"/>
      <c r="F348" s="448"/>
      <c r="G348" s="575">
        <v>7.59E-13</v>
      </c>
      <c r="H348" s="448"/>
      <c r="I348" s="448"/>
      <c r="J348" s="575">
        <v>9.0E-15</v>
      </c>
      <c r="K348" s="448"/>
      <c r="L348" s="448"/>
      <c r="M348" s="448"/>
      <c r="N348" s="448"/>
      <c r="O348" s="448"/>
      <c r="P348" s="448"/>
      <c r="Q348" s="455"/>
      <c r="R348" s="448"/>
      <c r="S348" s="575">
        <v>0.33</v>
      </c>
      <c r="T348" s="575">
        <v>1.41</v>
      </c>
      <c r="U348" s="575">
        <v>145.0</v>
      </c>
      <c r="V348" s="448"/>
      <c r="W348" s="448"/>
      <c r="X348" s="448"/>
      <c r="Y348" s="448"/>
    </row>
    <row r="349">
      <c r="A349" s="455" t="s">
        <v>1372</v>
      </c>
      <c r="B349" s="455" t="s">
        <v>1372</v>
      </c>
      <c r="C349" s="455" t="s">
        <v>160</v>
      </c>
      <c r="D349" s="448"/>
      <c r="E349" s="575">
        <v>2.4</v>
      </c>
      <c r="F349" s="448"/>
      <c r="G349" s="448"/>
      <c r="H349" s="448"/>
      <c r="I349" s="448"/>
      <c r="J349" s="575">
        <v>3.52E-15</v>
      </c>
      <c r="K349" s="448"/>
      <c r="L349" s="448"/>
      <c r="M349" s="448"/>
      <c r="N349" s="448"/>
      <c r="O349" s="448"/>
      <c r="P349" s="448"/>
      <c r="Q349" s="455" t="s">
        <v>137</v>
      </c>
      <c r="R349" s="448"/>
      <c r="S349" s="575">
        <v>0.214</v>
      </c>
      <c r="T349" s="575">
        <v>1.94</v>
      </c>
      <c r="U349" s="575">
        <v>145.0</v>
      </c>
      <c r="V349" s="448"/>
      <c r="W349" s="455">
        <v>3.1</v>
      </c>
      <c r="X349" s="448"/>
      <c r="Y349" s="448"/>
    </row>
    <row r="350">
      <c r="A350" s="455" t="s">
        <v>1983</v>
      </c>
      <c r="B350" s="455" t="s">
        <v>1983</v>
      </c>
      <c r="C350" s="455" t="s">
        <v>160</v>
      </c>
      <c r="D350" s="448"/>
      <c r="E350" s="575">
        <v>20.0</v>
      </c>
      <c r="F350" s="448"/>
      <c r="G350" s="448"/>
      <c r="H350" s="448"/>
      <c r="I350" s="448"/>
      <c r="J350" s="575">
        <v>3.89E-17</v>
      </c>
      <c r="K350" s="448"/>
      <c r="L350" s="448"/>
      <c r="M350" s="448"/>
      <c r="N350" s="448"/>
      <c r="O350" s="448"/>
      <c r="P350" s="448"/>
      <c r="Q350" s="455" t="s">
        <v>137</v>
      </c>
      <c r="R350" s="448"/>
      <c r="S350" s="448"/>
      <c r="T350" s="575">
        <v>2.34</v>
      </c>
      <c r="U350" s="448"/>
      <c r="V350" s="448"/>
      <c r="W350" s="455">
        <v>10.5</v>
      </c>
      <c r="X350" s="448"/>
      <c r="Y350" s="448"/>
    </row>
    <row r="351">
      <c r="A351" s="455" t="s">
        <v>1365</v>
      </c>
      <c r="B351" s="455" t="s">
        <v>1365</v>
      </c>
      <c r="C351" s="455" t="s">
        <v>160</v>
      </c>
      <c r="D351" s="448"/>
      <c r="E351" s="575">
        <v>2.5</v>
      </c>
      <c r="F351" s="448"/>
      <c r="G351" s="448"/>
      <c r="H351" s="448"/>
      <c r="I351" s="448"/>
      <c r="J351" s="575">
        <v>8.47E-17</v>
      </c>
      <c r="K351" s="448"/>
      <c r="L351" s="448"/>
      <c r="M351" s="448"/>
      <c r="N351" s="448"/>
      <c r="O351" s="448"/>
      <c r="P351" s="448"/>
      <c r="Q351" s="455" t="s">
        <v>137</v>
      </c>
      <c r="R351" s="448"/>
      <c r="S351" s="575">
        <v>0.186</v>
      </c>
      <c r="T351" s="575">
        <v>1.81</v>
      </c>
      <c r="U351" s="448"/>
      <c r="V351" s="448"/>
      <c r="W351" s="455">
        <v>6.8</v>
      </c>
      <c r="X351" s="448"/>
      <c r="Y351" s="448"/>
    </row>
    <row r="352">
      <c r="A352" s="455" t="s">
        <v>1331</v>
      </c>
      <c r="B352" s="455" t="s">
        <v>1331</v>
      </c>
      <c r="C352" s="455" t="s">
        <v>754</v>
      </c>
      <c r="D352" s="448"/>
      <c r="E352" s="448"/>
      <c r="F352" s="448"/>
      <c r="G352" s="575">
        <v>8.16E-13</v>
      </c>
      <c r="H352" s="448"/>
      <c r="I352" s="448"/>
      <c r="J352" s="575">
        <v>9.0E-14</v>
      </c>
      <c r="K352" s="448"/>
      <c r="L352" s="575">
        <v>2.1E-14</v>
      </c>
      <c r="M352" s="448"/>
      <c r="N352" s="448"/>
      <c r="O352" s="448"/>
      <c r="P352" s="448"/>
      <c r="Q352" s="455"/>
      <c r="R352" s="448"/>
      <c r="S352" s="575">
        <v>0.62</v>
      </c>
      <c r="T352" s="575">
        <v>0.56</v>
      </c>
      <c r="U352" s="575">
        <v>137.0</v>
      </c>
      <c r="V352" s="448"/>
      <c r="W352" s="448"/>
      <c r="X352" s="448"/>
      <c r="Y352" s="448"/>
    </row>
    <row r="353">
      <c r="A353" s="455" t="s">
        <v>1331</v>
      </c>
      <c r="B353" s="455" t="s">
        <v>1331</v>
      </c>
      <c r="C353" s="455" t="s">
        <v>160</v>
      </c>
      <c r="D353" s="448"/>
      <c r="E353" s="575">
        <v>21.9</v>
      </c>
      <c r="F353" s="448"/>
      <c r="G353" s="448"/>
      <c r="H353" s="448"/>
      <c r="I353" s="448"/>
      <c r="J353" s="575">
        <v>5.57E-14</v>
      </c>
      <c r="K353" s="448"/>
      <c r="L353" s="448"/>
      <c r="M353" s="448"/>
      <c r="N353" s="448"/>
      <c r="O353" s="448"/>
      <c r="P353" s="448"/>
      <c r="Q353" s="455"/>
      <c r="R353" s="448"/>
      <c r="S353" s="575">
        <v>0.0832</v>
      </c>
      <c r="T353" s="575">
        <v>1.12</v>
      </c>
      <c r="U353" s="575">
        <v>137.0</v>
      </c>
      <c r="V353" s="448"/>
      <c r="W353" s="455">
        <v>1.0</v>
      </c>
      <c r="X353" s="448"/>
      <c r="Y353" s="448"/>
    </row>
    <row r="354">
      <c r="A354" s="455" t="s">
        <v>1984</v>
      </c>
      <c r="B354" s="455" t="s">
        <v>1984</v>
      </c>
      <c r="C354" s="455" t="s">
        <v>160</v>
      </c>
      <c r="D354" s="448"/>
      <c r="E354" s="575">
        <v>10.0</v>
      </c>
      <c r="F354" s="448"/>
      <c r="G354" s="448"/>
      <c r="H354" s="448"/>
      <c r="I354" s="448"/>
      <c r="J354" s="575">
        <v>3.85E-17</v>
      </c>
      <c r="K354" s="448"/>
      <c r="L354" s="448"/>
      <c r="M354" s="448"/>
      <c r="N354" s="448"/>
      <c r="O354" s="448"/>
      <c r="P354" s="448"/>
      <c r="Q354" s="455" t="s">
        <v>137</v>
      </c>
      <c r="R354" s="448"/>
      <c r="S354" s="448"/>
      <c r="T354" s="575">
        <v>2.51</v>
      </c>
      <c r="U354" s="448"/>
      <c r="V354" s="448"/>
      <c r="W354" s="455">
        <v>9.5</v>
      </c>
      <c r="X354" s="448"/>
      <c r="Y354" s="448"/>
    </row>
    <row r="355">
      <c r="A355" s="455" t="s">
        <v>1420</v>
      </c>
      <c r="B355" s="455" t="s">
        <v>1420</v>
      </c>
      <c r="C355" s="455" t="s">
        <v>160</v>
      </c>
      <c r="D355" s="448"/>
      <c r="E355" s="575">
        <v>0.4</v>
      </c>
      <c r="F355" s="448"/>
      <c r="G355" s="448"/>
      <c r="H355" s="448"/>
      <c r="I355" s="448"/>
      <c r="J355" s="575">
        <v>1.8E-16</v>
      </c>
      <c r="K355" s="448"/>
      <c r="L355" s="448"/>
      <c r="M355" s="448"/>
      <c r="N355" s="448"/>
      <c r="O355" s="448"/>
      <c r="P355" s="448"/>
      <c r="Q355" s="455" t="s">
        <v>137</v>
      </c>
      <c r="R355" s="448"/>
      <c r="S355" s="575">
        <v>0.457</v>
      </c>
      <c r="T355" s="575">
        <v>2.65</v>
      </c>
      <c r="U355" s="448"/>
      <c r="V355" s="448"/>
      <c r="W355" s="455">
        <v>5.5</v>
      </c>
      <c r="X355" s="448"/>
      <c r="Y355" s="448"/>
    </row>
    <row r="356">
      <c r="A356" s="455" t="s">
        <v>1986</v>
      </c>
      <c r="B356" s="455" t="s">
        <v>1986</v>
      </c>
      <c r="C356" s="455" t="s">
        <v>160</v>
      </c>
      <c r="D356" s="448"/>
      <c r="E356" s="575">
        <v>30.0</v>
      </c>
      <c r="F356" s="448"/>
      <c r="G356" s="448"/>
      <c r="H356" s="448"/>
      <c r="I356" s="448"/>
      <c r="J356" s="575">
        <v>1.56E-16</v>
      </c>
      <c r="K356" s="448"/>
      <c r="L356" s="448"/>
      <c r="M356" s="448"/>
      <c r="N356" s="448"/>
      <c r="O356" s="448"/>
      <c r="P356" s="448"/>
      <c r="Q356" s="455" t="s">
        <v>137</v>
      </c>
      <c r="R356" s="448"/>
      <c r="S356" s="448"/>
      <c r="T356" s="575">
        <v>2.94</v>
      </c>
      <c r="U356" s="448"/>
      <c r="V356" s="448"/>
      <c r="W356" s="455">
        <v>10.9</v>
      </c>
      <c r="X356" s="448"/>
      <c r="Y356" s="448"/>
    </row>
    <row r="357">
      <c r="A357" s="455" t="s">
        <v>1450</v>
      </c>
      <c r="B357" s="455" t="s">
        <v>1450</v>
      </c>
      <c r="C357" s="455" t="s">
        <v>160</v>
      </c>
      <c r="D357" s="448"/>
      <c r="E357" s="575">
        <v>0.9</v>
      </c>
      <c r="F357" s="448"/>
      <c r="G357" s="448"/>
      <c r="H357" s="448"/>
      <c r="I357" s="448"/>
      <c r="J357" s="575">
        <v>2.32E-16</v>
      </c>
      <c r="K357" s="448"/>
      <c r="L357" s="448"/>
      <c r="M357" s="448"/>
      <c r="N357" s="448"/>
      <c r="O357" s="448"/>
      <c r="P357" s="448"/>
      <c r="Q357" s="455" t="s">
        <v>137</v>
      </c>
      <c r="R357" s="448"/>
      <c r="S357" s="575">
        <v>0.646</v>
      </c>
      <c r="T357" s="575">
        <v>2.88</v>
      </c>
      <c r="U357" s="448"/>
      <c r="V357" s="448"/>
      <c r="W357" s="455">
        <v>6.6</v>
      </c>
      <c r="X357" s="448"/>
      <c r="Y357" s="448"/>
    </row>
    <row r="358">
      <c r="A358" s="455" t="s">
        <v>1988</v>
      </c>
      <c r="B358" s="455" t="s">
        <v>1988</v>
      </c>
      <c r="C358" s="455" t="s">
        <v>160</v>
      </c>
      <c r="D358" s="448"/>
      <c r="E358" s="448"/>
      <c r="F358" s="448"/>
      <c r="G358" s="448"/>
      <c r="H358" s="448"/>
      <c r="I358" s="448"/>
      <c r="J358" s="448"/>
      <c r="K358" s="448"/>
      <c r="L358" s="448"/>
      <c r="M358" s="448"/>
      <c r="N358" s="448"/>
      <c r="O358" s="448"/>
      <c r="P358" s="448"/>
      <c r="Q358" s="455" t="s">
        <v>137</v>
      </c>
      <c r="R358" s="448"/>
      <c r="S358" s="448"/>
      <c r="T358" s="448"/>
      <c r="U358" s="575">
        <v>166.0</v>
      </c>
      <c r="V358" s="448"/>
      <c r="W358" s="448"/>
      <c r="X358" s="448"/>
      <c r="Y358" s="448"/>
    </row>
    <row r="359">
      <c r="A359" s="455" t="s">
        <v>663</v>
      </c>
      <c r="B359" s="455" t="s">
        <v>663</v>
      </c>
      <c r="C359" s="455" t="s">
        <v>598</v>
      </c>
      <c r="D359" s="575">
        <v>12.4</v>
      </c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55" t="s">
        <v>137</v>
      </c>
      <c r="R359" s="455" t="s">
        <v>638</v>
      </c>
      <c r="S359" s="575">
        <v>0.0476</v>
      </c>
      <c r="T359" s="575">
        <v>0.543</v>
      </c>
      <c r="U359" s="448"/>
      <c r="V359" s="455">
        <v>10.9</v>
      </c>
      <c r="W359" s="448"/>
      <c r="X359" s="448"/>
      <c r="Y359" s="448"/>
    </row>
    <row r="360">
      <c r="A360" s="455" t="s">
        <v>663</v>
      </c>
      <c r="B360" s="455" t="s">
        <v>663</v>
      </c>
      <c r="C360" s="455" t="s">
        <v>160</v>
      </c>
      <c r="D360" s="448"/>
      <c r="E360" s="575">
        <v>1.0</v>
      </c>
      <c r="F360" s="448"/>
      <c r="G360" s="448"/>
      <c r="H360" s="448"/>
      <c r="I360" s="448"/>
      <c r="J360" s="575">
        <v>8.66E-17</v>
      </c>
      <c r="K360" s="448"/>
      <c r="L360" s="448"/>
      <c r="M360" s="448"/>
      <c r="N360" s="448"/>
      <c r="O360" s="448"/>
      <c r="P360" s="448"/>
      <c r="Q360" s="455" t="s">
        <v>137</v>
      </c>
      <c r="R360" s="448"/>
      <c r="S360" s="575">
        <v>0.0476</v>
      </c>
      <c r="T360" s="575">
        <v>0.543</v>
      </c>
      <c r="U360" s="448"/>
      <c r="V360" s="448"/>
      <c r="W360" s="455">
        <v>3.1</v>
      </c>
      <c r="X360" s="448"/>
      <c r="Y360" s="448"/>
    </row>
    <row r="361">
      <c r="A361" s="455" t="s">
        <v>173</v>
      </c>
      <c r="B361" s="455" t="s">
        <v>173</v>
      </c>
      <c r="C361" s="455" t="s">
        <v>160</v>
      </c>
      <c r="D361" s="448"/>
      <c r="E361" s="448"/>
      <c r="F361" s="575">
        <v>2.8</v>
      </c>
      <c r="G361" s="448"/>
      <c r="H361" s="448"/>
      <c r="I361" s="448"/>
      <c r="J361" s="448"/>
      <c r="K361" s="448"/>
      <c r="L361" s="575">
        <v>1.04E-15</v>
      </c>
      <c r="M361" s="448"/>
      <c r="N361" s="448"/>
      <c r="O361" s="448"/>
      <c r="P361" s="448"/>
      <c r="Q361" s="455" t="s">
        <v>137</v>
      </c>
      <c r="R361" s="448"/>
      <c r="S361" s="575">
        <v>0.151</v>
      </c>
      <c r="T361" s="575">
        <v>1.73</v>
      </c>
      <c r="U361" s="448"/>
      <c r="V361" s="448"/>
      <c r="W361" s="455">
        <v>8.2</v>
      </c>
      <c r="X361" s="448"/>
      <c r="Y361" s="448"/>
    </row>
    <row r="362">
      <c r="A362" s="455" t="s">
        <v>1427</v>
      </c>
      <c r="B362" s="455" t="s">
        <v>1427</v>
      </c>
      <c r="C362" s="455" t="s">
        <v>160</v>
      </c>
      <c r="D362" s="448"/>
      <c r="E362" s="575">
        <v>3.7</v>
      </c>
      <c r="F362" s="448"/>
      <c r="G362" s="448"/>
      <c r="H362" s="448"/>
      <c r="I362" s="448"/>
      <c r="J362" s="575">
        <v>6.14E-16</v>
      </c>
      <c r="K362" s="448"/>
      <c r="L362" s="448"/>
      <c r="M362" s="448"/>
      <c r="N362" s="448"/>
      <c r="O362" s="448"/>
      <c r="P362" s="448"/>
      <c r="Q362" s="455"/>
      <c r="R362" s="448"/>
      <c r="S362" s="575">
        <v>0.513</v>
      </c>
      <c r="T362" s="575">
        <v>2.78</v>
      </c>
      <c r="U362" s="448"/>
      <c r="V362" s="448"/>
      <c r="W362" s="455">
        <v>6.7</v>
      </c>
      <c r="X362" s="448"/>
      <c r="Y362" s="448"/>
    </row>
    <row r="363">
      <c r="A363" s="455" t="s">
        <v>1406</v>
      </c>
      <c r="B363" s="455" t="s">
        <v>1406</v>
      </c>
      <c r="C363" s="455" t="s">
        <v>160</v>
      </c>
      <c r="D363" s="448"/>
      <c r="E363" s="575">
        <v>0.5</v>
      </c>
      <c r="F363" s="448"/>
      <c r="G363" s="448"/>
      <c r="H363" s="448"/>
      <c r="I363" s="448"/>
      <c r="J363" s="575">
        <v>1.8E-15</v>
      </c>
      <c r="K363" s="448"/>
      <c r="L363" s="448"/>
      <c r="M363" s="448"/>
      <c r="N363" s="448"/>
      <c r="O363" s="448"/>
      <c r="P363" s="448"/>
      <c r="Q363" s="455" t="s">
        <v>137</v>
      </c>
      <c r="R363" s="448"/>
      <c r="S363" s="575">
        <v>0.372</v>
      </c>
      <c r="T363" s="575">
        <v>2.45</v>
      </c>
      <c r="U363" s="575">
        <v>184.0</v>
      </c>
      <c r="V363" s="448"/>
      <c r="W363" s="455">
        <v>3.0</v>
      </c>
      <c r="X363" s="448"/>
      <c r="Y363" s="448"/>
    </row>
    <row r="364">
      <c r="A364" s="455" t="s">
        <v>1387</v>
      </c>
      <c r="B364" s="455" t="s">
        <v>1387</v>
      </c>
      <c r="C364" s="455" t="s">
        <v>160</v>
      </c>
      <c r="D364" s="448"/>
      <c r="E364" s="575">
        <v>1.4</v>
      </c>
      <c r="F364" s="448"/>
      <c r="G364" s="448"/>
      <c r="H364" s="448"/>
      <c r="I364" s="448"/>
      <c r="J364" s="575">
        <v>2.23E-16</v>
      </c>
      <c r="K364" s="448"/>
      <c r="L364" s="448"/>
      <c r="M364" s="448"/>
      <c r="N364" s="448"/>
      <c r="O364" s="448"/>
      <c r="P364" s="448"/>
      <c r="Q364" s="455" t="s">
        <v>137</v>
      </c>
      <c r="R364" s="448"/>
      <c r="S364" s="575">
        <v>0.288</v>
      </c>
      <c r="T364" s="575">
        <v>2.16</v>
      </c>
      <c r="U364" s="448"/>
      <c r="V364" s="448"/>
      <c r="W364" s="455">
        <v>5.8</v>
      </c>
      <c r="X364" s="448"/>
      <c r="Y364" s="448"/>
    </row>
    <row r="365">
      <c r="A365" s="455" t="s">
        <v>1444</v>
      </c>
      <c r="B365" s="455" t="s">
        <v>1444</v>
      </c>
      <c r="C365" s="455" t="s">
        <v>160</v>
      </c>
      <c r="D365" s="448"/>
      <c r="E365" s="575">
        <v>0.5</v>
      </c>
      <c r="F365" s="448"/>
      <c r="G365" s="448"/>
      <c r="H365" s="448"/>
      <c r="I365" s="448"/>
      <c r="J365" s="575">
        <v>1.17E-16</v>
      </c>
      <c r="K365" s="448"/>
      <c r="L365" s="448"/>
      <c r="M365" s="448"/>
      <c r="N365" s="448"/>
      <c r="O365" s="448"/>
      <c r="P365" s="448"/>
      <c r="Q365" s="455" t="s">
        <v>137</v>
      </c>
      <c r="R365" s="448"/>
      <c r="S365" s="575">
        <v>0.603</v>
      </c>
      <c r="T365" s="575">
        <v>2.88</v>
      </c>
      <c r="U365" s="448"/>
      <c r="V365" s="448"/>
      <c r="W365" s="455">
        <v>6.6</v>
      </c>
      <c r="X365" s="448"/>
      <c r="Y365" s="448"/>
    </row>
    <row r="366">
      <c r="A366" s="455" t="s">
        <v>1386</v>
      </c>
      <c r="B366" s="455" t="s">
        <v>1386</v>
      </c>
      <c r="C366" s="455" t="s">
        <v>160</v>
      </c>
      <c r="D366" s="448"/>
      <c r="E366" s="575">
        <v>0.5</v>
      </c>
      <c r="F366" s="448"/>
      <c r="G366" s="448"/>
      <c r="H366" s="448"/>
      <c r="I366" s="448"/>
      <c r="J366" s="575">
        <v>6.67E-16</v>
      </c>
      <c r="K366" s="448"/>
      <c r="L366" s="448"/>
      <c r="M366" s="448"/>
      <c r="N366" s="448"/>
      <c r="O366" s="448"/>
      <c r="P366" s="448"/>
      <c r="Q366" s="455" t="s">
        <v>137</v>
      </c>
      <c r="R366" s="448"/>
      <c r="S366" s="575">
        <v>0.282</v>
      </c>
      <c r="T366" s="575">
        <v>2.13</v>
      </c>
      <c r="U366" s="575">
        <v>147.0</v>
      </c>
      <c r="V366" s="448"/>
      <c r="W366" s="455">
        <v>3.6</v>
      </c>
      <c r="X366" s="448"/>
      <c r="Y366" s="448"/>
    </row>
    <row r="367">
      <c r="A367" s="455" t="s">
        <v>1377</v>
      </c>
      <c r="B367" s="455" t="s">
        <v>1377</v>
      </c>
      <c r="C367" s="455" t="s">
        <v>160</v>
      </c>
      <c r="D367" s="448"/>
      <c r="E367" s="575">
        <v>0.5</v>
      </c>
      <c r="F367" s="448"/>
      <c r="G367" s="448"/>
      <c r="H367" s="448"/>
      <c r="I367" s="448"/>
      <c r="J367" s="575">
        <v>1.31E-15</v>
      </c>
      <c r="K367" s="448"/>
      <c r="L367" s="448"/>
      <c r="M367" s="448"/>
      <c r="N367" s="448"/>
      <c r="O367" s="448"/>
      <c r="P367" s="448"/>
      <c r="Q367" s="455" t="s">
        <v>137</v>
      </c>
      <c r="R367" s="448"/>
      <c r="S367" s="575">
        <v>0.24</v>
      </c>
      <c r="T367" s="575">
        <v>2.01</v>
      </c>
      <c r="U367" s="575">
        <v>141.0</v>
      </c>
      <c r="V367" s="448"/>
      <c r="W367" s="455">
        <v>2.6</v>
      </c>
      <c r="X367" s="448"/>
      <c r="Y367" s="448"/>
    </row>
    <row r="368">
      <c r="A368" s="455" t="s">
        <v>1402</v>
      </c>
      <c r="B368" s="455" t="s">
        <v>1402</v>
      </c>
      <c r="C368" s="455" t="s">
        <v>160</v>
      </c>
      <c r="D368" s="448"/>
      <c r="E368" s="575">
        <v>2.0</v>
      </c>
      <c r="F368" s="448"/>
      <c r="G368" s="448"/>
      <c r="H368" s="448"/>
      <c r="I368" s="448"/>
      <c r="J368" s="575">
        <v>2.19E-16</v>
      </c>
      <c r="K368" s="448"/>
      <c r="L368" s="448"/>
      <c r="M368" s="448"/>
      <c r="N368" s="448"/>
      <c r="O368" s="448"/>
      <c r="P368" s="448"/>
      <c r="Q368" s="455" t="s">
        <v>137</v>
      </c>
      <c r="R368" s="448"/>
      <c r="S368" s="575">
        <v>0.355</v>
      </c>
      <c r="T368" s="575">
        <v>2.37</v>
      </c>
      <c r="U368" s="448"/>
      <c r="V368" s="448"/>
      <c r="W368" s="455">
        <v>6.6</v>
      </c>
      <c r="X368" s="448"/>
      <c r="Y368" s="448"/>
    </row>
    <row r="369">
      <c r="A369" s="455" t="s">
        <v>1415</v>
      </c>
      <c r="B369" s="455" t="s">
        <v>1415</v>
      </c>
      <c r="C369" s="455" t="s">
        <v>160</v>
      </c>
      <c r="D369" s="448"/>
      <c r="E369" s="575">
        <v>1.0</v>
      </c>
      <c r="F369" s="448"/>
      <c r="G369" s="448"/>
      <c r="H369" s="448"/>
      <c r="I369" s="448"/>
      <c r="J369" s="575">
        <v>1.05E-16</v>
      </c>
      <c r="K369" s="448"/>
      <c r="L369" s="448"/>
      <c r="M369" s="448"/>
      <c r="N369" s="448"/>
      <c r="O369" s="448"/>
      <c r="P369" s="448"/>
      <c r="Q369" s="455" t="s">
        <v>137</v>
      </c>
      <c r="R369" s="448"/>
      <c r="S369" s="575">
        <v>0.407</v>
      </c>
      <c r="T369" s="575">
        <v>2.51</v>
      </c>
      <c r="U369" s="448"/>
      <c r="V369" s="448"/>
      <c r="W369" s="455">
        <v>6.9</v>
      </c>
      <c r="X369" s="448"/>
      <c r="Y369" s="448"/>
    </row>
    <row r="370">
      <c r="A370" s="455" t="s">
        <v>1462</v>
      </c>
      <c r="B370" s="455" t="s">
        <v>1462</v>
      </c>
      <c r="C370" s="455" t="s">
        <v>1309</v>
      </c>
      <c r="D370" s="448"/>
      <c r="E370" s="575">
        <v>1.3</v>
      </c>
      <c r="F370" s="448"/>
      <c r="G370" s="448"/>
      <c r="H370" s="448"/>
      <c r="I370" s="448"/>
      <c r="J370" s="575">
        <v>1.21E-14</v>
      </c>
      <c r="K370" s="448"/>
      <c r="L370" s="448"/>
      <c r="M370" s="448"/>
      <c r="N370" s="448"/>
      <c r="O370" s="448"/>
      <c r="P370" s="448"/>
      <c r="Q370" s="455"/>
      <c r="R370" s="448"/>
      <c r="S370" s="575">
        <v>1.0</v>
      </c>
      <c r="T370" s="575">
        <v>2.63</v>
      </c>
      <c r="U370" s="575">
        <v>138.0</v>
      </c>
      <c r="V370" s="448"/>
      <c r="W370" s="448"/>
      <c r="X370" s="448"/>
      <c r="Y370" s="448"/>
    </row>
    <row r="371">
      <c r="A371" s="455" t="s">
        <v>1462</v>
      </c>
      <c r="B371" s="455" t="s">
        <v>1462</v>
      </c>
      <c r="C371" s="455" t="s">
        <v>160</v>
      </c>
      <c r="D371" s="448"/>
      <c r="E371" s="575">
        <v>4.0</v>
      </c>
      <c r="F371" s="448"/>
      <c r="G371" s="448"/>
      <c r="H371" s="448"/>
      <c r="I371" s="448"/>
      <c r="J371" s="575">
        <v>3.72E-14</v>
      </c>
      <c r="K371" s="448"/>
      <c r="L371" s="448"/>
      <c r="M371" s="448"/>
      <c r="N371" s="448"/>
      <c r="O371" s="448"/>
      <c r="P371" s="448"/>
      <c r="Q371" s="455"/>
      <c r="R371" s="448"/>
      <c r="S371" s="575">
        <v>0.813</v>
      </c>
      <c r="T371" s="575">
        <v>3.23</v>
      </c>
      <c r="U371" s="575">
        <v>138.0</v>
      </c>
      <c r="V371" s="448"/>
      <c r="W371" s="455">
        <v>3.2</v>
      </c>
      <c r="X371" s="448"/>
      <c r="Y371" s="448"/>
    </row>
    <row r="372">
      <c r="A372" s="455" t="s">
        <v>1362</v>
      </c>
      <c r="B372" s="455" t="s">
        <v>1362</v>
      </c>
      <c r="C372" s="455" t="s">
        <v>160</v>
      </c>
      <c r="D372" s="448"/>
      <c r="E372" s="575">
        <v>0.4</v>
      </c>
      <c r="F372" s="448"/>
      <c r="G372" s="448"/>
      <c r="H372" s="448"/>
      <c r="I372" s="448"/>
      <c r="J372" s="575">
        <v>3.87E-15</v>
      </c>
      <c r="K372" s="448"/>
      <c r="L372" s="448"/>
      <c r="M372" s="448"/>
      <c r="N372" s="448"/>
      <c r="O372" s="448"/>
      <c r="P372" s="448"/>
      <c r="Q372" s="455" t="s">
        <v>137</v>
      </c>
      <c r="R372" s="448"/>
      <c r="S372" s="575">
        <v>0.174</v>
      </c>
      <c r="T372" s="575">
        <v>1.79</v>
      </c>
      <c r="U372" s="575">
        <v>144.0</v>
      </c>
      <c r="V372" s="448"/>
      <c r="W372" s="455">
        <v>0.8</v>
      </c>
      <c r="X372" s="448"/>
      <c r="Y372" s="448"/>
    </row>
    <row r="373">
      <c r="A373" s="455" t="s">
        <v>167</v>
      </c>
      <c r="B373" s="455" t="s">
        <v>167</v>
      </c>
      <c r="C373" s="455" t="s">
        <v>160</v>
      </c>
      <c r="D373" s="448"/>
      <c r="E373" s="448"/>
      <c r="F373" s="575">
        <v>1.0</v>
      </c>
      <c r="G373" s="448"/>
      <c r="H373" s="448"/>
      <c r="I373" s="448"/>
      <c r="J373" s="448"/>
      <c r="K373" s="448"/>
      <c r="L373" s="575">
        <v>1.91E-15</v>
      </c>
      <c r="M373" s="448"/>
      <c r="N373" s="448"/>
      <c r="O373" s="448"/>
      <c r="P373" s="448"/>
      <c r="Q373" s="455" t="s">
        <v>137</v>
      </c>
      <c r="R373" s="448"/>
      <c r="S373" s="575">
        <v>0.11</v>
      </c>
      <c r="T373" s="575">
        <v>1.35</v>
      </c>
      <c r="U373" s="575">
        <v>143.0</v>
      </c>
      <c r="V373" s="448"/>
      <c r="W373" s="455">
        <v>1.4</v>
      </c>
      <c r="X373" s="448"/>
      <c r="Y373" s="448"/>
    </row>
    <row r="374">
      <c r="A374" s="455" t="s">
        <v>1329</v>
      </c>
      <c r="B374" s="455" t="s">
        <v>1329</v>
      </c>
      <c r="C374" s="455" t="s">
        <v>160</v>
      </c>
      <c r="D374" s="448"/>
      <c r="E374" s="575">
        <v>1.0</v>
      </c>
      <c r="F374" s="448"/>
      <c r="G374" s="448"/>
      <c r="H374" s="448"/>
      <c r="I374" s="448"/>
      <c r="J374" s="575">
        <v>5.0E-15</v>
      </c>
      <c r="K374" s="448"/>
      <c r="L374" s="448"/>
      <c r="M374" s="448"/>
      <c r="N374" s="448"/>
      <c r="O374" s="448"/>
      <c r="P374" s="448"/>
      <c r="Q374" s="455" t="s">
        <v>137</v>
      </c>
      <c r="R374" s="448"/>
      <c r="S374" s="575">
        <v>0.359</v>
      </c>
      <c r="T374" s="575">
        <v>0.543</v>
      </c>
      <c r="U374" s="575">
        <v>95.8</v>
      </c>
      <c r="V374" s="455">
        <v>0.0</v>
      </c>
      <c r="W374" s="455">
        <v>0.0</v>
      </c>
      <c r="X374" s="448"/>
      <c r="Y374" s="448"/>
    </row>
    <row r="375">
      <c r="A375" s="455" t="s">
        <v>1320</v>
      </c>
      <c r="B375" s="455" t="s">
        <v>1320</v>
      </c>
      <c r="C375" s="455" t="s">
        <v>1309</v>
      </c>
      <c r="D375" s="448"/>
      <c r="E375" s="575">
        <v>1.2</v>
      </c>
      <c r="F375" s="575">
        <v>2.3</v>
      </c>
      <c r="G375" s="448"/>
      <c r="H375" s="448"/>
      <c r="I375" s="448"/>
      <c r="J375" s="575">
        <v>8.26E-16</v>
      </c>
      <c r="K375" s="448"/>
      <c r="L375" s="575">
        <v>1.64E-15</v>
      </c>
      <c r="M375" s="448"/>
      <c r="N375" s="448"/>
      <c r="O375" s="448"/>
      <c r="P375" s="448"/>
      <c r="Q375" s="455"/>
      <c r="R375" s="448"/>
      <c r="S375" s="575">
        <v>0.0584</v>
      </c>
      <c r="T375" s="575">
        <v>0.467</v>
      </c>
      <c r="U375" s="575">
        <v>143.0</v>
      </c>
      <c r="V375" s="455">
        <v>7.0</v>
      </c>
      <c r="W375" s="448"/>
      <c r="X375" s="448"/>
      <c r="Y375" s="448"/>
    </row>
    <row r="376">
      <c r="A376" s="455" t="s">
        <v>1320</v>
      </c>
      <c r="B376" s="455" t="s">
        <v>1320</v>
      </c>
      <c r="C376" s="455" t="s">
        <v>754</v>
      </c>
      <c r="D376" s="448"/>
      <c r="E376" s="448"/>
      <c r="F376" s="448"/>
      <c r="G376" s="575">
        <v>8.5E-14</v>
      </c>
      <c r="H376" s="448"/>
      <c r="I376" s="448"/>
      <c r="J376" s="575">
        <v>1.1E-14</v>
      </c>
      <c r="K376" s="448"/>
      <c r="L376" s="575">
        <v>2.0E-15</v>
      </c>
      <c r="M376" s="448"/>
      <c r="N376" s="448"/>
      <c r="O376" s="448"/>
      <c r="P376" s="448"/>
      <c r="Q376" s="455"/>
      <c r="R376" s="448"/>
      <c r="S376" s="575">
        <v>0.0584</v>
      </c>
      <c r="T376" s="575">
        <v>0.467</v>
      </c>
      <c r="U376" s="575">
        <v>143.0</v>
      </c>
      <c r="V376" s="455">
        <v>6.73</v>
      </c>
      <c r="W376" s="448"/>
      <c r="X376" s="448"/>
      <c r="Y376" s="448"/>
    </row>
    <row r="377">
      <c r="A377" s="455" t="s">
        <v>1320</v>
      </c>
      <c r="B377" s="455" t="s">
        <v>1320</v>
      </c>
      <c r="C377" s="455" t="s">
        <v>160</v>
      </c>
      <c r="D377" s="448"/>
      <c r="E377" s="575">
        <v>3.3</v>
      </c>
      <c r="F377" s="448"/>
      <c r="G377" s="448"/>
      <c r="H377" s="448"/>
      <c r="I377" s="448"/>
      <c r="J377" s="575">
        <v>2.27E-15</v>
      </c>
      <c r="K377" s="448"/>
      <c r="L377" s="448"/>
      <c r="M377" s="448"/>
      <c r="N377" s="448"/>
      <c r="O377" s="448"/>
      <c r="P377" s="448"/>
      <c r="Q377" s="455"/>
      <c r="R377" s="448"/>
      <c r="S377" s="575">
        <v>0.0584</v>
      </c>
      <c r="T377" s="575">
        <v>0.467</v>
      </c>
      <c r="U377" s="575">
        <v>143.0</v>
      </c>
      <c r="V377" s="455">
        <v>6.73</v>
      </c>
      <c r="W377" s="455">
        <v>1.5</v>
      </c>
      <c r="X377" s="448"/>
      <c r="Y377" s="448"/>
    </row>
    <row r="378">
      <c r="A378" s="455" t="s">
        <v>182</v>
      </c>
      <c r="B378" s="455" t="s">
        <v>182</v>
      </c>
      <c r="C378" s="455" t="s">
        <v>160</v>
      </c>
      <c r="D378" s="448"/>
      <c r="E378" s="448"/>
      <c r="F378" s="575">
        <v>0.8</v>
      </c>
      <c r="G378" s="448"/>
      <c r="H378" s="448"/>
      <c r="I378" s="448"/>
      <c r="J378" s="448"/>
      <c r="K378" s="448"/>
      <c r="L378" s="575">
        <v>8.97E-16</v>
      </c>
      <c r="M378" s="448"/>
      <c r="N378" s="448"/>
      <c r="O378" s="448"/>
      <c r="P378" s="448"/>
      <c r="Q378" s="455" t="s">
        <v>137</v>
      </c>
      <c r="R378" s="448"/>
      <c r="S378" s="575">
        <v>0.603</v>
      </c>
      <c r="T378" s="575">
        <v>2.88</v>
      </c>
      <c r="U378" s="448"/>
      <c r="V378" s="448"/>
      <c r="W378" s="455">
        <v>10.5</v>
      </c>
      <c r="X378" s="448"/>
      <c r="Y378" s="448"/>
    </row>
    <row r="379">
      <c r="A379" s="455" t="s">
        <v>1440</v>
      </c>
      <c r="B379" s="455" t="s">
        <v>1440</v>
      </c>
      <c r="C379" s="455" t="s">
        <v>1309</v>
      </c>
      <c r="D379" s="448"/>
      <c r="E379" s="575">
        <v>3.3</v>
      </c>
      <c r="F379" s="575">
        <v>1.1</v>
      </c>
      <c r="G379" s="448"/>
      <c r="H379" s="448"/>
      <c r="I379" s="448"/>
      <c r="J379" s="575">
        <v>2.91E-14</v>
      </c>
      <c r="K379" s="448"/>
      <c r="L379" s="575">
        <v>2.32E-14</v>
      </c>
      <c r="M379" s="448"/>
      <c r="N379" s="448"/>
      <c r="O379" s="448"/>
      <c r="P379" s="448"/>
      <c r="Q379" s="455"/>
      <c r="R379" s="448"/>
      <c r="S379" s="575">
        <v>0.6</v>
      </c>
      <c r="T379" s="575">
        <v>2.23</v>
      </c>
      <c r="U379" s="575">
        <v>135.0</v>
      </c>
      <c r="V379" s="448"/>
      <c r="W379" s="448"/>
      <c r="X379" s="448"/>
      <c r="Y379" s="448"/>
    </row>
    <row r="380">
      <c r="A380" s="455" t="s">
        <v>1440</v>
      </c>
      <c r="B380" s="455" t="s">
        <v>1440</v>
      </c>
      <c r="C380" s="455" t="s">
        <v>160</v>
      </c>
      <c r="D380" s="448"/>
      <c r="E380" s="575">
        <v>2.0</v>
      </c>
      <c r="F380" s="448"/>
      <c r="G380" s="448"/>
      <c r="H380" s="448"/>
      <c r="I380" s="448"/>
      <c r="J380" s="575">
        <v>1.77E-14</v>
      </c>
      <c r="K380" s="448"/>
      <c r="L380" s="448"/>
      <c r="M380" s="448"/>
      <c r="N380" s="448"/>
      <c r="O380" s="448"/>
      <c r="P380" s="448"/>
      <c r="Q380" s="455"/>
      <c r="R380" s="448"/>
      <c r="S380" s="575">
        <v>0.562</v>
      </c>
      <c r="T380" s="575">
        <v>2.88</v>
      </c>
      <c r="U380" s="575">
        <v>135.0</v>
      </c>
      <c r="V380" s="448"/>
      <c r="W380" s="455">
        <v>2.7</v>
      </c>
      <c r="X380" s="448"/>
      <c r="Y380" s="448"/>
    </row>
    <row r="381">
      <c r="A381" s="455" t="s">
        <v>1326</v>
      </c>
      <c r="B381" s="455" t="s">
        <v>1326</v>
      </c>
      <c r="C381" s="455" t="s">
        <v>160</v>
      </c>
      <c r="D381" s="448"/>
      <c r="E381" s="575">
        <v>9.6</v>
      </c>
      <c r="F381" s="448"/>
      <c r="G381" s="448"/>
      <c r="H381" s="448"/>
      <c r="I381" s="448"/>
      <c r="J381" s="575">
        <v>7.29E-16</v>
      </c>
      <c r="K381" s="448"/>
      <c r="L381" s="448"/>
      <c r="M381" s="448"/>
      <c r="N381" s="448"/>
      <c r="O381" s="448"/>
      <c r="P381" s="448"/>
      <c r="Q381" s="455"/>
      <c r="R381" s="448"/>
      <c r="S381" s="575">
        <v>0.325</v>
      </c>
      <c r="T381" s="575">
        <v>0.69</v>
      </c>
      <c r="U381" s="448"/>
      <c r="V381" s="455">
        <v>14.8</v>
      </c>
      <c r="W381" s="455">
        <v>4.2</v>
      </c>
      <c r="X381" s="448"/>
      <c r="Y381" s="448"/>
    </row>
    <row r="382">
      <c r="A382" s="455" t="s">
        <v>1326</v>
      </c>
      <c r="B382" s="455" t="s">
        <v>1326</v>
      </c>
      <c r="C382" s="455" t="s">
        <v>754</v>
      </c>
      <c r="D382" s="448"/>
      <c r="E382" s="448"/>
      <c r="F382" s="448"/>
      <c r="G382" s="575">
        <v>3.6E-13</v>
      </c>
      <c r="H382" s="448"/>
      <c r="I382" s="448"/>
      <c r="J382" s="575">
        <v>5.0E-15</v>
      </c>
      <c r="K382" s="448"/>
      <c r="L382" s="448"/>
      <c r="M382" s="448"/>
      <c r="N382" s="448"/>
      <c r="O382" s="448"/>
      <c r="P382" s="448"/>
      <c r="Q382" s="455"/>
      <c r="R382" s="448"/>
      <c r="S382" s="575">
        <v>0.325</v>
      </c>
      <c r="T382" s="575">
        <v>0.69</v>
      </c>
      <c r="U382" s="448"/>
      <c r="V382" s="448"/>
      <c r="W382" s="448"/>
      <c r="X382" s="448"/>
      <c r="Y382" s="448"/>
    </row>
    <row r="383">
      <c r="A383" s="455" t="s">
        <v>1438</v>
      </c>
      <c r="B383" s="455" t="s">
        <v>1438</v>
      </c>
      <c r="C383" s="455" t="s">
        <v>1309</v>
      </c>
      <c r="D383" s="448"/>
      <c r="E383" s="575">
        <v>1.7</v>
      </c>
      <c r="F383" s="448"/>
      <c r="G383" s="448"/>
      <c r="H383" s="448"/>
      <c r="I383" s="448"/>
      <c r="J383" s="575">
        <v>2.67E-14</v>
      </c>
      <c r="K383" s="448"/>
      <c r="L383" s="448"/>
      <c r="M383" s="448"/>
      <c r="N383" s="448"/>
      <c r="O383" s="448"/>
      <c r="P383" s="448"/>
      <c r="Q383" s="455"/>
      <c r="R383" s="448"/>
      <c r="S383" s="575">
        <v>0.6</v>
      </c>
      <c r="T383" s="575">
        <v>2.43</v>
      </c>
      <c r="U383" s="575">
        <v>137.0</v>
      </c>
      <c r="V383" s="448"/>
      <c r="W383" s="448"/>
      <c r="X383" s="448"/>
      <c r="Y383" s="448"/>
    </row>
    <row r="384">
      <c r="A384" s="455" t="s">
        <v>1438</v>
      </c>
      <c r="B384" s="455" t="s">
        <v>1438</v>
      </c>
      <c r="C384" s="455" t="s">
        <v>160</v>
      </c>
      <c r="D384" s="448"/>
      <c r="E384" s="575">
        <v>3.3</v>
      </c>
      <c r="F384" s="448"/>
      <c r="G384" s="448"/>
      <c r="H384" s="448"/>
      <c r="I384" s="448"/>
      <c r="J384" s="575">
        <v>5.17E-14</v>
      </c>
      <c r="K384" s="448"/>
      <c r="L384" s="448"/>
      <c r="M384" s="448"/>
      <c r="N384" s="448"/>
      <c r="O384" s="448"/>
      <c r="P384" s="448"/>
      <c r="Q384" s="455"/>
      <c r="R384" s="448"/>
      <c r="S384" s="575">
        <v>0.562</v>
      </c>
      <c r="T384" s="575">
        <v>2.91</v>
      </c>
      <c r="U384" s="575">
        <v>137.0</v>
      </c>
      <c r="V384" s="448"/>
      <c r="W384" s="455">
        <v>2.2</v>
      </c>
      <c r="X384" s="448"/>
      <c r="Y384" s="448"/>
    </row>
    <row r="385">
      <c r="A385" s="455" t="s">
        <v>1442</v>
      </c>
      <c r="B385" s="455" t="s">
        <v>1442</v>
      </c>
      <c r="C385" s="455" t="s">
        <v>160</v>
      </c>
      <c r="D385" s="448"/>
      <c r="E385" s="575">
        <v>1.3</v>
      </c>
      <c r="F385" s="448"/>
      <c r="G385" s="448"/>
      <c r="H385" s="448"/>
      <c r="I385" s="448"/>
      <c r="J385" s="575">
        <v>1.72E-13</v>
      </c>
      <c r="K385" s="448"/>
      <c r="L385" s="448"/>
      <c r="M385" s="448"/>
      <c r="N385" s="448"/>
      <c r="O385" s="448"/>
      <c r="P385" s="448"/>
      <c r="Q385" s="455"/>
      <c r="R385" s="448"/>
      <c r="S385" s="575">
        <v>0.603</v>
      </c>
      <c r="T385" s="575">
        <v>2.91</v>
      </c>
      <c r="U385" s="575">
        <v>130.0</v>
      </c>
      <c r="V385" s="448"/>
      <c r="W385" s="455">
        <v>0.0</v>
      </c>
      <c r="X385" s="448"/>
      <c r="Y385" s="448"/>
    </row>
    <row r="386">
      <c r="A386" s="455" t="s">
        <v>1301</v>
      </c>
      <c r="B386" s="455" t="s">
        <v>1301</v>
      </c>
      <c r="C386" s="455" t="s">
        <v>160</v>
      </c>
      <c r="D386" s="448"/>
      <c r="E386" s="575">
        <v>3.0</v>
      </c>
      <c r="F386" s="448"/>
      <c r="G386" s="448"/>
      <c r="H386" s="448"/>
      <c r="I386" s="448"/>
      <c r="J386" s="575">
        <v>1.24E-16</v>
      </c>
      <c r="K386" s="448"/>
      <c r="L386" s="448"/>
      <c r="M386" s="448"/>
      <c r="N386" s="448"/>
      <c r="O386" s="448"/>
      <c r="P386" s="448"/>
      <c r="Q386" s="455" t="s">
        <v>137</v>
      </c>
      <c r="R386" s="448"/>
      <c r="S386" s="575">
        <v>0.00589</v>
      </c>
      <c r="T386" s="575">
        <v>0.69</v>
      </c>
      <c r="U386" s="448"/>
      <c r="V386" s="455">
        <v>3.54</v>
      </c>
      <c r="W386" s="455">
        <v>1.0</v>
      </c>
      <c r="X386" s="448"/>
      <c r="Y386" s="448"/>
    </row>
    <row r="387">
      <c r="A387" s="455" t="s">
        <v>1991</v>
      </c>
      <c r="B387" s="455" t="s">
        <v>1991</v>
      </c>
      <c r="C387" s="455" t="s">
        <v>160</v>
      </c>
      <c r="D387" s="448"/>
      <c r="E387" s="575">
        <v>4.0</v>
      </c>
      <c r="F387" s="448"/>
      <c r="G387" s="448"/>
      <c r="H387" s="448"/>
      <c r="I387" s="448"/>
      <c r="J387" s="448"/>
      <c r="K387" s="448"/>
      <c r="L387" s="448"/>
      <c r="M387" s="448"/>
      <c r="N387" s="448"/>
      <c r="O387" s="448"/>
      <c r="P387" s="448"/>
      <c r="Q387" s="455" t="s">
        <v>137</v>
      </c>
      <c r="R387" s="448"/>
      <c r="S387" s="448"/>
      <c r="T387" s="575">
        <v>1.88</v>
      </c>
      <c r="U387" s="448"/>
      <c r="V387" s="448"/>
      <c r="W387" s="455">
        <v>8.5</v>
      </c>
      <c r="X387" s="448"/>
      <c r="Y387" s="448"/>
    </row>
    <row r="388">
      <c r="A388" s="455" t="s">
        <v>1369</v>
      </c>
      <c r="B388" s="455" t="s">
        <v>1369</v>
      </c>
      <c r="C388" s="455" t="s">
        <v>160</v>
      </c>
      <c r="D388" s="448"/>
      <c r="E388" s="575">
        <v>1.0</v>
      </c>
      <c r="F388" s="448"/>
      <c r="G388" s="448"/>
      <c r="H388" s="448"/>
      <c r="I388" s="448"/>
      <c r="J388" s="575">
        <v>1.58E-15</v>
      </c>
      <c r="K388" s="448"/>
      <c r="L388" s="448"/>
      <c r="M388" s="448"/>
      <c r="N388" s="448"/>
      <c r="O388" s="448"/>
      <c r="P388" s="448"/>
      <c r="Q388" s="455" t="s">
        <v>137</v>
      </c>
      <c r="R388" s="448"/>
      <c r="S388" s="575">
        <v>0.191</v>
      </c>
      <c r="T388" s="575">
        <v>1.84</v>
      </c>
      <c r="U388" s="575">
        <v>152.0</v>
      </c>
      <c r="V388" s="448"/>
      <c r="W388" s="455">
        <v>2.8</v>
      </c>
      <c r="X388" s="448"/>
      <c r="Y388" s="448"/>
    </row>
    <row r="389">
      <c r="A389" s="455" t="s">
        <v>1317</v>
      </c>
      <c r="B389" s="455" t="s">
        <v>1317</v>
      </c>
      <c r="C389" s="455" t="s">
        <v>160</v>
      </c>
      <c r="D389" s="448"/>
      <c r="E389" s="575">
        <v>15.7</v>
      </c>
      <c r="F389" s="575">
        <v>2.1</v>
      </c>
      <c r="G389" s="448"/>
      <c r="H389" s="448"/>
      <c r="I389" s="448"/>
      <c r="J389" s="575">
        <v>5.5E-16</v>
      </c>
      <c r="K389" s="448"/>
      <c r="L389" s="575">
        <v>9.39E-16</v>
      </c>
      <c r="M389" s="448"/>
      <c r="N389" s="448"/>
      <c r="O389" s="448"/>
      <c r="P389" s="448"/>
      <c r="Q389" s="455"/>
      <c r="R389" s="448"/>
      <c r="S389" s="575">
        <v>0.0331</v>
      </c>
      <c r="T389" s="575">
        <v>0.535</v>
      </c>
      <c r="U389" s="448"/>
      <c r="V389" s="455">
        <v>14.18</v>
      </c>
      <c r="W389" s="448"/>
      <c r="X389" s="448"/>
      <c r="Y389" s="448"/>
    </row>
    <row r="390">
      <c r="A390" s="455" t="s">
        <v>1321</v>
      </c>
      <c r="B390" s="455" t="s">
        <v>1321</v>
      </c>
      <c r="C390" s="455" t="s">
        <v>754</v>
      </c>
      <c r="D390" s="448"/>
      <c r="E390" s="448"/>
      <c r="F390" s="448"/>
      <c r="G390" s="575">
        <v>8.0E-15</v>
      </c>
      <c r="H390" s="448"/>
      <c r="I390" s="448"/>
      <c r="J390" s="448"/>
      <c r="K390" s="448"/>
      <c r="L390" s="448"/>
      <c r="M390" s="448"/>
      <c r="N390" s="448"/>
      <c r="O390" s="448"/>
      <c r="P390" s="448"/>
      <c r="Q390" s="455"/>
      <c r="R390" s="448"/>
      <c r="S390" s="575">
        <v>0.0314</v>
      </c>
      <c r="T390" s="575">
        <v>0.605</v>
      </c>
      <c r="U390" s="575">
        <v>139.0</v>
      </c>
      <c r="V390" s="455">
        <v>7.0</v>
      </c>
      <c r="W390" s="448"/>
      <c r="X390" s="448"/>
      <c r="Y390" s="448"/>
    </row>
    <row r="391">
      <c r="A391" s="455" t="s">
        <v>1321</v>
      </c>
      <c r="B391" s="455" t="s">
        <v>1321</v>
      </c>
      <c r="C391" s="455" t="s">
        <v>160</v>
      </c>
      <c r="D391" s="448"/>
      <c r="E391" s="575">
        <v>0.5</v>
      </c>
      <c r="F391" s="448"/>
      <c r="G391" s="448"/>
      <c r="H391" s="448"/>
      <c r="I391" s="448"/>
      <c r="J391" s="575">
        <v>4.6E-16</v>
      </c>
      <c r="K391" s="448"/>
      <c r="L391" s="448"/>
      <c r="M391" s="448"/>
      <c r="N391" s="448"/>
      <c r="O391" s="448"/>
      <c r="P391" s="448"/>
      <c r="Q391" s="455" t="s">
        <v>137</v>
      </c>
      <c r="R391" s="448"/>
      <c r="S391" s="575">
        <v>0.0314</v>
      </c>
      <c r="T391" s="575">
        <v>0.605</v>
      </c>
      <c r="U391" s="575">
        <v>139.0</v>
      </c>
      <c r="V391" s="448"/>
      <c r="W391" s="455">
        <v>2.2</v>
      </c>
      <c r="X391" s="448"/>
      <c r="Y391" s="448"/>
    </row>
    <row r="392">
      <c r="A392" s="455" t="s">
        <v>1370</v>
      </c>
      <c r="B392" s="455" t="s">
        <v>1370</v>
      </c>
      <c r="C392" s="455" t="s">
        <v>160</v>
      </c>
      <c r="D392" s="448"/>
      <c r="E392" s="575">
        <v>0.4</v>
      </c>
      <c r="F392" s="448"/>
      <c r="G392" s="448"/>
      <c r="H392" s="448"/>
      <c r="I392" s="448"/>
      <c r="J392" s="575">
        <v>6.28E-17</v>
      </c>
      <c r="K392" s="448"/>
      <c r="L392" s="448"/>
      <c r="M392" s="448"/>
      <c r="N392" s="448"/>
      <c r="O392" s="448"/>
      <c r="P392" s="448"/>
      <c r="Q392" s="455" t="s">
        <v>137</v>
      </c>
      <c r="R392" s="448"/>
      <c r="S392" s="575">
        <v>0.191</v>
      </c>
      <c r="T392" s="575">
        <v>1.86</v>
      </c>
      <c r="U392" s="448"/>
      <c r="V392" s="448"/>
      <c r="W392" s="455">
        <v>5.2</v>
      </c>
      <c r="X392" s="448"/>
      <c r="Y392" s="448"/>
    </row>
    <row r="393">
      <c r="A393" s="455" t="s">
        <v>1361</v>
      </c>
      <c r="B393" s="455" t="s">
        <v>1361</v>
      </c>
      <c r="C393" s="455" t="s">
        <v>160</v>
      </c>
      <c r="D393" s="448"/>
      <c r="E393" s="575">
        <v>2.0</v>
      </c>
      <c r="F393" s="448"/>
      <c r="G393" s="448"/>
      <c r="H393" s="448"/>
      <c r="I393" s="448"/>
      <c r="J393" s="575">
        <v>4.84E-15</v>
      </c>
      <c r="K393" s="448"/>
      <c r="L393" s="448"/>
      <c r="M393" s="448"/>
      <c r="N393" s="448"/>
      <c r="O393" s="448"/>
      <c r="P393" s="448"/>
      <c r="Q393" s="455"/>
      <c r="R393" s="448"/>
      <c r="S393" s="575">
        <v>0.17</v>
      </c>
      <c r="T393" s="575">
        <v>1.73</v>
      </c>
      <c r="U393" s="575">
        <v>206.0</v>
      </c>
      <c r="V393" s="448"/>
      <c r="W393" s="455">
        <v>2.2</v>
      </c>
      <c r="X393" s="448"/>
      <c r="Y393" s="448"/>
    </row>
    <row r="394">
      <c r="A394" s="455" t="s">
        <v>171</v>
      </c>
      <c r="B394" s="455" t="s">
        <v>171</v>
      </c>
      <c r="C394" s="455" t="s">
        <v>160</v>
      </c>
      <c r="D394" s="448"/>
      <c r="E394" s="448"/>
      <c r="F394" s="575">
        <v>0.7</v>
      </c>
      <c r="G394" s="448"/>
      <c r="H394" s="448"/>
      <c r="I394" s="448"/>
      <c r="J394" s="448"/>
      <c r="K394" s="448"/>
      <c r="L394" s="575">
        <v>1.27E-15</v>
      </c>
      <c r="M394" s="448"/>
      <c r="N394" s="448"/>
      <c r="O394" s="448"/>
      <c r="P394" s="448"/>
      <c r="Q394" s="455" t="s">
        <v>137</v>
      </c>
      <c r="R394" s="448"/>
      <c r="S394" s="575">
        <v>0.129</v>
      </c>
      <c r="T394" s="575">
        <v>1.53</v>
      </c>
      <c r="U394" s="575">
        <v>127.0</v>
      </c>
      <c r="V394" s="448"/>
      <c r="W394" s="455">
        <v>2.8</v>
      </c>
      <c r="X394" s="448"/>
      <c r="Y394" s="448"/>
    </row>
    <row r="395">
      <c r="A395" s="455" t="s">
        <v>1993</v>
      </c>
      <c r="B395" s="455" t="s">
        <v>1993</v>
      </c>
      <c r="C395" s="455" t="s">
        <v>160</v>
      </c>
      <c r="D395" s="448"/>
      <c r="E395" s="448"/>
      <c r="F395" s="448"/>
      <c r="G395" s="448"/>
      <c r="H395" s="448"/>
      <c r="I395" s="448"/>
      <c r="J395" s="448"/>
      <c r="K395" s="448"/>
      <c r="L395" s="448"/>
      <c r="M395" s="448"/>
      <c r="N395" s="448"/>
      <c r="O395" s="448"/>
      <c r="P395" s="448"/>
      <c r="Q395" s="455" t="s">
        <v>137</v>
      </c>
      <c r="R395" s="448"/>
      <c r="S395" s="448"/>
      <c r="T395" s="448"/>
      <c r="U395" s="575">
        <v>142.0</v>
      </c>
      <c r="V395" s="448"/>
      <c r="W395" s="448"/>
      <c r="X395" s="448"/>
      <c r="Y395" s="448"/>
    </row>
    <row r="396">
      <c r="A396" s="455" t="s">
        <v>1995</v>
      </c>
      <c r="B396" s="455" t="s">
        <v>1995</v>
      </c>
      <c r="C396" s="455" t="s">
        <v>160</v>
      </c>
      <c r="D396" s="448"/>
      <c r="E396" s="448"/>
      <c r="F396" s="448"/>
      <c r="G396" s="448"/>
      <c r="H396" s="448"/>
      <c r="I396" s="448"/>
      <c r="J396" s="448"/>
      <c r="K396" s="448"/>
      <c r="L396" s="448"/>
      <c r="M396" s="448"/>
      <c r="N396" s="448"/>
      <c r="O396" s="448"/>
      <c r="P396" s="448"/>
      <c r="Q396" s="455" t="s">
        <v>137</v>
      </c>
      <c r="R396" s="448"/>
      <c r="S396" s="448"/>
      <c r="T396" s="448"/>
      <c r="U396" s="575">
        <v>497.0</v>
      </c>
      <c r="V396" s="448"/>
      <c r="W396" s="448"/>
      <c r="X396" s="448"/>
      <c r="Y396" s="448"/>
    </row>
    <row r="397">
      <c r="A397" s="455" t="s">
        <v>1395</v>
      </c>
      <c r="B397" s="455" t="s">
        <v>1395</v>
      </c>
      <c r="C397" s="455" t="s">
        <v>160</v>
      </c>
      <c r="D397" s="448"/>
      <c r="E397" s="575">
        <v>0.7</v>
      </c>
      <c r="F397" s="448"/>
      <c r="G397" s="448"/>
      <c r="H397" s="448"/>
      <c r="I397" s="448"/>
      <c r="J397" s="575">
        <v>5.28E-16</v>
      </c>
      <c r="K397" s="448"/>
      <c r="L397" s="448"/>
      <c r="M397" s="448"/>
      <c r="N397" s="448"/>
      <c r="O397" s="448"/>
      <c r="P397" s="448"/>
      <c r="Q397" s="455" t="s">
        <v>137</v>
      </c>
      <c r="R397" s="448"/>
      <c r="S397" s="575">
        <v>0.302</v>
      </c>
      <c r="T397" s="575">
        <v>2.26</v>
      </c>
      <c r="U397" s="448"/>
      <c r="V397" s="448"/>
      <c r="W397" s="455">
        <v>4.3</v>
      </c>
      <c r="X397" s="448"/>
      <c r="Y397" s="448"/>
    </row>
    <row r="398">
      <c r="A398" s="455" t="s">
        <v>1344</v>
      </c>
      <c r="B398" s="455" t="s">
        <v>1344</v>
      </c>
      <c r="C398" s="455" t="s">
        <v>160</v>
      </c>
      <c r="D398" s="448"/>
      <c r="E398" s="575">
        <v>0.2</v>
      </c>
      <c r="F398" s="448"/>
      <c r="G398" s="448"/>
      <c r="H398" s="448"/>
      <c r="I398" s="448"/>
      <c r="J398" s="575">
        <v>3.83E-16</v>
      </c>
      <c r="K398" s="448"/>
      <c r="L398" s="448"/>
      <c r="M398" s="448"/>
      <c r="N398" s="448"/>
      <c r="O398" s="448"/>
      <c r="P398" s="448"/>
      <c r="Q398" s="455" t="s">
        <v>137</v>
      </c>
      <c r="R398" s="448"/>
      <c r="S398" s="575">
        <v>0.107</v>
      </c>
      <c r="T398" s="575">
        <v>1.36</v>
      </c>
      <c r="U398" s="448"/>
      <c r="V398" s="448"/>
      <c r="W398" s="455">
        <v>1.7</v>
      </c>
      <c r="X398" s="448"/>
      <c r="Y398" s="448"/>
    </row>
    <row r="399">
      <c r="A399" s="455" t="s">
        <v>1342</v>
      </c>
      <c r="B399" s="455" t="s">
        <v>1342</v>
      </c>
      <c r="C399" s="455" t="s">
        <v>160</v>
      </c>
      <c r="D399" s="448"/>
      <c r="E399" s="575">
        <v>1.5</v>
      </c>
      <c r="F399" s="448"/>
      <c r="G399" s="448"/>
      <c r="H399" s="448"/>
      <c r="I399" s="448"/>
      <c r="J399" s="575">
        <v>5.46E-15</v>
      </c>
      <c r="K399" s="448"/>
      <c r="L399" s="448"/>
      <c r="M399" s="448"/>
      <c r="N399" s="448"/>
      <c r="O399" s="448"/>
      <c r="P399" s="448"/>
      <c r="Q399" s="455" t="s">
        <v>137</v>
      </c>
      <c r="R399" s="448"/>
      <c r="S399" s="575">
        <v>0.107</v>
      </c>
      <c r="T399" s="575">
        <v>1.36</v>
      </c>
      <c r="U399" s="575">
        <v>165.0</v>
      </c>
      <c r="V399" s="448"/>
      <c r="W399" s="455">
        <v>1.0</v>
      </c>
      <c r="X399" s="448"/>
      <c r="Y399" s="448"/>
    </row>
    <row r="400">
      <c r="A400" s="455" t="s">
        <v>1375</v>
      </c>
      <c r="B400" s="455" t="s">
        <v>1375</v>
      </c>
      <c r="C400" s="455" t="s">
        <v>160</v>
      </c>
      <c r="D400" s="448"/>
      <c r="E400" s="575">
        <v>5.6</v>
      </c>
      <c r="F400" s="448"/>
      <c r="G400" s="448"/>
      <c r="H400" s="448"/>
      <c r="I400" s="448"/>
      <c r="J400" s="575">
        <v>1.54E-13</v>
      </c>
      <c r="K400" s="448"/>
      <c r="L400" s="448"/>
      <c r="M400" s="448"/>
      <c r="N400" s="448"/>
      <c r="O400" s="448"/>
      <c r="P400" s="448"/>
      <c r="Q400" s="455"/>
      <c r="R400" s="448"/>
      <c r="S400" s="575">
        <v>0.24</v>
      </c>
      <c r="T400" s="575">
        <v>2.04</v>
      </c>
      <c r="U400" s="575">
        <v>133.0</v>
      </c>
      <c r="V400" s="448"/>
      <c r="W400" s="455">
        <v>0.2</v>
      </c>
      <c r="X400" s="448"/>
      <c r="Y400" s="448"/>
    </row>
    <row r="401">
      <c r="A401" s="455" t="s">
        <v>1353</v>
      </c>
      <c r="B401" s="455" t="s">
        <v>1353</v>
      </c>
      <c r="C401" s="455" t="s">
        <v>160</v>
      </c>
      <c r="D401" s="448"/>
      <c r="E401" s="575">
        <v>1.5</v>
      </c>
      <c r="F401" s="448"/>
      <c r="G401" s="448"/>
      <c r="H401" s="448"/>
      <c r="I401" s="448"/>
      <c r="J401" s="575">
        <v>3.36E-16</v>
      </c>
      <c r="K401" s="448"/>
      <c r="L401" s="448"/>
      <c r="M401" s="448"/>
      <c r="N401" s="448"/>
      <c r="O401" s="448"/>
      <c r="P401" s="448"/>
      <c r="Q401" s="455" t="s">
        <v>137</v>
      </c>
      <c r="R401" s="448"/>
      <c r="S401" s="575">
        <v>0.138</v>
      </c>
      <c r="T401" s="575">
        <v>1.62</v>
      </c>
      <c r="U401" s="448"/>
      <c r="V401" s="448"/>
      <c r="W401" s="455">
        <v>4.4</v>
      </c>
      <c r="X401" s="448"/>
      <c r="Y401" s="448"/>
    </row>
    <row r="402">
      <c r="A402" s="455" t="s">
        <v>1996</v>
      </c>
      <c r="B402" s="455" t="s">
        <v>1996</v>
      </c>
      <c r="C402" s="455" t="s">
        <v>160</v>
      </c>
      <c r="D402" s="448"/>
      <c r="E402" s="575">
        <v>5.0</v>
      </c>
      <c r="F402" s="448"/>
      <c r="G402" s="448"/>
      <c r="H402" s="448"/>
      <c r="I402" s="448"/>
      <c r="J402" s="575">
        <v>3.37E-17</v>
      </c>
      <c r="K402" s="448"/>
      <c r="L402" s="448"/>
      <c r="M402" s="448"/>
      <c r="N402" s="448"/>
      <c r="O402" s="448"/>
      <c r="P402" s="448"/>
      <c r="Q402" s="455" t="s">
        <v>137</v>
      </c>
      <c r="R402" s="448"/>
      <c r="S402" s="448"/>
      <c r="T402" s="575">
        <v>0.91</v>
      </c>
      <c r="U402" s="448"/>
      <c r="V402" s="448"/>
      <c r="W402" s="455">
        <v>6.1</v>
      </c>
      <c r="X402" s="448"/>
      <c r="Y402" s="448"/>
    </row>
    <row r="403">
      <c r="A403" s="455" t="s">
        <v>1335</v>
      </c>
      <c r="B403" s="455" t="s">
        <v>1335</v>
      </c>
      <c r="C403" s="455" t="s">
        <v>160</v>
      </c>
      <c r="D403" s="448"/>
      <c r="E403" s="575">
        <v>2.0</v>
      </c>
      <c r="F403" s="448"/>
      <c r="G403" s="448"/>
      <c r="H403" s="448"/>
      <c r="I403" s="448"/>
      <c r="J403" s="575">
        <v>1.25E-16</v>
      </c>
      <c r="K403" s="448"/>
      <c r="L403" s="448"/>
      <c r="M403" s="448"/>
      <c r="N403" s="448"/>
      <c r="O403" s="448"/>
      <c r="P403" s="448"/>
      <c r="Q403" s="455" t="s">
        <v>137</v>
      </c>
      <c r="R403" s="448"/>
      <c r="S403" s="575">
        <v>0.0912</v>
      </c>
      <c r="T403" s="575">
        <v>1.21</v>
      </c>
      <c r="U403" s="448"/>
      <c r="V403" s="448"/>
      <c r="W403" s="455">
        <v>5.1</v>
      </c>
      <c r="X403" s="448"/>
      <c r="Y403" s="448"/>
    </row>
    <row r="404">
      <c r="A404" s="455" t="s">
        <v>1324</v>
      </c>
      <c r="B404" s="455" t="s">
        <v>1324</v>
      </c>
      <c r="C404" s="455" t="s">
        <v>1309</v>
      </c>
      <c r="D404" s="448"/>
      <c r="E404" s="575">
        <v>1.7</v>
      </c>
      <c r="F404" s="575">
        <v>1.9</v>
      </c>
      <c r="G404" s="448"/>
      <c r="H404" s="448"/>
      <c r="I404" s="448"/>
      <c r="J404" s="575">
        <v>1.92E-15</v>
      </c>
      <c r="K404" s="448"/>
      <c r="L404" s="575">
        <v>3.0E-15</v>
      </c>
      <c r="M404" s="448"/>
      <c r="N404" s="448"/>
      <c r="O404" s="448"/>
      <c r="P404" s="448"/>
      <c r="Q404" s="455"/>
      <c r="R404" s="448"/>
      <c r="S404" s="575">
        <v>0.0584</v>
      </c>
      <c r="T404" s="575">
        <v>0.422</v>
      </c>
      <c r="U404" s="575">
        <v>152.0</v>
      </c>
      <c r="V404" s="455">
        <v>8.0</v>
      </c>
      <c r="W404" s="448"/>
      <c r="X404" s="448"/>
      <c r="Y404" s="448"/>
    </row>
    <row r="405">
      <c r="A405" s="455" t="s">
        <v>1324</v>
      </c>
      <c r="B405" s="455" t="s">
        <v>1324</v>
      </c>
      <c r="C405" s="455" t="s">
        <v>754</v>
      </c>
      <c r="D405" s="448"/>
      <c r="E405" s="448"/>
      <c r="F405" s="448"/>
      <c r="G405" s="575">
        <v>4.37E-13</v>
      </c>
      <c r="H405" s="448"/>
      <c r="I405" s="448"/>
      <c r="J405" s="575">
        <v>1.6E-14</v>
      </c>
      <c r="K405" s="448"/>
      <c r="L405" s="448"/>
      <c r="M405" s="448"/>
      <c r="N405" s="448"/>
      <c r="O405" s="448"/>
      <c r="P405" s="448"/>
      <c r="Q405" s="455"/>
      <c r="R405" s="448"/>
      <c r="S405" s="575">
        <v>0.0584</v>
      </c>
      <c r="T405" s="575">
        <v>0.422</v>
      </c>
      <c r="U405" s="575">
        <v>152.0</v>
      </c>
      <c r="V405" s="448"/>
      <c r="W405" s="448"/>
      <c r="X405" s="448"/>
      <c r="Y405" s="448"/>
    </row>
    <row r="406">
      <c r="A406" s="455" t="s">
        <v>1324</v>
      </c>
      <c r="B406" s="455" t="s">
        <v>1324</v>
      </c>
      <c r="C406" s="455" t="s">
        <v>160</v>
      </c>
      <c r="D406" s="448"/>
      <c r="E406" s="575">
        <v>1.8</v>
      </c>
      <c r="F406" s="448"/>
      <c r="G406" s="448"/>
      <c r="H406" s="448"/>
      <c r="I406" s="448"/>
      <c r="J406" s="575">
        <v>2.03E-15</v>
      </c>
      <c r="K406" s="448"/>
      <c r="L406" s="448"/>
      <c r="M406" s="448"/>
      <c r="N406" s="448"/>
      <c r="O406" s="448"/>
      <c r="P406" s="448"/>
      <c r="Q406" s="455"/>
      <c r="R406" s="448"/>
      <c r="S406" s="575">
        <v>0.0584</v>
      </c>
      <c r="T406" s="575">
        <v>0.422</v>
      </c>
      <c r="U406" s="575">
        <v>152.0</v>
      </c>
      <c r="V406" s="448"/>
      <c r="W406" s="455">
        <v>1.9</v>
      </c>
      <c r="X406" s="448"/>
      <c r="Y406" s="448"/>
    </row>
    <row r="407">
      <c r="A407" s="455" t="s">
        <v>1359</v>
      </c>
      <c r="B407" s="455" t="s">
        <v>1359</v>
      </c>
      <c r="C407" s="455" t="s">
        <v>160</v>
      </c>
      <c r="D407" s="448"/>
      <c r="E407" s="575">
        <v>0.5</v>
      </c>
      <c r="F407" s="448"/>
      <c r="G407" s="448"/>
      <c r="H407" s="448"/>
      <c r="I407" s="448"/>
      <c r="J407" s="575">
        <v>1.81E-15</v>
      </c>
      <c r="K407" s="448"/>
      <c r="L407" s="448"/>
      <c r="M407" s="448"/>
      <c r="N407" s="448"/>
      <c r="O407" s="448"/>
      <c r="P407" s="448"/>
      <c r="Q407" s="455" t="s">
        <v>137</v>
      </c>
      <c r="R407" s="448"/>
      <c r="S407" s="575">
        <v>0.17</v>
      </c>
      <c r="T407" s="575">
        <v>1.75</v>
      </c>
      <c r="U407" s="575">
        <v>142.0</v>
      </c>
      <c r="V407" s="448"/>
      <c r="W407" s="455">
        <v>1.8</v>
      </c>
      <c r="X407" s="448"/>
      <c r="Y407" s="448"/>
    </row>
    <row r="408">
      <c r="A408" s="455" t="s">
        <v>1409</v>
      </c>
      <c r="B408" s="455" t="s">
        <v>1409</v>
      </c>
      <c r="C408" s="455" t="s">
        <v>160</v>
      </c>
      <c r="D408" s="448"/>
      <c r="E408" s="575">
        <v>0.8</v>
      </c>
      <c r="F408" s="448"/>
      <c r="G408" s="448"/>
      <c r="H408" s="448"/>
      <c r="I408" s="448"/>
      <c r="J408" s="575">
        <v>1.01E-14</v>
      </c>
      <c r="K408" s="448"/>
      <c r="L408" s="448"/>
      <c r="M408" s="448"/>
      <c r="N408" s="448"/>
      <c r="O408" s="448"/>
      <c r="P408" s="448"/>
      <c r="Q408" s="455"/>
      <c r="R408" s="448"/>
      <c r="S408" s="575">
        <v>0.389</v>
      </c>
      <c r="T408" s="575">
        <v>2.42</v>
      </c>
      <c r="U408" s="575">
        <v>138.0</v>
      </c>
      <c r="V408" s="448"/>
      <c r="W408" s="455">
        <v>1.8</v>
      </c>
      <c r="X408" s="448"/>
      <c r="Y408" s="448"/>
    </row>
    <row r="409">
      <c r="A409" s="455" t="s">
        <v>1367</v>
      </c>
      <c r="B409" s="455" t="s">
        <v>1367</v>
      </c>
      <c r="C409" s="455" t="s">
        <v>160</v>
      </c>
      <c r="D409" s="448"/>
      <c r="E409" s="575">
        <v>3.2</v>
      </c>
      <c r="F409" s="448"/>
      <c r="G409" s="448"/>
      <c r="H409" s="448"/>
      <c r="I409" s="448"/>
      <c r="J409" s="575">
        <v>3.01E-14</v>
      </c>
      <c r="K409" s="448"/>
      <c r="L409" s="448"/>
      <c r="M409" s="448"/>
      <c r="N409" s="448"/>
      <c r="O409" s="448"/>
      <c r="P409" s="448"/>
      <c r="Q409" s="455"/>
      <c r="R409" s="448"/>
      <c r="S409" s="575">
        <v>0.191</v>
      </c>
      <c r="T409" s="575">
        <v>1.86</v>
      </c>
      <c r="U409" s="575">
        <v>137.0</v>
      </c>
      <c r="V409" s="448"/>
      <c r="W409" s="455">
        <v>0.9</v>
      </c>
      <c r="X409" s="448"/>
      <c r="Y409" s="448"/>
    </row>
    <row r="410">
      <c r="A410" s="455" t="s">
        <v>1330</v>
      </c>
      <c r="B410" s="455" t="s">
        <v>1330</v>
      </c>
      <c r="C410" s="455" t="s">
        <v>160</v>
      </c>
      <c r="D410" s="448"/>
      <c r="E410" s="575">
        <v>1.0</v>
      </c>
      <c r="F410" s="448"/>
      <c r="G410" s="448"/>
      <c r="H410" s="448"/>
      <c r="I410" s="448"/>
      <c r="J410" s="575">
        <v>5.83E-17</v>
      </c>
      <c r="K410" s="448"/>
      <c r="L410" s="448"/>
      <c r="M410" s="448"/>
      <c r="N410" s="448"/>
      <c r="O410" s="448"/>
      <c r="P410" s="448"/>
      <c r="Q410" s="455" t="s">
        <v>137</v>
      </c>
      <c r="R410" s="448"/>
      <c r="S410" s="575">
        <v>0.0794</v>
      </c>
      <c r="T410" s="575">
        <v>1.08</v>
      </c>
      <c r="U410" s="448"/>
      <c r="V410" s="448"/>
      <c r="W410" s="455">
        <v>4.9</v>
      </c>
      <c r="X410" s="448"/>
      <c r="Y410" s="448"/>
    </row>
    <row r="411">
      <c r="A411" s="455" t="s">
        <v>1476</v>
      </c>
      <c r="B411" s="455" t="s">
        <v>1476</v>
      </c>
      <c r="C411" s="455" t="s">
        <v>160</v>
      </c>
      <c r="D411" s="448"/>
      <c r="E411" s="575">
        <v>0.4</v>
      </c>
      <c r="F411" s="448"/>
      <c r="G411" s="448"/>
      <c r="H411" s="448"/>
      <c r="I411" s="448"/>
      <c r="J411" s="575">
        <v>4.04E-14</v>
      </c>
      <c r="K411" s="448"/>
      <c r="L411" s="448"/>
      <c r="M411" s="448"/>
      <c r="N411" s="448"/>
      <c r="O411" s="448"/>
      <c r="P411" s="448"/>
      <c r="Q411" s="455" t="s">
        <v>137</v>
      </c>
      <c r="R411" s="448"/>
      <c r="S411" s="575">
        <v>1.17</v>
      </c>
      <c r="T411" s="575">
        <v>0.637</v>
      </c>
      <c r="U411" s="575">
        <v>136.0</v>
      </c>
      <c r="V411" s="448"/>
      <c r="W411" s="455">
        <v>1.3</v>
      </c>
      <c r="X411" s="448"/>
      <c r="Y411" s="448"/>
    </row>
    <row r="412">
      <c r="A412" s="455" t="s">
        <v>1416</v>
      </c>
      <c r="B412" s="455" t="s">
        <v>1416</v>
      </c>
      <c r="C412" s="455" t="s">
        <v>160</v>
      </c>
      <c r="D412" s="448"/>
      <c r="E412" s="575">
        <v>1.7</v>
      </c>
      <c r="F412" s="448"/>
      <c r="G412" s="448"/>
      <c r="H412" s="448"/>
      <c r="I412" s="448"/>
      <c r="J412" s="448"/>
      <c r="K412" s="448"/>
      <c r="L412" s="448"/>
      <c r="M412" s="448"/>
      <c r="N412" s="448"/>
      <c r="O412" s="448"/>
      <c r="P412" s="448"/>
      <c r="Q412" s="455"/>
      <c r="R412" s="448"/>
      <c r="S412" s="575">
        <v>0.417</v>
      </c>
      <c r="T412" s="575">
        <v>2.48</v>
      </c>
      <c r="U412" s="575">
        <v>82.0</v>
      </c>
      <c r="V412" s="448"/>
      <c r="W412" s="455">
        <v>0.2</v>
      </c>
      <c r="X412" s="448"/>
      <c r="Y412" s="448"/>
    </row>
    <row r="413">
      <c r="A413" s="455" t="s">
        <v>1735</v>
      </c>
      <c r="B413" s="455" t="s">
        <v>1736</v>
      </c>
      <c r="C413" s="455" t="s">
        <v>702</v>
      </c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8"/>
      <c r="O413" s="448"/>
      <c r="P413" s="448"/>
      <c r="Q413" s="455" t="s">
        <v>137</v>
      </c>
      <c r="R413" s="448"/>
      <c r="S413" s="575">
        <v>0.6</v>
      </c>
      <c r="T413" s="575">
        <v>1.61</v>
      </c>
      <c r="U413" s="575">
        <v>425.0</v>
      </c>
      <c r="V413" s="448"/>
      <c r="W413" s="448"/>
      <c r="X413" s="448"/>
      <c r="Y413" s="448"/>
    </row>
    <row r="414">
      <c r="A414" s="455" t="s">
        <v>1709</v>
      </c>
      <c r="B414" s="455" t="s">
        <v>1710</v>
      </c>
      <c r="C414" s="455" t="s">
        <v>702</v>
      </c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55" t="s">
        <v>137</v>
      </c>
      <c r="R414" s="448"/>
      <c r="S414" s="575">
        <v>0.3</v>
      </c>
      <c r="T414" s="575">
        <v>1.19</v>
      </c>
      <c r="U414" s="575">
        <v>403.0</v>
      </c>
      <c r="V414" s="448"/>
      <c r="W414" s="448"/>
      <c r="X414" s="448"/>
      <c r="Y414" s="448"/>
    </row>
    <row r="415">
      <c r="A415" s="455" t="s">
        <v>501</v>
      </c>
      <c r="B415" s="455" t="s">
        <v>501</v>
      </c>
      <c r="C415" s="455" t="s">
        <v>476</v>
      </c>
      <c r="D415" s="448"/>
      <c r="E415" s="448"/>
      <c r="F415" s="448"/>
      <c r="G415" s="448"/>
      <c r="H415" s="448"/>
      <c r="I415" s="448"/>
      <c r="J415" s="448"/>
      <c r="K415" s="448"/>
      <c r="L415" s="448"/>
      <c r="M415" s="448"/>
      <c r="N415" s="448"/>
      <c r="O415" s="448"/>
      <c r="P415" s="448"/>
      <c r="Q415" s="455"/>
      <c r="R415" s="448"/>
      <c r="S415" s="575">
        <v>0.13</v>
      </c>
      <c r="T415" s="575">
        <v>0.83</v>
      </c>
      <c r="U415" s="448"/>
      <c r="V415" s="448"/>
      <c r="W415" s="448"/>
      <c r="X415" s="448"/>
      <c r="Y415" s="448"/>
    </row>
    <row r="416">
      <c r="A416" s="455" t="s">
        <v>1648</v>
      </c>
      <c r="B416" s="455" t="s">
        <v>1649</v>
      </c>
      <c r="C416" s="455" t="s">
        <v>702</v>
      </c>
      <c r="D416" s="448"/>
      <c r="E416" s="448"/>
      <c r="F416" s="448"/>
      <c r="G416" s="448"/>
      <c r="H416" s="448"/>
      <c r="I416" s="448"/>
      <c r="J416" s="448"/>
      <c r="K416" s="448"/>
      <c r="L416" s="448"/>
      <c r="M416" s="448"/>
      <c r="N416" s="448"/>
      <c r="O416" s="448"/>
      <c r="P416" s="448"/>
      <c r="Q416" s="455" t="s">
        <v>137</v>
      </c>
      <c r="R416" s="448"/>
      <c r="S416" s="575">
        <v>0.09</v>
      </c>
      <c r="T416" s="575">
        <v>0.562</v>
      </c>
      <c r="U416" s="575">
        <v>435.0</v>
      </c>
      <c r="V416" s="448"/>
      <c r="W416" s="448"/>
      <c r="X416" s="448"/>
      <c r="Y416" s="448"/>
    </row>
    <row r="417">
      <c r="A417" s="455" t="s">
        <v>1637</v>
      </c>
      <c r="B417" s="455" t="s">
        <v>1638</v>
      </c>
      <c r="C417" s="455" t="s">
        <v>702</v>
      </c>
      <c r="D417" s="448"/>
      <c r="E417" s="448"/>
      <c r="F417" s="448"/>
      <c r="G417" s="448"/>
      <c r="H417" s="448"/>
      <c r="I417" s="448"/>
      <c r="J417" s="448"/>
      <c r="K417" s="448"/>
      <c r="L417" s="448"/>
      <c r="M417" s="448"/>
      <c r="N417" s="448"/>
      <c r="O417" s="448"/>
      <c r="P417" s="448"/>
      <c r="Q417" s="455" t="s">
        <v>137</v>
      </c>
      <c r="R417" s="448"/>
      <c r="S417" s="575">
        <v>0.07</v>
      </c>
      <c r="T417" s="575">
        <v>0.525</v>
      </c>
      <c r="U417" s="448"/>
      <c r="V417" s="448"/>
      <c r="W417" s="448"/>
      <c r="X417" s="448"/>
      <c r="Y417" s="448"/>
    </row>
    <row r="418">
      <c r="A418" s="455" t="s">
        <v>260</v>
      </c>
      <c r="B418" s="455" t="s">
        <v>260</v>
      </c>
      <c r="C418" s="455" t="s">
        <v>248</v>
      </c>
      <c r="D418" s="575">
        <v>60.0</v>
      </c>
      <c r="E418" s="448"/>
      <c r="F418" s="448"/>
      <c r="G418" s="448"/>
      <c r="H418" s="448"/>
      <c r="I418" s="448"/>
      <c r="J418" s="448"/>
      <c r="K418" s="448"/>
      <c r="L418" s="448"/>
      <c r="M418" s="448"/>
      <c r="N418" s="448"/>
      <c r="O418" s="448"/>
      <c r="P418" s="448"/>
      <c r="Q418" s="455"/>
      <c r="R418" s="448"/>
      <c r="S418" s="575">
        <v>0.0572</v>
      </c>
      <c r="T418" s="575">
        <v>0.5</v>
      </c>
      <c r="U418" s="575">
        <v>145.0</v>
      </c>
      <c r="V418" s="455">
        <v>0.3</v>
      </c>
      <c r="W418" s="448"/>
      <c r="X418" s="448"/>
      <c r="Y418" s="448"/>
    </row>
    <row r="419">
      <c r="A419" s="455" t="s">
        <v>260</v>
      </c>
      <c r="B419" s="455" t="s">
        <v>260</v>
      </c>
      <c r="C419" s="455" t="s">
        <v>201</v>
      </c>
      <c r="D419" s="575">
        <v>47.0</v>
      </c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55"/>
      <c r="R419" s="448"/>
      <c r="S419" s="575">
        <v>0.0572</v>
      </c>
      <c r="T419" s="448"/>
      <c r="U419" s="575">
        <v>145.0</v>
      </c>
      <c r="V419" s="455">
        <v>0.3</v>
      </c>
      <c r="W419" s="448"/>
      <c r="X419" s="448"/>
      <c r="Y419" s="448"/>
    </row>
    <row r="420">
      <c r="A420" s="455" t="s">
        <v>260</v>
      </c>
      <c r="B420" s="455" t="s">
        <v>260</v>
      </c>
      <c r="C420" s="455" t="s">
        <v>201</v>
      </c>
      <c r="D420" s="575">
        <v>47.0</v>
      </c>
      <c r="E420" s="448"/>
      <c r="F420" s="448"/>
      <c r="G420" s="448"/>
      <c r="H420" s="448"/>
      <c r="I420" s="448"/>
      <c r="J420" s="448"/>
      <c r="K420" s="448"/>
      <c r="L420" s="448"/>
      <c r="M420" s="448"/>
      <c r="N420" s="448"/>
      <c r="O420" s="448"/>
      <c r="P420" s="448"/>
      <c r="Q420" s="455"/>
      <c r="R420" s="448"/>
      <c r="S420" s="575">
        <v>0.0572</v>
      </c>
      <c r="T420" s="448"/>
      <c r="U420" s="575">
        <v>145.0</v>
      </c>
      <c r="V420" s="455">
        <v>0.3</v>
      </c>
      <c r="W420" s="448"/>
      <c r="X420" s="448"/>
      <c r="Y420" s="448"/>
    </row>
    <row r="421">
      <c r="A421" s="455" t="s">
        <v>392</v>
      </c>
      <c r="B421" s="455" t="s">
        <v>392</v>
      </c>
      <c r="C421" s="455" t="s">
        <v>248</v>
      </c>
      <c r="D421" s="575">
        <v>25.0</v>
      </c>
      <c r="E421" s="448"/>
      <c r="F421" s="448"/>
      <c r="G421" s="448"/>
      <c r="H421" s="448"/>
      <c r="I421" s="448"/>
      <c r="J421" s="448"/>
      <c r="K421" s="448"/>
      <c r="L421" s="448"/>
      <c r="M421" s="448"/>
      <c r="N421" s="448"/>
      <c r="O421" s="448"/>
      <c r="P421" s="448"/>
      <c r="Q421" s="455"/>
      <c r="R421" s="448"/>
      <c r="S421" s="575">
        <v>0.13</v>
      </c>
      <c r="T421" s="575">
        <v>1.0</v>
      </c>
      <c r="U421" s="575">
        <v>142.0</v>
      </c>
      <c r="V421" s="455">
        <v>0.86</v>
      </c>
      <c r="W421" s="448"/>
      <c r="X421" s="448"/>
      <c r="Y421" s="448"/>
    </row>
    <row r="422">
      <c r="A422" s="455" t="s">
        <v>583</v>
      </c>
      <c r="B422" s="455" t="s">
        <v>583</v>
      </c>
      <c r="C422" s="455" t="s">
        <v>476</v>
      </c>
      <c r="D422" s="448"/>
      <c r="E422" s="448"/>
      <c r="F422" s="448"/>
      <c r="G422" s="575">
        <v>6.04E-14</v>
      </c>
      <c r="H422" s="448"/>
      <c r="I422" s="448"/>
      <c r="J422" s="575">
        <v>6.11E-14</v>
      </c>
      <c r="K422" s="575">
        <v>5.48E-15</v>
      </c>
      <c r="L422" s="575">
        <v>1.74E-14</v>
      </c>
      <c r="M422" s="448"/>
      <c r="N422" s="448"/>
      <c r="O422" s="575">
        <v>1.01E-13</v>
      </c>
      <c r="P422" s="575">
        <v>8.47E-14</v>
      </c>
      <c r="Q422" s="455" t="s">
        <v>137</v>
      </c>
      <c r="R422" s="455" t="s">
        <v>492</v>
      </c>
      <c r="S422" s="575">
        <v>1.02</v>
      </c>
      <c r="T422" s="575">
        <v>1.13</v>
      </c>
      <c r="U422" s="575">
        <v>157.0</v>
      </c>
      <c r="V422" s="448"/>
      <c r="W422" s="448"/>
      <c r="X422" s="448"/>
      <c r="Y422" s="448"/>
    </row>
    <row r="423">
      <c r="A423" s="455" t="s">
        <v>299</v>
      </c>
      <c r="B423" s="455" t="s">
        <v>300</v>
      </c>
      <c r="C423" s="455" t="s">
        <v>291</v>
      </c>
      <c r="D423" s="448"/>
      <c r="E423" s="448"/>
      <c r="F423" s="448"/>
      <c r="G423" s="575">
        <v>7.88E-17</v>
      </c>
      <c r="H423" s="448"/>
      <c r="I423" s="448"/>
      <c r="J423" s="448"/>
      <c r="K423" s="448"/>
      <c r="L423" s="448"/>
      <c r="M423" s="448"/>
      <c r="N423" s="448"/>
      <c r="O423" s="448"/>
      <c r="P423" s="448"/>
      <c r="Q423" s="455"/>
      <c r="R423" s="448"/>
      <c r="S423" s="575">
        <v>0.0143</v>
      </c>
      <c r="T423" s="575">
        <v>0.446</v>
      </c>
      <c r="U423" s="575">
        <v>145.0</v>
      </c>
      <c r="V423" s="575">
        <v>0.2</v>
      </c>
      <c r="W423" s="448"/>
      <c r="X423" s="448"/>
      <c r="Y423" s="448"/>
    </row>
    <row r="424">
      <c r="A424" s="455" t="s">
        <v>524</v>
      </c>
      <c r="B424" s="455" t="s">
        <v>525</v>
      </c>
      <c r="C424" s="455" t="s">
        <v>476</v>
      </c>
      <c r="D424" s="448"/>
      <c r="E424" s="448"/>
      <c r="F424" s="448"/>
      <c r="G424" s="575">
        <v>1.3E-13</v>
      </c>
      <c r="H424" s="575">
        <v>1.3E-14</v>
      </c>
      <c r="I424" s="575">
        <v>6.97E-15</v>
      </c>
      <c r="J424" s="575">
        <v>3.26E-15</v>
      </c>
      <c r="K424" s="575">
        <v>4.3E-15</v>
      </c>
      <c r="L424" s="575">
        <v>1.23E-15</v>
      </c>
      <c r="M424" s="575">
        <v>2.58E-15</v>
      </c>
      <c r="N424" s="575">
        <v>9.41E-16</v>
      </c>
      <c r="O424" s="575">
        <v>3.26E-15</v>
      </c>
      <c r="P424" s="575">
        <v>5.47E-15</v>
      </c>
      <c r="Q424" s="455"/>
      <c r="R424" s="448"/>
      <c r="S424" s="575">
        <v>0.19</v>
      </c>
      <c r="T424" s="575">
        <v>1.33</v>
      </c>
      <c r="U424" s="575">
        <v>169.0</v>
      </c>
      <c r="V424" s="448"/>
      <c r="W424" s="448"/>
      <c r="X424" s="448"/>
      <c r="Y424" s="448"/>
    </row>
    <row r="425">
      <c r="A425" s="455" t="s">
        <v>535</v>
      </c>
      <c r="B425" s="455" t="s">
        <v>536</v>
      </c>
      <c r="C425" s="455" t="s">
        <v>476</v>
      </c>
      <c r="D425" s="448"/>
      <c r="E425" s="448"/>
      <c r="F425" s="448"/>
      <c r="G425" s="575">
        <v>3.31E-13</v>
      </c>
      <c r="H425" s="575">
        <v>3.39E-14</v>
      </c>
      <c r="I425" s="575">
        <v>1.32E-14</v>
      </c>
      <c r="J425" s="575">
        <v>2.21E-14</v>
      </c>
      <c r="K425" s="575">
        <v>1.65E-14</v>
      </c>
      <c r="L425" s="575">
        <v>4.47E-15</v>
      </c>
      <c r="M425" s="575">
        <v>1.82E-15</v>
      </c>
      <c r="N425" s="575">
        <v>7.17E-16</v>
      </c>
      <c r="O425" s="575">
        <v>1.45E-14</v>
      </c>
      <c r="P425" s="575">
        <v>9.37E-15</v>
      </c>
      <c r="Q425" s="455"/>
      <c r="R425" s="448"/>
      <c r="S425" s="575">
        <v>0.23</v>
      </c>
      <c r="T425" s="575">
        <v>1.54</v>
      </c>
      <c r="U425" s="575">
        <v>160.0</v>
      </c>
      <c r="V425" s="448"/>
      <c r="W425" s="448"/>
      <c r="X425" s="448"/>
      <c r="Y425" s="448"/>
    </row>
    <row r="426">
      <c r="A426" s="455" t="s">
        <v>509</v>
      </c>
      <c r="B426" s="455" t="s">
        <v>510</v>
      </c>
      <c r="C426" s="455" t="s">
        <v>476</v>
      </c>
      <c r="D426" s="448"/>
      <c r="E426" s="448"/>
      <c r="F426" s="448"/>
      <c r="G426" s="575">
        <v>3.4E-14</v>
      </c>
      <c r="H426" s="575">
        <v>7.05E-15</v>
      </c>
      <c r="I426" s="575">
        <v>4.16E-15</v>
      </c>
      <c r="J426" s="575">
        <v>4.69E-15</v>
      </c>
      <c r="K426" s="575">
        <v>1.34E-15</v>
      </c>
      <c r="L426" s="575">
        <v>1.67E-15</v>
      </c>
      <c r="M426" s="575">
        <v>9.45E-16</v>
      </c>
      <c r="N426" s="575">
        <v>3.81E-16</v>
      </c>
      <c r="O426" s="575">
        <v>4.98E-15</v>
      </c>
      <c r="P426" s="575">
        <v>3.57E-15</v>
      </c>
      <c r="Q426" s="455"/>
      <c r="R426" s="448"/>
      <c r="S426" s="575">
        <v>0.15</v>
      </c>
      <c r="T426" s="575">
        <v>1.18</v>
      </c>
      <c r="U426" s="575">
        <v>160.0</v>
      </c>
      <c r="V426" s="448"/>
      <c r="W426" s="448"/>
      <c r="X426" s="448"/>
      <c r="Y426" s="448"/>
    </row>
    <row r="427">
      <c r="A427" s="455" t="s">
        <v>553</v>
      </c>
      <c r="B427" s="455" t="s">
        <v>554</v>
      </c>
      <c r="C427" s="455" t="s">
        <v>476</v>
      </c>
      <c r="D427" s="448"/>
      <c r="E427" s="448"/>
      <c r="F427" s="448"/>
      <c r="G427" s="448"/>
      <c r="H427" s="448"/>
      <c r="I427" s="448"/>
      <c r="J427" s="448"/>
      <c r="K427" s="448"/>
      <c r="L427" s="448"/>
      <c r="M427" s="448"/>
      <c r="N427" s="448"/>
      <c r="O427" s="448"/>
      <c r="P427" s="448"/>
      <c r="Q427" s="455"/>
      <c r="R427" s="448"/>
      <c r="S427" s="575">
        <v>0.34</v>
      </c>
      <c r="T427" s="575">
        <v>0.58</v>
      </c>
      <c r="U427" s="575">
        <v>163.0</v>
      </c>
      <c r="V427" s="448"/>
      <c r="W427" s="448"/>
      <c r="X427" s="448"/>
      <c r="Y427" s="448"/>
    </row>
    <row r="428">
      <c r="A428" s="455" t="s">
        <v>1390</v>
      </c>
      <c r="B428" s="455" t="s">
        <v>1391</v>
      </c>
      <c r="C428" s="455" t="s">
        <v>160</v>
      </c>
      <c r="D428" s="448"/>
      <c r="E428" s="575">
        <v>0.6</v>
      </c>
      <c r="F428" s="448"/>
      <c r="G428" s="448"/>
      <c r="H428" s="448"/>
      <c r="I428" s="448"/>
      <c r="J428" s="575">
        <v>5.22E-16</v>
      </c>
      <c r="K428" s="448"/>
      <c r="L428" s="448"/>
      <c r="M428" s="448"/>
      <c r="N428" s="448"/>
      <c r="O428" s="448"/>
      <c r="P428" s="448"/>
      <c r="Q428" s="455" t="s">
        <v>137</v>
      </c>
      <c r="R428" s="448"/>
      <c r="S428" s="575">
        <v>0.295</v>
      </c>
      <c r="T428" s="575">
        <v>2.18</v>
      </c>
      <c r="U428" s="448"/>
      <c r="V428" s="448"/>
      <c r="W428" s="455">
        <v>4.1</v>
      </c>
      <c r="X428" s="448"/>
      <c r="Y428" s="448"/>
    </row>
    <row r="429">
      <c r="A429" s="455" t="s">
        <v>2656</v>
      </c>
      <c r="B429" s="455" t="s">
        <v>339</v>
      </c>
      <c r="C429" s="455" t="s">
        <v>306</v>
      </c>
      <c r="D429" s="575">
        <v>20.0</v>
      </c>
      <c r="E429" s="448"/>
      <c r="F429" s="448"/>
      <c r="G429" s="575">
        <v>3.24E-16</v>
      </c>
      <c r="H429" s="448"/>
      <c r="I429" s="448"/>
      <c r="J429" s="448"/>
      <c r="K429" s="448"/>
      <c r="L429" s="448"/>
      <c r="M429" s="448"/>
      <c r="N429" s="448"/>
      <c r="O429" s="448"/>
      <c r="P429" s="448"/>
      <c r="Q429" s="455"/>
      <c r="R429" s="448"/>
      <c r="S429" s="575">
        <v>0.0369</v>
      </c>
      <c r="T429" s="575">
        <v>0.25</v>
      </c>
      <c r="U429" s="575">
        <v>136.0</v>
      </c>
      <c r="V429" s="455">
        <v>0.0</v>
      </c>
      <c r="W429" s="448"/>
      <c r="X429" s="448"/>
      <c r="Y429" s="448"/>
    </row>
    <row r="430">
      <c r="A430" s="455" t="s">
        <v>2659</v>
      </c>
      <c r="B430" s="455" t="s">
        <v>2660</v>
      </c>
      <c r="C430" s="455" t="s">
        <v>306</v>
      </c>
      <c r="D430" s="575">
        <v>270.0</v>
      </c>
      <c r="E430" s="448"/>
      <c r="F430" s="448"/>
      <c r="G430" s="575">
        <v>9.55E-16</v>
      </c>
      <c r="H430" s="448"/>
      <c r="I430" s="448"/>
      <c r="J430" s="448"/>
      <c r="K430" s="448"/>
      <c r="L430" s="448"/>
      <c r="M430" s="448"/>
      <c r="N430" s="448"/>
      <c r="O430" s="448"/>
      <c r="P430" s="448"/>
      <c r="Q430" s="455"/>
      <c r="R430" s="448"/>
      <c r="S430" s="575">
        <v>0.0237</v>
      </c>
      <c r="T430" s="575">
        <v>0.23</v>
      </c>
      <c r="U430" s="575">
        <v>136.0</v>
      </c>
      <c r="V430" s="455">
        <v>0.0</v>
      </c>
      <c r="W430" s="448"/>
      <c r="X430" s="448"/>
      <c r="Y430" s="448"/>
    </row>
    <row r="431">
      <c r="A431" s="455" t="s">
        <v>600</v>
      </c>
      <c r="B431" s="455" t="s">
        <v>600</v>
      </c>
      <c r="C431" s="455" t="s">
        <v>594</v>
      </c>
      <c r="D431" s="448"/>
      <c r="E431" s="448"/>
      <c r="F431" s="448"/>
      <c r="G431" s="575">
        <v>3.9E-16</v>
      </c>
      <c r="H431" s="448"/>
      <c r="I431" s="448"/>
      <c r="J431" s="448"/>
      <c r="K431" s="448"/>
      <c r="L431" s="448"/>
      <c r="M431" s="448"/>
      <c r="N431" s="448"/>
      <c r="O431" s="448"/>
      <c r="P431" s="448"/>
      <c r="Q431" s="455"/>
      <c r="R431" s="455" t="s">
        <v>2365</v>
      </c>
      <c r="S431" s="575">
        <v>0.01</v>
      </c>
      <c r="T431" s="448"/>
      <c r="U431" s="448"/>
      <c r="V431" s="448"/>
      <c r="W431" s="448"/>
      <c r="X431" s="448"/>
      <c r="Y431" s="448"/>
    </row>
    <row r="432">
      <c r="A432" s="455" t="s">
        <v>600</v>
      </c>
      <c r="B432" s="455" t="s">
        <v>600</v>
      </c>
      <c r="C432" s="455" t="s">
        <v>816</v>
      </c>
      <c r="D432" s="448"/>
      <c r="E432" s="448"/>
      <c r="F432" s="448"/>
      <c r="G432" s="448"/>
      <c r="H432" s="448"/>
      <c r="I432" s="448"/>
      <c r="J432" s="448"/>
      <c r="K432" s="448"/>
      <c r="L432" s="448"/>
      <c r="M432" s="448"/>
      <c r="N432" s="448"/>
      <c r="O432" s="448"/>
      <c r="P432" s="448"/>
      <c r="Q432" s="448"/>
      <c r="R432" s="448"/>
      <c r="S432" s="575">
        <v>0.00668</v>
      </c>
      <c r="T432" s="575">
        <v>0.1</v>
      </c>
      <c r="U432" s="448"/>
      <c r="V432" s="455">
        <v>3.0</v>
      </c>
      <c r="W432" s="448"/>
      <c r="X432" s="448"/>
      <c r="Y432" s="448"/>
    </row>
    <row r="433">
      <c r="A433" s="455" t="s">
        <v>600</v>
      </c>
      <c r="B433" s="455" t="s">
        <v>600</v>
      </c>
      <c r="C433" s="455" t="s">
        <v>807</v>
      </c>
      <c r="D433" s="448"/>
      <c r="E433" s="448"/>
      <c r="F433" s="448"/>
      <c r="G433" s="448"/>
      <c r="H433" s="448"/>
      <c r="I433" s="448"/>
      <c r="J433" s="448"/>
      <c r="K433" s="448"/>
      <c r="L433" s="448"/>
      <c r="M433" s="448"/>
      <c r="N433" s="448"/>
      <c r="O433" s="448"/>
      <c r="P433" s="448"/>
      <c r="Q433" s="455"/>
      <c r="R433" s="448"/>
      <c r="S433" s="575">
        <v>0.0115</v>
      </c>
      <c r="T433" s="448"/>
      <c r="U433" s="448"/>
      <c r="V433" s="448"/>
      <c r="W433" s="448"/>
      <c r="X433" s="448"/>
      <c r="Y433" s="448"/>
    </row>
    <row r="434">
      <c r="A434" s="455" t="s">
        <v>592</v>
      </c>
      <c r="B434" s="455" t="s">
        <v>592</v>
      </c>
      <c r="C434" s="455" t="s">
        <v>594</v>
      </c>
      <c r="D434" s="448"/>
      <c r="E434" s="448"/>
      <c r="F434" s="448"/>
      <c r="G434" s="575">
        <v>1.9E-16</v>
      </c>
      <c r="H434" s="448"/>
      <c r="I434" s="448"/>
      <c r="J434" s="448"/>
      <c r="K434" s="448"/>
      <c r="L434" s="448"/>
      <c r="M434" s="448"/>
      <c r="N434" s="448"/>
      <c r="O434" s="448"/>
      <c r="P434" s="448"/>
      <c r="Q434" s="455"/>
      <c r="R434" s="455" t="s">
        <v>2365</v>
      </c>
      <c r="S434" s="575">
        <v>0.0042</v>
      </c>
      <c r="T434" s="448"/>
      <c r="U434" s="448"/>
      <c r="V434" s="448"/>
      <c r="W434" s="448"/>
      <c r="X434" s="448"/>
      <c r="Y434" s="448"/>
    </row>
    <row r="435">
      <c r="A435" s="455" t="s">
        <v>592</v>
      </c>
      <c r="B435" s="455" t="s">
        <v>592</v>
      </c>
      <c r="C435" s="455" t="s">
        <v>807</v>
      </c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8"/>
      <c r="O435" s="448"/>
      <c r="P435" s="448"/>
      <c r="Q435" s="455"/>
      <c r="R435" s="448"/>
      <c r="S435" s="575">
        <v>0.00954</v>
      </c>
      <c r="T435" s="448"/>
      <c r="U435" s="448"/>
      <c r="V435" s="448"/>
      <c r="W435" s="448"/>
      <c r="X435" s="448"/>
      <c r="Y435" s="448"/>
    </row>
    <row r="436">
      <c r="A436" s="455" t="s">
        <v>560</v>
      </c>
      <c r="B436" s="455" t="s">
        <v>560</v>
      </c>
      <c r="C436" s="455" t="s">
        <v>476</v>
      </c>
      <c r="D436" s="448"/>
      <c r="E436" s="448"/>
      <c r="F436" s="448"/>
      <c r="G436" s="575">
        <v>2.97E-12</v>
      </c>
      <c r="H436" s="575">
        <v>8.94E-13</v>
      </c>
      <c r="I436" s="575">
        <v>7.03E-13</v>
      </c>
      <c r="J436" s="575">
        <v>1.64E-13</v>
      </c>
      <c r="K436" s="575">
        <v>1.16E-13</v>
      </c>
      <c r="L436" s="575">
        <v>1.47E-14</v>
      </c>
      <c r="M436" s="575">
        <v>7.2E-14</v>
      </c>
      <c r="N436" s="575">
        <v>2.65E-14</v>
      </c>
      <c r="O436" s="575">
        <v>2.05E-13</v>
      </c>
      <c r="P436" s="575">
        <v>3.0E-13</v>
      </c>
      <c r="Q436" s="455"/>
      <c r="R436" s="448"/>
      <c r="S436" s="575">
        <v>0.46</v>
      </c>
      <c r="T436" s="575">
        <v>1.17</v>
      </c>
      <c r="U436" s="575">
        <v>158.0</v>
      </c>
      <c r="V436" s="448"/>
      <c r="W436" s="448"/>
      <c r="X436" s="448"/>
      <c r="Y436" s="448"/>
    </row>
    <row r="437">
      <c r="A437" s="455" t="s">
        <v>588</v>
      </c>
      <c r="B437" s="455" t="s">
        <v>588</v>
      </c>
      <c r="C437" s="455" t="s">
        <v>476</v>
      </c>
      <c r="D437" s="448"/>
      <c r="E437" s="448"/>
      <c r="F437" s="448"/>
      <c r="G437" s="575">
        <v>2.26E-12</v>
      </c>
      <c r="H437" s="575">
        <v>3.41E-13</v>
      </c>
      <c r="I437" s="448"/>
      <c r="J437" s="575">
        <v>2.3E-13</v>
      </c>
      <c r="K437" s="575">
        <v>2.05E-13</v>
      </c>
      <c r="L437" s="575">
        <v>5.05E-14</v>
      </c>
      <c r="M437" s="575">
        <v>2.42E-14</v>
      </c>
      <c r="N437" s="448"/>
      <c r="O437" s="575">
        <v>2.07E-13</v>
      </c>
      <c r="P437" s="575">
        <v>1.22E-13</v>
      </c>
      <c r="Q437" s="455"/>
      <c r="R437" s="448"/>
      <c r="S437" s="575">
        <v>1.47</v>
      </c>
      <c r="T437" s="575">
        <v>1.79</v>
      </c>
      <c r="U437" s="575">
        <v>159.0</v>
      </c>
      <c r="V437" s="448"/>
      <c r="W437" s="448"/>
      <c r="X437" s="448"/>
      <c r="Y437" s="448"/>
    </row>
    <row r="438">
      <c r="A438" s="455" t="s">
        <v>1745</v>
      </c>
      <c r="B438" s="455" t="s">
        <v>1745</v>
      </c>
      <c r="C438" s="455" t="s">
        <v>702</v>
      </c>
      <c r="D438" s="448"/>
      <c r="E438" s="448"/>
      <c r="F438" s="448"/>
      <c r="G438" s="448"/>
      <c r="H438" s="448"/>
      <c r="I438" s="448"/>
      <c r="J438" s="448"/>
      <c r="K438" s="448"/>
      <c r="L438" s="448"/>
      <c r="M438" s="448"/>
      <c r="N438" s="448"/>
      <c r="O438" s="448"/>
      <c r="P438" s="448"/>
      <c r="Q438" s="455" t="s">
        <v>137</v>
      </c>
      <c r="R438" s="448"/>
      <c r="S438" s="575">
        <v>0.75</v>
      </c>
      <c r="T438" s="575">
        <v>1.64</v>
      </c>
      <c r="U438" s="448"/>
      <c r="V438" s="448"/>
      <c r="W438" s="448"/>
      <c r="X438" s="448"/>
      <c r="Y438" s="448"/>
    </row>
    <row r="439">
      <c r="A439" s="455" t="s">
        <v>487</v>
      </c>
      <c r="B439" s="455" t="s">
        <v>487</v>
      </c>
      <c r="C439" s="455" t="s">
        <v>476</v>
      </c>
      <c r="D439" s="448"/>
      <c r="E439" s="448"/>
      <c r="F439" s="448"/>
      <c r="G439" s="575">
        <v>5.42E-14</v>
      </c>
      <c r="H439" s="575">
        <v>4.78E-15</v>
      </c>
      <c r="I439" s="575">
        <v>1.9E-15</v>
      </c>
      <c r="J439" s="575">
        <v>8.0E-16</v>
      </c>
      <c r="K439" s="575">
        <v>1.2E-15</v>
      </c>
      <c r="L439" s="575">
        <v>6.6E-16</v>
      </c>
      <c r="M439" s="575">
        <v>5.56E-16</v>
      </c>
      <c r="N439" s="575">
        <v>2.25E-16</v>
      </c>
      <c r="O439" s="575">
        <v>8.13E-16</v>
      </c>
      <c r="P439" s="575">
        <v>8.39E-16</v>
      </c>
      <c r="Q439" s="455"/>
      <c r="R439" s="448"/>
      <c r="S439" s="575">
        <v>0.1</v>
      </c>
      <c r="T439" s="575">
        <v>0.78</v>
      </c>
      <c r="U439" s="575">
        <v>152.0</v>
      </c>
      <c r="V439" s="448"/>
      <c r="W439" s="448"/>
      <c r="X439" s="448"/>
      <c r="Y439" s="448"/>
    </row>
    <row r="440">
      <c r="A440" s="455" t="s">
        <v>499</v>
      </c>
      <c r="B440" s="455" t="s">
        <v>499</v>
      </c>
      <c r="C440" s="455" t="s">
        <v>476</v>
      </c>
      <c r="D440" s="448"/>
      <c r="E440" s="448"/>
      <c r="F440" s="448"/>
      <c r="G440" s="575">
        <v>4.28E-15</v>
      </c>
      <c r="H440" s="575">
        <v>9.92E-16</v>
      </c>
      <c r="I440" s="575">
        <v>6.2E-16</v>
      </c>
      <c r="J440" s="575">
        <v>4.8E-16</v>
      </c>
      <c r="K440" s="575">
        <v>3.0E-16</v>
      </c>
      <c r="L440" s="575">
        <v>2.88E-16</v>
      </c>
      <c r="M440" s="575">
        <v>9.62E-17</v>
      </c>
      <c r="N440" s="575">
        <v>2.24E-16</v>
      </c>
      <c r="O440" s="575">
        <v>4.42E-16</v>
      </c>
      <c r="P440" s="575">
        <v>3.62E-16</v>
      </c>
      <c r="Q440" s="455"/>
      <c r="R440" s="448"/>
      <c r="S440" s="575">
        <v>0.12</v>
      </c>
      <c r="T440" s="575">
        <v>0.48</v>
      </c>
      <c r="U440" s="575">
        <v>147.0</v>
      </c>
      <c r="V440" s="448"/>
      <c r="W440" s="448"/>
      <c r="X440" s="448"/>
      <c r="Y440" s="448"/>
    </row>
    <row r="441">
      <c r="A441" s="455" t="s">
        <v>522</v>
      </c>
      <c r="B441" s="455" t="s">
        <v>522</v>
      </c>
      <c r="C441" s="455" t="s">
        <v>476</v>
      </c>
      <c r="D441" s="448"/>
      <c r="E441" s="448"/>
      <c r="F441" s="448"/>
      <c r="G441" s="575">
        <v>1.96E-14</v>
      </c>
      <c r="H441" s="575">
        <v>6.43E-15</v>
      </c>
      <c r="I441" s="575">
        <v>4.16E-15</v>
      </c>
      <c r="J441" s="575">
        <v>3.7E-15</v>
      </c>
      <c r="K441" s="575">
        <v>4.85E-15</v>
      </c>
      <c r="L441" s="575">
        <v>1.5E-15</v>
      </c>
      <c r="M441" s="575">
        <v>1.05E-15</v>
      </c>
      <c r="N441" s="575">
        <v>7.18E-16</v>
      </c>
      <c r="O441" s="575">
        <v>2.33E-15</v>
      </c>
      <c r="P441" s="575">
        <v>2.62E-15</v>
      </c>
      <c r="Q441" s="455"/>
      <c r="R441" s="448"/>
      <c r="S441" s="575">
        <v>0.19</v>
      </c>
      <c r="T441" s="575">
        <v>0.96</v>
      </c>
      <c r="U441" s="575">
        <v>161.0</v>
      </c>
      <c r="V441" s="448"/>
      <c r="W441" s="448"/>
      <c r="X441" s="448"/>
      <c r="Y441" s="448"/>
    </row>
    <row r="442">
      <c r="A442" s="455" t="s">
        <v>537</v>
      </c>
      <c r="B442" s="455" t="s">
        <v>537</v>
      </c>
      <c r="C442" s="455" t="s">
        <v>476</v>
      </c>
      <c r="D442" s="448"/>
      <c r="E442" s="448"/>
      <c r="F442" s="448"/>
      <c r="G442" s="575">
        <v>1.09E-13</v>
      </c>
      <c r="H442" s="575">
        <v>2.64E-14</v>
      </c>
      <c r="I442" s="575">
        <v>2.28E-14</v>
      </c>
      <c r="J442" s="575">
        <v>5.73E-15</v>
      </c>
      <c r="K442" s="575">
        <v>1.3E-14</v>
      </c>
      <c r="L442" s="575">
        <v>3.86E-15</v>
      </c>
      <c r="M442" s="575">
        <v>4.78E-15</v>
      </c>
      <c r="N442" s="575">
        <v>3.0E-15</v>
      </c>
      <c r="O442" s="575">
        <v>1.5E-14</v>
      </c>
      <c r="P442" s="575">
        <v>1.62E-14</v>
      </c>
      <c r="Q442" s="455"/>
      <c r="R442" s="448"/>
      <c r="S442" s="575">
        <v>0.24</v>
      </c>
      <c r="T442" s="575">
        <v>1.2</v>
      </c>
      <c r="U442" s="575">
        <v>164.0</v>
      </c>
      <c r="V442" s="448"/>
      <c r="W442" s="448"/>
      <c r="X442" s="448"/>
      <c r="Y442" s="448"/>
    </row>
    <row r="443">
      <c r="A443" s="455" t="s">
        <v>502</v>
      </c>
      <c r="B443" s="455" t="s">
        <v>502</v>
      </c>
      <c r="C443" s="455" t="s">
        <v>476</v>
      </c>
      <c r="D443" s="448"/>
      <c r="E443" s="448"/>
      <c r="F443" s="448"/>
      <c r="G443" s="575">
        <v>2.41E-14</v>
      </c>
      <c r="H443" s="575">
        <v>8.05E-15</v>
      </c>
      <c r="I443" s="575">
        <v>5.97E-15</v>
      </c>
      <c r="J443" s="575">
        <v>3.34E-15</v>
      </c>
      <c r="K443" s="575">
        <v>3.71E-15</v>
      </c>
      <c r="L443" s="575">
        <v>1.43E-15</v>
      </c>
      <c r="M443" s="575">
        <v>1.87E-15</v>
      </c>
      <c r="N443" s="575">
        <v>8.86E-16</v>
      </c>
      <c r="O443" s="575">
        <v>3.55E-15</v>
      </c>
      <c r="P443" s="575">
        <v>3.4E-15</v>
      </c>
      <c r="Q443" s="455"/>
      <c r="R443" s="448"/>
      <c r="S443" s="575">
        <v>0.14</v>
      </c>
      <c r="T443" s="575">
        <v>0.91</v>
      </c>
      <c r="U443" s="575">
        <v>164.0</v>
      </c>
      <c r="V443" s="448"/>
      <c r="W443" s="448"/>
      <c r="X443" s="448"/>
      <c r="Y443" s="448"/>
    </row>
    <row r="444">
      <c r="A444" s="455" t="s">
        <v>514</v>
      </c>
      <c r="B444" s="455" t="s">
        <v>514</v>
      </c>
      <c r="C444" s="455" t="s">
        <v>476</v>
      </c>
      <c r="D444" s="448"/>
      <c r="E444" s="448"/>
      <c r="F444" s="448"/>
      <c r="G444" s="575">
        <v>6.77E-16</v>
      </c>
      <c r="H444" s="575">
        <v>1.38E-16</v>
      </c>
      <c r="I444" s="575">
        <v>6.56E-17</v>
      </c>
      <c r="J444" s="575">
        <v>1.17E-16</v>
      </c>
      <c r="K444" s="575">
        <v>9.11E-17</v>
      </c>
      <c r="L444" s="575">
        <v>9.57E-17</v>
      </c>
      <c r="M444" s="575">
        <v>3.15E-17</v>
      </c>
      <c r="N444" s="575">
        <v>4.74E-17</v>
      </c>
      <c r="O444" s="575">
        <v>5.72E-17</v>
      </c>
      <c r="P444" s="575">
        <v>5.31E-17</v>
      </c>
      <c r="Q444" s="455"/>
      <c r="R444" s="448"/>
      <c r="S444" s="575">
        <v>0.17</v>
      </c>
      <c r="T444" s="575">
        <v>0.23</v>
      </c>
      <c r="U444" s="448"/>
      <c r="V444" s="448"/>
      <c r="W444" s="448"/>
      <c r="X444" s="448"/>
      <c r="Y444" s="448"/>
    </row>
    <row r="445">
      <c r="A445" s="455" t="s">
        <v>590</v>
      </c>
      <c r="B445" s="455" t="s">
        <v>590</v>
      </c>
      <c r="C445" s="455" t="s">
        <v>476</v>
      </c>
      <c r="D445" s="448"/>
      <c r="E445" s="448"/>
      <c r="F445" s="448"/>
      <c r="G445" s="448"/>
      <c r="H445" s="448"/>
      <c r="I445" s="448"/>
      <c r="J445" s="575">
        <v>3.77E-14</v>
      </c>
      <c r="K445" s="575">
        <v>2.04E-14</v>
      </c>
      <c r="L445" s="575">
        <v>1.18E-14</v>
      </c>
      <c r="M445" s="575">
        <v>2.85E-14</v>
      </c>
      <c r="N445" s="448"/>
      <c r="O445" s="575">
        <v>1.31E-13</v>
      </c>
      <c r="P445" s="575">
        <v>1.06E-13</v>
      </c>
      <c r="Q445" s="455" t="s">
        <v>137</v>
      </c>
      <c r="R445" s="455" t="s">
        <v>492</v>
      </c>
      <c r="S445" s="575">
        <v>1.81</v>
      </c>
      <c r="T445" s="575">
        <v>2.41</v>
      </c>
      <c r="U445" s="575">
        <v>156.0</v>
      </c>
      <c r="V445" s="448"/>
      <c r="W445" s="448"/>
      <c r="X445" s="448"/>
      <c r="Y445" s="448"/>
    </row>
    <row r="446">
      <c r="A446" s="455" t="s">
        <v>564</v>
      </c>
      <c r="B446" s="455" t="s">
        <v>564</v>
      </c>
      <c r="C446" s="455" t="s">
        <v>476</v>
      </c>
      <c r="D446" s="448"/>
      <c r="E446" s="448"/>
      <c r="F446" s="448"/>
      <c r="G446" s="575">
        <v>1.86E-12</v>
      </c>
      <c r="H446" s="575">
        <v>3.92E-13</v>
      </c>
      <c r="I446" s="575">
        <v>1.82E-13</v>
      </c>
      <c r="J446" s="575">
        <v>1.09E-13</v>
      </c>
      <c r="K446" s="575">
        <v>1.37E-13</v>
      </c>
      <c r="L446" s="575">
        <v>1.79E-14</v>
      </c>
      <c r="M446" s="575">
        <v>4.18E-14</v>
      </c>
      <c r="N446" s="448"/>
      <c r="O446" s="575">
        <v>1.87E-13</v>
      </c>
      <c r="P446" s="575">
        <v>1.94E-13</v>
      </c>
      <c r="Q446" s="455"/>
      <c r="R446" s="448"/>
      <c r="S446" s="575">
        <v>0.47</v>
      </c>
      <c r="T446" s="575">
        <v>2.63</v>
      </c>
      <c r="U446" s="575">
        <v>154.0</v>
      </c>
      <c r="V446" s="448"/>
      <c r="W446" s="448"/>
      <c r="X446" s="448"/>
      <c r="Y446" s="448"/>
    </row>
    <row r="447">
      <c r="A447" s="455" t="s">
        <v>527</v>
      </c>
      <c r="B447" s="455" t="s">
        <v>527</v>
      </c>
      <c r="C447" s="455" t="s">
        <v>476</v>
      </c>
      <c r="D447" s="448"/>
      <c r="E447" s="448"/>
      <c r="F447" s="448"/>
      <c r="G447" s="575">
        <v>3.39E-13</v>
      </c>
      <c r="H447" s="575">
        <v>2.07E-13</v>
      </c>
      <c r="I447" s="575">
        <v>1.73E-13</v>
      </c>
      <c r="J447" s="575">
        <v>2.15E-14</v>
      </c>
      <c r="K447" s="575">
        <v>3.0E-14</v>
      </c>
      <c r="L447" s="575">
        <v>3.01E-15</v>
      </c>
      <c r="M447" s="575">
        <v>3.24E-14</v>
      </c>
      <c r="N447" s="575">
        <v>1.15E-14</v>
      </c>
      <c r="O447" s="575">
        <v>1.58E-13</v>
      </c>
      <c r="P447" s="575">
        <v>1.24E-13</v>
      </c>
      <c r="Q447" s="455"/>
      <c r="R447" s="448"/>
      <c r="S447" s="575">
        <v>0.2</v>
      </c>
      <c r="T447" s="575">
        <v>1.1</v>
      </c>
      <c r="U447" s="575">
        <v>159.0</v>
      </c>
      <c r="V447" s="448"/>
      <c r="W447" s="448"/>
      <c r="X447" s="448"/>
      <c r="Y447" s="448"/>
    </row>
    <row r="448">
      <c r="A448" s="455" t="s">
        <v>508</v>
      </c>
      <c r="B448" s="455" t="s">
        <v>508</v>
      </c>
      <c r="C448" s="455" t="s">
        <v>476</v>
      </c>
      <c r="D448" s="448"/>
      <c r="E448" s="448"/>
      <c r="F448" s="448"/>
      <c r="G448" s="575">
        <v>9.93E-15</v>
      </c>
      <c r="H448" s="575">
        <v>2.53E-15</v>
      </c>
      <c r="I448" s="575">
        <v>1.77E-15</v>
      </c>
      <c r="J448" s="575">
        <v>3.37E-16</v>
      </c>
      <c r="K448" s="575">
        <v>4.16E-16</v>
      </c>
      <c r="L448" s="575">
        <v>2.13E-16</v>
      </c>
      <c r="M448" s="575">
        <v>3.43E-16</v>
      </c>
      <c r="N448" s="575">
        <v>1.45E-16</v>
      </c>
      <c r="O448" s="575">
        <v>9.84E-16</v>
      </c>
      <c r="P448" s="575">
        <v>8.94E-16</v>
      </c>
      <c r="Q448" s="455"/>
      <c r="R448" s="448"/>
      <c r="S448" s="575">
        <v>0.15</v>
      </c>
      <c r="T448" s="575">
        <v>0.84</v>
      </c>
      <c r="U448" s="575">
        <v>159.0</v>
      </c>
      <c r="V448" s="448"/>
      <c r="W448" s="448"/>
      <c r="X448" s="448"/>
      <c r="Y448" s="448"/>
    </row>
    <row r="449">
      <c r="A449" s="455" t="s">
        <v>489</v>
      </c>
      <c r="B449" s="455" t="s">
        <v>489</v>
      </c>
      <c r="C449" s="455" t="s">
        <v>476</v>
      </c>
      <c r="D449" s="448"/>
      <c r="E449" s="448"/>
      <c r="F449" s="448"/>
      <c r="G449" s="575">
        <v>3.77E-15</v>
      </c>
      <c r="H449" s="575">
        <v>7.7E-16</v>
      </c>
      <c r="I449" s="575">
        <v>3.92E-16</v>
      </c>
      <c r="J449" s="575">
        <v>2.0E-16</v>
      </c>
      <c r="K449" s="575">
        <v>3.18E-16</v>
      </c>
      <c r="L449" s="575">
        <v>2.41E-16</v>
      </c>
      <c r="M449" s="575">
        <v>7.51E-17</v>
      </c>
      <c r="N449" s="575">
        <v>9.18E-17</v>
      </c>
      <c r="O449" s="575">
        <v>3.38E-16</v>
      </c>
      <c r="P449" s="575">
        <v>3.4E-16</v>
      </c>
      <c r="Q449" s="455"/>
      <c r="R449" s="448"/>
      <c r="S449" s="575">
        <v>0.1</v>
      </c>
      <c r="T449" s="575">
        <v>1.03</v>
      </c>
      <c r="U449" s="575">
        <v>159.0</v>
      </c>
      <c r="V449" s="448"/>
      <c r="W449" s="448"/>
      <c r="X449" s="448"/>
      <c r="Y449" s="448"/>
    </row>
    <row r="450">
      <c r="A450" s="455" t="s">
        <v>532</v>
      </c>
      <c r="B450" s="455" t="s">
        <v>532</v>
      </c>
      <c r="C450" s="455" t="s">
        <v>476</v>
      </c>
      <c r="D450" s="448"/>
      <c r="E450" s="448"/>
      <c r="F450" s="448"/>
      <c r="G450" s="575">
        <v>1.96E-14</v>
      </c>
      <c r="H450" s="575">
        <v>4.5E-15</v>
      </c>
      <c r="I450" s="575">
        <v>2.76E-15</v>
      </c>
      <c r="J450" s="575">
        <v>8.65E-16</v>
      </c>
      <c r="K450" s="575">
        <v>5.9E-16</v>
      </c>
      <c r="L450" s="575">
        <v>4.18E-16</v>
      </c>
      <c r="M450" s="575">
        <v>6.48E-16</v>
      </c>
      <c r="N450" s="575">
        <v>3.33E-16</v>
      </c>
      <c r="O450" s="575">
        <v>2.81E-15</v>
      </c>
      <c r="P450" s="575">
        <v>2.15E-15</v>
      </c>
      <c r="Q450" s="455"/>
      <c r="R450" s="448"/>
      <c r="S450" s="575">
        <v>0.22</v>
      </c>
      <c r="T450" s="575">
        <v>1.29</v>
      </c>
      <c r="U450" s="575">
        <v>163.0</v>
      </c>
      <c r="V450" s="448"/>
      <c r="W450" s="448"/>
      <c r="X450" s="448"/>
      <c r="Y450" s="448"/>
    </row>
    <row r="451">
      <c r="A451" s="455" t="s">
        <v>565</v>
      </c>
      <c r="B451" s="455" t="s">
        <v>565</v>
      </c>
      <c r="C451" s="455" t="s">
        <v>476</v>
      </c>
      <c r="D451" s="448"/>
      <c r="E451" s="448"/>
      <c r="F451" s="448"/>
      <c r="G451" s="575">
        <v>4.7E-13</v>
      </c>
      <c r="H451" s="575">
        <v>9.35E-14</v>
      </c>
      <c r="I451" s="575">
        <v>5.4E-14</v>
      </c>
      <c r="J451" s="575">
        <v>2.39E-14</v>
      </c>
      <c r="K451" s="575">
        <v>3.42E-14</v>
      </c>
      <c r="L451" s="575">
        <v>9.99E-15</v>
      </c>
      <c r="M451" s="575">
        <v>8.5E-15</v>
      </c>
      <c r="N451" s="575">
        <v>3.12E-15</v>
      </c>
      <c r="O451" s="575">
        <v>4.55E-14</v>
      </c>
      <c r="P451" s="575">
        <v>4.04E-14</v>
      </c>
      <c r="Q451" s="455"/>
      <c r="R451" s="448"/>
      <c r="S451" s="575">
        <v>0.47</v>
      </c>
      <c r="T451" s="575">
        <v>1.91</v>
      </c>
      <c r="U451" s="575">
        <v>160.0</v>
      </c>
      <c r="V451" s="448"/>
      <c r="W451" s="448"/>
      <c r="X451" s="448"/>
      <c r="Y451" s="448"/>
    </row>
    <row r="452">
      <c r="A452" s="455" t="s">
        <v>513</v>
      </c>
      <c r="B452" s="455" t="s">
        <v>513</v>
      </c>
      <c r="C452" s="455" t="s">
        <v>476</v>
      </c>
      <c r="D452" s="448"/>
      <c r="E452" s="448"/>
      <c r="F452" s="448"/>
      <c r="G452" s="575">
        <v>1.67E-13</v>
      </c>
      <c r="H452" s="575">
        <v>4.03E-14</v>
      </c>
      <c r="I452" s="575">
        <v>3.14E-14</v>
      </c>
      <c r="J452" s="575">
        <v>4.94E-15</v>
      </c>
      <c r="K452" s="575">
        <v>5.77E-15</v>
      </c>
      <c r="L452" s="575">
        <v>1.21E-15</v>
      </c>
      <c r="M452" s="575">
        <v>3.23E-15</v>
      </c>
      <c r="N452" s="575">
        <v>1.52E-15</v>
      </c>
      <c r="O452" s="575">
        <v>4.19E-15</v>
      </c>
      <c r="P452" s="575">
        <v>9.81E-15</v>
      </c>
      <c r="Q452" s="455"/>
      <c r="R452" s="448"/>
      <c r="S452" s="575">
        <v>0.16</v>
      </c>
      <c r="T452" s="575">
        <v>0.9</v>
      </c>
      <c r="U452" s="575">
        <v>160.0</v>
      </c>
      <c r="V452" s="448"/>
      <c r="W452" s="448"/>
      <c r="X452" s="448"/>
      <c r="Y452" s="448"/>
    </row>
    <row r="453">
      <c r="A453" s="455" t="s">
        <v>517</v>
      </c>
      <c r="B453" s="455" t="s">
        <v>518</v>
      </c>
      <c r="C453" s="455" t="s">
        <v>476</v>
      </c>
      <c r="D453" s="448"/>
      <c r="E453" s="448"/>
      <c r="F453" s="448"/>
      <c r="G453" s="448"/>
      <c r="H453" s="448"/>
      <c r="I453" s="448"/>
      <c r="J453" s="448"/>
      <c r="K453" s="448"/>
      <c r="L453" s="448"/>
      <c r="M453" s="448"/>
      <c r="N453" s="448"/>
      <c r="O453" s="448"/>
      <c r="P453" s="448"/>
      <c r="Q453" s="455"/>
      <c r="R453" s="448"/>
      <c r="S453" s="575">
        <v>0.18</v>
      </c>
      <c r="T453" s="575">
        <v>1.43</v>
      </c>
      <c r="U453" s="575">
        <v>137.0</v>
      </c>
      <c r="V453" s="448"/>
      <c r="W453" s="448"/>
      <c r="X453" s="448"/>
      <c r="Y453" s="448"/>
    </row>
    <row r="454">
      <c r="A454" s="455" t="s">
        <v>542</v>
      </c>
      <c r="B454" s="455" t="s">
        <v>543</v>
      </c>
      <c r="C454" s="455" t="s">
        <v>476</v>
      </c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55"/>
      <c r="R454" s="448"/>
      <c r="S454" s="575">
        <v>0.25</v>
      </c>
      <c r="T454" s="575">
        <v>1.41</v>
      </c>
      <c r="U454" s="575">
        <v>159.0</v>
      </c>
      <c r="V454" s="448"/>
      <c r="W454" s="448"/>
      <c r="X454" s="448"/>
      <c r="Y454" s="448"/>
    </row>
    <row r="455">
      <c r="A455" s="455" t="s">
        <v>519</v>
      </c>
      <c r="B455" s="455" t="s">
        <v>520</v>
      </c>
      <c r="C455" s="455" t="s">
        <v>476</v>
      </c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8"/>
      <c r="O455" s="448"/>
      <c r="P455" s="448"/>
      <c r="Q455" s="455"/>
      <c r="R455" s="448"/>
      <c r="S455" s="575">
        <v>0.18</v>
      </c>
      <c r="T455" s="575">
        <v>1.11</v>
      </c>
      <c r="U455" s="575">
        <v>165.0</v>
      </c>
      <c r="V455" s="448"/>
      <c r="W455" s="448"/>
      <c r="X455" s="448"/>
      <c r="Y455" s="448"/>
    </row>
    <row r="456">
      <c r="A456" s="455" t="s">
        <v>569</v>
      </c>
      <c r="B456" s="455" t="s">
        <v>570</v>
      </c>
      <c r="C456" s="455" t="s">
        <v>476</v>
      </c>
      <c r="D456" s="448"/>
      <c r="E456" s="448"/>
      <c r="F456" s="448"/>
      <c r="G456" s="448"/>
      <c r="H456" s="448"/>
      <c r="I456" s="448"/>
      <c r="J456" s="448"/>
      <c r="K456" s="448"/>
      <c r="L456" s="448"/>
      <c r="M456" s="448"/>
      <c r="N456" s="448"/>
      <c r="O456" s="448"/>
      <c r="P456" s="448"/>
      <c r="Q456" s="455"/>
      <c r="R456" s="448"/>
      <c r="S456" s="575">
        <v>0.51</v>
      </c>
      <c r="T456" s="575">
        <v>0.72</v>
      </c>
      <c r="U456" s="575">
        <v>162.0</v>
      </c>
      <c r="V456" s="448"/>
      <c r="W456" s="448"/>
      <c r="X456" s="448"/>
      <c r="Y456" s="448"/>
    </row>
    <row r="457">
      <c r="A457" s="455" t="s">
        <v>544</v>
      </c>
      <c r="B457" s="455" t="s">
        <v>544</v>
      </c>
      <c r="C457" s="455" t="s">
        <v>476</v>
      </c>
      <c r="D457" s="448"/>
      <c r="E457" s="448"/>
      <c r="F457" s="448"/>
      <c r="G457" s="448"/>
      <c r="H457" s="448"/>
      <c r="I457" s="448"/>
      <c r="J457" s="448"/>
      <c r="K457" s="448"/>
      <c r="L457" s="448"/>
      <c r="M457" s="448"/>
      <c r="N457" s="448"/>
      <c r="O457" s="448"/>
      <c r="P457" s="448"/>
      <c r="Q457" s="455"/>
      <c r="R457" s="448"/>
      <c r="S457" s="575">
        <v>0.26</v>
      </c>
      <c r="T457" s="575">
        <v>1.61</v>
      </c>
      <c r="U457" s="575">
        <v>160.0</v>
      </c>
      <c r="V457" s="448"/>
      <c r="W457" s="448"/>
      <c r="X457" s="448"/>
      <c r="Y457" s="448"/>
    </row>
    <row r="458">
      <c r="A458" s="455" t="s">
        <v>561</v>
      </c>
      <c r="B458" s="455" t="s">
        <v>561</v>
      </c>
      <c r="C458" s="455" t="s">
        <v>476</v>
      </c>
      <c r="D458" s="448"/>
      <c r="E458" s="448"/>
      <c r="F458" s="448"/>
      <c r="G458" s="448"/>
      <c r="H458" s="448"/>
      <c r="I458" s="448"/>
      <c r="J458" s="448"/>
      <c r="K458" s="448"/>
      <c r="L458" s="448"/>
      <c r="M458" s="448"/>
      <c r="N458" s="448"/>
      <c r="O458" s="448"/>
      <c r="P458" s="448"/>
      <c r="Q458" s="455"/>
      <c r="R458" s="448"/>
      <c r="S458" s="575">
        <v>0.46</v>
      </c>
      <c r="T458" s="575">
        <v>1.4</v>
      </c>
      <c r="U458" s="575">
        <v>158.0</v>
      </c>
      <c r="V458" s="448"/>
      <c r="W458" s="448"/>
      <c r="X458" s="448"/>
      <c r="Y458" s="448"/>
    </row>
    <row r="459">
      <c r="A459" s="455" t="s">
        <v>526</v>
      </c>
      <c r="B459" s="455" t="s">
        <v>526</v>
      </c>
      <c r="C459" s="455" t="s">
        <v>476</v>
      </c>
      <c r="D459" s="448"/>
      <c r="E459" s="448"/>
      <c r="F459" s="448"/>
      <c r="G459" s="448"/>
      <c r="H459" s="448"/>
      <c r="I459" s="448"/>
      <c r="J459" s="448"/>
      <c r="K459" s="448"/>
      <c r="L459" s="448"/>
      <c r="M459" s="448"/>
      <c r="N459" s="448"/>
      <c r="O459" s="448"/>
      <c r="P459" s="448"/>
      <c r="Q459" s="455"/>
      <c r="R459" s="448"/>
      <c r="S459" s="575">
        <v>0.2</v>
      </c>
      <c r="T459" s="575">
        <v>1.52</v>
      </c>
      <c r="U459" s="575">
        <v>160.0</v>
      </c>
      <c r="V459" s="448"/>
      <c r="W459" s="448"/>
      <c r="X459" s="448"/>
      <c r="Y459" s="448"/>
    </row>
    <row r="460">
      <c r="A460" s="455" t="s">
        <v>523</v>
      </c>
      <c r="B460" s="455" t="s">
        <v>523</v>
      </c>
      <c r="C460" s="455" t="s">
        <v>476</v>
      </c>
      <c r="D460" s="448"/>
      <c r="E460" s="448"/>
      <c r="F460" s="448"/>
      <c r="G460" s="448"/>
      <c r="H460" s="448"/>
      <c r="I460" s="448"/>
      <c r="J460" s="448"/>
      <c r="K460" s="448"/>
      <c r="L460" s="448"/>
      <c r="M460" s="448"/>
      <c r="N460" s="448"/>
      <c r="O460" s="448"/>
      <c r="P460" s="448"/>
      <c r="Q460" s="455"/>
      <c r="R460" s="448"/>
      <c r="S460" s="575">
        <v>0.19</v>
      </c>
      <c r="T460" s="575">
        <v>0.83</v>
      </c>
      <c r="U460" s="575">
        <v>163.0</v>
      </c>
      <c r="V460" s="448"/>
      <c r="W460" s="448"/>
      <c r="X460" s="448"/>
      <c r="Y460" s="448"/>
    </row>
    <row r="461">
      <c r="A461" s="455" t="s">
        <v>533</v>
      </c>
      <c r="B461" s="455" t="s">
        <v>533</v>
      </c>
      <c r="C461" s="455" t="s">
        <v>476</v>
      </c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55"/>
      <c r="R461" s="448"/>
      <c r="S461" s="575">
        <v>0.23</v>
      </c>
      <c r="T461" s="575">
        <v>1.82</v>
      </c>
      <c r="U461" s="575">
        <v>162.0</v>
      </c>
      <c r="V461" s="448"/>
      <c r="W461" s="448"/>
      <c r="X461" s="448"/>
      <c r="Y461" s="448"/>
    </row>
    <row r="462">
      <c r="A462" s="455" t="s">
        <v>530</v>
      </c>
      <c r="B462" s="455" t="s">
        <v>530</v>
      </c>
      <c r="C462" s="455" t="s">
        <v>476</v>
      </c>
      <c r="D462" s="448"/>
      <c r="E462" s="448"/>
      <c r="F462" s="448"/>
      <c r="G462" s="448"/>
      <c r="H462" s="448"/>
      <c r="I462" s="448"/>
      <c r="J462" s="448"/>
      <c r="K462" s="448"/>
      <c r="L462" s="448"/>
      <c r="M462" s="448"/>
      <c r="N462" s="448"/>
      <c r="O462" s="448"/>
      <c r="P462" s="448"/>
      <c r="Q462" s="455"/>
      <c r="R462" s="448"/>
      <c r="S462" s="575">
        <v>0.22</v>
      </c>
      <c r="T462" s="575">
        <v>1.36</v>
      </c>
      <c r="U462" s="575">
        <v>158.0</v>
      </c>
      <c r="V462" s="448"/>
      <c r="W462" s="448"/>
      <c r="X462" s="448"/>
      <c r="Y462" s="448"/>
    </row>
    <row r="463">
      <c r="A463" s="455" t="s">
        <v>548</v>
      </c>
      <c r="B463" s="455" t="s">
        <v>548</v>
      </c>
      <c r="C463" s="455" t="s">
        <v>476</v>
      </c>
      <c r="D463" s="448"/>
      <c r="E463" s="448"/>
      <c r="F463" s="448"/>
      <c r="G463" s="575">
        <v>1.71E-13</v>
      </c>
      <c r="H463" s="575">
        <v>4.36E-14</v>
      </c>
      <c r="I463" s="575">
        <v>3.16E-14</v>
      </c>
      <c r="J463" s="575">
        <v>6.86E-15</v>
      </c>
      <c r="K463" s="575">
        <v>1.14E-14</v>
      </c>
      <c r="L463" s="575">
        <v>2.72E-15</v>
      </c>
      <c r="M463" s="575">
        <v>5.48E-15</v>
      </c>
      <c r="N463" s="575">
        <v>1.64E-15</v>
      </c>
      <c r="O463" s="575">
        <v>1.28E-14</v>
      </c>
      <c r="P463" s="575">
        <v>1.54E-14</v>
      </c>
      <c r="Q463" s="455"/>
      <c r="R463" s="448"/>
      <c r="S463" s="575">
        <v>0.29</v>
      </c>
      <c r="T463" s="575">
        <v>2.0</v>
      </c>
      <c r="U463" s="575">
        <v>159.0</v>
      </c>
      <c r="V463" s="448"/>
      <c r="W463" s="448"/>
      <c r="X463" s="448"/>
      <c r="Y463" s="448"/>
    </row>
    <row r="464">
      <c r="A464" s="455" t="s">
        <v>585</v>
      </c>
      <c r="B464" s="455" t="s">
        <v>585</v>
      </c>
      <c r="C464" s="455" t="s">
        <v>476</v>
      </c>
      <c r="D464" s="448"/>
      <c r="E464" s="448"/>
      <c r="F464" s="448"/>
      <c r="G464" s="575">
        <v>5.98E-13</v>
      </c>
      <c r="H464" s="575">
        <v>1.97E-13</v>
      </c>
      <c r="I464" s="575">
        <v>1.55E-13</v>
      </c>
      <c r="J464" s="575">
        <v>5.27E-14</v>
      </c>
      <c r="K464" s="575">
        <v>8.69E-14</v>
      </c>
      <c r="L464" s="575">
        <v>8.62E-15</v>
      </c>
      <c r="M464" s="575">
        <v>4.32E-14</v>
      </c>
      <c r="N464" s="575">
        <v>7.23E-15</v>
      </c>
      <c r="O464" s="575">
        <v>1.18E-13</v>
      </c>
      <c r="P464" s="575">
        <v>1.15E-13</v>
      </c>
      <c r="Q464" s="455"/>
      <c r="R464" s="448"/>
      <c r="S464" s="575">
        <v>1.09</v>
      </c>
      <c r="T464" s="575">
        <v>1.82</v>
      </c>
      <c r="U464" s="575">
        <v>164.0</v>
      </c>
      <c r="V464" s="448"/>
      <c r="W464" s="448"/>
      <c r="X464" s="448"/>
      <c r="Y464" s="448"/>
    </row>
    <row r="465">
      <c r="A465" s="455" t="s">
        <v>581</v>
      </c>
      <c r="B465" s="455" t="s">
        <v>581</v>
      </c>
      <c r="C465" s="455" t="s">
        <v>476</v>
      </c>
      <c r="D465" s="448"/>
      <c r="E465" s="448"/>
      <c r="F465" s="448"/>
      <c r="G465" s="575">
        <v>1.13E-12</v>
      </c>
      <c r="H465" s="575">
        <v>5.07E-13</v>
      </c>
      <c r="I465" s="575">
        <v>4.14E-13</v>
      </c>
      <c r="J465" s="575">
        <v>6.14E-14</v>
      </c>
      <c r="K465" s="575">
        <v>1.1E-13</v>
      </c>
      <c r="L465" s="575">
        <v>1.62E-14</v>
      </c>
      <c r="M465" s="575">
        <v>7.06E-14</v>
      </c>
      <c r="N465" s="575">
        <v>2.33E-14</v>
      </c>
      <c r="O465" s="575">
        <v>1.54E-13</v>
      </c>
      <c r="P465" s="575">
        <v>2.02E-13</v>
      </c>
      <c r="Q465" s="455"/>
      <c r="R465" s="448"/>
      <c r="S465" s="575">
        <v>0.8</v>
      </c>
      <c r="T465" s="575">
        <v>1.23</v>
      </c>
      <c r="U465" s="575">
        <v>162.0</v>
      </c>
      <c r="V465" s="448"/>
      <c r="W465" s="448"/>
      <c r="X465" s="448"/>
      <c r="Y465" s="448"/>
    </row>
    <row r="466">
      <c r="A466" s="455" t="s">
        <v>555</v>
      </c>
      <c r="B466" s="455" t="s">
        <v>555</v>
      </c>
      <c r="C466" s="455" t="s">
        <v>476</v>
      </c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55"/>
      <c r="R466" s="448"/>
      <c r="S466" s="575">
        <v>0.37</v>
      </c>
      <c r="T466" s="575">
        <v>1.03</v>
      </c>
      <c r="U466" s="575">
        <v>160.0</v>
      </c>
      <c r="V466" s="448"/>
      <c r="W466" s="448"/>
      <c r="X466" s="448"/>
      <c r="Y466" s="448"/>
    </row>
    <row r="467">
      <c r="A467" s="455" t="s">
        <v>549</v>
      </c>
      <c r="B467" s="455" t="s">
        <v>549</v>
      </c>
      <c r="C467" s="455" t="s">
        <v>476</v>
      </c>
      <c r="D467" s="448"/>
      <c r="E467" s="448"/>
      <c r="F467" s="448"/>
      <c r="G467" s="575">
        <v>1.02E-13</v>
      </c>
      <c r="H467" s="575">
        <v>2.68E-14</v>
      </c>
      <c r="I467" s="575">
        <v>2.17E-14</v>
      </c>
      <c r="J467" s="575">
        <v>3.01E-15</v>
      </c>
      <c r="K467" s="575">
        <v>9.02E-15</v>
      </c>
      <c r="L467" s="575">
        <v>2.74E-15</v>
      </c>
      <c r="M467" s="575">
        <v>4.39E-15</v>
      </c>
      <c r="N467" s="575">
        <v>2.04E-15</v>
      </c>
      <c r="O467" s="575">
        <v>1.0E-14</v>
      </c>
      <c r="P467" s="575">
        <v>1.41E-14</v>
      </c>
      <c r="Q467" s="455"/>
      <c r="R467" s="448"/>
      <c r="S467" s="575">
        <v>0.3</v>
      </c>
      <c r="T467" s="575">
        <v>1.04</v>
      </c>
      <c r="U467" s="575">
        <v>160.0</v>
      </c>
      <c r="V467" s="448"/>
      <c r="W467" s="448"/>
      <c r="X467" s="448"/>
      <c r="Y467" s="448"/>
    </row>
    <row r="468">
      <c r="A468" s="455" t="s">
        <v>578</v>
      </c>
      <c r="B468" s="455" t="s">
        <v>578</v>
      </c>
      <c r="C468" s="455" t="s">
        <v>476</v>
      </c>
      <c r="D468" s="448"/>
      <c r="E468" s="448"/>
      <c r="F468" s="448"/>
      <c r="G468" s="575">
        <v>2.55E-13</v>
      </c>
      <c r="H468" s="575">
        <v>2.87E-14</v>
      </c>
      <c r="I468" s="448"/>
      <c r="J468" s="575">
        <v>1.38E-14</v>
      </c>
      <c r="K468" s="575">
        <v>7.58E-15</v>
      </c>
      <c r="L468" s="575">
        <v>8.23E-15</v>
      </c>
      <c r="M468" s="575">
        <v>5.12E-15</v>
      </c>
      <c r="N468" s="448"/>
      <c r="O468" s="575">
        <v>6.34E-14</v>
      </c>
      <c r="P468" s="575">
        <v>5.31E-14</v>
      </c>
      <c r="Q468" s="455" t="s">
        <v>137</v>
      </c>
      <c r="R468" s="455" t="s">
        <v>492</v>
      </c>
      <c r="S468" s="575">
        <v>0.76</v>
      </c>
      <c r="T468" s="575">
        <v>1.84</v>
      </c>
      <c r="U468" s="575">
        <v>155.0</v>
      </c>
      <c r="V468" s="448"/>
      <c r="W468" s="448"/>
      <c r="X468" s="448"/>
      <c r="Y468" s="448"/>
    </row>
    <row r="469">
      <c r="A469" s="455" t="s">
        <v>550</v>
      </c>
      <c r="B469" s="455" t="s">
        <v>550</v>
      </c>
      <c r="C469" s="455" t="s">
        <v>476</v>
      </c>
      <c r="D469" s="448"/>
      <c r="E469" s="448"/>
      <c r="F469" s="448"/>
      <c r="G469" s="448"/>
      <c r="H469" s="448"/>
      <c r="I469" s="448"/>
      <c r="J469" s="448"/>
      <c r="K469" s="448"/>
      <c r="L469" s="448"/>
      <c r="M469" s="448"/>
      <c r="N469" s="448"/>
      <c r="O469" s="448"/>
      <c r="P469" s="448"/>
      <c r="Q469" s="455"/>
      <c r="R469" s="448"/>
      <c r="S469" s="575">
        <v>0.31</v>
      </c>
      <c r="T469" s="575">
        <v>1.29</v>
      </c>
      <c r="U469" s="575">
        <v>157.0</v>
      </c>
      <c r="V469" s="448"/>
      <c r="W469" s="448"/>
      <c r="X469" s="448"/>
      <c r="Y469" s="448"/>
    </row>
    <row r="470">
      <c r="A470" s="455" t="s">
        <v>591</v>
      </c>
      <c r="B470" s="455" t="s">
        <v>591</v>
      </c>
      <c r="C470" s="455" t="s">
        <v>476</v>
      </c>
      <c r="D470" s="448"/>
      <c r="E470" s="448"/>
      <c r="F470" s="448"/>
      <c r="G470" s="575">
        <v>5.06E-12</v>
      </c>
      <c r="H470" s="448"/>
      <c r="I470" s="448"/>
      <c r="J470" s="575">
        <v>4.72E-13</v>
      </c>
      <c r="K470" s="575">
        <v>2.82E-13</v>
      </c>
      <c r="L470" s="575">
        <v>6.78E-14</v>
      </c>
      <c r="M470" s="575">
        <v>7.97E-14</v>
      </c>
      <c r="N470" s="448"/>
      <c r="O470" s="575">
        <v>5.26E-13</v>
      </c>
      <c r="P470" s="575">
        <v>3.82E-13</v>
      </c>
      <c r="Q470" s="455" t="s">
        <v>137</v>
      </c>
      <c r="R470" s="455" t="s">
        <v>492</v>
      </c>
      <c r="S470" s="575">
        <v>2.13</v>
      </c>
      <c r="T470" s="575">
        <v>3.14</v>
      </c>
      <c r="U470" s="575">
        <v>154.0</v>
      </c>
      <c r="V470" s="448"/>
      <c r="W470" s="448"/>
      <c r="X470" s="448"/>
      <c r="Y470" s="448"/>
    </row>
    <row r="471">
      <c r="A471" s="455" t="s">
        <v>521</v>
      </c>
      <c r="B471" s="455" t="s">
        <v>521</v>
      </c>
      <c r="C471" s="455" t="s">
        <v>476</v>
      </c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8"/>
      <c r="O471" s="448"/>
      <c r="P471" s="448"/>
      <c r="Q471" s="455"/>
      <c r="R471" s="448"/>
      <c r="S471" s="575">
        <v>0.19</v>
      </c>
      <c r="T471" s="575">
        <v>0.97</v>
      </c>
      <c r="U471" s="575">
        <v>155.0</v>
      </c>
      <c r="V471" s="448"/>
      <c r="W471" s="448"/>
      <c r="X471" s="448"/>
      <c r="Y471" s="448"/>
    </row>
    <row r="472">
      <c r="A472" s="455" t="s">
        <v>557</v>
      </c>
      <c r="B472" s="455" t="s">
        <v>557</v>
      </c>
      <c r="C472" s="455" t="s">
        <v>476</v>
      </c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55"/>
      <c r="R472" s="448"/>
      <c r="S472" s="575">
        <v>0.42</v>
      </c>
      <c r="T472" s="575">
        <v>1.43</v>
      </c>
      <c r="U472" s="575">
        <v>156.0</v>
      </c>
      <c r="V472" s="448"/>
      <c r="W472" s="448"/>
      <c r="X472" s="448"/>
      <c r="Y472" s="448"/>
    </row>
    <row r="473">
      <c r="A473" s="455" t="s">
        <v>556</v>
      </c>
      <c r="B473" s="455" t="s">
        <v>556</v>
      </c>
      <c r="C473" s="455" t="s">
        <v>476</v>
      </c>
      <c r="D473" s="448"/>
      <c r="E473" s="448"/>
      <c r="F473" s="448"/>
      <c r="G473" s="448"/>
      <c r="H473" s="448"/>
      <c r="I473" s="448"/>
      <c r="J473" s="448"/>
      <c r="K473" s="448"/>
      <c r="L473" s="448"/>
      <c r="M473" s="448"/>
      <c r="N473" s="448"/>
      <c r="O473" s="448"/>
      <c r="P473" s="448"/>
      <c r="Q473" s="455"/>
      <c r="R473" s="448"/>
      <c r="S473" s="575">
        <v>0.38</v>
      </c>
      <c r="T473" s="575">
        <v>1.29</v>
      </c>
      <c r="U473" s="575">
        <v>156.0</v>
      </c>
      <c r="V473" s="448"/>
      <c r="W473" s="448"/>
      <c r="X473" s="448"/>
      <c r="Y473" s="448"/>
    </row>
    <row r="474">
      <c r="A474" s="455" t="s">
        <v>582</v>
      </c>
      <c r="B474" s="455" t="s">
        <v>582</v>
      </c>
      <c r="C474" s="455" t="s">
        <v>476</v>
      </c>
      <c r="D474" s="448"/>
      <c r="E474" s="448"/>
      <c r="F474" s="448"/>
      <c r="G474" s="448"/>
      <c r="H474" s="448"/>
      <c r="I474" s="448"/>
      <c r="J474" s="448"/>
      <c r="K474" s="448"/>
      <c r="L474" s="448"/>
      <c r="M474" s="448"/>
      <c r="N474" s="448"/>
      <c r="O474" s="448"/>
      <c r="P474" s="448"/>
      <c r="Q474" s="455"/>
      <c r="R474" s="448"/>
      <c r="S474" s="575">
        <v>0.82</v>
      </c>
      <c r="T474" s="575">
        <v>1.35</v>
      </c>
      <c r="U474" s="575">
        <v>157.0</v>
      </c>
      <c r="V474" s="448"/>
      <c r="W474" s="448"/>
      <c r="X474" s="448"/>
      <c r="Y474" s="448"/>
    </row>
    <row r="475">
      <c r="A475" s="455" t="s">
        <v>547</v>
      </c>
      <c r="B475" s="455" t="s">
        <v>547</v>
      </c>
      <c r="C475" s="455" t="s">
        <v>476</v>
      </c>
      <c r="D475" s="448"/>
      <c r="E475" s="448"/>
      <c r="F475" s="448"/>
      <c r="G475" s="448"/>
      <c r="H475" s="448"/>
      <c r="I475" s="448"/>
      <c r="J475" s="448"/>
      <c r="K475" s="448"/>
      <c r="L475" s="448"/>
      <c r="M475" s="448"/>
      <c r="N475" s="448"/>
      <c r="O475" s="448"/>
      <c r="P475" s="448"/>
      <c r="Q475" s="455"/>
      <c r="R475" s="448"/>
      <c r="S475" s="575">
        <v>0.29</v>
      </c>
      <c r="T475" s="575">
        <v>3.13</v>
      </c>
      <c r="U475" s="448"/>
      <c r="V475" s="448"/>
      <c r="W475" s="448"/>
      <c r="X475" s="448"/>
      <c r="Y475" s="448"/>
    </row>
    <row r="476">
      <c r="A476" s="455" t="s">
        <v>540</v>
      </c>
      <c r="B476" s="455" t="s">
        <v>540</v>
      </c>
      <c r="C476" s="455" t="s">
        <v>476</v>
      </c>
      <c r="D476" s="448"/>
      <c r="E476" s="448"/>
      <c r="F476" s="448"/>
      <c r="G476" s="575">
        <v>1.56E-13</v>
      </c>
      <c r="H476" s="575">
        <v>3.15E-14</v>
      </c>
      <c r="I476" s="575">
        <v>1.62E-14</v>
      </c>
      <c r="J476" s="575">
        <v>9.78E-15</v>
      </c>
      <c r="K476" s="575">
        <v>1.12E-14</v>
      </c>
      <c r="L476" s="575">
        <v>3.9E-15</v>
      </c>
      <c r="M476" s="575">
        <v>2.62E-15</v>
      </c>
      <c r="N476" s="575">
        <v>1.9E-15</v>
      </c>
      <c r="O476" s="575">
        <v>1.32E-14</v>
      </c>
      <c r="P476" s="575">
        <v>1.41E-14</v>
      </c>
      <c r="Q476" s="455"/>
      <c r="R476" s="448"/>
      <c r="S476" s="575">
        <v>0.25</v>
      </c>
      <c r="T476" s="575">
        <v>1.24</v>
      </c>
      <c r="U476" s="575">
        <v>160.0</v>
      </c>
      <c r="V476" s="448"/>
      <c r="W476" s="448"/>
      <c r="X476" s="448"/>
      <c r="Y476" s="448"/>
    </row>
    <row r="477">
      <c r="A477" s="455" t="s">
        <v>579</v>
      </c>
      <c r="B477" s="455" t="s">
        <v>579</v>
      </c>
      <c r="C477" s="455" t="s">
        <v>476</v>
      </c>
      <c r="D477" s="448"/>
      <c r="E477" s="448"/>
      <c r="F477" s="448"/>
      <c r="G477" s="575">
        <v>4.13E-13</v>
      </c>
      <c r="H477" s="575">
        <v>1.0E-13</v>
      </c>
      <c r="I477" s="575">
        <v>6.93E-14</v>
      </c>
      <c r="J477" s="575">
        <v>9.46E-14</v>
      </c>
      <c r="K477" s="575">
        <v>1.48E-13</v>
      </c>
      <c r="L477" s="575">
        <v>2.59E-14</v>
      </c>
      <c r="M477" s="575">
        <v>1.17E-14</v>
      </c>
      <c r="N477" s="575">
        <v>5.06E-15</v>
      </c>
      <c r="O477" s="575">
        <v>6.2E-14</v>
      </c>
      <c r="P477" s="575">
        <v>7.6E-14</v>
      </c>
      <c r="Q477" s="455"/>
      <c r="R477" s="448"/>
      <c r="S477" s="575">
        <v>0.79</v>
      </c>
      <c r="T477" s="575">
        <v>1.5</v>
      </c>
      <c r="U477" s="575">
        <v>155.0</v>
      </c>
      <c r="V477" s="448"/>
      <c r="W477" s="448"/>
      <c r="X477" s="448"/>
      <c r="Y477" s="448"/>
    </row>
    <row r="478">
      <c r="A478" s="455" t="s">
        <v>577</v>
      </c>
      <c r="B478" s="455" t="s">
        <v>577</v>
      </c>
      <c r="C478" s="455" t="s">
        <v>476</v>
      </c>
      <c r="D478" s="448"/>
      <c r="E478" s="448"/>
      <c r="F478" s="448"/>
      <c r="G478" s="448"/>
      <c r="H478" s="448"/>
      <c r="I478" s="448"/>
      <c r="J478" s="448"/>
      <c r="K478" s="448"/>
      <c r="L478" s="448"/>
      <c r="M478" s="448"/>
      <c r="N478" s="448"/>
      <c r="O478" s="448"/>
      <c r="P478" s="448"/>
      <c r="Q478" s="455"/>
      <c r="R478" s="448"/>
      <c r="S478" s="575">
        <v>0.75</v>
      </c>
      <c r="T478" s="575">
        <v>2.39</v>
      </c>
      <c r="U478" s="575">
        <v>160.0</v>
      </c>
      <c r="V478" s="448"/>
      <c r="W478" s="448"/>
      <c r="X478" s="448"/>
      <c r="Y478" s="448"/>
    </row>
    <row r="479">
      <c r="A479" s="455" t="s">
        <v>516</v>
      </c>
      <c r="B479" s="455" t="s">
        <v>516</v>
      </c>
      <c r="C479" s="455" t="s">
        <v>476</v>
      </c>
      <c r="D479" s="448"/>
      <c r="E479" s="448"/>
      <c r="F479" s="448"/>
      <c r="G479" s="448"/>
      <c r="H479" s="448"/>
      <c r="I479" s="448"/>
      <c r="J479" s="448"/>
      <c r="K479" s="448"/>
      <c r="L479" s="448"/>
      <c r="M479" s="448"/>
      <c r="N479" s="448"/>
      <c r="O479" s="448"/>
      <c r="P479" s="448"/>
      <c r="Q479" s="455"/>
      <c r="R479" s="448"/>
      <c r="S479" s="575">
        <v>0.18</v>
      </c>
      <c r="T479" s="575">
        <v>1.21</v>
      </c>
      <c r="U479" s="575">
        <v>153.0</v>
      </c>
      <c r="V479" s="448"/>
      <c r="W479" s="448"/>
      <c r="X479" s="448"/>
      <c r="Y479" s="448"/>
    </row>
    <row r="480">
      <c r="A480" s="455" t="s">
        <v>580</v>
      </c>
      <c r="B480" s="455" t="s">
        <v>580</v>
      </c>
      <c r="C480" s="455" t="s">
        <v>476</v>
      </c>
      <c r="D480" s="448"/>
      <c r="E480" s="448"/>
      <c r="F480" s="448"/>
      <c r="G480" s="575">
        <v>6.01E-13</v>
      </c>
      <c r="H480" s="575">
        <v>1.65E-13</v>
      </c>
      <c r="I480" s="575">
        <v>9.79E-14</v>
      </c>
      <c r="J480" s="575">
        <v>5.77E-14</v>
      </c>
      <c r="K480" s="575">
        <v>6.59E-14</v>
      </c>
      <c r="L480" s="575">
        <v>1.93E-14</v>
      </c>
      <c r="M480" s="575">
        <v>1.78E-14</v>
      </c>
      <c r="N480" s="575">
        <v>5.42E-15</v>
      </c>
      <c r="O480" s="575">
        <v>8.55E-14</v>
      </c>
      <c r="P480" s="575">
        <v>5.26E-14</v>
      </c>
      <c r="Q480" s="455"/>
      <c r="R480" s="448"/>
      <c r="S480" s="575">
        <v>0.79</v>
      </c>
      <c r="T480" s="575">
        <v>1.64</v>
      </c>
      <c r="U480" s="575">
        <v>160.0</v>
      </c>
      <c r="V480" s="448"/>
      <c r="W480" s="448"/>
      <c r="X480" s="448"/>
      <c r="Y480" s="448"/>
    </row>
    <row r="481">
      <c r="A481" s="455" t="s">
        <v>566</v>
      </c>
      <c r="B481" s="455" t="s">
        <v>566</v>
      </c>
      <c r="C481" s="455" t="s">
        <v>476</v>
      </c>
      <c r="D481" s="448"/>
      <c r="E481" s="448"/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55"/>
      <c r="R481" s="448"/>
      <c r="S481" s="575">
        <v>0.47</v>
      </c>
      <c r="T481" s="575">
        <v>1.36</v>
      </c>
      <c r="U481" s="575">
        <v>159.0</v>
      </c>
      <c r="V481" s="448"/>
      <c r="W481" s="448"/>
      <c r="X481" s="448"/>
      <c r="Y481" s="448"/>
    </row>
    <row r="482">
      <c r="A482" s="455" t="s">
        <v>552</v>
      </c>
      <c r="B482" s="455" t="s">
        <v>552</v>
      </c>
      <c r="C482" s="455" t="s">
        <v>476</v>
      </c>
      <c r="D482" s="448"/>
      <c r="E482" s="448"/>
      <c r="F482" s="448"/>
      <c r="G482" s="575">
        <v>3.51E-14</v>
      </c>
      <c r="H482" s="575">
        <v>1.09E-14</v>
      </c>
      <c r="I482" s="575">
        <v>6.87E-15</v>
      </c>
      <c r="J482" s="575">
        <v>2.17E-15</v>
      </c>
      <c r="K482" s="575">
        <v>1.24E-15</v>
      </c>
      <c r="L482" s="575">
        <v>9.77E-16</v>
      </c>
      <c r="M482" s="575">
        <v>1.77E-15</v>
      </c>
      <c r="N482" s="575">
        <v>1.46E-15</v>
      </c>
      <c r="O482" s="575">
        <v>1.21E-14</v>
      </c>
      <c r="P482" s="575">
        <v>1.02E-14</v>
      </c>
      <c r="Q482" s="455"/>
      <c r="R482" s="448"/>
      <c r="S482" s="575">
        <v>0.33</v>
      </c>
      <c r="T482" s="575">
        <v>1.84</v>
      </c>
      <c r="U482" s="575">
        <v>158.0</v>
      </c>
      <c r="V482" s="448"/>
      <c r="W482" s="448"/>
      <c r="X482" s="448"/>
      <c r="Y482" s="448"/>
    </row>
    <row r="483">
      <c r="A483" s="455" t="s">
        <v>559</v>
      </c>
      <c r="B483" s="455" t="s">
        <v>559</v>
      </c>
      <c r="C483" s="455" t="s">
        <v>476</v>
      </c>
      <c r="D483" s="448"/>
      <c r="E483" s="448"/>
      <c r="F483" s="448"/>
      <c r="G483" s="575">
        <v>1.63E-13</v>
      </c>
      <c r="H483" s="575">
        <v>5.64E-14</v>
      </c>
      <c r="I483" s="575">
        <v>4.45E-14</v>
      </c>
      <c r="J483" s="575">
        <v>2.66E-14</v>
      </c>
      <c r="K483" s="575">
        <v>5.98E-15</v>
      </c>
      <c r="L483" s="575">
        <v>7.98E-15</v>
      </c>
      <c r="M483" s="575">
        <v>7.55E-15</v>
      </c>
      <c r="N483" s="575">
        <v>3.06E-15</v>
      </c>
      <c r="O483" s="575">
        <v>4.7E-14</v>
      </c>
      <c r="P483" s="575">
        <v>4.24E-14</v>
      </c>
      <c r="Q483" s="455"/>
      <c r="R483" s="448"/>
      <c r="S483" s="575">
        <v>0.46</v>
      </c>
      <c r="T483" s="575">
        <v>2.02</v>
      </c>
      <c r="U483" s="575">
        <v>157.0</v>
      </c>
      <c r="V483" s="448"/>
      <c r="W483" s="448"/>
      <c r="X483" s="448"/>
      <c r="Y483" s="448"/>
    </row>
    <row r="484">
      <c r="A484" s="455" t="s">
        <v>541</v>
      </c>
      <c r="B484" s="455" t="s">
        <v>541</v>
      </c>
      <c r="C484" s="455" t="s">
        <v>476</v>
      </c>
      <c r="D484" s="448"/>
      <c r="E484" s="448"/>
      <c r="F484" s="448"/>
      <c r="G484" s="448"/>
      <c r="H484" s="448"/>
      <c r="I484" s="448"/>
      <c r="J484" s="448"/>
      <c r="K484" s="448"/>
      <c r="L484" s="448"/>
      <c r="M484" s="448"/>
      <c r="N484" s="448"/>
      <c r="O484" s="448"/>
      <c r="P484" s="448"/>
      <c r="Q484" s="455"/>
      <c r="R484" s="448"/>
      <c r="S484" s="575">
        <v>0.25</v>
      </c>
      <c r="T484" s="575">
        <v>1.34</v>
      </c>
      <c r="U484" s="575">
        <v>158.0</v>
      </c>
      <c r="V484" s="448"/>
      <c r="W484" s="448"/>
      <c r="X484" s="448"/>
      <c r="Y484" s="448"/>
    </row>
    <row r="485">
      <c r="A485" s="455" t="s">
        <v>576</v>
      </c>
      <c r="B485" s="455" t="s">
        <v>576</v>
      </c>
      <c r="C485" s="455" t="s">
        <v>476</v>
      </c>
      <c r="D485" s="448"/>
      <c r="E485" s="448"/>
      <c r="F485" s="448"/>
      <c r="G485" s="575">
        <v>4.24E-12</v>
      </c>
      <c r="H485" s="575">
        <v>9.93E-13</v>
      </c>
      <c r="I485" s="575">
        <v>5.31E-13</v>
      </c>
      <c r="J485" s="575">
        <v>2.82E-13</v>
      </c>
      <c r="K485" s="575">
        <v>3.33E-13</v>
      </c>
      <c r="L485" s="575">
        <v>5.62E-14</v>
      </c>
      <c r="M485" s="575">
        <v>1.08E-13</v>
      </c>
      <c r="N485" s="575">
        <v>1.26E-14</v>
      </c>
      <c r="O485" s="575">
        <v>4.85E-13</v>
      </c>
      <c r="P485" s="575">
        <v>3.75E-13</v>
      </c>
      <c r="Q485" s="455"/>
      <c r="R485" s="448"/>
      <c r="S485" s="575">
        <v>0.74</v>
      </c>
      <c r="T485" s="575">
        <v>3.2</v>
      </c>
      <c r="U485" s="575">
        <v>156.0</v>
      </c>
      <c r="V485" s="448"/>
      <c r="W485" s="448"/>
      <c r="X485" s="448"/>
      <c r="Y485" s="448"/>
    </row>
    <row r="486">
      <c r="A486" s="455" t="s">
        <v>531</v>
      </c>
      <c r="B486" s="455" t="s">
        <v>531</v>
      </c>
      <c r="C486" s="455" t="s">
        <v>476</v>
      </c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8"/>
      <c r="O486" s="448"/>
      <c r="P486" s="448"/>
      <c r="Q486" s="455"/>
      <c r="R486" s="448"/>
      <c r="S486" s="575">
        <v>0.22</v>
      </c>
      <c r="T486" s="575">
        <v>0.89</v>
      </c>
      <c r="U486" s="575">
        <v>159.0</v>
      </c>
      <c r="V486" s="448"/>
      <c r="W486" s="448"/>
      <c r="X486" s="448"/>
      <c r="Y486" s="448"/>
    </row>
    <row r="487">
      <c r="A487" s="455" t="s">
        <v>586</v>
      </c>
      <c r="B487" s="455" t="s">
        <v>587</v>
      </c>
      <c r="C487" s="455" t="s">
        <v>476</v>
      </c>
      <c r="D487" s="448"/>
      <c r="E487" s="448"/>
      <c r="F487" s="448"/>
      <c r="G487" s="575">
        <v>1.49E-12</v>
      </c>
      <c r="H487" s="575">
        <v>7.72E-13</v>
      </c>
      <c r="I487" s="575">
        <v>2.38E-13</v>
      </c>
      <c r="J487" s="575">
        <v>1.2E-13</v>
      </c>
      <c r="K487" s="575">
        <v>2.35E-14</v>
      </c>
      <c r="L487" s="575">
        <v>3.62E-14</v>
      </c>
      <c r="M487" s="575">
        <v>5.79E-14</v>
      </c>
      <c r="N487" s="575">
        <v>8.67E-14</v>
      </c>
      <c r="O487" s="575">
        <v>3.35E-13</v>
      </c>
      <c r="P487" s="575">
        <v>3.15E-13</v>
      </c>
      <c r="Q487" s="455"/>
      <c r="R487" s="448"/>
      <c r="S487" s="575">
        <v>1.1</v>
      </c>
      <c r="T487" s="575">
        <v>2.69</v>
      </c>
      <c r="U487" s="575">
        <v>158.0</v>
      </c>
      <c r="V487" s="448"/>
      <c r="W487" s="448"/>
      <c r="X487" s="448"/>
      <c r="Y487" s="448"/>
    </row>
    <row r="488">
      <c r="A488" s="455" t="s">
        <v>511</v>
      </c>
      <c r="B488" s="455" t="s">
        <v>511</v>
      </c>
      <c r="C488" s="455" t="s">
        <v>476</v>
      </c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55"/>
      <c r="R488" s="448"/>
      <c r="S488" s="575">
        <v>0.16</v>
      </c>
      <c r="T488" s="575">
        <v>0.17</v>
      </c>
      <c r="U488" s="575">
        <v>162.0</v>
      </c>
      <c r="V488" s="448"/>
      <c r="W488" s="448"/>
      <c r="X488" s="448"/>
      <c r="Y488" s="448"/>
    </row>
    <row r="489">
      <c r="A489" s="455" t="s">
        <v>562</v>
      </c>
      <c r="B489" s="455" t="s">
        <v>563</v>
      </c>
      <c r="C489" s="455" t="s">
        <v>476</v>
      </c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55"/>
      <c r="R489" s="448"/>
      <c r="S489" s="575">
        <v>0.46</v>
      </c>
      <c r="T489" s="575">
        <v>1.1</v>
      </c>
      <c r="U489" s="575">
        <v>163.0</v>
      </c>
      <c r="V489" s="448"/>
      <c r="W489" s="448"/>
      <c r="X489" s="448"/>
      <c r="Y489" s="448"/>
    </row>
    <row r="490">
      <c r="A490" s="455" t="s">
        <v>455</v>
      </c>
      <c r="B490" s="455" t="s">
        <v>455</v>
      </c>
      <c r="C490" s="455" t="s">
        <v>306</v>
      </c>
      <c r="D490" s="575">
        <v>280.0</v>
      </c>
      <c r="E490" s="448"/>
      <c r="F490" s="448"/>
      <c r="G490" s="575">
        <v>5.5E-11</v>
      </c>
      <c r="H490" s="448"/>
      <c r="I490" s="448"/>
      <c r="J490" s="448"/>
      <c r="K490" s="448"/>
      <c r="L490" s="448"/>
      <c r="M490" s="448"/>
      <c r="N490" s="448"/>
      <c r="O490" s="448"/>
      <c r="P490" s="448"/>
      <c r="Q490" s="455"/>
      <c r="R490" s="448"/>
      <c r="S490" s="575">
        <v>0.77</v>
      </c>
      <c r="T490" s="575">
        <v>0.83</v>
      </c>
      <c r="U490" s="575">
        <v>60.1</v>
      </c>
      <c r="V490" s="448"/>
      <c r="W490" s="448"/>
      <c r="X490" s="448"/>
      <c r="Y490" s="448"/>
    </row>
    <row r="491">
      <c r="A491" s="455" t="s">
        <v>428</v>
      </c>
      <c r="B491" s="455" t="s">
        <v>429</v>
      </c>
      <c r="C491" s="455" t="s">
        <v>306</v>
      </c>
      <c r="D491" s="575">
        <v>37.0</v>
      </c>
      <c r="E491" s="448"/>
      <c r="F491" s="448"/>
      <c r="G491" s="575">
        <v>2.14E-12</v>
      </c>
      <c r="H491" s="448"/>
      <c r="I491" s="448"/>
      <c r="J491" s="448"/>
      <c r="K491" s="448"/>
      <c r="L491" s="448"/>
      <c r="M491" s="448"/>
      <c r="N491" s="448"/>
      <c r="O491" s="448"/>
      <c r="P491" s="448"/>
      <c r="Q491" s="455"/>
      <c r="R491" s="448"/>
      <c r="S491" s="575">
        <v>0.37</v>
      </c>
      <c r="T491" s="575">
        <v>0.81</v>
      </c>
      <c r="U491" s="575">
        <v>36.6</v>
      </c>
      <c r="V491" s="448"/>
      <c r="W491" s="448"/>
      <c r="X491" s="448"/>
      <c r="Y491" s="448"/>
    </row>
    <row r="492">
      <c r="A492" s="455" t="s">
        <v>420</v>
      </c>
      <c r="B492" s="455" t="s">
        <v>421</v>
      </c>
      <c r="C492" s="455" t="s">
        <v>306</v>
      </c>
      <c r="D492" s="575">
        <v>3.4</v>
      </c>
      <c r="E492" s="448"/>
      <c r="F492" s="448"/>
      <c r="G492" s="575">
        <v>1.23E-13</v>
      </c>
      <c r="H492" s="448"/>
      <c r="I492" s="448"/>
      <c r="J492" s="448"/>
      <c r="K492" s="448"/>
      <c r="L492" s="448"/>
      <c r="M492" s="448"/>
      <c r="N492" s="448"/>
      <c r="O492" s="448"/>
      <c r="P492" s="448"/>
      <c r="Q492" s="455"/>
      <c r="R492" s="448"/>
      <c r="S492" s="575">
        <v>0.29</v>
      </c>
      <c r="T492" s="575">
        <v>0.69</v>
      </c>
      <c r="U492" s="575">
        <v>37.3</v>
      </c>
      <c r="V492" s="448"/>
      <c r="W492" s="448"/>
      <c r="X492" s="448"/>
      <c r="Y492" s="448"/>
    </row>
    <row r="493">
      <c r="A493" s="455" t="s">
        <v>356</v>
      </c>
      <c r="B493" s="455" t="s">
        <v>356</v>
      </c>
      <c r="C493" s="455" t="s">
        <v>306</v>
      </c>
      <c r="D493" s="575">
        <v>21.0</v>
      </c>
      <c r="E493" s="448"/>
      <c r="F493" s="448"/>
      <c r="G493" s="575">
        <v>3.89E-15</v>
      </c>
      <c r="H493" s="448"/>
      <c r="I493" s="448"/>
      <c r="J493" s="448"/>
      <c r="K493" s="448"/>
      <c r="L493" s="448"/>
      <c r="M493" s="448"/>
      <c r="N493" s="448"/>
      <c r="O493" s="448"/>
      <c r="P493" s="448"/>
      <c r="Q493" s="455"/>
      <c r="R493" s="448"/>
      <c r="S493" s="575">
        <v>0.09</v>
      </c>
      <c r="T493" s="575">
        <v>0.37</v>
      </c>
      <c r="U493" s="575">
        <v>162.0</v>
      </c>
      <c r="V493" s="448"/>
      <c r="W493" s="448"/>
      <c r="X493" s="448"/>
      <c r="Y493" s="448"/>
    </row>
    <row r="494">
      <c r="A494" s="455" t="s">
        <v>447</v>
      </c>
      <c r="B494" s="455" t="s">
        <v>2726</v>
      </c>
      <c r="C494" s="455" t="s">
        <v>413</v>
      </c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55"/>
      <c r="R494" s="448"/>
      <c r="S494" s="575">
        <v>0.53</v>
      </c>
      <c r="T494" s="575">
        <v>1.74</v>
      </c>
      <c r="U494" s="575">
        <v>137.0</v>
      </c>
      <c r="V494" s="448"/>
      <c r="W494" s="448"/>
      <c r="X494" s="448"/>
      <c r="Y494" s="448"/>
    </row>
    <row r="495">
      <c r="A495" s="455" t="s">
        <v>447</v>
      </c>
      <c r="B495" s="455" t="s">
        <v>2726</v>
      </c>
      <c r="C495" s="455" t="s">
        <v>1479</v>
      </c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8"/>
      <c r="O495" s="448"/>
      <c r="P495" s="448"/>
      <c r="Q495" s="455"/>
      <c r="R495" s="448"/>
      <c r="S495" s="575">
        <v>0.53</v>
      </c>
      <c r="T495" s="575">
        <v>1.74</v>
      </c>
      <c r="U495" s="575">
        <v>137.0</v>
      </c>
      <c r="V495" s="448"/>
      <c r="W495" s="448"/>
      <c r="X495" s="448"/>
      <c r="Y495" s="448"/>
    </row>
    <row r="496">
      <c r="A496" s="455" t="s">
        <v>1585</v>
      </c>
      <c r="B496" s="455" t="s">
        <v>2728</v>
      </c>
      <c r="C496" s="455" t="s">
        <v>1479</v>
      </c>
      <c r="D496" s="448"/>
      <c r="E496" s="448"/>
      <c r="F496" s="575">
        <v>5.5</v>
      </c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55"/>
      <c r="R496" s="455" t="s">
        <v>2365</v>
      </c>
      <c r="S496" s="575">
        <v>2.4</v>
      </c>
      <c r="T496" s="575">
        <v>2.39</v>
      </c>
      <c r="U496" s="575">
        <v>163.0</v>
      </c>
      <c r="V496" s="448"/>
      <c r="W496" s="448"/>
      <c r="X496" s="448"/>
      <c r="Y496" s="448"/>
    </row>
    <row r="497">
      <c r="A497" s="455" t="s">
        <v>1568</v>
      </c>
      <c r="B497" s="455" t="s">
        <v>2730</v>
      </c>
      <c r="C497" s="455" t="s">
        <v>1479</v>
      </c>
      <c r="D497" s="448"/>
      <c r="E497" s="448"/>
      <c r="F497" s="448"/>
      <c r="G497" s="448"/>
      <c r="H497" s="448"/>
      <c r="I497" s="448"/>
      <c r="J497" s="448"/>
      <c r="K497" s="448"/>
      <c r="L497" s="448"/>
      <c r="M497" s="448"/>
      <c r="N497" s="448"/>
      <c r="O497" s="448"/>
      <c r="P497" s="448"/>
      <c r="Q497" s="455"/>
      <c r="R497" s="448"/>
      <c r="S497" s="575">
        <v>2.1</v>
      </c>
      <c r="T497" s="575">
        <v>2.7</v>
      </c>
      <c r="U497" s="575">
        <v>389.0</v>
      </c>
      <c r="V497" s="448"/>
      <c r="W497" s="448"/>
      <c r="X497" s="448"/>
      <c r="Y497" s="448"/>
    </row>
    <row r="498">
      <c r="A498" s="455" t="s">
        <v>442</v>
      </c>
      <c r="B498" s="455" t="s">
        <v>2734</v>
      </c>
      <c r="C498" s="455" t="s">
        <v>413</v>
      </c>
      <c r="D498" s="448"/>
      <c r="E498" s="448"/>
      <c r="F498" s="448"/>
      <c r="G498" s="448"/>
      <c r="H498" s="448"/>
      <c r="I498" s="448"/>
      <c r="J498" s="448"/>
      <c r="K498" s="448"/>
      <c r="L498" s="448"/>
      <c r="M498" s="448"/>
      <c r="N498" s="448"/>
      <c r="O498" s="448"/>
      <c r="P498" s="448"/>
      <c r="Q498" s="455"/>
      <c r="R498" s="448"/>
      <c r="S498" s="575">
        <v>0.49</v>
      </c>
      <c r="T498" s="575">
        <v>1.99</v>
      </c>
      <c r="U498" s="575">
        <v>129.0</v>
      </c>
      <c r="V498" s="448"/>
      <c r="W498" s="448"/>
      <c r="X498" s="448"/>
      <c r="Y498" s="448"/>
    </row>
    <row r="499">
      <c r="A499" s="455" t="s">
        <v>574</v>
      </c>
      <c r="B499" s="455" t="s">
        <v>575</v>
      </c>
      <c r="C499" s="455" t="s">
        <v>476</v>
      </c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55"/>
      <c r="R499" s="448"/>
      <c r="S499" s="575">
        <v>0.57</v>
      </c>
      <c r="T499" s="575">
        <v>1.61</v>
      </c>
      <c r="U499" s="575">
        <v>158.0</v>
      </c>
      <c r="V499" s="448"/>
      <c r="W499" s="448"/>
      <c r="X499" s="448"/>
      <c r="Y499" s="448"/>
    </row>
    <row r="500">
      <c r="A500" s="455" t="s">
        <v>528</v>
      </c>
      <c r="B500" s="455" t="s">
        <v>529</v>
      </c>
      <c r="C500" s="455" t="s">
        <v>476</v>
      </c>
      <c r="D500" s="448"/>
      <c r="E500" s="448"/>
      <c r="F500" s="448"/>
      <c r="G500" s="448"/>
      <c r="H500" s="448"/>
      <c r="I500" s="448"/>
      <c r="J500" s="448"/>
      <c r="K500" s="448"/>
      <c r="L500" s="448"/>
      <c r="M500" s="448"/>
      <c r="N500" s="448"/>
      <c r="O500" s="448"/>
      <c r="P500" s="448"/>
      <c r="Q500" s="455"/>
      <c r="R500" s="448"/>
      <c r="S500" s="575">
        <v>0.2</v>
      </c>
      <c r="T500" s="575">
        <v>1.12</v>
      </c>
      <c r="U500" s="575">
        <v>159.0</v>
      </c>
      <c r="V500" s="448"/>
      <c r="W500" s="448"/>
      <c r="X500" s="448"/>
      <c r="Y500" s="448"/>
    </row>
    <row r="501">
      <c r="A501" s="455" t="s">
        <v>1752</v>
      </c>
      <c r="B501" s="455" t="s">
        <v>1753</v>
      </c>
      <c r="C501" s="455" t="s">
        <v>702</v>
      </c>
      <c r="D501" s="448"/>
      <c r="E501" s="448"/>
      <c r="F501" s="448"/>
      <c r="G501" s="448"/>
      <c r="H501" s="448"/>
      <c r="I501" s="448"/>
      <c r="J501" s="448"/>
      <c r="K501" s="448"/>
      <c r="L501" s="448"/>
      <c r="M501" s="448"/>
      <c r="N501" s="448"/>
      <c r="O501" s="448"/>
      <c r="P501" s="448"/>
      <c r="Q501" s="455" t="s">
        <v>137</v>
      </c>
      <c r="R501" s="448"/>
      <c r="S501" s="575">
        <v>1.0</v>
      </c>
      <c r="T501" s="575">
        <v>1.43</v>
      </c>
      <c r="U501" s="575">
        <v>405.0</v>
      </c>
      <c r="V501" s="448"/>
      <c r="W501" s="448"/>
      <c r="X501" s="448"/>
      <c r="Y501" s="448"/>
    </row>
    <row r="502">
      <c r="A502" s="455" t="s">
        <v>2017</v>
      </c>
      <c r="B502" s="455" t="s">
        <v>2018</v>
      </c>
      <c r="C502" s="455" t="s">
        <v>702</v>
      </c>
      <c r="D502" s="448"/>
      <c r="E502" s="448"/>
      <c r="F502" s="448"/>
      <c r="G502" s="448"/>
      <c r="H502" s="448"/>
      <c r="I502" s="448"/>
      <c r="J502" s="448"/>
      <c r="K502" s="448"/>
      <c r="L502" s="448"/>
      <c r="M502" s="448"/>
      <c r="N502" s="448"/>
      <c r="O502" s="448"/>
      <c r="P502" s="448"/>
      <c r="Q502" s="455" t="s">
        <v>137</v>
      </c>
      <c r="R502" s="455" t="s">
        <v>2794</v>
      </c>
      <c r="S502" s="575">
        <v>1.0</v>
      </c>
      <c r="T502" s="575">
        <v>1.74</v>
      </c>
      <c r="U502" s="575">
        <v>398.0</v>
      </c>
      <c r="V502" s="448"/>
      <c r="W502" s="448"/>
      <c r="X502" s="448"/>
      <c r="Y502" s="448"/>
    </row>
    <row r="503">
      <c r="A503" s="455" t="s">
        <v>1957</v>
      </c>
      <c r="B503" s="455" t="s">
        <v>1958</v>
      </c>
      <c r="C503" s="455" t="s">
        <v>598</v>
      </c>
      <c r="D503" s="575">
        <v>8.9</v>
      </c>
      <c r="E503" s="448"/>
      <c r="F503" s="448"/>
      <c r="G503" s="575">
        <v>3.26E-14</v>
      </c>
      <c r="H503" s="448"/>
      <c r="I503" s="448"/>
      <c r="J503" s="448"/>
      <c r="K503" s="448"/>
      <c r="L503" s="448"/>
      <c r="M503" s="448"/>
      <c r="N503" s="448"/>
      <c r="O503" s="448"/>
      <c r="P503" s="448"/>
      <c r="Q503" s="455" t="s">
        <v>137</v>
      </c>
      <c r="R503" s="455" t="s">
        <v>2796</v>
      </c>
      <c r="S503" s="575">
        <v>0.35</v>
      </c>
      <c r="T503" s="448"/>
      <c r="U503" s="575">
        <v>185.0</v>
      </c>
      <c r="V503" s="448"/>
      <c r="W503" s="448"/>
      <c r="X503" s="448"/>
      <c r="Y503" s="448"/>
    </row>
    <row r="504">
      <c r="A504" s="455" t="s">
        <v>1957</v>
      </c>
      <c r="B504" s="455" t="s">
        <v>1959</v>
      </c>
      <c r="C504" s="455" t="s">
        <v>598</v>
      </c>
      <c r="D504" s="575">
        <v>9.5</v>
      </c>
      <c r="E504" s="448"/>
      <c r="F504" s="448"/>
      <c r="G504" s="575">
        <v>3.48E-14</v>
      </c>
      <c r="H504" s="448"/>
      <c r="I504" s="448"/>
      <c r="J504" s="448"/>
      <c r="K504" s="448"/>
      <c r="L504" s="448"/>
      <c r="M504" s="448"/>
      <c r="N504" s="448"/>
      <c r="O504" s="448"/>
      <c r="P504" s="448"/>
      <c r="Q504" s="455" t="s">
        <v>137</v>
      </c>
      <c r="R504" s="455" t="s">
        <v>2796</v>
      </c>
      <c r="S504" s="575">
        <v>0.73</v>
      </c>
      <c r="T504" s="575">
        <v>1.2</v>
      </c>
      <c r="U504" s="575">
        <v>185.0</v>
      </c>
      <c r="V504" s="448"/>
      <c r="W504" s="448"/>
      <c r="X504" s="448"/>
      <c r="Y504" s="448"/>
    </row>
    <row r="505">
      <c r="A505" s="455" t="s">
        <v>2003</v>
      </c>
      <c r="B505" s="455" t="s">
        <v>2004</v>
      </c>
      <c r="C505" s="455" t="s">
        <v>702</v>
      </c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55" t="s">
        <v>2005</v>
      </c>
      <c r="R505" s="455" t="s">
        <v>2794</v>
      </c>
      <c r="S505" s="575">
        <v>0.75</v>
      </c>
      <c r="T505" s="575">
        <v>3.18</v>
      </c>
      <c r="U505" s="575">
        <v>572.0</v>
      </c>
      <c r="V505" s="448"/>
      <c r="W505" s="448"/>
      <c r="X505" s="448"/>
      <c r="Y505" s="448"/>
    </row>
    <row r="506">
      <c r="A506" s="455" t="s">
        <v>706</v>
      </c>
      <c r="B506" s="455" t="s">
        <v>707</v>
      </c>
      <c r="C506" s="455" t="s">
        <v>702</v>
      </c>
      <c r="D506" s="448"/>
      <c r="E506" s="448"/>
      <c r="F506" s="448"/>
      <c r="G506" s="448"/>
      <c r="H506" s="448"/>
      <c r="I506" s="448"/>
      <c r="J506" s="448"/>
      <c r="K506" s="448"/>
      <c r="L506" s="448"/>
      <c r="M506" s="448"/>
      <c r="N506" s="448"/>
      <c r="O506" s="448"/>
      <c r="P506" s="448"/>
      <c r="Q506" s="455" t="s">
        <v>137</v>
      </c>
      <c r="R506" s="455" t="s">
        <v>2794</v>
      </c>
      <c r="S506" s="575">
        <v>0.6</v>
      </c>
      <c r="T506" s="575">
        <v>2.27</v>
      </c>
      <c r="U506" s="575">
        <v>411.0</v>
      </c>
      <c r="V506" s="448"/>
      <c r="W506" s="448"/>
      <c r="X506" s="448"/>
      <c r="Y506" s="448"/>
    </row>
    <row r="507">
      <c r="A507" s="455" t="s">
        <v>432</v>
      </c>
      <c r="B507" s="455" t="s">
        <v>2743</v>
      </c>
      <c r="C507" s="455" t="s">
        <v>413</v>
      </c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55"/>
      <c r="R507" s="448"/>
      <c r="S507" s="575">
        <v>0.421</v>
      </c>
      <c r="T507" s="575">
        <v>2.6</v>
      </c>
      <c r="U507" s="575">
        <v>156.0</v>
      </c>
      <c r="V507" s="448"/>
      <c r="W507" s="448"/>
      <c r="X507" s="448"/>
      <c r="Y507" s="448"/>
    </row>
    <row r="508">
      <c r="A508" s="455" t="s">
        <v>1954</v>
      </c>
      <c r="B508" s="455" t="s">
        <v>1955</v>
      </c>
      <c r="C508" s="455" t="s">
        <v>598</v>
      </c>
      <c r="D508" s="575">
        <v>7.0</v>
      </c>
      <c r="E508" s="448"/>
      <c r="F508" s="448"/>
      <c r="G508" s="448"/>
      <c r="H508" s="448"/>
      <c r="I508" s="448"/>
      <c r="J508" s="448"/>
      <c r="K508" s="448"/>
      <c r="L508" s="448"/>
      <c r="M508" s="448"/>
      <c r="N508" s="448"/>
      <c r="O508" s="448"/>
      <c r="P508" s="448"/>
      <c r="Q508" s="455" t="s">
        <v>137</v>
      </c>
      <c r="R508" s="455" t="s">
        <v>2796</v>
      </c>
      <c r="S508" s="575">
        <v>0.18</v>
      </c>
      <c r="T508" s="575">
        <v>1.2</v>
      </c>
      <c r="U508" s="575">
        <v>190.0</v>
      </c>
      <c r="V508" s="448"/>
      <c r="W508" s="448"/>
      <c r="X508" s="448"/>
      <c r="Y508" s="448"/>
    </row>
    <row r="509">
      <c r="A509" s="455" t="s">
        <v>1703</v>
      </c>
      <c r="B509" s="455" t="s">
        <v>1704</v>
      </c>
      <c r="C509" s="455" t="s">
        <v>702</v>
      </c>
      <c r="D509" s="448"/>
      <c r="E509" s="448"/>
      <c r="F509" s="448"/>
      <c r="G509" s="448"/>
      <c r="H509" s="448"/>
      <c r="I509" s="448"/>
      <c r="J509" s="448"/>
      <c r="K509" s="448"/>
      <c r="L509" s="448"/>
      <c r="M509" s="448"/>
      <c r="N509" s="448"/>
      <c r="O509" s="448"/>
      <c r="P509" s="448"/>
      <c r="Q509" s="455"/>
      <c r="R509" s="448"/>
      <c r="S509" s="575">
        <v>0.25</v>
      </c>
      <c r="T509" s="575">
        <v>0.614</v>
      </c>
      <c r="U509" s="575">
        <v>378.0</v>
      </c>
      <c r="V509" s="448"/>
      <c r="W509" s="448"/>
      <c r="X509" s="448"/>
      <c r="Y509" s="448"/>
    </row>
    <row r="510">
      <c r="A510" s="455" t="s">
        <v>377</v>
      </c>
      <c r="B510" s="455" t="s">
        <v>378</v>
      </c>
      <c r="C510" s="455" t="s">
        <v>702</v>
      </c>
      <c r="D510" s="448"/>
      <c r="E510" s="448"/>
      <c r="F510" s="448"/>
      <c r="G510" s="448"/>
      <c r="H510" s="448"/>
      <c r="I510" s="448"/>
      <c r="J510" s="448"/>
      <c r="K510" s="448"/>
      <c r="L510" s="448"/>
      <c r="M510" s="448"/>
      <c r="N510" s="448"/>
      <c r="O510" s="448"/>
      <c r="P510" s="448"/>
      <c r="Q510" s="455"/>
      <c r="R510" s="448"/>
      <c r="S510" s="575">
        <v>0.15</v>
      </c>
      <c r="T510" s="575">
        <v>0.92</v>
      </c>
      <c r="U510" s="448"/>
      <c r="V510" s="448"/>
      <c r="W510" s="448"/>
      <c r="X510" s="448"/>
      <c r="Y510" s="448"/>
    </row>
    <row r="511">
      <c r="A511" s="455" t="s">
        <v>377</v>
      </c>
      <c r="B511" s="455" t="s">
        <v>378</v>
      </c>
      <c r="C511" s="455" t="s">
        <v>352</v>
      </c>
      <c r="D511" s="448"/>
      <c r="E511" s="448"/>
      <c r="F511" s="448"/>
      <c r="G511" s="575">
        <v>1.56E-14</v>
      </c>
      <c r="H511" s="575">
        <v>2.92E-15</v>
      </c>
      <c r="I511" s="575">
        <v>1.99E-15</v>
      </c>
      <c r="J511" s="575">
        <v>1.16E-15</v>
      </c>
      <c r="K511" s="575">
        <v>4.55E-16</v>
      </c>
      <c r="L511" s="448"/>
      <c r="M511" s="448"/>
      <c r="N511" s="448"/>
      <c r="O511" s="448"/>
      <c r="P511" s="448"/>
      <c r="Q511" s="455"/>
      <c r="R511" s="448"/>
      <c r="S511" s="575">
        <v>0.14</v>
      </c>
      <c r="T511" s="575">
        <v>1.02</v>
      </c>
      <c r="U511" s="448"/>
      <c r="V511" s="448"/>
      <c r="W511" s="448"/>
      <c r="X511" s="448"/>
      <c r="Y511" s="448"/>
    </row>
    <row r="512">
      <c r="A512" s="455" t="s">
        <v>348</v>
      </c>
      <c r="B512" s="455" t="s">
        <v>349</v>
      </c>
      <c r="C512" s="455" t="s">
        <v>702</v>
      </c>
      <c r="D512" s="448"/>
      <c r="E512" s="448"/>
      <c r="F512" s="448"/>
      <c r="G512" s="448"/>
      <c r="H512" s="448"/>
      <c r="I512" s="448"/>
      <c r="J512" s="448"/>
      <c r="K512" s="448"/>
      <c r="L512" s="448"/>
      <c r="M512" s="448"/>
      <c r="N512" s="448"/>
      <c r="O512" s="448"/>
      <c r="P512" s="448"/>
      <c r="Q512" s="455"/>
      <c r="R512" s="448"/>
      <c r="S512" s="575">
        <v>0.1</v>
      </c>
      <c r="T512" s="575">
        <v>0.525</v>
      </c>
      <c r="U512" s="575">
        <v>339.0</v>
      </c>
      <c r="V512" s="448"/>
      <c r="W512" s="448"/>
      <c r="X512" s="448"/>
      <c r="Y512" s="448"/>
    </row>
    <row r="513">
      <c r="A513" s="455" t="s">
        <v>348</v>
      </c>
      <c r="B513" s="455" t="s">
        <v>349</v>
      </c>
      <c r="C513" s="455" t="s">
        <v>352</v>
      </c>
      <c r="D513" s="448"/>
      <c r="E513" s="448"/>
      <c r="F513" s="448"/>
      <c r="G513" s="575">
        <v>7.47E-15</v>
      </c>
      <c r="H513" s="575">
        <v>8.71E-16</v>
      </c>
      <c r="I513" s="575">
        <v>3.53E-16</v>
      </c>
      <c r="J513" s="575">
        <v>3.61E-16</v>
      </c>
      <c r="K513" s="575">
        <v>5.19E-16</v>
      </c>
      <c r="L513" s="448"/>
      <c r="M513" s="448"/>
      <c r="N513" s="448"/>
      <c r="O513" s="448"/>
      <c r="P513" s="448"/>
      <c r="Q513" s="455"/>
      <c r="R513" s="448"/>
      <c r="S513" s="575">
        <v>0.08</v>
      </c>
      <c r="T513" s="575">
        <v>0.47</v>
      </c>
      <c r="U513" s="575">
        <v>339.0</v>
      </c>
      <c r="V513" s="448"/>
      <c r="W513" s="448"/>
      <c r="X513" s="448"/>
      <c r="Y513" s="448"/>
    </row>
    <row r="514">
      <c r="A514" s="455" t="s">
        <v>1644</v>
      </c>
      <c r="B514" s="455" t="s">
        <v>1645</v>
      </c>
      <c r="C514" s="455" t="s">
        <v>702</v>
      </c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8"/>
      <c r="O514" s="448"/>
      <c r="P514" s="448"/>
      <c r="Q514" s="455"/>
      <c r="R514" s="448"/>
      <c r="S514" s="575">
        <v>0.09</v>
      </c>
      <c r="T514" s="575">
        <v>0.643</v>
      </c>
      <c r="U514" s="575">
        <v>412.0</v>
      </c>
      <c r="V514" s="448"/>
      <c r="W514" s="448"/>
      <c r="X514" s="448"/>
      <c r="Y514" s="448"/>
    </row>
    <row r="515">
      <c r="A515" s="455" t="s">
        <v>1997</v>
      </c>
      <c r="B515" s="455" t="s">
        <v>1998</v>
      </c>
      <c r="C515" s="455" t="s">
        <v>702</v>
      </c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8"/>
      <c r="O515" s="448"/>
      <c r="P515" s="448"/>
      <c r="Q515" s="455" t="s">
        <v>137</v>
      </c>
      <c r="R515" s="455" t="s">
        <v>2794</v>
      </c>
      <c r="S515" s="575">
        <v>1.0</v>
      </c>
      <c r="T515" s="575">
        <v>1.34</v>
      </c>
      <c r="U515" s="575">
        <v>397.0</v>
      </c>
      <c r="V515" s="448"/>
      <c r="W515" s="448"/>
      <c r="X515" s="448"/>
      <c r="Y515" s="448"/>
    </row>
    <row r="516">
      <c r="A516" s="455" t="s">
        <v>1727</v>
      </c>
      <c r="B516" s="455" t="s">
        <v>1728</v>
      </c>
      <c r="C516" s="455" t="s">
        <v>702</v>
      </c>
      <c r="D516" s="448"/>
      <c r="E516" s="448"/>
      <c r="F516" s="448"/>
      <c r="G516" s="448"/>
      <c r="H516" s="448"/>
      <c r="I516" s="448"/>
      <c r="J516" s="448"/>
      <c r="K516" s="448"/>
      <c r="L516" s="448"/>
      <c r="M516" s="448"/>
      <c r="N516" s="448"/>
      <c r="O516" s="448"/>
      <c r="P516" s="448"/>
      <c r="Q516" s="455"/>
      <c r="R516" s="448"/>
      <c r="S516" s="575">
        <v>0.5</v>
      </c>
      <c r="T516" s="575">
        <v>1.49</v>
      </c>
      <c r="U516" s="448"/>
      <c r="V516" s="448"/>
      <c r="W516" s="448"/>
      <c r="X516" s="448"/>
      <c r="Y516" s="448"/>
    </row>
    <row r="517">
      <c r="A517" s="455" t="s">
        <v>1729</v>
      </c>
      <c r="B517" s="455" t="s">
        <v>1730</v>
      </c>
      <c r="C517" s="455" t="s">
        <v>702</v>
      </c>
      <c r="D517" s="448"/>
      <c r="E517" s="448"/>
      <c r="F517" s="448"/>
      <c r="G517" s="448"/>
      <c r="H517" s="448"/>
      <c r="I517" s="448"/>
      <c r="J517" s="448"/>
      <c r="K517" s="448"/>
      <c r="L517" s="448"/>
      <c r="M517" s="448"/>
      <c r="N517" s="448"/>
      <c r="O517" s="448"/>
      <c r="P517" s="448"/>
      <c r="Q517" s="455" t="s">
        <v>1670</v>
      </c>
      <c r="R517" s="448"/>
      <c r="S517" s="575">
        <v>0.55</v>
      </c>
      <c r="T517" s="575">
        <v>1.99</v>
      </c>
      <c r="U517" s="575">
        <v>403.0</v>
      </c>
      <c r="V517" s="448"/>
      <c r="W517" s="448"/>
      <c r="X517" s="448"/>
      <c r="Y517" s="448"/>
    </row>
    <row r="518">
      <c r="A518" s="455" t="s">
        <v>1540</v>
      </c>
      <c r="B518" s="455" t="s">
        <v>2755</v>
      </c>
      <c r="C518" s="455" t="s">
        <v>1479</v>
      </c>
      <c r="D518" s="448"/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55"/>
      <c r="R518" s="448"/>
      <c r="S518" s="575">
        <v>1.5</v>
      </c>
      <c r="T518" s="575">
        <v>4.5</v>
      </c>
      <c r="U518" s="575">
        <v>128.0</v>
      </c>
      <c r="V518" s="448"/>
      <c r="W518" s="448"/>
      <c r="X518" s="448"/>
      <c r="Y518" s="448"/>
    </row>
    <row r="519">
      <c r="A519" s="455" t="s">
        <v>1482</v>
      </c>
      <c r="B519" s="455" t="s">
        <v>2757</v>
      </c>
      <c r="C519" s="455" t="s">
        <v>1479</v>
      </c>
      <c r="D519" s="448"/>
      <c r="E519" s="448"/>
      <c r="F519" s="448"/>
      <c r="G519" s="448"/>
      <c r="H519" s="448"/>
      <c r="I519" s="448"/>
      <c r="J519" s="448"/>
      <c r="K519" s="448"/>
      <c r="L519" s="448"/>
      <c r="M519" s="448"/>
      <c r="N519" s="448"/>
      <c r="O519" s="448"/>
      <c r="P519" s="448"/>
      <c r="Q519" s="455"/>
      <c r="R519" s="448"/>
      <c r="S519" s="575">
        <v>0.3</v>
      </c>
      <c r="T519" s="575">
        <v>4.15</v>
      </c>
      <c r="U519" s="575">
        <v>157.0</v>
      </c>
      <c r="V519" s="448"/>
      <c r="W519" s="448"/>
      <c r="X519" s="448"/>
      <c r="Y519" s="448"/>
    </row>
    <row r="520">
      <c r="A520" s="455" t="s">
        <v>1446</v>
      </c>
      <c r="B520" s="455" t="s">
        <v>1447</v>
      </c>
      <c r="C520" s="455" t="s">
        <v>160</v>
      </c>
      <c r="D520" s="448"/>
      <c r="E520" s="575">
        <v>0.5</v>
      </c>
      <c r="F520" s="448"/>
      <c r="G520" s="448"/>
      <c r="H520" s="448"/>
      <c r="I520" s="448"/>
      <c r="J520" s="575">
        <v>3.37E-16</v>
      </c>
      <c r="K520" s="448"/>
      <c r="L520" s="448"/>
      <c r="M520" s="448"/>
      <c r="N520" s="448"/>
      <c r="O520" s="448"/>
      <c r="P520" s="448"/>
      <c r="Q520" s="455" t="s">
        <v>137</v>
      </c>
      <c r="R520" s="448"/>
      <c r="S520" s="575">
        <v>0.631</v>
      </c>
      <c r="T520" s="575">
        <v>3.01</v>
      </c>
      <c r="U520" s="448"/>
      <c r="V520" s="448"/>
      <c r="W520" s="455">
        <v>5.0</v>
      </c>
      <c r="X520" s="448"/>
      <c r="Y520" s="448"/>
    </row>
    <row r="521">
      <c r="A521" s="455" t="s">
        <v>1451</v>
      </c>
      <c r="B521" s="455" t="s">
        <v>1452</v>
      </c>
      <c r="C521" s="455" t="s">
        <v>160</v>
      </c>
      <c r="D521" s="448"/>
      <c r="E521" s="575">
        <v>0.6</v>
      </c>
      <c r="F521" s="448"/>
      <c r="G521" s="448"/>
      <c r="H521" s="448"/>
      <c r="I521" s="448"/>
      <c r="J521" s="575">
        <v>2.53E-14</v>
      </c>
      <c r="K521" s="448"/>
      <c r="L521" s="448"/>
      <c r="M521" s="448"/>
      <c r="N521" s="448"/>
      <c r="O521" s="448"/>
      <c r="P521" s="448"/>
      <c r="Q521" s="455"/>
      <c r="R521" s="448"/>
      <c r="S521" s="575">
        <v>0.676</v>
      </c>
      <c r="T521" s="575">
        <v>3.08</v>
      </c>
      <c r="U521" s="575">
        <v>110.0</v>
      </c>
      <c r="V521" s="448"/>
      <c r="W521" s="455">
        <v>1.4</v>
      </c>
      <c r="X521" s="448"/>
      <c r="Y521" s="448"/>
    </row>
    <row r="522">
      <c r="A522" s="448"/>
      <c r="B522" s="455" t="s">
        <v>186</v>
      </c>
      <c r="C522" s="455" t="s">
        <v>2767</v>
      </c>
      <c r="D522" s="448"/>
      <c r="E522" s="448"/>
      <c r="F522" s="448"/>
      <c r="G522" s="575">
        <v>1.34E-18</v>
      </c>
      <c r="H522" s="575">
        <v>2.19E-19</v>
      </c>
      <c r="I522" s="575">
        <v>6.57E-19</v>
      </c>
      <c r="J522" s="448"/>
      <c r="K522" s="448"/>
      <c r="L522" s="448"/>
      <c r="M522" s="448"/>
      <c r="N522" s="448"/>
      <c r="O522" s="448"/>
      <c r="P522" s="448"/>
      <c r="Q522" s="455"/>
      <c r="R522" s="455" t="s">
        <v>196</v>
      </c>
      <c r="S522" s="575">
        <v>0.013</v>
      </c>
      <c r="T522" s="575">
        <v>0.19</v>
      </c>
      <c r="U522" s="448"/>
      <c r="V522" s="455">
        <v>1.77</v>
      </c>
      <c r="W522" s="448"/>
      <c r="X522" s="448"/>
      <c r="Y522" s="448"/>
    </row>
    <row r="523">
      <c r="A523" s="448"/>
      <c r="B523" s="455" t="s">
        <v>186</v>
      </c>
      <c r="C523" s="455" t="s">
        <v>2767</v>
      </c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55"/>
      <c r="R523" s="455" t="s">
        <v>196</v>
      </c>
      <c r="S523" s="575">
        <v>0.013</v>
      </c>
      <c r="T523" s="575">
        <v>0.19</v>
      </c>
      <c r="U523" s="448"/>
      <c r="V523" s="455">
        <v>1.77</v>
      </c>
      <c r="W523" s="448"/>
      <c r="X523" s="448"/>
      <c r="Y523" s="448"/>
    </row>
    <row r="524">
      <c r="A524" s="448"/>
      <c r="B524" s="455" t="s">
        <v>186</v>
      </c>
      <c r="C524" s="455" t="s">
        <v>2767</v>
      </c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8"/>
      <c r="O524" s="448"/>
      <c r="P524" s="448"/>
      <c r="Q524" s="455"/>
      <c r="R524" s="455" t="s">
        <v>196</v>
      </c>
      <c r="S524" s="575">
        <v>0.013</v>
      </c>
      <c r="T524" s="575">
        <v>0.19</v>
      </c>
      <c r="U524" s="448"/>
      <c r="V524" s="455">
        <v>1.77</v>
      </c>
      <c r="W524" s="448"/>
      <c r="X524" s="448"/>
      <c r="Y524" s="448"/>
    </row>
    <row r="525">
      <c r="A525" s="448"/>
      <c r="B525" s="455" t="s">
        <v>186</v>
      </c>
      <c r="C525" s="455" t="s">
        <v>2767</v>
      </c>
      <c r="D525" s="448"/>
      <c r="E525" s="448"/>
      <c r="F525" s="448"/>
      <c r="G525" s="448"/>
      <c r="H525" s="448"/>
      <c r="I525" s="448"/>
      <c r="J525" s="448"/>
      <c r="K525" s="448"/>
      <c r="L525" s="448"/>
      <c r="M525" s="448"/>
      <c r="N525" s="448"/>
      <c r="O525" s="448"/>
      <c r="P525" s="448"/>
      <c r="Q525" s="455"/>
      <c r="R525" s="455" t="s">
        <v>196</v>
      </c>
      <c r="S525" s="575">
        <v>0.013</v>
      </c>
      <c r="T525" s="575">
        <v>0.19</v>
      </c>
      <c r="U525" s="448"/>
      <c r="V525" s="455">
        <v>1.77</v>
      </c>
      <c r="W525" s="448"/>
      <c r="X525" s="448"/>
      <c r="Y525" s="448"/>
    </row>
    <row r="526">
      <c r="A526" s="448"/>
      <c r="B526" s="455" t="s">
        <v>186</v>
      </c>
      <c r="C526" s="455" t="s">
        <v>2767</v>
      </c>
      <c r="D526" s="448"/>
      <c r="E526" s="448"/>
      <c r="F526" s="448"/>
      <c r="G526" s="448"/>
      <c r="H526" s="448"/>
      <c r="I526" s="448"/>
      <c r="J526" s="448"/>
      <c r="K526" s="448"/>
      <c r="L526" s="448"/>
      <c r="M526" s="448"/>
      <c r="N526" s="448"/>
      <c r="O526" s="448"/>
      <c r="P526" s="448"/>
      <c r="Q526" s="455"/>
      <c r="R526" s="455" t="s">
        <v>196</v>
      </c>
      <c r="S526" s="575">
        <v>0.013</v>
      </c>
      <c r="T526" s="575">
        <v>0.19</v>
      </c>
      <c r="U526" s="448"/>
      <c r="V526" s="455">
        <v>1.77</v>
      </c>
      <c r="W526" s="448"/>
      <c r="X526" s="448"/>
      <c r="Y526" s="448"/>
    </row>
    <row r="527">
      <c r="A527" s="448"/>
      <c r="B527" s="455" t="s">
        <v>186</v>
      </c>
      <c r="C527" s="455" t="s">
        <v>2767</v>
      </c>
      <c r="D527" s="448"/>
      <c r="E527" s="448"/>
      <c r="F527" s="448"/>
      <c r="G527" s="448"/>
      <c r="H527" s="448"/>
      <c r="I527" s="448"/>
      <c r="J527" s="448"/>
      <c r="K527" s="448"/>
      <c r="L527" s="448"/>
      <c r="M527" s="448"/>
      <c r="N527" s="448"/>
      <c r="O527" s="448"/>
      <c r="P527" s="448"/>
      <c r="Q527" s="455"/>
      <c r="R527" s="455" t="s">
        <v>196</v>
      </c>
      <c r="S527" s="575">
        <v>0.013</v>
      </c>
      <c r="T527" s="575">
        <v>0.19</v>
      </c>
      <c r="U527" s="448"/>
      <c r="V527" s="455">
        <v>1.77</v>
      </c>
      <c r="W527" s="448"/>
      <c r="X527" s="448"/>
      <c r="Y527" s="448"/>
    </row>
    <row r="528">
      <c r="A528" s="448"/>
      <c r="B528" s="455" t="s">
        <v>186</v>
      </c>
      <c r="C528" s="455" t="s">
        <v>2767</v>
      </c>
      <c r="D528" s="448"/>
      <c r="E528" s="448"/>
      <c r="F528" s="448"/>
      <c r="G528" s="448"/>
      <c r="H528" s="448"/>
      <c r="I528" s="448"/>
      <c r="J528" s="448"/>
      <c r="K528" s="448"/>
      <c r="L528" s="448"/>
      <c r="M528" s="448"/>
      <c r="N528" s="448"/>
      <c r="O528" s="448"/>
      <c r="P528" s="448"/>
      <c r="Q528" s="455"/>
      <c r="R528" s="455" t="s">
        <v>196</v>
      </c>
      <c r="S528" s="575">
        <v>0.013</v>
      </c>
      <c r="T528" s="575">
        <v>0.19</v>
      </c>
      <c r="U528" s="448"/>
      <c r="V528" s="455">
        <v>1.77</v>
      </c>
      <c r="W528" s="448"/>
      <c r="X528" s="448"/>
      <c r="Y528" s="448"/>
    </row>
    <row r="529">
      <c r="A529" s="448"/>
      <c r="B529" s="455" t="s">
        <v>186</v>
      </c>
      <c r="C529" s="455" t="s">
        <v>2767</v>
      </c>
      <c r="D529" s="448"/>
      <c r="E529" s="448"/>
      <c r="F529" s="448"/>
      <c r="G529" s="448"/>
      <c r="H529" s="448"/>
      <c r="I529" s="448"/>
      <c r="J529" s="448"/>
      <c r="K529" s="448"/>
      <c r="L529" s="448"/>
      <c r="M529" s="448"/>
      <c r="N529" s="448"/>
      <c r="O529" s="448"/>
      <c r="P529" s="448"/>
      <c r="Q529" s="455"/>
      <c r="R529" s="455" t="s">
        <v>196</v>
      </c>
      <c r="S529" s="575">
        <v>0.013</v>
      </c>
      <c r="T529" s="575">
        <v>0.19</v>
      </c>
      <c r="U529" s="448"/>
      <c r="V529" s="455">
        <v>1.77</v>
      </c>
      <c r="W529" s="448"/>
      <c r="X529" s="448"/>
      <c r="Y529" s="448"/>
    </row>
    <row r="530">
      <c r="A530" s="448"/>
      <c r="B530" s="455" t="s">
        <v>290</v>
      </c>
      <c r="C530" s="455" t="s">
        <v>291</v>
      </c>
      <c r="D530" s="448"/>
      <c r="E530" s="448"/>
      <c r="F530" s="448"/>
      <c r="G530" s="575">
        <v>8.36E-18</v>
      </c>
      <c r="H530" s="448"/>
      <c r="I530" s="448"/>
      <c r="J530" s="448"/>
      <c r="K530" s="448"/>
      <c r="L530" s="448"/>
      <c r="M530" s="448"/>
      <c r="N530" s="448"/>
      <c r="O530" s="448"/>
      <c r="P530" s="448"/>
      <c r="Q530" s="455"/>
      <c r="R530" s="448"/>
      <c r="S530" s="575">
        <v>0.0105</v>
      </c>
      <c r="T530" s="575">
        <v>0.271</v>
      </c>
      <c r="U530" s="575">
        <v>145.0</v>
      </c>
      <c r="V530" s="455">
        <v>0.7</v>
      </c>
      <c r="W530" s="448"/>
      <c r="X530" s="448"/>
      <c r="Y530" s="448"/>
    </row>
    <row r="531">
      <c r="A531" s="448"/>
      <c r="B531" s="455" t="s">
        <v>290</v>
      </c>
      <c r="C531" s="455" t="s">
        <v>291</v>
      </c>
      <c r="D531" s="448"/>
      <c r="E531" s="448"/>
      <c r="F531" s="448"/>
      <c r="G531" s="575">
        <v>8.36E-18</v>
      </c>
      <c r="H531" s="448"/>
      <c r="I531" s="448"/>
      <c r="J531" s="448"/>
      <c r="K531" s="448"/>
      <c r="L531" s="448"/>
      <c r="M531" s="448"/>
      <c r="N531" s="448"/>
      <c r="O531" s="448"/>
      <c r="P531" s="448"/>
      <c r="Q531" s="455"/>
      <c r="R531" s="448"/>
      <c r="S531" s="575">
        <v>0.0105</v>
      </c>
      <c r="T531" s="448"/>
      <c r="U531" s="575">
        <v>145.0</v>
      </c>
      <c r="V531" s="448"/>
      <c r="W531" s="448"/>
      <c r="X531" s="448"/>
      <c r="Y531" s="448"/>
    </row>
    <row r="532">
      <c r="A532" s="448"/>
      <c r="B532" s="455" t="s">
        <v>300</v>
      </c>
      <c r="C532" s="455" t="s">
        <v>291</v>
      </c>
      <c r="D532" s="448"/>
      <c r="E532" s="448"/>
      <c r="F532" s="448"/>
      <c r="G532" s="575">
        <v>7.88E-17</v>
      </c>
      <c r="H532" s="448"/>
      <c r="I532" s="448"/>
      <c r="J532" s="448"/>
      <c r="K532" s="448"/>
      <c r="L532" s="448"/>
      <c r="M532" s="448"/>
      <c r="N532" s="448"/>
      <c r="O532" s="448"/>
      <c r="P532" s="448"/>
      <c r="Q532" s="455"/>
      <c r="R532" s="448"/>
      <c r="S532" s="575">
        <v>0.0134</v>
      </c>
      <c r="T532" s="575">
        <v>0.446</v>
      </c>
      <c r="U532" s="575">
        <v>145.0</v>
      </c>
      <c r="V532" s="575">
        <v>0.2</v>
      </c>
      <c r="W532" s="448"/>
      <c r="X532" s="448"/>
      <c r="Y532" s="448"/>
    </row>
    <row r="533">
      <c r="A533" s="448"/>
      <c r="B533" s="455" t="s">
        <v>600</v>
      </c>
      <c r="C533" s="455" t="s">
        <v>717</v>
      </c>
      <c r="D533" s="448"/>
      <c r="E533" s="448"/>
      <c r="F533" s="448"/>
      <c r="G533" s="575">
        <v>8.1E-16</v>
      </c>
      <c r="H533" s="448"/>
      <c r="I533" s="448"/>
      <c r="J533" s="448"/>
      <c r="K533" s="448"/>
      <c r="L533" s="448"/>
      <c r="M533" s="448"/>
      <c r="N533" s="448"/>
      <c r="O533" s="448"/>
      <c r="P533" s="448"/>
      <c r="Q533" s="455"/>
      <c r="R533" s="455" t="s">
        <v>2797</v>
      </c>
      <c r="S533" s="575">
        <v>0.0115</v>
      </c>
      <c r="T533" s="575">
        <v>0.201</v>
      </c>
      <c r="U533" s="448"/>
      <c r="V533" s="448"/>
      <c r="W533" s="448"/>
      <c r="X533" s="448"/>
      <c r="Y533" s="448"/>
    </row>
    <row r="534">
      <c r="A534" s="448"/>
      <c r="B534" s="448"/>
      <c r="C534" s="448"/>
      <c r="D534" s="448"/>
      <c r="E534" s="448"/>
      <c r="F534" s="448"/>
      <c r="G534" s="448"/>
      <c r="H534" s="448"/>
      <c r="I534" s="448"/>
      <c r="J534" s="448"/>
      <c r="K534" s="448"/>
      <c r="L534" s="448"/>
      <c r="M534" s="448"/>
      <c r="N534" s="448"/>
      <c r="O534" s="448"/>
      <c r="P534" s="448"/>
      <c r="Q534" s="448"/>
      <c r="R534" s="448"/>
      <c r="S534" s="448"/>
      <c r="T534" s="448"/>
      <c r="U534" s="448"/>
      <c r="V534" s="448"/>
      <c r="W534" s="448"/>
      <c r="X534" s="448"/>
      <c r="Y534" s="448"/>
    </row>
    <row r="535">
      <c r="A535" s="448"/>
      <c r="B535" s="448"/>
      <c r="C535" s="448"/>
      <c r="D535" s="448"/>
      <c r="E535" s="448"/>
      <c r="F535" s="448"/>
      <c r="G535" s="448"/>
      <c r="H535" s="448"/>
      <c r="I535" s="448"/>
      <c r="J535" s="448"/>
      <c r="K535" s="448"/>
      <c r="L535" s="448"/>
      <c r="M535" s="448"/>
      <c r="N535" s="448"/>
      <c r="O535" s="448"/>
      <c r="P535" s="448"/>
      <c r="Q535" s="448"/>
      <c r="R535" s="448"/>
      <c r="S535" s="448"/>
      <c r="T535" s="448"/>
      <c r="U535" s="448"/>
      <c r="V535" s="448"/>
      <c r="W535" s="448"/>
      <c r="X535" s="448"/>
      <c r="Y535" s="448"/>
    </row>
    <row r="536">
      <c r="A536" s="448"/>
      <c r="B536" s="448"/>
      <c r="C536" s="448"/>
      <c r="D536" s="448"/>
      <c r="E536" s="448"/>
      <c r="F536" s="448"/>
      <c r="G536" s="448"/>
      <c r="H536" s="448"/>
      <c r="I536" s="448"/>
      <c r="J536" s="448"/>
      <c r="K536" s="448"/>
      <c r="L536" s="448"/>
      <c r="M536" s="448"/>
      <c r="N536" s="448"/>
      <c r="O536" s="448"/>
      <c r="P536" s="448"/>
      <c r="Q536" s="448"/>
      <c r="R536" s="448"/>
      <c r="S536" s="448"/>
      <c r="T536" s="448"/>
      <c r="U536" s="448"/>
      <c r="V536" s="448"/>
      <c r="W536" s="448"/>
      <c r="X536" s="448"/>
      <c r="Y536" s="448"/>
    </row>
    <row r="537">
      <c r="A537" s="448"/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</row>
    <row r="538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</row>
    <row r="539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8"/>
      <c r="O539" s="448"/>
      <c r="P539" s="448"/>
      <c r="Q539" s="448"/>
      <c r="R539" s="448"/>
      <c r="S539" s="448"/>
      <c r="T539" s="448"/>
      <c r="U539" s="448"/>
      <c r="V539" s="448"/>
      <c r="W539" s="448"/>
      <c r="X539" s="448"/>
      <c r="Y539" s="448"/>
    </row>
    <row r="540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448"/>
      <c r="O540" s="448"/>
      <c r="P540" s="448"/>
      <c r="Q540" s="448"/>
      <c r="R540" s="448"/>
      <c r="S540" s="448"/>
      <c r="T540" s="448"/>
      <c r="U540" s="448"/>
      <c r="V540" s="448"/>
      <c r="W540" s="448"/>
      <c r="X540" s="448"/>
      <c r="Y540" s="448"/>
    </row>
    <row r="541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448"/>
      <c r="O541" s="448"/>
      <c r="P541" s="448"/>
      <c r="Q541" s="448"/>
      <c r="R541" s="448"/>
      <c r="S541" s="448"/>
      <c r="T541" s="448"/>
      <c r="U541" s="448"/>
      <c r="V541" s="448"/>
      <c r="W541" s="448"/>
      <c r="X541" s="448"/>
      <c r="Y541" s="448"/>
    </row>
    <row r="54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448"/>
      <c r="O542" s="448"/>
      <c r="P542" s="448"/>
      <c r="Q542" s="448"/>
      <c r="R542" s="448"/>
      <c r="S542" s="448"/>
      <c r="T542" s="448"/>
      <c r="U542" s="448"/>
      <c r="V542" s="448"/>
      <c r="W542" s="448"/>
      <c r="X542" s="448"/>
      <c r="Y542" s="448"/>
    </row>
    <row r="543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448"/>
      <c r="O543" s="448"/>
      <c r="P543" s="448"/>
      <c r="Q543" s="448"/>
      <c r="R543" s="448"/>
      <c r="S543" s="448"/>
      <c r="T543" s="448"/>
      <c r="U543" s="448"/>
      <c r="V543" s="448"/>
      <c r="W543" s="448"/>
      <c r="X543" s="448"/>
      <c r="Y543" s="448"/>
    </row>
    <row r="544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</row>
    <row r="545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</row>
    <row r="546">
      <c r="A546" s="448"/>
      <c r="B546" s="448"/>
      <c r="C546" s="448"/>
      <c r="D546" s="448"/>
      <c r="E546" s="448"/>
      <c r="F546" s="448"/>
      <c r="G546" s="448"/>
      <c r="H546" s="448"/>
      <c r="I546" s="448"/>
      <c r="J546" s="448"/>
      <c r="K546" s="448"/>
      <c r="L546" s="448"/>
      <c r="M546" s="448"/>
      <c r="N546" s="448"/>
      <c r="O546" s="448"/>
      <c r="P546" s="448"/>
      <c r="Q546" s="448"/>
      <c r="R546" s="448"/>
      <c r="S546" s="448"/>
      <c r="T546" s="448"/>
      <c r="U546" s="448"/>
      <c r="V546" s="448"/>
      <c r="W546" s="448"/>
      <c r="X546" s="448"/>
      <c r="Y546" s="448"/>
    </row>
    <row r="547">
      <c r="A547" s="448"/>
      <c r="B547" s="448"/>
      <c r="C547" s="448"/>
      <c r="D547" s="448"/>
      <c r="E547" s="448"/>
      <c r="F547" s="448"/>
      <c r="G547" s="448"/>
      <c r="H547" s="448"/>
      <c r="I547" s="448"/>
      <c r="J547" s="448"/>
      <c r="K547" s="448"/>
      <c r="L547" s="448"/>
      <c r="M547" s="448"/>
      <c r="N547" s="448"/>
      <c r="O547" s="448"/>
      <c r="P547" s="448"/>
      <c r="Q547" s="448"/>
      <c r="R547" s="448"/>
      <c r="S547" s="448"/>
      <c r="T547" s="448"/>
      <c r="U547" s="448"/>
      <c r="V547" s="448"/>
      <c r="W547" s="448"/>
      <c r="X547" s="448"/>
      <c r="Y547" s="448"/>
    </row>
    <row r="548">
      <c r="A548" s="448"/>
      <c r="B548" s="448"/>
      <c r="C548" s="448"/>
      <c r="D548" s="448"/>
      <c r="E548" s="448"/>
      <c r="F548" s="448"/>
      <c r="G548" s="448"/>
      <c r="H548" s="448"/>
      <c r="I548" s="448"/>
      <c r="J548" s="448"/>
      <c r="K548" s="448"/>
      <c r="L548" s="448"/>
      <c r="M548" s="448"/>
      <c r="N548" s="448"/>
      <c r="O548" s="448"/>
      <c r="P548" s="448"/>
      <c r="Q548" s="448"/>
      <c r="R548" s="448"/>
      <c r="S548" s="448"/>
      <c r="T548" s="448"/>
      <c r="U548" s="448"/>
      <c r="V548" s="448"/>
      <c r="W548" s="448"/>
      <c r="X548" s="448"/>
      <c r="Y548" s="448"/>
    </row>
    <row r="549">
      <c r="A549" s="448"/>
      <c r="B549" s="448"/>
      <c r="C549" s="448"/>
      <c r="D549" s="448"/>
      <c r="E549" s="448"/>
      <c r="F549" s="448"/>
      <c r="G549" s="448"/>
      <c r="H549" s="448"/>
      <c r="I549" s="448"/>
      <c r="J549" s="448"/>
      <c r="K549" s="448"/>
      <c r="L549" s="448"/>
      <c r="M549" s="448"/>
      <c r="N549" s="448"/>
      <c r="O549" s="448"/>
      <c r="P549" s="448"/>
      <c r="Q549" s="448"/>
      <c r="R549" s="448"/>
      <c r="S549" s="448"/>
      <c r="T549" s="448"/>
      <c r="U549" s="448"/>
      <c r="V549" s="448"/>
      <c r="W549" s="448"/>
      <c r="X549" s="448"/>
      <c r="Y549" s="448"/>
    </row>
    <row r="550">
      <c r="A550" s="448"/>
      <c r="B550" s="448"/>
      <c r="C550" s="448"/>
      <c r="D550" s="448"/>
      <c r="E550" s="448"/>
      <c r="F550" s="448"/>
      <c r="G550" s="448"/>
      <c r="H550" s="448"/>
      <c r="I550" s="448"/>
      <c r="J550" s="448"/>
      <c r="K550" s="448"/>
      <c r="L550" s="448"/>
      <c r="M550" s="448"/>
      <c r="N550" s="448"/>
      <c r="O550" s="448"/>
      <c r="P550" s="448"/>
      <c r="Q550" s="448"/>
      <c r="R550" s="448"/>
      <c r="S550" s="448"/>
      <c r="T550" s="448"/>
      <c r="U550" s="448"/>
      <c r="V550" s="448"/>
      <c r="W550" s="448"/>
      <c r="X550" s="448"/>
      <c r="Y550" s="448"/>
    </row>
    <row r="551">
      <c r="A551" s="448"/>
      <c r="B551" s="448"/>
      <c r="C551" s="448"/>
      <c r="D551" s="448"/>
      <c r="E551" s="448"/>
      <c r="F551" s="448"/>
      <c r="G551" s="448"/>
      <c r="H551" s="448"/>
      <c r="I551" s="448"/>
      <c r="J551" s="448"/>
      <c r="K551" s="448"/>
      <c r="L551" s="448"/>
      <c r="M551" s="448"/>
      <c r="N551" s="448"/>
      <c r="O551" s="448"/>
      <c r="P551" s="448"/>
      <c r="Q551" s="448"/>
      <c r="R551" s="448"/>
      <c r="S551" s="448"/>
      <c r="T551" s="448"/>
      <c r="U551" s="448"/>
      <c r="V551" s="448"/>
      <c r="W551" s="448"/>
      <c r="X551" s="448"/>
      <c r="Y551" s="448"/>
    </row>
    <row r="552">
      <c r="A552" s="448"/>
      <c r="B552" s="448"/>
      <c r="C552" s="448"/>
      <c r="D552" s="448"/>
      <c r="E552" s="448"/>
      <c r="F552" s="448"/>
      <c r="G552" s="448"/>
      <c r="H552" s="448"/>
      <c r="I552" s="448"/>
      <c r="J552" s="448"/>
      <c r="K552" s="448"/>
      <c r="L552" s="448"/>
      <c r="M552" s="448"/>
      <c r="N552" s="448"/>
      <c r="O552" s="448"/>
      <c r="P552" s="448"/>
      <c r="Q552" s="448"/>
      <c r="R552" s="448"/>
      <c r="S552" s="448"/>
      <c r="T552" s="448"/>
      <c r="U552" s="448"/>
      <c r="V552" s="448"/>
      <c r="W552" s="448"/>
      <c r="X552" s="448"/>
      <c r="Y552" s="448"/>
    </row>
    <row r="553">
      <c r="A553" s="448"/>
      <c r="B553" s="448"/>
      <c r="C553" s="448"/>
      <c r="D553" s="448"/>
      <c r="E553" s="448"/>
      <c r="F553" s="448"/>
      <c r="G553" s="448"/>
      <c r="H553" s="448"/>
      <c r="I553" s="448"/>
      <c r="J553" s="448"/>
      <c r="K553" s="448"/>
      <c r="L553" s="448"/>
      <c r="M553" s="448"/>
      <c r="N553" s="448"/>
      <c r="O553" s="448"/>
      <c r="P553" s="448"/>
      <c r="Q553" s="448"/>
      <c r="R553" s="448"/>
      <c r="S553" s="448"/>
      <c r="T553" s="448"/>
      <c r="U553" s="448"/>
      <c r="V553" s="448"/>
      <c r="W553" s="448"/>
      <c r="X553" s="448"/>
      <c r="Y553" s="448"/>
    </row>
    <row r="554">
      <c r="A554" s="448"/>
      <c r="B554" s="448"/>
      <c r="C554" s="448"/>
      <c r="D554" s="448"/>
      <c r="E554" s="448"/>
      <c r="F554" s="448"/>
      <c r="G554" s="448"/>
      <c r="H554" s="448"/>
      <c r="I554" s="448"/>
      <c r="J554" s="448"/>
      <c r="K554" s="448"/>
      <c r="L554" s="448"/>
      <c r="M554" s="448"/>
      <c r="N554" s="448"/>
      <c r="O554" s="448"/>
      <c r="P554" s="448"/>
      <c r="Q554" s="448"/>
      <c r="R554" s="448"/>
      <c r="S554" s="448"/>
      <c r="T554" s="448"/>
      <c r="U554" s="448"/>
      <c r="V554" s="448"/>
      <c r="W554" s="448"/>
      <c r="X554" s="448"/>
      <c r="Y554" s="448"/>
    </row>
    <row r="555">
      <c r="A555" s="448"/>
      <c r="B555" s="448"/>
      <c r="C555" s="448"/>
      <c r="D555" s="448"/>
      <c r="E555" s="448"/>
      <c r="F555" s="448"/>
      <c r="G555" s="448"/>
      <c r="H555" s="448"/>
      <c r="I555" s="448"/>
      <c r="J555" s="448"/>
      <c r="K555" s="448"/>
      <c r="L555" s="448"/>
      <c r="M555" s="448"/>
      <c r="N555" s="448"/>
      <c r="O555" s="448"/>
      <c r="P555" s="448"/>
      <c r="Q555" s="448"/>
      <c r="R555" s="448"/>
      <c r="S555" s="448"/>
      <c r="T555" s="448"/>
      <c r="U555" s="448"/>
      <c r="V555" s="448"/>
      <c r="W555" s="448"/>
      <c r="X555" s="448"/>
      <c r="Y555" s="448"/>
    </row>
    <row r="556">
      <c r="A556" s="448"/>
      <c r="B556" s="448"/>
      <c r="C556" s="448"/>
      <c r="D556" s="448"/>
      <c r="E556" s="448"/>
      <c r="F556" s="448"/>
      <c r="G556" s="448"/>
      <c r="H556" s="448"/>
      <c r="I556" s="448"/>
      <c r="J556" s="448"/>
      <c r="K556" s="448"/>
      <c r="L556" s="448"/>
      <c r="M556" s="448"/>
      <c r="N556" s="448"/>
      <c r="O556" s="448"/>
      <c r="P556" s="448"/>
      <c r="Q556" s="448"/>
      <c r="R556" s="448"/>
      <c r="S556" s="448"/>
      <c r="T556" s="448"/>
      <c r="U556" s="448"/>
      <c r="V556" s="448"/>
      <c r="W556" s="448"/>
      <c r="X556" s="448"/>
      <c r="Y556" s="448"/>
    </row>
    <row r="557">
      <c r="A557" s="448"/>
      <c r="B557" s="448"/>
      <c r="C557" s="448"/>
      <c r="D557" s="448"/>
      <c r="E557" s="448"/>
      <c r="F557" s="448"/>
      <c r="G557" s="448"/>
      <c r="H557" s="448"/>
      <c r="I557" s="448"/>
      <c r="J557" s="448"/>
      <c r="K557" s="448"/>
      <c r="L557" s="448"/>
      <c r="M557" s="448"/>
      <c r="N557" s="448"/>
      <c r="O557" s="448"/>
      <c r="P557" s="448"/>
      <c r="Q557" s="448"/>
      <c r="R557" s="448"/>
      <c r="S557" s="448"/>
      <c r="T557" s="448"/>
      <c r="U557" s="448"/>
      <c r="V557" s="448"/>
      <c r="W557" s="448"/>
      <c r="X557" s="448"/>
      <c r="Y557" s="448"/>
    </row>
    <row r="558">
      <c r="A558" s="448"/>
      <c r="B558" s="448"/>
      <c r="C558" s="448"/>
      <c r="D558" s="448"/>
      <c r="E558" s="448"/>
      <c r="F558" s="448"/>
      <c r="G558" s="448"/>
      <c r="H558" s="448"/>
      <c r="I558" s="448"/>
      <c r="J558" s="448"/>
      <c r="K558" s="448"/>
      <c r="L558" s="448"/>
      <c r="M558" s="448"/>
      <c r="N558" s="448"/>
      <c r="O558" s="448"/>
      <c r="P558" s="448"/>
      <c r="Q558" s="448"/>
      <c r="R558" s="448"/>
      <c r="S558" s="448"/>
      <c r="T558" s="448"/>
      <c r="U558" s="448"/>
      <c r="V558" s="448"/>
      <c r="W558" s="448"/>
      <c r="X558" s="448"/>
      <c r="Y558" s="448"/>
    </row>
    <row r="559">
      <c r="A559" s="448"/>
      <c r="B559" s="448"/>
      <c r="C559" s="448"/>
      <c r="D559" s="448"/>
      <c r="E559" s="448"/>
      <c r="F559" s="448"/>
      <c r="G559" s="448"/>
      <c r="H559" s="448"/>
      <c r="I559" s="448"/>
      <c r="J559" s="448"/>
      <c r="K559" s="448"/>
      <c r="L559" s="448"/>
      <c r="M559" s="448"/>
      <c r="N559" s="448"/>
      <c r="O559" s="448"/>
      <c r="P559" s="448"/>
      <c r="Q559" s="448"/>
      <c r="R559" s="448"/>
      <c r="S559" s="448"/>
      <c r="T559" s="448"/>
      <c r="U559" s="448"/>
      <c r="V559" s="448"/>
      <c r="W559" s="448"/>
      <c r="X559" s="448"/>
      <c r="Y559" s="448"/>
    </row>
    <row r="560">
      <c r="A560" s="448"/>
      <c r="B560" s="448"/>
      <c r="C560" s="448"/>
      <c r="D560" s="448"/>
      <c r="E560" s="448"/>
      <c r="F560" s="448"/>
      <c r="G560" s="448"/>
      <c r="H560" s="448"/>
      <c r="I560" s="448"/>
      <c r="J560" s="448"/>
      <c r="K560" s="448"/>
      <c r="L560" s="448"/>
      <c r="M560" s="448"/>
      <c r="N560" s="448"/>
      <c r="O560" s="448"/>
      <c r="P560" s="448"/>
      <c r="Q560" s="448"/>
      <c r="R560" s="448"/>
      <c r="S560" s="448"/>
      <c r="T560" s="448"/>
      <c r="U560" s="448"/>
      <c r="V560" s="448"/>
      <c r="W560" s="448"/>
      <c r="X560" s="448"/>
      <c r="Y560" s="448"/>
    </row>
    <row r="561">
      <c r="A561" s="448"/>
      <c r="B561" s="448"/>
      <c r="C561" s="448"/>
      <c r="D561" s="448"/>
      <c r="E561" s="448"/>
      <c r="F561" s="448"/>
      <c r="G561" s="448"/>
      <c r="H561" s="448"/>
      <c r="I561" s="448"/>
      <c r="J561" s="448"/>
      <c r="K561" s="448"/>
      <c r="L561" s="448"/>
      <c r="M561" s="448"/>
      <c r="N561" s="448"/>
      <c r="O561" s="448"/>
      <c r="P561" s="448"/>
      <c r="Q561" s="448"/>
      <c r="R561" s="448"/>
      <c r="S561" s="448"/>
      <c r="T561" s="448"/>
      <c r="U561" s="448"/>
      <c r="V561" s="448"/>
      <c r="W561" s="448"/>
      <c r="X561" s="448"/>
      <c r="Y561" s="448"/>
    </row>
    <row r="562">
      <c r="A562" s="448"/>
      <c r="B562" s="448"/>
      <c r="C562" s="448"/>
      <c r="D562" s="448"/>
      <c r="E562" s="448"/>
      <c r="F562" s="448"/>
      <c r="G562" s="448"/>
      <c r="H562" s="448"/>
      <c r="I562" s="448"/>
      <c r="J562" s="448"/>
      <c r="K562" s="448"/>
      <c r="L562" s="448"/>
      <c r="M562" s="448"/>
      <c r="N562" s="448"/>
      <c r="O562" s="448"/>
      <c r="P562" s="448"/>
      <c r="Q562" s="448"/>
      <c r="R562" s="448"/>
      <c r="S562" s="448"/>
      <c r="T562" s="448"/>
      <c r="U562" s="448"/>
      <c r="V562" s="448"/>
      <c r="W562" s="448"/>
      <c r="X562" s="448"/>
      <c r="Y562" s="448"/>
    </row>
    <row r="563">
      <c r="A563" s="448"/>
      <c r="B563" s="448"/>
      <c r="C563" s="448"/>
      <c r="D563" s="448"/>
      <c r="E563" s="448"/>
      <c r="F563" s="448"/>
      <c r="G563" s="448"/>
      <c r="H563" s="448"/>
      <c r="I563" s="448"/>
      <c r="J563" s="448"/>
      <c r="K563" s="448"/>
      <c r="L563" s="448"/>
      <c r="M563" s="448"/>
      <c r="N563" s="448"/>
      <c r="O563" s="448"/>
      <c r="P563" s="448"/>
      <c r="Q563" s="448"/>
      <c r="R563" s="448"/>
      <c r="S563" s="448"/>
      <c r="T563" s="448"/>
      <c r="U563" s="448"/>
      <c r="V563" s="448"/>
      <c r="W563" s="448"/>
      <c r="X563" s="448"/>
      <c r="Y563" s="448"/>
    </row>
    <row r="564">
      <c r="A564" s="448"/>
      <c r="B564" s="448"/>
      <c r="C564" s="448"/>
      <c r="D564" s="448"/>
      <c r="E564" s="448"/>
      <c r="F564" s="448"/>
      <c r="G564" s="448"/>
      <c r="H564" s="448"/>
      <c r="I564" s="448"/>
      <c r="J564" s="448"/>
      <c r="K564" s="448"/>
      <c r="L564" s="448"/>
      <c r="M564" s="448"/>
      <c r="N564" s="448"/>
      <c r="O564" s="448"/>
      <c r="P564" s="448"/>
      <c r="Q564" s="448"/>
      <c r="R564" s="448"/>
      <c r="S564" s="448"/>
      <c r="T564" s="448"/>
      <c r="U564" s="448"/>
      <c r="V564" s="448"/>
      <c r="W564" s="448"/>
      <c r="X564" s="448"/>
      <c r="Y564" s="448"/>
    </row>
    <row r="565">
      <c r="A565" s="448"/>
      <c r="B565" s="448"/>
      <c r="C565" s="448"/>
      <c r="D565" s="448"/>
      <c r="E565" s="448"/>
      <c r="F565" s="448"/>
      <c r="G565" s="448"/>
      <c r="H565" s="448"/>
      <c r="I565" s="448"/>
      <c r="J565" s="448"/>
      <c r="K565" s="448"/>
      <c r="L565" s="448"/>
      <c r="M565" s="448"/>
      <c r="N565" s="448"/>
      <c r="O565" s="448"/>
      <c r="P565" s="448"/>
      <c r="Q565" s="448"/>
      <c r="R565" s="448"/>
      <c r="S565" s="448"/>
      <c r="T565" s="448"/>
      <c r="U565" s="448"/>
      <c r="V565" s="448"/>
      <c r="W565" s="448"/>
      <c r="X565" s="448"/>
      <c r="Y565" s="448"/>
    </row>
    <row r="566">
      <c r="A566" s="448"/>
      <c r="B566" s="448"/>
      <c r="C566" s="448"/>
      <c r="D566" s="448"/>
      <c r="E566" s="448"/>
      <c r="F566" s="448"/>
      <c r="G566" s="448"/>
      <c r="H566" s="448"/>
      <c r="I566" s="448"/>
      <c r="J566" s="448"/>
      <c r="K566" s="448"/>
      <c r="L566" s="448"/>
      <c r="M566" s="448"/>
      <c r="N566" s="448"/>
      <c r="O566" s="448"/>
      <c r="P566" s="448"/>
      <c r="Q566" s="448"/>
      <c r="R566" s="448"/>
      <c r="S566" s="448"/>
      <c r="T566" s="448"/>
      <c r="U566" s="448"/>
      <c r="V566" s="448"/>
      <c r="W566" s="448"/>
      <c r="X566" s="448"/>
      <c r="Y566" s="448"/>
    </row>
    <row r="567">
      <c r="A567" s="448"/>
      <c r="B567" s="448"/>
      <c r="C567" s="448"/>
      <c r="D567" s="448"/>
      <c r="E567" s="448"/>
      <c r="F567" s="448"/>
      <c r="G567" s="448"/>
      <c r="H567" s="448"/>
      <c r="I567" s="448"/>
      <c r="J567" s="448"/>
      <c r="K567" s="448"/>
      <c r="L567" s="448"/>
      <c r="M567" s="448"/>
      <c r="N567" s="448"/>
      <c r="O567" s="448"/>
      <c r="P567" s="448"/>
      <c r="Q567" s="448"/>
      <c r="R567" s="448"/>
      <c r="S567" s="448"/>
      <c r="T567" s="448"/>
      <c r="U567" s="448"/>
      <c r="V567" s="448"/>
      <c r="W567" s="448"/>
      <c r="X567" s="448"/>
      <c r="Y567" s="448"/>
    </row>
    <row r="568">
      <c r="A568" s="448"/>
      <c r="B568" s="448"/>
      <c r="C568" s="448"/>
      <c r="D568" s="448"/>
      <c r="E568" s="448"/>
      <c r="F568" s="448"/>
      <c r="G568" s="448"/>
      <c r="H568" s="448"/>
      <c r="I568" s="448"/>
      <c r="J568" s="448"/>
      <c r="K568" s="448"/>
      <c r="L568" s="448"/>
      <c r="M568" s="448"/>
      <c r="N568" s="448"/>
      <c r="O568" s="448"/>
      <c r="P568" s="448"/>
      <c r="Q568" s="448"/>
      <c r="R568" s="448"/>
      <c r="S568" s="448"/>
      <c r="T568" s="448"/>
      <c r="U568" s="448"/>
      <c r="V568" s="448"/>
      <c r="W568" s="448"/>
      <c r="X568" s="448"/>
      <c r="Y568" s="448"/>
    </row>
    <row r="569">
      <c r="A569" s="448"/>
      <c r="B569" s="448"/>
      <c r="C569" s="448"/>
      <c r="D569" s="448"/>
      <c r="E569" s="448"/>
      <c r="F569" s="448"/>
      <c r="G569" s="448"/>
      <c r="H569" s="448"/>
      <c r="I569" s="448"/>
      <c r="J569" s="448"/>
      <c r="K569" s="448"/>
      <c r="L569" s="448"/>
      <c r="M569" s="448"/>
      <c r="N569" s="448"/>
      <c r="O569" s="448"/>
      <c r="P569" s="448"/>
      <c r="Q569" s="448"/>
      <c r="R569" s="448"/>
      <c r="S569" s="448"/>
      <c r="T569" s="448"/>
      <c r="U569" s="448"/>
      <c r="V569" s="448"/>
      <c r="W569" s="448"/>
      <c r="X569" s="448"/>
      <c r="Y569" s="448"/>
    </row>
    <row r="570">
      <c r="A570" s="448"/>
      <c r="B570" s="448"/>
      <c r="C570" s="448"/>
      <c r="D570" s="448"/>
      <c r="E570" s="448"/>
      <c r="F570" s="448"/>
      <c r="G570" s="448"/>
      <c r="H570" s="448"/>
      <c r="I570" s="448"/>
      <c r="J570" s="448"/>
      <c r="K570" s="448"/>
      <c r="L570" s="448"/>
      <c r="M570" s="448"/>
      <c r="N570" s="448"/>
      <c r="O570" s="448"/>
      <c r="P570" s="448"/>
      <c r="Q570" s="448"/>
      <c r="R570" s="448"/>
      <c r="S570" s="448"/>
      <c r="T570" s="448"/>
      <c r="U570" s="448"/>
      <c r="V570" s="448"/>
      <c r="W570" s="448"/>
      <c r="X570" s="448"/>
      <c r="Y570" s="448"/>
    </row>
    <row r="571">
      <c r="A571" s="448"/>
      <c r="B571" s="448"/>
      <c r="C571" s="448"/>
      <c r="D571" s="448"/>
      <c r="E571" s="448"/>
      <c r="F571" s="448"/>
      <c r="G571" s="448"/>
      <c r="H571" s="448"/>
      <c r="I571" s="448"/>
      <c r="J571" s="448"/>
      <c r="K571" s="448"/>
      <c r="L571" s="448"/>
      <c r="M571" s="448"/>
      <c r="N571" s="448"/>
      <c r="O571" s="448"/>
      <c r="P571" s="448"/>
      <c r="Q571" s="448"/>
      <c r="R571" s="448"/>
      <c r="S571" s="448"/>
      <c r="T571" s="448"/>
      <c r="U571" s="448"/>
      <c r="V571" s="448"/>
      <c r="W571" s="448"/>
      <c r="X571" s="448"/>
      <c r="Y571" s="448"/>
    </row>
    <row r="572">
      <c r="A572" s="448"/>
      <c r="B572" s="448"/>
      <c r="C572" s="448"/>
      <c r="D572" s="448"/>
      <c r="E572" s="448"/>
      <c r="F572" s="448"/>
      <c r="G572" s="448"/>
      <c r="H572" s="448"/>
      <c r="I572" s="448"/>
      <c r="J572" s="448"/>
      <c r="K572" s="448"/>
      <c r="L572" s="448"/>
      <c r="M572" s="448"/>
      <c r="N572" s="448"/>
      <c r="O572" s="448"/>
      <c r="P572" s="448"/>
      <c r="Q572" s="448"/>
      <c r="R572" s="448"/>
      <c r="S572" s="448"/>
      <c r="T572" s="448"/>
      <c r="U572" s="448"/>
      <c r="V572" s="448"/>
      <c r="W572" s="448"/>
      <c r="X572" s="448"/>
      <c r="Y572" s="448"/>
    </row>
    <row r="573">
      <c r="A573" s="448"/>
      <c r="B573" s="448"/>
      <c r="C573" s="448"/>
      <c r="D573" s="448"/>
      <c r="E573" s="448"/>
      <c r="F573" s="448"/>
      <c r="G573" s="448"/>
      <c r="H573" s="448"/>
      <c r="I573" s="448"/>
      <c r="J573" s="448"/>
      <c r="K573" s="448"/>
      <c r="L573" s="448"/>
      <c r="M573" s="448"/>
      <c r="N573" s="448"/>
      <c r="O573" s="448"/>
      <c r="P573" s="448"/>
      <c r="Q573" s="448"/>
      <c r="R573" s="448"/>
      <c r="S573" s="448"/>
      <c r="T573" s="448"/>
      <c r="U573" s="448"/>
      <c r="V573" s="448"/>
      <c r="W573" s="448"/>
      <c r="X573" s="448"/>
      <c r="Y573" s="448"/>
    </row>
    <row r="574">
      <c r="A574" s="448"/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  <c r="V574" s="448"/>
      <c r="W574" s="448"/>
      <c r="X574" s="448"/>
      <c r="Y574" s="448"/>
    </row>
    <row r="575">
      <c r="A575" s="448"/>
      <c r="B575" s="448"/>
      <c r="C575" s="448"/>
      <c r="D575" s="448"/>
      <c r="E575" s="448"/>
      <c r="F575" s="448"/>
      <c r="G575" s="448"/>
      <c r="H575" s="448"/>
      <c r="I575" s="448"/>
      <c r="J575" s="448"/>
      <c r="K575" s="448"/>
      <c r="L575" s="448"/>
      <c r="M575" s="448"/>
      <c r="N575" s="448"/>
      <c r="O575" s="448"/>
      <c r="P575" s="448"/>
      <c r="Q575" s="448"/>
      <c r="R575" s="448"/>
      <c r="S575" s="448"/>
      <c r="T575" s="448"/>
      <c r="U575" s="448"/>
      <c r="V575" s="448"/>
      <c r="W575" s="448"/>
      <c r="X575" s="448"/>
      <c r="Y575" s="448"/>
    </row>
    <row r="576">
      <c r="A576" s="448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48"/>
      <c r="M576" s="448"/>
      <c r="N576" s="448"/>
      <c r="O576" s="448"/>
      <c r="P576" s="448"/>
      <c r="Q576" s="448"/>
      <c r="R576" s="448"/>
      <c r="S576" s="448"/>
      <c r="T576" s="448"/>
      <c r="U576" s="448"/>
      <c r="V576" s="448"/>
      <c r="W576" s="448"/>
      <c r="X576" s="448"/>
      <c r="Y576" s="448"/>
    </row>
    <row r="577">
      <c r="A577" s="448"/>
      <c r="B577" s="448"/>
      <c r="C577" s="448"/>
      <c r="D577" s="448"/>
      <c r="E577" s="448"/>
      <c r="F577" s="448"/>
      <c r="G577" s="448"/>
      <c r="H577" s="448"/>
      <c r="I577" s="448"/>
      <c r="J577" s="448"/>
      <c r="K577" s="448"/>
      <c r="L577" s="448"/>
      <c r="M577" s="448"/>
      <c r="N577" s="448"/>
      <c r="O577" s="448"/>
      <c r="P577" s="448"/>
      <c r="Q577" s="448"/>
      <c r="R577" s="448"/>
      <c r="S577" s="448"/>
      <c r="T577" s="448"/>
      <c r="U577" s="448"/>
      <c r="V577" s="448"/>
      <c r="W577" s="448"/>
      <c r="X577" s="448"/>
      <c r="Y577" s="448"/>
    </row>
    <row r="578">
      <c r="A578" s="448"/>
      <c r="B578" s="448"/>
      <c r="C578" s="448"/>
      <c r="D578" s="448"/>
      <c r="E578" s="448"/>
      <c r="F578" s="448"/>
      <c r="G578" s="448"/>
      <c r="H578" s="448"/>
      <c r="I578" s="448"/>
      <c r="J578" s="448"/>
      <c r="K578" s="448"/>
      <c r="L578" s="448"/>
      <c r="M578" s="448"/>
      <c r="N578" s="448"/>
      <c r="O578" s="448"/>
      <c r="P578" s="448"/>
      <c r="Q578" s="448"/>
      <c r="R578" s="448"/>
      <c r="S578" s="448"/>
      <c r="T578" s="448"/>
      <c r="U578" s="448"/>
      <c r="V578" s="448"/>
      <c r="W578" s="448"/>
      <c r="X578" s="448"/>
      <c r="Y578" s="448"/>
    </row>
    <row r="579">
      <c r="A579" s="448"/>
      <c r="B579" s="448"/>
      <c r="C579" s="448"/>
      <c r="D579" s="448"/>
      <c r="E579" s="448"/>
      <c r="F579" s="448"/>
      <c r="G579" s="448"/>
      <c r="H579" s="448"/>
      <c r="I579" s="448"/>
      <c r="J579" s="448"/>
      <c r="K579" s="448"/>
      <c r="L579" s="448"/>
      <c r="M579" s="448"/>
      <c r="N579" s="448"/>
      <c r="O579" s="448"/>
      <c r="P579" s="448"/>
      <c r="Q579" s="448"/>
      <c r="R579" s="448"/>
      <c r="S579" s="448"/>
      <c r="T579" s="448"/>
      <c r="U579" s="448"/>
      <c r="V579" s="448"/>
      <c r="W579" s="448"/>
      <c r="X579" s="448"/>
      <c r="Y579" s="448"/>
    </row>
    <row r="580">
      <c r="A580" s="448"/>
      <c r="B580" s="448"/>
      <c r="C580" s="448"/>
      <c r="D580" s="448"/>
      <c r="E580" s="448"/>
      <c r="F580" s="448"/>
      <c r="G580" s="448"/>
      <c r="H580" s="448"/>
      <c r="I580" s="448"/>
      <c r="J580" s="448"/>
      <c r="K580" s="448"/>
      <c r="L580" s="448"/>
      <c r="M580" s="448"/>
      <c r="N580" s="448"/>
      <c r="O580" s="448"/>
      <c r="P580" s="448"/>
      <c r="Q580" s="448"/>
      <c r="R580" s="448"/>
      <c r="S580" s="448"/>
      <c r="T580" s="448"/>
      <c r="U580" s="448"/>
      <c r="V580" s="448"/>
      <c r="W580" s="448"/>
      <c r="X580" s="448"/>
      <c r="Y580" s="448"/>
    </row>
    <row r="581">
      <c r="A581" s="448"/>
      <c r="B581" s="448"/>
      <c r="C581" s="448"/>
      <c r="D581" s="448"/>
      <c r="E581" s="448"/>
      <c r="F581" s="448"/>
      <c r="G581" s="448"/>
      <c r="H581" s="448"/>
      <c r="I581" s="448"/>
      <c r="J581" s="448"/>
      <c r="K581" s="448"/>
      <c r="L581" s="448"/>
      <c r="M581" s="448"/>
      <c r="N581" s="448"/>
      <c r="O581" s="448"/>
      <c r="P581" s="448"/>
      <c r="Q581" s="448"/>
      <c r="R581" s="448"/>
      <c r="S581" s="448"/>
      <c r="T581" s="448"/>
      <c r="U581" s="448"/>
      <c r="V581" s="448"/>
      <c r="W581" s="448"/>
      <c r="X581" s="448"/>
      <c r="Y581" s="448"/>
    </row>
    <row r="582">
      <c r="A582" s="448"/>
      <c r="B582" s="448"/>
      <c r="C582" s="448"/>
      <c r="D582" s="448"/>
      <c r="E582" s="448"/>
      <c r="F582" s="448"/>
      <c r="G582" s="448"/>
      <c r="H582" s="448"/>
      <c r="I582" s="448"/>
      <c r="J582" s="448"/>
      <c r="K582" s="448"/>
      <c r="L582" s="448"/>
      <c r="M582" s="448"/>
      <c r="N582" s="448"/>
      <c r="O582" s="448"/>
      <c r="P582" s="448"/>
      <c r="Q582" s="448"/>
      <c r="R582" s="448"/>
      <c r="S582" s="448"/>
      <c r="T582" s="448"/>
      <c r="U582" s="448"/>
      <c r="V582" s="448"/>
      <c r="W582" s="448"/>
      <c r="X582" s="448"/>
      <c r="Y582" s="448"/>
    </row>
    <row r="583">
      <c r="A583" s="448"/>
      <c r="B583" s="448"/>
      <c r="C583" s="448"/>
      <c r="D583" s="448"/>
      <c r="E583" s="448"/>
      <c r="F583" s="448"/>
      <c r="G583" s="448"/>
      <c r="H583" s="448"/>
      <c r="I583" s="448"/>
      <c r="J583" s="448"/>
      <c r="K583" s="448"/>
      <c r="L583" s="448"/>
      <c r="M583" s="448"/>
      <c r="N583" s="448"/>
      <c r="O583" s="448"/>
      <c r="P583" s="448"/>
      <c r="Q583" s="448"/>
      <c r="R583" s="448"/>
      <c r="S583" s="448"/>
      <c r="T583" s="448"/>
      <c r="U583" s="448"/>
      <c r="V583" s="448"/>
      <c r="W583" s="448"/>
      <c r="X583" s="448"/>
      <c r="Y583" s="448"/>
    </row>
    <row r="584">
      <c r="A584" s="4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X584" s="448"/>
      <c r="Y584" s="448"/>
    </row>
    <row r="585">
      <c r="A585" s="448"/>
      <c r="B585" s="448"/>
      <c r="C585" s="448"/>
      <c r="D585" s="448"/>
      <c r="E585" s="448"/>
      <c r="F585" s="448"/>
      <c r="G585" s="448"/>
      <c r="H585" s="448"/>
      <c r="I585" s="448"/>
      <c r="J585" s="448"/>
      <c r="K585" s="448"/>
      <c r="L585" s="448"/>
      <c r="M585" s="448"/>
      <c r="N585" s="448"/>
      <c r="O585" s="448"/>
      <c r="P585" s="448"/>
      <c r="Q585" s="448"/>
      <c r="R585" s="448"/>
      <c r="S585" s="448"/>
      <c r="T585" s="448"/>
      <c r="U585" s="448"/>
      <c r="V585" s="448"/>
      <c r="W585" s="448"/>
      <c r="X585" s="448"/>
      <c r="Y585" s="448"/>
    </row>
    <row r="586">
      <c r="A586" s="448"/>
      <c r="B586" s="448"/>
      <c r="C586" s="448"/>
      <c r="D586" s="448"/>
      <c r="E586" s="448"/>
      <c r="F586" s="448"/>
      <c r="G586" s="448"/>
      <c r="H586" s="448"/>
      <c r="I586" s="448"/>
      <c r="J586" s="448"/>
      <c r="K586" s="448"/>
      <c r="L586" s="448"/>
      <c r="M586" s="448"/>
      <c r="N586" s="448"/>
      <c r="O586" s="448"/>
      <c r="P586" s="448"/>
      <c r="Q586" s="448"/>
      <c r="R586" s="448"/>
      <c r="S586" s="448"/>
      <c r="T586" s="448"/>
      <c r="U586" s="448"/>
      <c r="V586" s="448"/>
      <c r="W586" s="448"/>
      <c r="X586" s="448"/>
      <c r="Y586" s="448"/>
    </row>
    <row r="587">
      <c r="A587" s="448"/>
      <c r="B587" s="448"/>
      <c r="C587" s="448"/>
      <c r="D587" s="448"/>
      <c r="E587" s="448"/>
      <c r="F587" s="448"/>
      <c r="G587" s="448"/>
      <c r="H587" s="448"/>
      <c r="I587" s="448"/>
      <c r="J587" s="448"/>
      <c r="K587" s="448"/>
      <c r="L587" s="448"/>
      <c r="M587" s="448"/>
      <c r="N587" s="448"/>
      <c r="O587" s="448"/>
      <c r="P587" s="448"/>
      <c r="Q587" s="448"/>
      <c r="R587" s="448"/>
      <c r="S587" s="448"/>
      <c r="T587" s="448"/>
      <c r="U587" s="448"/>
      <c r="V587" s="448"/>
      <c r="W587" s="448"/>
      <c r="X587" s="448"/>
      <c r="Y587" s="448"/>
    </row>
    <row r="588">
      <c r="A588" s="448"/>
      <c r="B588" s="448"/>
      <c r="C588" s="448"/>
      <c r="D588" s="448"/>
      <c r="E588" s="448"/>
      <c r="F588" s="448"/>
      <c r="G588" s="448"/>
      <c r="H588" s="448"/>
      <c r="I588" s="448"/>
      <c r="J588" s="448"/>
      <c r="K588" s="448"/>
      <c r="L588" s="448"/>
      <c r="M588" s="448"/>
      <c r="N588" s="448"/>
      <c r="O588" s="448"/>
      <c r="P588" s="448"/>
      <c r="Q588" s="448"/>
      <c r="R588" s="448"/>
      <c r="S588" s="448"/>
      <c r="T588" s="448"/>
      <c r="U588" s="448"/>
      <c r="V588" s="448"/>
      <c r="W588" s="448"/>
      <c r="X588" s="448"/>
      <c r="Y588" s="448"/>
    </row>
    <row r="589">
      <c r="A589" s="448"/>
      <c r="B589" s="448"/>
      <c r="C589" s="448"/>
      <c r="D589" s="448"/>
      <c r="E589" s="448"/>
      <c r="F589" s="448"/>
      <c r="G589" s="448"/>
      <c r="H589" s="448"/>
      <c r="I589" s="448"/>
      <c r="J589" s="448"/>
      <c r="K589" s="448"/>
      <c r="L589" s="448"/>
      <c r="M589" s="448"/>
      <c r="N589" s="448"/>
      <c r="O589" s="448"/>
      <c r="P589" s="448"/>
      <c r="Q589" s="448"/>
      <c r="R589" s="448"/>
      <c r="S589" s="448"/>
      <c r="T589" s="448"/>
      <c r="U589" s="448"/>
      <c r="V589" s="448"/>
      <c r="W589" s="448"/>
      <c r="X589" s="448"/>
      <c r="Y589" s="448"/>
    </row>
    <row r="590">
      <c r="A590" s="448"/>
      <c r="B590" s="448"/>
      <c r="C590" s="448"/>
      <c r="D590" s="448"/>
      <c r="E590" s="448"/>
      <c r="F590" s="448"/>
      <c r="G590" s="448"/>
      <c r="H590" s="448"/>
      <c r="I590" s="448"/>
      <c r="J590" s="448"/>
      <c r="K590" s="448"/>
      <c r="L590" s="448"/>
      <c r="M590" s="448"/>
      <c r="N590" s="448"/>
      <c r="O590" s="448"/>
      <c r="P590" s="448"/>
      <c r="Q590" s="448"/>
      <c r="R590" s="448"/>
      <c r="S590" s="448"/>
      <c r="T590" s="448"/>
      <c r="U590" s="448"/>
      <c r="V590" s="448"/>
      <c r="W590" s="448"/>
      <c r="X590" s="448"/>
      <c r="Y590" s="448"/>
    </row>
    <row r="591">
      <c r="A591" s="448"/>
      <c r="B591" s="448"/>
      <c r="C591" s="448"/>
      <c r="D591" s="448"/>
      <c r="E591" s="448"/>
      <c r="F591" s="448"/>
      <c r="G591" s="448"/>
      <c r="H591" s="448"/>
      <c r="I591" s="448"/>
      <c r="J591" s="448"/>
      <c r="K591" s="448"/>
      <c r="L591" s="448"/>
      <c r="M591" s="448"/>
      <c r="N591" s="448"/>
      <c r="O591" s="448"/>
      <c r="P591" s="448"/>
      <c r="Q591" s="448"/>
      <c r="R591" s="448"/>
      <c r="S591" s="448"/>
      <c r="T591" s="448"/>
      <c r="U591" s="448"/>
      <c r="V591" s="448"/>
      <c r="W591" s="448"/>
      <c r="X591" s="448"/>
      <c r="Y591" s="448"/>
    </row>
    <row r="592">
      <c r="A592" s="448"/>
      <c r="B592" s="448"/>
      <c r="C592" s="448"/>
      <c r="D592" s="448"/>
      <c r="E592" s="448"/>
      <c r="F592" s="448"/>
      <c r="G592" s="448"/>
      <c r="H592" s="448"/>
      <c r="I592" s="448"/>
      <c r="J592" s="448"/>
      <c r="K592" s="448"/>
      <c r="L592" s="448"/>
      <c r="M592" s="448"/>
      <c r="N592" s="448"/>
      <c r="O592" s="448"/>
      <c r="P592" s="448"/>
      <c r="Q592" s="448"/>
      <c r="R592" s="448"/>
      <c r="S592" s="448"/>
      <c r="T592" s="448"/>
      <c r="U592" s="448"/>
      <c r="V592" s="448"/>
      <c r="W592" s="448"/>
      <c r="X592" s="448"/>
      <c r="Y592" s="448"/>
    </row>
    <row r="593">
      <c r="A593" s="448"/>
      <c r="B593" s="448"/>
      <c r="C593" s="448"/>
      <c r="D593" s="448"/>
      <c r="E593" s="448"/>
      <c r="F593" s="448"/>
      <c r="G593" s="448"/>
      <c r="H593" s="448"/>
      <c r="I593" s="448"/>
      <c r="J593" s="448"/>
      <c r="K593" s="448"/>
      <c r="L593" s="448"/>
      <c r="M593" s="448"/>
      <c r="N593" s="448"/>
      <c r="O593" s="448"/>
      <c r="P593" s="448"/>
      <c r="Q593" s="448"/>
      <c r="R593" s="448"/>
      <c r="S593" s="448"/>
      <c r="T593" s="448"/>
      <c r="U593" s="448"/>
      <c r="V593" s="448"/>
      <c r="W593" s="448"/>
      <c r="X593" s="448"/>
      <c r="Y593" s="448"/>
    </row>
    <row r="594">
      <c r="A594" s="448"/>
      <c r="B594" s="448"/>
      <c r="C594" s="448"/>
      <c r="D594" s="448"/>
      <c r="E594" s="448"/>
      <c r="F594" s="448"/>
      <c r="G594" s="448"/>
      <c r="H594" s="448"/>
      <c r="I594" s="448"/>
      <c r="J594" s="448"/>
      <c r="K594" s="448"/>
      <c r="L594" s="448"/>
      <c r="M594" s="448"/>
      <c r="N594" s="448"/>
      <c r="O594" s="448"/>
      <c r="P594" s="448"/>
      <c r="Q594" s="448"/>
      <c r="R594" s="448"/>
      <c r="S594" s="448"/>
      <c r="T594" s="448"/>
      <c r="U594" s="448"/>
      <c r="V594" s="448"/>
      <c r="W594" s="448"/>
      <c r="X594" s="448"/>
      <c r="Y594" s="448"/>
    </row>
    <row r="595">
      <c r="A595" s="448"/>
      <c r="B595" s="448"/>
      <c r="C595" s="448"/>
      <c r="D595" s="448"/>
      <c r="E595" s="448"/>
      <c r="F595" s="448"/>
      <c r="G595" s="448"/>
      <c r="H595" s="448"/>
      <c r="I595" s="448"/>
      <c r="J595" s="448"/>
      <c r="K595" s="448"/>
      <c r="L595" s="448"/>
      <c r="M595" s="448"/>
      <c r="N595" s="448"/>
      <c r="O595" s="448"/>
      <c r="P595" s="448"/>
      <c r="Q595" s="448"/>
      <c r="R595" s="448"/>
      <c r="S595" s="448"/>
      <c r="T595" s="448"/>
      <c r="U595" s="448"/>
      <c r="V595" s="448"/>
      <c r="W595" s="448"/>
      <c r="X595" s="448"/>
      <c r="Y595" s="448"/>
    </row>
    <row r="596">
      <c r="A596" s="448"/>
      <c r="B596" s="448"/>
      <c r="C596" s="448"/>
      <c r="D596" s="448"/>
      <c r="E596" s="448"/>
      <c r="F596" s="448"/>
      <c r="G596" s="448"/>
      <c r="H596" s="448"/>
      <c r="I596" s="448"/>
      <c r="J596" s="448"/>
      <c r="K596" s="448"/>
      <c r="L596" s="448"/>
      <c r="M596" s="448"/>
      <c r="N596" s="448"/>
      <c r="O596" s="448"/>
      <c r="P596" s="448"/>
      <c r="Q596" s="448"/>
      <c r="R596" s="448"/>
      <c r="S596" s="448"/>
      <c r="T596" s="448"/>
      <c r="U596" s="448"/>
      <c r="V596" s="448"/>
      <c r="W596" s="448"/>
      <c r="X596" s="448"/>
      <c r="Y596" s="448"/>
    </row>
    <row r="597">
      <c r="A597" s="448"/>
      <c r="B597" s="448"/>
      <c r="C597" s="448"/>
      <c r="D597" s="448"/>
      <c r="E597" s="448"/>
      <c r="F597" s="448"/>
      <c r="G597" s="448"/>
      <c r="H597" s="448"/>
      <c r="I597" s="448"/>
      <c r="J597" s="448"/>
      <c r="K597" s="448"/>
      <c r="L597" s="448"/>
      <c r="M597" s="448"/>
      <c r="N597" s="448"/>
      <c r="O597" s="448"/>
      <c r="P597" s="448"/>
      <c r="Q597" s="448"/>
      <c r="R597" s="448"/>
      <c r="S597" s="448"/>
      <c r="T597" s="448"/>
      <c r="U597" s="448"/>
      <c r="V597" s="448"/>
      <c r="W597" s="448"/>
      <c r="X597" s="448"/>
      <c r="Y597" s="448"/>
    </row>
    <row r="598">
      <c r="A598" s="448"/>
      <c r="B598" s="448"/>
      <c r="C598" s="448"/>
      <c r="D598" s="448"/>
      <c r="E598" s="448"/>
      <c r="F598" s="448"/>
      <c r="G598" s="448"/>
      <c r="H598" s="448"/>
      <c r="I598" s="448"/>
      <c r="J598" s="448"/>
      <c r="K598" s="448"/>
      <c r="L598" s="448"/>
      <c r="M598" s="448"/>
      <c r="N598" s="448"/>
      <c r="O598" s="448"/>
      <c r="P598" s="448"/>
      <c r="Q598" s="448"/>
      <c r="R598" s="448"/>
      <c r="S598" s="448"/>
      <c r="T598" s="448"/>
      <c r="U598" s="448"/>
      <c r="V598" s="448"/>
      <c r="W598" s="448"/>
      <c r="X598" s="448"/>
      <c r="Y598" s="448"/>
    </row>
    <row r="599">
      <c r="A599" s="448"/>
      <c r="B599" s="448"/>
      <c r="C599" s="448"/>
      <c r="D599" s="448"/>
      <c r="E599" s="448"/>
      <c r="F599" s="448"/>
      <c r="G599" s="448"/>
      <c r="H599" s="448"/>
      <c r="I599" s="448"/>
      <c r="J599" s="448"/>
      <c r="K599" s="448"/>
      <c r="L599" s="448"/>
      <c r="M599" s="448"/>
      <c r="N599" s="448"/>
      <c r="O599" s="448"/>
      <c r="P599" s="448"/>
      <c r="Q599" s="448"/>
      <c r="R599" s="448"/>
      <c r="S599" s="448"/>
      <c r="T599" s="448"/>
      <c r="U599" s="448"/>
      <c r="V599" s="448"/>
      <c r="W599" s="448"/>
      <c r="X599" s="448"/>
      <c r="Y599" s="448"/>
    </row>
    <row r="600">
      <c r="A600" s="448"/>
      <c r="B600" s="448"/>
      <c r="C600" s="448"/>
      <c r="D600" s="448"/>
      <c r="E600" s="448"/>
      <c r="F600" s="448"/>
      <c r="G600" s="448"/>
      <c r="H600" s="448"/>
      <c r="I600" s="448"/>
      <c r="J600" s="448"/>
      <c r="K600" s="448"/>
      <c r="L600" s="448"/>
      <c r="M600" s="448"/>
      <c r="N600" s="448"/>
      <c r="O600" s="448"/>
      <c r="P600" s="448"/>
      <c r="Q600" s="448"/>
      <c r="R600" s="448"/>
      <c r="S600" s="448"/>
      <c r="T600" s="448"/>
      <c r="U600" s="448"/>
      <c r="V600" s="448"/>
      <c r="W600" s="448"/>
      <c r="X600" s="448"/>
      <c r="Y600" s="448"/>
    </row>
    <row r="601">
      <c r="A601" s="448"/>
      <c r="B601" s="448"/>
      <c r="C601" s="448"/>
      <c r="D601" s="448"/>
      <c r="E601" s="448"/>
      <c r="F601" s="448"/>
      <c r="G601" s="448"/>
      <c r="H601" s="448"/>
      <c r="I601" s="448"/>
      <c r="J601" s="448"/>
      <c r="K601" s="448"/>
      <c r="L601" s="448"/>
      <c r="M601" s="448"/>
      <c r="N601" s="448"/>
      <c r="O601" s="448"/>
      <c r="P601" s="448"/>
      <c r="Q601" s="448"/>
      <c r="R601" s="448"/>
      <c r="S601" s="448"/>
      <c r="T601" s="448"/>
      <c r="U601" s="448"/>
      <c r="V601" s="448"/>
      <c r="W601" s="448"/>
      <c r="X601" s="448"/>
      <c r="Y601" s="448"/>
    </row>
    <row r="602">
      <c r="A602" s="448"/>
      <c r="B602" s="448"/>
      <c r="C602" s="448"/>
      <c r="D602" s="448"/>
      <c r="E602" s="448"/>
      <c r="F602" s="448"/>
      <c r="G602" s="448"/>
      <c r="H602" s="448"/>
      <c r="I602" s="448"/>
      <c r="J602" s="448"/>
      <c r="K602" s="448"/>
      <c r="L602" s="448"/>
      <c r="M602" s="448"/>
      <c r="N602" s="448"/>
      <c r="O602" s="448"/>
      <c r="P602" s="448"/>
      <c r="Q602" s="448"/>
      <c r="R602" s="448"/>
      <c r="S602" s="448"/>
      <c r="T602" s="448"/>
      <c r="U602" s="448"/>
      <c r="V602" s="448"/>
      <c r="W602" s="448"/>
      <c r="X602" s="448"/>
      <c r="Y602" s="448"/>
    </row>
    <row r="603">
      <c r="A603" s="448"/>
      <c r="B603" s="448"/>
      <c r="C603" s="448"/>
      <c r="D603" s="448"/>
      <c r="E603" s="448"/>
      <c r="F603" s="448"/>
      <c r="G603" s="448"/>
      <c r="H603" s="448"/>
      <c r="I603" s="448"/>
      <c r="J603" s="448"/>
      <c r="K603" s="448"/>
      <c r="L603" s="448"/>
      <c r="M603" s="448"/>
      <c r="N603" s="448"/>
      <c r="O603" s="448"/>
      <c r="P603" s="448"/>
      <c r="Q603" s="448"/>
      <c r="R603" s="448"/>
      <c r="S603" s="448"/>
      <c r="T603" s="448"/>
      <c r="U603" s="448"/>
      <c r="V603" s="448"/>
      <c r="W603" s="448"/>
      <c r="X603" s="448"/>
      <c r="Y603" s="448"/>
    </row>
    <row r="604">
      <c r="A604" s="448"/>
      <c r="B604" s="448"/>
      <c r="C604" s="448"/>
      <c r="D604" s="448"/>
      <c r="E604" s="448"/>
      <c r="F604" s="448"/>
      <c r="G604" s="448"/>
      <c r="H604" s="448"/>
      <c r="I604" s="448"/>
      <c r="J604" s="448"/>
      <c r="K604" s="448"/>
      <c r="L604" s="448"/>
      <c r="M604" s="448"/>
      <c r="N604" s="448"/>
      <c r="O604" s="448"/>
      <c r="P604" s="448"/>
      <c r="Q604" s="448"/>
      <c r="R604" s="448"/>
      <c r="S604" s="448"/>
      <c r="T604" s="448"/>
      <c r="U604" s="448"/>
      <c r="V604" s="448"/>
      <c r="W604" s="448"/>
      <c r="X604" s="448"/>
      <c r="Y604" s="448"/>
    </row>
    <row r="605">
      <c r="A605" s="448"/>
      <c r="B605" s="448"/>
      <c r="C605" s="448"/>
      <c r="D605" s="448"/>
      <c r="E605" s="448"/>
      <c r="F605" s="448"/>
      <c r="G605" s="448"/>
      <c r="H605" s="448"/>
      <c r="I605" s="448"/>
      <c r="J605" s="448"/>
      <c r="K605" s="448"/>
      <c r="L605" s="448"/>
      <c r="M605" s="448"/>
      <c r="N605" s="448"/>
      <c r="O605" s="448"/>
      <c r="P605" s="448"/>
      <c r="Q605" s="448"/>
      <c r="R605" s="448"/>
      <c r="S605" s="448"/>
      <c r="T605" s="448"/>
      <c r="U605" s="448"/>
      <c r="V605" s="448"/>
      <c r="W605" s="448"/>
      <c r="X605" s="448"/>
      <c r="Y605" s="448"/>
    </row>
    <row r="606">
      <c r="A606" s="448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48"/>
      <c r="M606" s="448"/>
      <c r="N606" s="448"/>
      <c r="O606" s="448"/>
      <c r="P606" s="448"/>
      <c r="Q606" s="448"/>
      <c r="R606" s="448"/>
      <c r="S606" s="448"/>
      <c r="T606" s="448"/>
      <c r="U606" s="448"/>
      <c r="V606" s="448"/>
      <c r="W606" s="448"/>
      <c r="X606" s="448"/>
      <c r="Y606" s="448"/>
    </row>
    <row r="607">
      <c r="A607" s="448"/>
      <c r="B607" s="448"/>
      <c r="C607" s="448"/>
      <c r="D607" s="448"/>
      <c r="E607" s="448"/>
      <c r="F607" s="448"/>
      <c r="G607" s="448"/>
      <c r="H607" s="448"/>
      <c r="I607" s="448"/>
      <c r="J607" s="448"/>
      <c r="K607" s="448"/>
      <c r="L607" s="448"/>
      <c r="M607" s="448"/>
      <c r="N607" s="448"/>
      <c r="O607" s="448"/>
      <c r="P607" s="448"/>
      <c r="Q607" s="448"/>
      <c r="R607" s="448"/>
      <c r="S607" s="448"/>
      <c r="T607" s="448"/>
      <c r="U607" s="448"/>
      <c r="V607" s="448"/>
      <c r="W607" s="448"/>
      <c r="X607" s="448"/>
      <c r="Y607" s="448"/>
    </row>
    <row r="608">
      <c r="A608" s="448"/>
      <c r="B608" s="448"/>
      <c r="C608" s="448"/>
      <c r="D608" s="448"/>
      <c r="E608" s="448"/>
      <c r="F608" s="448"/>
      <c r="G608" s="448"/>
      <c r="H608" s="448"/>
      <c r="I608" s="448"/>
      <c r="J608" s="448"/>
      <c r="K608" s="448"/>
      <c r="L608" s="448"/>
      <c r="M608" s="448"/>
      <c r="N608" s="448"/>
      <c r="O608" s="448"/>
      <c r="P608" s="448"/>
      <c r="Q608" s="448"/>
      <c r="R608" s="448"/>
      <c r="S608" s="448"/>
      <c r="T608" s="448"/>
      <c r="U608" s="448"/>
      <c r="V608" s="448"/>
      <c r="W608" s="448"/>
      <c r="X608" s="448"/>
      <c r="Y608" s="448"/>
    </row>
    <row r="609">
      <c r="A609" s="448"/>
      <c r="B609" s="448"/>
      <c r="C609" s="448"/>
      <c r="D609" s="448"/>
      <c r="E609" s="448"/>
      <c r="F609" s="448"/>
      <c r="G609" s="448"/>
      <c r="H609" s="448"/>
      <c r="I609" s="448"/>
      <c r="J609" s="448"/>
      <c r="K609" s="448"/>
      <c r="L609" s="448"/>
      <c r="M609" s="448"/>
      <c r="N609" s="448"/>
      <c r="O609" s="448"/>
      <c r="P609" s="448"/>
      <c r="Q609" s="448"/>
      <c r="R609" s="448"/>
      <c r="S609" s="448"/>
      <c r="T609" s="448"/>
      <c r="U609" s="448"/>
      <c r="V609" s="448"/>
      <c r="W609" s="448"/>
      <c r="X609" s="448"/>
      <c r="Y609" s="448"/>
    </row>
    <row r="610">
      <c r="A610" s="448"/>
      <c r="B610" s="448"/>
      <c r="C610" s="448"/>
      <c r="D610" s="448"/>
      <c r="E610" s="448"/>
      <c r="F610" s="448"/>
      <c r="G610" s="448"/>
      <c r="H610" s="448"/>
      <c r="I610" s="448"/>
      <c r="J610" s="448"/>
      <c r="K610" s="448"/>
      <c r="L610" s="448"/>
      <c r="M610" s="448"/>
      <c r="N610" s="448"/>
      <c r="O610" s="448"/>
      <c r="P610" s="448"/>
      <c r="Q610" s="448"/>
      <c r="R610" s="448"/>
      <c r="S610" s="448"/>
      <c r="T610" s="448"/>
      <c r="U610" s="448"/>
      <c r="V610" s="448"/>
      <c r="W610" s="448"/>
      <c r="X610" s="448"/>
      <c r="Y610" s="448"/>
    </row>
    <row r="611">
      <c r="A611" s="448"/>
      <c r="B611" s="448"/>
      <c r="C611" s="448"/>
      <c r="D611" s="448"/>
      <c r="E611" s="448"/>
      <c r="F611" s="448"/>
      <c r="G611" s="448"/>
      <c r="H611" s="448"/>
      <c r="I611" s="448"/>
      <c r="J611" s="448"/>
      <c r="K611" s="448"/>
      <c r="L611" s="448"/>
      <c r="M611" s="448"/>
      <c r="N611" s="448"/>
      <c r="O611" s="448"/>
      <c r="P611" s="448"/>
      <c r="Q611" s="448"/>
      <c r="R611" s="448"/>
      <c r="S611" s="448"/>
      <c r="T611" s="448"/>
      <c r="U611" s="448"/>
      <c r="V611" s="448"/>
      <c r="W611" s="448"/>
      <c r="X611" s="448"/>
      <c r="Y611" s="448"/>
    </row>
    <row r="612">
      <c r="A612" s="448"/>
      <c r="B612" s="448"/>
      <c r="C612" s="448"/>
      <c r="D612" s="448"/>
      <c r="E612" s="448"/>
      <c r="F612" s="448"/>
      <c r="G612" s="448"/>
      <c r="H612" s="448"/>
      <c r="I612" s="448"/>
      <c r="J612" s="448"/>
      <c r="K612" s="448"/>
      <c r="L612" s="448"/>
      <c r="M612" s="448"/>
      <c r="N612" s="448"/>
      <c r="O612" s="448"/>
      <c r="P612" s="448"/>
      <c r="Q612" s="448"/>
      <c r="R612" s="448"/>
      <c r="S612" s="448"/>
      <c r="T612" s="448"/>
      <c r="U612" s="448"/>
      <c r="V612" s="448"/>
      <c r="W612" s="448"/>
      <c r="X612" s="448"/>
      <c r="Y612" s="448"/>
    </row>
    <row r="613">
      <c r="A613" s="448"/>
      <c r="B613" s="448"/>
      <c r="C613" s="448"/>
      <c r="D613" s="448"/>
      <c r="E613" s="448"/>
      <c r="F613" s="448"/>
      <c r="G613" s="448"/>
      <c r="H613" s="448"/>
      <c r="I613" s="448"/>
      <c r="J613" s="448"/>
      <c r="K613" s="448"/>
      <c r="L613" s="448"/>
      <c r="M613" s="448"/>
      <c r="N613" s="448"/>
      <c r="O613" s="448"/>
      <c r="P613" s="448"/>
      <c r="Q613" s="448"/>
      <c r="R613" s="448"/>
      <c r="S613" s="448"/>
      <c r="T613" s="448"/>
      <c r="U613" s="448"/>
      <c r="V613" s="448"/>
      <c r="W613" s="448"/>
      <c r="X613" s="448"/>
      <c r="Y613" s="448"/>
    </row>
    <row r="614">
      <c r="A614" s="448"/>
      <c r="B614" s="448"/>
      <c r="C614" s="448"/>
      <c r="D614" s="448"/>
      <c r="E614" s="448"/>
      <c r="F614" s="448"/>
      <c r="G614" s="448"/>
      <c r="H614" s="448"/>
      <c r="I614" s="448"/>
      <c r="J614" s="448"/>
      <c r="K614" s="448"/>
      <c r="L614" s="448"/>
      <c r="M614" s="448"/>
      <c r="N614" s="448"/>
      <c r="O614" s="448"/>
      <c r="P614" s="448"/>
      <c r="Q614" s="448"/>
      <c r="R614" s="448"/>
      <c r="S614" s="448"/>
      <c r="T614" s="448"/>
      <c r="U614" s="448"/>
      <c r="V614" s="448"/>
      <c r="W614" s="448"/>
      <c r="X614" s="448"/>
      <c r="Y614" s="448"/>
    </row>
    <row r="615">
      <c r="A615" s="448"/>
      <c r="B615" s="448"/>
      <c r="C615" s="448"/>
      <c r="D615" s="448"/>
      <c r="E615" s="448"/>
      <c r="F615" s="448"/>
      <c r="G615" s="448"/>
      <c r="H615" s="448"/>
      <c r="I615" s="448"/>
      <c r="J615" s="448"/>
      <c r="K615" s="448"/>
      <c r="L615" s="448"/>
      <c r="M615" s="448"/>
      <c r="N615" s="448"/>
      <c r="O615" s="448"/>
      <c r="P615" s="448"/>
      <c r="Q615" s="448"/>
      <c r="R615" s="448"/>
      <c r="S615" s="448"/>
      <c r="T615" s="448"/>
      <c r="U615" s="448"/>
      <c r="V615" s="448"/>
      <c r="W615" s="448"/>
      <c r="X615" s="448"/>
      <c r="Y615" s="448"/>
    </row>
    <row r="616">
      <c r="A616" s="448"/>
      <c r="B616" s="448"/>
      <c r="C616" s="448"/>
      <c r="D616" s="448"/>
      <c r="E616" s="448"/>
      <c r="F616" s="448"/>
      <c r="G616" s="448"/>
      <c r="H616" s="448"/>
      <c r="I616" s="448"/>
      <c r="J616" s="448"/>
      <c r="K616" s="448"/>
      <c r="L616" s="448"/>
      <c r="M616" s="448"/>
      <c r="N616" s="448"/>
      <c r="O616" s="448"/>
      <c r="P616" s="448"/>
      <c r="Q616" s="448"/>
      <c r="R616" s="448"/>
      <c r="S616" s="448"/>
      <c r="T616" s="448"/>
      <c r="U616" s="448"/>
      <c r="V616" s="448"/>
      <c r="W616" s="448"/>
      <c r="X616" s="448"/>
      <c r="Y616" s="448"/>
    </row>
    <row r="617">
      <c r="A617" s="448"/>
      <c r="B617" s="448"/>
      <c r="C617" s="448"/>
      <c r="D617" s="448"/>
      <c r="E617" s="448"/>
      <c r="F617" s="448"/>
      <c r="G617" s="448"/>
      <c r="H617" s="448"/>
      <c r="I617" s="448"/>
      <c r="J617" s="448"/>
      <c r="K617" s="448"/>
      <c r="L617" s="448"/>
      <c r="M617" s="448"/>
      <c r="N617" s="448"/>
      <c r="O617" s="448"/>
      <c r="P617" s="448"/>
      <c r="Q617" s="448"/>
      <c r="R617" s="448"/>
      <c r="S617" s="448"/>
      <c r="T617" s="448"/>
      <c r="U617" s="448"/>
      <c r="V617" s="448"/>
      <c r="W617" s="448"/>
      <c r="X617" s="448"/>
      <c r="Y617" s="448"/>
    </row>
    <row r="618">
      <c r="A618" s="448"/>
      <c r="B618" s="448"/>
      <c r="C618" s="448"/>
      <c r="D618" s="448"/>
      <c r="E618" s="448"/>
      <c r="F618" s="448"/>
      <c r="G618" s="448"/>
      <c r="H618" s="448"/>
      <c r="I618" s="448"/>
      <c r="J618" s="448"/>
      <c r="K618" s="448"/>
      <c r="L618" s="448"/>
      <c r="M618" s="448"/>
      <c r="N618" s="448"/>
      <c r="O618" s="448"/>
      <c r="P618" s="448"/>
      <c r="Q618" s="448"/>
      <c r="R618" s="448"/>
      <c r="S618" s="448"/>
      <c r="T618" s="448"/>
      <c r="U618" s="448"/>
      <c r="V618" s="448"/>
      <c r="W618" s="448"/>
      <c r="X618" s="448"/>
      <c r="Y618" s="448"/>
    </row>
    <row r="619">
      <c r="A619" s="448"/>
      <c r="B619" s="448"/>
      <c r="C619" s="448"/>
      <c r="D619" s="448"/>
      <c r="E619" s="448"/>
      <c r="F619" s="448"/>
      <c r="G619" s="448"/>
      <c r="H619" s="448"/>
      <c r="I619" s="448"/>
      <c r="J619" s="448"/>
      <c r="K619" s="448"/>
      <c r="L619" s="448"/>
      <c r="M619" s="448"/>
      <c r="N619" s="448"/>
      <c r="O619" s="448"/>
      <c r="P619" s="448"/>
      <c r="Q619" s="448"/>
      <c r="R619" s="448"/>
      <c r="S619" s="448"/>
      <c r="T619" s="448"/>
      <c r="U619" s="448"/>
      <c r="V619" s="448"/>
      <c r="W619" s="448"/>
      <c r="X619" s="448"/>
      <c r="Y619" s="448"/>
    </row>
    <row r="620">
      <c r="A620" s="448"/>
      <c r="B620" s="448"/>
      <c r="C620" s="448"/>
      <c r="D620" s="448"/>
      <c r="E620" s="448"/>
      <c r="F620" s="448"/>
      <c r="G620" s="448"/>
      <c r="H620" s="448"/>
      <c r="I620" s="448"/>
      <c r="J620" s="448"/>
      <c r="K620" s="448"/>
      <c r="L620" s="448"/>
      <c r="M620" s="448"/>
      <c r="N620" s="448"/>
      <c r="O620" s="448"/>
      <c r="P620" s="448"/>
      <c r="Q620" s="448"/>
      <c r="R620" s="448"/>
      <c r="S620" s="448"/>
      <c r="T620" s="448"/>
      <c r="U620" s="448"/>
      <c r="V620" s="448"/>
      <c r="W620" s="448"/>
      <c r="X620" s="448"/>
      <c r="Y620" s="448"/>
    </row>
    <row r="621">
      <c r="A621" s="448"/>
      <c r="B621" s="448"/>
      <c r="C621" s="448"/>
      <c r="D621" s="448"/>
      <c r="E621" s="448"/>
      <c r="F621" s="448"/>
      <c r="G621" s="448"/>
      <c r="H621" s="448"/>
      <c r="I621" s="448"/>
      <c r="J621" s="448"/>
      <c r="K621" s="448"/>
      <c r="L621" s="448"/>
      <c r="M621" s="448"/>
      <c r="N621" s="448"/>
      <c r="O621" s="448"/>
      <c r="P621" s="448"/>
      <c r="Q621" s="448"/>
      <c r="R621" s="448"/>
      <c r="S621" s="448"/>
      <c r="T621" s="448"/>
      <c r="U621" s="448"/>
      <c r="V621" s="448"/>
      <c r="W621" s="448"/>
      <c r="X621" s="448"/>
      <c r="Y621" s="448"/>
    </row>
    <row r="622">
      <c r="A622" s="448"/>
      <c r="B622" s="448"/>
      <c r="C622" s="448"/>
      <c r="D622" s="448"/>
      <c r="E622" s="448"/>
      <c r="F622" s="448"/>
      <c r="G622" s="448"/>
      <c r="H622" s="448"/>
      <c r="I622" s="448"/>
      <c r="J622" s="448"/>
      <c r="K622" s="448"/>
      <c r="L622" s="448"/>
      <c r="M622" s="448"/>
      <c r="N622" s="448"/>
      <c r="O622" s="448"/>
      <c r="P622" s="448"/>
      <c r="Q622" s="448"/>
      <c r="R622" s="448"/>
      <c r="S622" s="448"/>
      <c r="T622" s="448"/>
      <c r="U622" s="448"/>
      <c r="V622" s="448"/>
      <c r="W622" s="448"/>
      <c r="X622" s="448"/>
      <c r="Y622" s="448"/>
    </row>
    <row r="623">
      <c r="A623" s="448"/>
      <c r="B623" s="448"/>
      <c r="C623" s="448"/>
      <c r="D623" s="448"/>
      <c r="E623" s="448"/>
      <c r="F623" s="448"/>
      <c r="G623" s="448"/>
      <c r="H623" s="448"/>
      <c r="I623" s="448"/>
      <c r="J623" s="448"/>
      <c r="K623" s="448"/>
      <c r="L623" s="448"/>
      <c r="M623" s="448"/>
      <c r="N623" s="448"/>
      <c r="O623" s="448"/>
      <c r="P623" s="448"/>
      <c r="Q623" s="448"/>
      <c r="R623" s="448"/>
      <c r="S623" s="448"/>
      <c r="T623" s="448"/>
      <c r="U623" s="448"/>
      <c r="V623" s="448"/>
      <c r="W623" s="448"/>
      <c r="X623" s="448"/>
      <c r="Y623" s="448"/>
    </row>
    <row r="624">
      <c r="A624" s="448"/>
      <c r="B624" s="448"/>
      <c r="C624" s="448"/>
      <c r="D624" s="448"/>
      <c r="E624" s="448"/>
      <c r="F624" s="448"/>
      <c r="G624" s="448"/>
      <c r="H624" s="448"/>
      <c r="I624" s="448"/>
      <c r="J624" s="448"/>
      <c r="K624" s="448"/>
      <c r="L624" s="448"/>
      <c r="M624" s="448"/>
      <c r="N624" s="448"/>
      <c r="O624" s="448"/>
      <c r="P624" s="448"/>
      <c r="Q624" s="448"/>
      <c r="R624" s="448"/>
      <c r="S624" s="448"/>
      <c r="T624" s="448"/>
      <c r="U624" s="448"/>
      <c r="V624" s="448"/>
      <c r="W624" s="448"/>
      <c r="X624" s="448"/>
      <c r="Y624" s="448"/>
    </row>
    <row r="625">
      <c r="A625" s="448"/>
      <c r="B625" s="448"/>
      <c r="C625" s="448"/>
      <c r="D625" s="448"/>
      <c r="E625" s="448"/>
      <c r="F625" s="448"/>
      <c r="G625" s="448"/>
      <c r="H625" s="448"/>
      <c r="I625" s="448"/>
      <c r="J625" s="448"/>
      <c r="K625" s="448"/>
      <c r="L625" s="448"/>
      <c r="M625" s="448"/>
      <c r="N625" s="448"/>
      <c r="O625" s="448"/>
      <c r="P625" s="448"/>
      <c r="Q625" s="448"/>
      <c r="R625" s="448"/>
      <c r="S625" s="448"/>
      <c r="T625" s="448"/>
      <c r="U625" s="448"/>
      <c r="V625" s="448"/>
      <c r="W625" s="448"/>
      <c r="X625" s="448"/>
      <c r="Y625" s="448"/>
    </row>
    <row r="626">
      <c r="A626" s="448"/>
      <c r="B626" s="448"/>
      <c r="C626" s="448"/>
      <c r="D626" s="448"/>
      <c r="E626" s="448"/>
      <c r="F626" s="448"/>
      <c r="G626" s="448"/>
      <c r="H626" s="448"/>
      <c r="I626" s="448"/>
      <c r="J626" s="448"/>
      <c r="K626" s="448"/>
      <c r="L626" s="448"/>
      <c r="M626" s="448"/>
      <c r="N626" s="448"/>
      <c r="O626" s="448"/>
      <c r="P626" s="448"/>
      <c r="Q626" s="448"/>
      <c r="R626" s="448"/>
      <c r="S626" s="448"/>
      <c r="T626" s="448"/>
      <c r="U626" s="448"/>
      <c r="V626" s="448"/>
      <c r="W626" s="448"/>
      <c r="X626" s="448"/>
      <c r="Y626" s="448"/>
    </row>
    <row r="627">
      <c r="A627" s="448"/>
      <c r="B627" s="448"/>
      <c r="C627" s="448"/>
      <c r="D627" s="448"/>
      <c r="E627" s="448"/>
      <c r="F627" s="448"/>
      <c r="G627" s="448"/>
      <c r="H627" s="448"/>
      <c r="I627" s="448"/>
      <c r="J627" s="448"/>
      <c r="K627" s="448"/>
      <c r="L627" s="448"/>
      <c r="M627" s="448"/>
      <c r="N627" s="448"/>
      <c r="O627" s="448"/>
      <c r="P627" s="448"/>
      <c r="Q627" s="448"/>
      <c r="R627" s="448"/>
      <c r="S627" s="448"/>
      <c r="T627" s="448"/>
      <c r="U627" s="448"/>
      <c r="V627" s="448"/>
      <c r="W627" s="448"/>
      <c r="X627" s="448"/>
      <c r="Y627" s="448"/>
    </row>
    <row r="628">
      <c r="A628" s="448"/>
      <c r="B628" s="448"/>
      <c r="C628" s="448"/>
      <c r="D628" s="448"/>
      <c r="E628" s="448"/>
      <c r="F628" s="448"/>
      <c r="G628" s="448"/>
      <c r="H628" s="448"/>
      <c r="I628" s="448"/>
      <c r="J628" s="448"/>
      <c r="K628" s="448"/>
      <c r="L628" s="448"/>
      <c r="M628" s="448"/>
      <c r="N628" s="448"/>
      <c r="O628" s="448"/>
      <c r="P628" s="448"/>
      <c r="Q628" s="448"/>
      <c r="R628" s="448"/>
      <c r="S628" s="448"/>
      <c r="T628" s="448"/>
      <c r="U628" s="448"/>
      <c r="V628" s="448"/>
      <c r="W628" s="448"/>
      <c r="X628" s="448"/>
      <c r="Y628" s="448"/>
    </row>
    <row r="629">
      <c r="A629" s="448"/>
      <c r="B629" s="448"/>
      <c r="C629" s="448"/>
      <c r="D629" s="448"/>
      <c r="E629" s="448"/>
      <c r="F629" s="448"/>
      <c r="G629" s="448"/>
      <c r="H629" s="448"/>
      <c r="I629" s="448"/>
      <c r="J629" s="448"/>
      <c r="K629" s="448"/>
      <c r="L629" s="448"/>
      <c r="M629" s="448"/>
      <c r="N629" s="448"/>
      <c r="O629" s="448"/>
      <c r="P629" s="448"/>
      <c r="Q629" s="448"/>
      <c r="R629" s="448"/>
      <c r="S629" s="448"/>
      <c r="T629" s="448"/>
      <c r="U629" s="448"/>
      <c r="V629" s="448"/>
      <c r="W629" s="448"/>
      <c r="X629" s="448"/>
      <c r="Y629" s="448"/>
    </row>
    <row r="630">
      <c r="A630" s="448"/>
      <c r="B630" s="448"/>
      <c r="C630" s="448"/>
      <c r="D630" s="448"/>
      <c r="E630" s="448"/>
      <c r="F630" s="448"/>
      <c r="G630" s="448"/>
      <c r="H630" s="448"/>
      <c r="I630" s="448"/>
      <c r="J630" s="448"/>
      <c r="K630" s="448"/>
      <c r="L630" s="448"/>
      <c r="M630" s="448"/>
      <c r="N630" s="448"/>
      <c r="O630" s="448"/>
      <c r="P630" s="448"/>
      <c r="Q630" s="448"/>
      <c r="R630" s="448"/>
      <c r="S630" s="448"/>
      <c r="T630" s="448"/>
      <c r="U630" s="448"/>
      <c r="V630" s="448"/>
      <c r="W630" s="448"/>
      <c r="X630" s="448"/>
      <c r="Y630" s="448"/>
    </row>
    <row r="631">
      <c r="A631" s="448"/>
      <c r="B631" s="448"/>
      <c r="C631" s="448"/>
      <c r="D631" s="448"/>
      <c r="E631" s="448"/>
      <c r="F631" s="448"/>
      <c r="G631" s="448"/>
      <c r="H631" s="448"/>
      <c r="I631" s="448"/>
      <c r="J631" s="448"/>
      <c r="K631" s="448"/>
      <c r="L631" s="448"/>
      <c r="M631" s="448"/>
      <c r="N631" s="448"/>
      <c r="O631" s="448"/>
      <c r="P631" s="448"/>
      <c r="Q631" s="448"/>
      <c r="R631" s="448"/>
      <c r="S631" s="448"/>
      <c r="T631" s="448"/>
      <c r="U631" s="448"/>
      <c r="V631" s="448"/>
      <c r="W631" s="448"/>
      <c r="X631" s="448"/>
      <c r="Y631" s="448"/>
    </row>
    <row r="632">
      <c r="A632" s="448"/>
      <c r="B632" s="448"/>
      <c r="C632" s="448"/>
      <c r="D632" s="448"/>
      <c r="E632" s="448"/>
      <c r="F632" s="448"/>
      <c r="G632" s="448"/>
      <c r="H632" s="448"/>
      <c r="I632" s="448"/>
      <c r="J632" s="448"/>
      <c r="K632" s="448"/>
      <c r="L632" s="448"/>
      <c r="M632" s="448"/>
      <c r="N632" s="448"/>
      <c r="O632" s="448"/>
      <c r="P632" s="448"/>
      <c r="Q632" s="448"/>
      <c r="R632" s="448"/>
      <c r="S632" s="448"/>
      <c r="T632" s="448"/>
      <c r="U632" s="448"/>
      <c r="V632" s="448"/>
      <c r="W632" s="448"/>
      <c r="X632" s="448"/>
      <c r="Y632" s="448"/>
    </row>
    <row r="633">
      <c r="A633" s="448"/>
      <c r="B633" s="448"/>
      <c r="C633" s="448"/>
      <c r="D633" s="448"/>
      <c r="E633" s="448"/>
      <c r="F633" s="448"/>
      <c r="G633" s="448"/>
      <c r="H633" s="448"/>
      <c r="I633" s="448"/>
      <c r="J633" s="448"/>
      <c r="K633" s="448"/>
      <c r="L633" s="448"/>
      <c r="M633" s="448"/>
      <c r="N633" s="448"/>
      <c r="O633" s="448"/>
      <c r="P633" s="448"/>
      <c r="Q633" s="448"/>
      <c r="R633" s="448"/>
      <c r="S633" s="448"/>
      <c r="T633" s="448"/>
      <c r="U633" s="448"/>
      <c r="V633" s="448"/>
      <c r="W633" s="448"/>
      <c r="X633" s="448"/>
      <c r="Y633" s="448"/>
    </row>
    <row r="634">
      <c r="A634" s="448"/>
      <c r="B634" s="448"/>
      <c r="C634" s="448"/>
      <c r="D634" s="448"/>
      <c r="E634" s="448"/>
      <c r="F634" s="448"/>
      <c r="G634" s="448"/>
      <c r="H634" s="448"/>
      <c r="I634" s="448"/>
      <c r="J634" s="448"/>
      <c r="K634" s="448"/>
      <c r="L634" s="448"/>
      <c r="M634" s="448"/>
      <c r="N634" s="448"/>
      <c r="O634" s="448"/>
      <c r="P634" s="448"/>
      <c r="Q634" s="448"/>
      <c r="R634" s="448"/>
      <c r="S634" s="448"/>
      <c r="T634" s="448"/>
      <c r="U634" s="448"/>
      <c r="V634" s="448"/>
      <c r="W634" s="448"/>
      <c r="X634" s="448"/>
      <c r="Y634" s="448"/>
    </row>
    <row r="635">
      <c r="A635" s="448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48"/>
      <c r="M635" s="448"/>
      <c r="N635" s="448"/>
      <c r="O635" s="448"/>
      <c r="P635" s="448"/>
      <c r="Q635" s="448"/>
      <c r="R635" s="448"/>
      <c r="S635" s="448"/>
      <c r="T635" s="448"/>
      <c r="U635" s="448"/>
      <c r="V635" s="448"/>
      <c r="W635" s="448"/>
      <c r="X635" s="448"/>
      <c r="Y635" s="448"/>
    </row>
    <row r="636">
      <c r="A636" s="448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48"/>
      <c r="M636" s="448"/>
      <c r="N636" s="448"/>
      <c r="O636" s="448"/>
      <c r="P636" s="448"/>
      <c r="Q636" s="448"/>
      <c r="R636" s="448"/>
      <c r="S636" s="448"/>
      <c r="T636" s="448"/>
      <c r="U636" s="448"/>
      <c r="V636" s="448"/>
      <c r="W636" s="448"/>
      <c r="X636" s="448"/>
      <c r="Y636" s="448"/>
    </row>
    <row r="637">
      <c r="A637" s="448"/>
      <c r="B637" s="448"/>
      <c r="C637" s="448"/>
      <c r="D637" s="448"/>
      <c r="E637" s="448"/>
      <c r="F637" s="448"/>
      <c r="G637" s="448"/>
      <c r="H637" s="448"/>
      <c r="I637" s="448"/>
      <c r="J637" s="448"/>
      <c r="K637" s="448"/>
      <c r="L637" s="448"/>
      <c r="M637" s="448"/>
      <c r="N637" s="448"/>
      <c r="O637" s="448"/>
      <c r="P637" s="448"/>
      <c r="Q637" s="448"/>
      <c r="R637" s="448"/>
      <c r="S637" s="448"/>
      <c r="T637" s="448"/>
      <c r="U637" s="448"/>
      <c r="V637" s="448"/>
      <c r="W637" s="448"/>
      <c r="X637" s="448"/>
      <c r="Y637" s="448"/>
    </row>
    <row r="638">
      <c r="A638" s="448"/>
      <c r="B638" s="448"/>
      <c r="C638" s="448"/>
      <c r="D638" s="448"/>
      <c r="E638" s="448"/>
      <c r="F638" s="448"/>
      <c r="G638" s="448"/>
      <c r="H638" s="448"/>
      <c r="I638" s="448"/>
      <c r="J638" s="448"/>
      <c r="K638" s="448"/>
      <c r="L638" s="448"/>
      <c r="M638" s="448"/>
      <c r="N638" s="448"/>
      <c r="O638" s="448"/>
      <c r="P638" s="448"/>
      <c r="Q638" s="448"/>
      <c r="R638" s="448"/>
      <c r="S638" s="448"/>
      <c r="T638" s="448"/>
      <c r="U638" s="448"/>
      <c r="V638" s="448"/>
      <c r="W638" s="448"/>
      <c r="X638" s="448"/>
      <c r="Y638" s="448"/>
    </row>
    <row r="639">
      <c r="A639" s="448"/>
      <c r="B639" s="448"/>
      <c r="C639" s="448"/>
      <c r="D639" s="448"/>
      <c r="E639" s="448"/>
      <c r="F639" s="448"/>
      <c r="G639" s="448"/>
      <c r="H639" s="448"/>
      <c r="I639" s="448"/>
      <c r="J639" s="448"/>
      <c r="K639" s="448"/>
      <c r="L639" s="448"/>
      <c r="M639" s="448"/>
      <c r="N639" s="448"/>
      <c r="O639" s="448"/>
      <c r="P639" s="448"/>
      <c r="Q639" s="448"/>
      <c r="R639" s="448"/>
      <c r="S639" s="448"/>
      <c r="T639" s="448"/>
      <c r="U639" s="448"/>
      <c r="V639" s="448"/>
      <c r="W639" s="448"/>
      <c r="X639" s="448"/>
      <c r="Y639" s="448"/>
    </row>
    <row r="640">
      <c r="A640" s="448"/>
      <c r="B640" s="448"/>
      <c r="C640" s="448"/>
      <c r="D640" s="448"/>
      <c r="E640" s="448"/>
      <c r="F640" s="448"/>
      <c r="G640" s="448"/>
      <c r="H640" s="448"/>
      <c r="I640" s="448"/>
      <c r="J640" s="448"/>
      <c r="K640" s="448"/>
      <c r="L640" s="448"/>
      <c r="M640" s="448"/>
      <c r="N640" s="448"/>
      <c r="O640" s="448"/>
      <c r="P640" s="448"/>
      <c r="Q640" s="448"/>
      <c r="R640" s="448"/>
      <c r="S640" s="448"/>
      <c r="T640" s="448"/>
      <c r="U640" s="448"/>
      <c r="V640" s="448"/>
      <c r="W640" s="448"/>
      <c r="X640" s="448"/>
      <c r="Y640" s="448"/>
    </row>
    <row r="641">
      <c r="A641" s="448"/>
      <c r="B641" s="448"/>
      <c r="C641" s="448"/>
      <c r="D641" s="448"/>
      <c r="E641" s="448"/>
      <c r="F641" s="448"/>
      <c r="G641" s="448"/>
      <c r="H641" s="448"/>
      <c r="I641" s="448"/>
      <c r="J641" s="448"/>
      <c r="K641" s="448"/>
      <c r="L641" s="448"/>
      <c r="M641" s="448"/>
      <c r="N641" s="448"/>
      <c r="O641" s="448"/>
      <c r="P641" s="448"/>
      <c r="Q641" s="448"/>
      <c r="R641" s="448"/>
      <c r="S641" s="448"/>
      <c r="T641" s="448"/>
      <c r="U641" s="448"/>
      <c r="V641" s="448"/>
      <c r="W641" s="448"/>
      <c r="X641" s="448"/>
      <c r="Y641" s="448"/>
    </row>
    <row r="642">
      <c r="A642" s="448"/>
      <c r="B642" s="448"/>
      <c r="C642" s="448"/>
      <c r="D642" s="448"/>
      <c r="E642" s="448"/>
      <c r="F642" s="448"/>
      <c r="G642" s="448"/>
      <c r="H642" s="448"/>
      <c r="I642" s="448"/>
      <c r="J642" s="448"/>
      <c r="K642" s="448"/>
      <c r="L642" s="448"/>
      <c r="M642" s="448"/>
      <c r="N642" s="448"/>
      <c r="O642" s="448"/>
      <c r="P642" s="448"/>
      <c r="Q642" s="448"/>
      <c r="R642" s="448"/>
      <c r="S642" s="448"/>
      <c r="T642" s="448"/>
      <c r="U642" s="448"/>
      <c r="V642" s="448"/>
      <c r="W642" s="448"/>
      <c r="X642" s="448"/>
      <c r="Y642" s="448"/>
    </row>
    <row r="643">
      <c r="A643" s="448"/>
      <c r="B643" s="448"/>
      <c r="C643" s="448"/>
      <c r="D643" s="448"/>
      <c r="E643" s="448"/>
      <c r="F643" s="448"/>
      <c r="G643" s="448"/>
      <c r="H643" s="448"/>
      <c r="I643" s="448"/>
      <c r="J643" s="448"/>
      <c r="K643" s="448"/>
      <c r="L643" s="448"/>
      <c r="M643" s="448"/>
      <c r="N643" s="448"/>
      <c r="O643" s="448"/>
      <c r="P643" s="448"/>
      <c r="Q643" s="448"/>
      <c r="R643" s="448"/>
      <c r="S643" s="448"/>
      <c r="T643" s="448"/>
      <c r="U643" s="448"/>
      <c r="V643" s="448"/>
      <c r="W643" s="448"/>
      <c r="X643" s="448"/>
      <c r="Y643" s="448"/>
    </row>
    <row r="644">
      <c r="A644" s="448"/>
      <c r="B644" s="448"/>
      <c r="C644" s="448"/>
      <c r="D644" s="448"/>
      <c r="E644" s="448"/>
      <c r="F644" s="448"/>
      <c r="G644" s="448"/>
      <c r="H644" s="448"/>
      <c r="I644" s="448"/>
      <c r="J644" s="448"/>
      <c r="K644" s="448"/>
      <c r="L644" s="448"/>
      <c r="M644" s="448"/>
      <c r="N644" s="448"/>
      <c r="O644" s="448"/>
      <c r="P644" s="448"/>
      <c r="Q644" s="448"/>
      <c r="R644" s="448"/>
      <c r="S644" s="448"/>
      <c r="T644" s="448"/>
      <c r="U644" s="448"/>
      <c r="V644" s="448"/>
      <c r="W644" s="448"/>
      <c r="X644" s="448"/>
      <c r="Y644" s="448"/>
    </row>
    <row r="645">
      <c r="A645" s="448"/>
      <c r="B645" s="448"/>
      <c r="C645" s="448"/>
      <c r="D645" s="448"/>
      <c r="E645" s="448"/>
      <c r="F645" s="448"/>
      <c r="G645" s="448"/>
      <c r="H645" s="448"/>
      <c r="I645" s="448"/>
      <c r="J645" s="448"/>
      <c r="K645" s="448"/>
      <c r="L645" s="448"/>
      <c r="M645" s="448"/>
      <c r="N645" s="448"/>
      <c r="O645" s="448"/>
      <c r="P645" s="448"/>
      <c r="Q645" s="448"/>
      <c r="R645" s="448"/>
      <c r="S645" s="448"/>
      <c r="T645" s="448"/>
      <c r="U645" s="448"/>
      <c r="V645" s="448"/>
      <c r="W645" s="448"/>
      <c r="X645" s="448"/>
      <c r="Y645" s="448"/>
    </row>
    <row r="646">
      <c r="A646" s="448"/>
      <c r="B646" s="448"/>
      <c r="C646" s="448"/>
      <c r="D646" s="448"/>
      <c r="E646" s="448"/>
      <c r="F646" s="448"/>
      <c r="G646" s="448"/>
      <c r="H646" s="448"/>
      <c r="I646" s="448"/>
      <c r="J646" s="448"/>
      <c r="K646" s="448"/>
      <c r="L646" s="448"/>
      <c r="M646" s="448"/>
      <c r="N646" s="448"/>
      <c r="O646" s="448"/>
      <c r="P646" s="448"/>
      <c r="Q646" s="448"/>
      <c r="R646" s="448"/>
      <c r="S646" s="448"/>
      <c r="T646" s="448"/>
      <c r="U646" s="448"/>
      <c r="V646" s="448"/>
      <c r="W646" s="448"/>
      <c r="X646" s="448"/>
      <c r="Y646" s="448"/>
    </row>
    <row r="647">
      <c r="A647" s="448"/>
      <c r="B647" s="448"/>
      <c r="C647" s="448"/>
      <c r="D647" s="448"/>
      <c r="E647" s="448"/>
      <c r="F647" s="448"/>
      <c r="G647" s="448"/>
      <c r="H647" s="448"/>
      <c r="I647" s="448"/>
      <c r="J647" s="448"/>
      <c r="K647" s="448"/>
      <c r="L647" s="448"/>
      <c r="M647" s="448"/>
      <c r="N647" s="448"/>
      <c r="O647" s="448"/>
      <c r="P647" s="448"/>
      <c r="Q647" s="448"/>
      <c r="R647" s="448"/>
      <c r="S647" s="448"/>
      <c r="T647" s="448"/>
      <c r="U647" s="448"/>
      <c r="V647" s="448"/>
      <c r="W647" s="448"/>
      <c r="X647" s="448"/>
      <c r="Y647" s="448"/>
    </row>
    <row r="648">
      <c r="A648" s="448"/>
      <c r="B648" s="448"/>
      <c r="C648" s="448"/>
      <c r="D648" s="448"/>
      <c r="E648" s="448"/>
      <c r="F648" s="448"/>
      <c r="G648" s="448"/>
      <c r="H648" s="448"/>
      <c r="I648" s="448"/>
      <c r="J648" s="448"/>
      <c r="K648" s="448"/>
      <c r="L648" s="448"/>
      <c r="M648" s="448"/>
      <c r="N648" s="448"/>
      <c r="O648" s="448"/>
      <c r="P648" s="448"/>
      <c r="Q648" s="448"/>
      <c r="R648" s="448"/>
      <c r="S648" s="448"/>
      <c r="T648" s="448"/>
      <c r="U648" s="448"/>
      <c r="V648" s="448"/>
      <c r="W648" s="448"/>
      <c r="X648" s="448"/>
      <c r="Y648" s="448"/>
    </row>
    <row r="649">
      <c r="A649" s="448"/>
      <c r="B649" s="448"/>
      <c r="C649" s="448"/>
      <c r="D649" s="448"/>
      <c r="E649" s="448"/>
      <c r="F649" s="448"/>
      <c r="G649" s="448"/>
      <c r="H649" s="448"/>
      <c r="I649" s="448"/>
      <c r="J649" s="448"/>
      <c r="K649" s="448"/>
      <c r="L649" s="448"/>
      <c r="M649" s="448"/>
      <c r="N649" s="448"/>
      <c r="O649" s="448"/>
      <c r="P649" s="448"/>
      <c r="Q649" s="448"/>
      <c r="R649" s="448"/>
      <c r="S649" s="448"/>
      <c r="T649" s="448"/>
      <c r="U649" s="448"/>
      <c r="V649" s="448"/>
      <c r="W649" s="448"/>
      <c r="X649" s="448"/>
      <c r="Y649" s="448"/>
    </row>
    <row r="650">
      <c r="A650" s="448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48"/>
      <c r="M650" s="448"/>
      <c r="N650" s="448"/>
      <c r="O650" s="448"/>
      <c r="P650" s="448"/>
      <c r="Q650" s="448"/>
      <c r="R650" s="448"/>
      <c r="S650" s="448"/>
      <c r="T650" s="448"/>
      <c r="U650" s="448"/>
      <c r="V650" s="448"/>
      <c r="W650" s="448"/>
      <c r="X650" s="448"/>
      <c r="Y650" s="448"/>
    </row>
    <row r="651">
      <c r="A651" s="448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48"/>
      <c r="M651" s="448"/>
      <c r="N651" s="448"/>
      <c r="O651" s="448"/>
      <c r="P651" s="448"/>
      <c r="Q651" s="448"/>
      <c r="R651" s="448"/>
      <c r="S651" s="448"/>
      <c r="T651" s="448"/>
      <c r="U651" s="448"/>
      <c r="V651" s="448"/>
      <c r="W651" s="448"/>
      <c r="X651" s="448"/>
      <c r="Y651" s="448"/>
    </row>
    <row r="652">
      <c r="A652" s="448"/>
      <c r="B652" s="448"/>
      <c r="C652" s="448"/>
      <c r="D652" s="448"/>
      <c r="E652" s="448"/>
      <c r="F652" s="448"/>
      <c r="G652" s="448"/>
      <c r="H652" s="448"/>
      <c r="I652" s="448"/>
      <c r="J652" s="448"/>
      <c r="K652" s="448"/>
      <c r="L652" s="448"/>
      <c r="M652" s="448"/>
      <c r="N652" s="448"/>
      <c r="O652" s="448"/>
      <c r="P652" s="448"/>
      <c r="Q652" s="448"/>
      <c r="R652" s="448"/>
      <c r="S652" s="448"/>
      <c r="T652" s="448"/>
      <c r="U652" s="448"/>
      <c r="V652" s="448"/>
      <c r="W652" s="448"/>
      <c r="X652" s="448"/>
      <c r="Y652" s="448"/>
    </row>
    <row r="653">
      <c r="A653" s="448"/>
      <c r="B653" s="448"/>
      <c r="C653" s="448"/>
      <c r="D653" s="448"/>
      <c r="E653" s="448"/>
      <c r="F653" s="448"/>
      <c r="G653" s="448"/>
      <c r="H653" s="448"/>
      <c r="I653" s="448"/>
      <c r="J653" s="448"/>
      <c r="K653" s="448"/>
      <c r="L653" s="448"/>
      <c r="M653" s="448"/>
      <c r="N653" s="448"/>
      <c r="O653" s="448"/>
      <c r="P653" s="448"/>
      <c r="Q653" s="448"/>
      <c r="R653" s="448"/>
      <c r="S653" s="448"/>
      <c r="T653" s="448"/>
      <c r="U653" s="448"/>
      <c r="V653" s="448"/>
      <c r="W653" s="448"/>
      <c r="X653" s="448"/>
      <c r="Y653" s="448"/>
    </row>
    <row r="654">
      <c r="A654" s="448"/>
      <c r="B654" s="448"/>
      <c r="C654" s="448"/>
      <c r="D654" s="448"/>
      <c r="E654" s="448"/>
      <c r="F654" s="448"/>
      <c r="G654" s="448"/>
      <c r="H654" s="448"/>
      <c r="I654" s="448"/>
      <c r="J654" s="448"/>
      <c r="K654" s="448"/>
      <c r="L654" s="448"/>
      <c r="M654" s="448"/>
      <c r="N654" s="448"/>
      <c r="O654" s="448"/>
      <c r="P654" s="448"/>
      <c r="Q654" s="448"/>
      <c r="R654" s="448"/>
      <c r="S654" s="448"/>
      <c r="T654" s="448"/>
      <c r="U654" s="448"/>
      <c r="V654" s="448"/>
      <c r="W654" s="448"/>
      <c r="X654" s="448"/>
      <c r="Y654" s="448"/>
    </row>
    <row r="655">
      <c r="A655" s="448"/>
      <c r="B655" s="448"/>
      <c r="C655" s="448"/>
      <c r="D655" s="448"/>
      <c r="E655" s="448"/>
      <c r="F655" s="448"/>
      <c r="G655" s="448"/>
      <c r="H655" s="448"/>
      <c r="I655" s="448"/>
      <c r="J655" s="448"/>
      <c r="K655" s="448"/>
      <c r="L655" s="448"/>
      <c r="M655" s="448"/>
      <c r="N655" s="448"/>
      <c r="O655" s="448"/>
      <c r="P655" s="448"/>
      <c r="Q655" s="448"/>
      <c r="R655" s="448"/>
      <c r="S655" s="448"/>
      <c r="T655" s="448"/>
      <c r="U655" s="448"/>
      <c r="V655" s="448"/>
      <c r="W655" s="448"/>
      <c r="X655" s="448"/>
      <c r="Y655" s="448"/>
    </row>
    <row r="656">
      <c r="A656" s="448"/>
      <c r="B656" s="448"/>
      <c r="C656" s="448"/>
      <c r="D656" s="448"/>
      <c r="E656" s="448"/>
      <c r="F656" s="448"/>
      <c r="G656" s="448"/>
      <c r="H656" s="448"/>
      <c r="I656" s="448"/>
      <c r="J656" s="448"/>
      <c r="K656" s="448"/>
      <c r="L656" s="448"/>
      <c r="M656" s="448"/>
      <c r="N656" s="448"/>
      <c r="O656" s="448"/>
      <c r="P656" s="448"/>
      <c r="Q656" s="448"/>
      <c r="R656" s="448"/>
      <c r="S656" s="448"/>
      <c r="T656" s="448"/>
      <c r="U656" s="448"/>
      <c r="V656" s="448"/>
      <c r="W656" s="448"/>
      <c r="X656" s="448"/>
      <c r="Y656" s="448"/>
    </row>
    <row r="657">
      <c r="A657" s="448"/>
      <c r="B657" s="448"/>
      <c r="C657" s="448"/>
      <c r="D657" s="448"/>
      <c r="E657" s="448"/>
      <c r="F657" s="448"/>
      <c r="G657" s="448"/>
      <c r="H657" s="448"/>
      <c r="I657" s="448"/>
      <c r="J657" s="448"/>
      <c r="K657" s="448"/>
      <c r="L657" s="448"/>
      <c r="M657" s="448"/>
      <c r="N657" s="448"/>
      <c r="O657" s="448"/>
      <c r="P657" s="448"/>
      <c r="Q657" s="448"/>
      <c r="R657" s="448"/>
      <c r="S657" s="448"/>
      <c r="T657" s="448"/>
      <c r="U657" s="448"/>
      <c r="V657" s="448"/>
      <c r="W657" s="448"/>
      <c r="X657" s="448"/>
      <c r="Y657" s="448"/>
    </row>
    <row r="658">
      <c r="A658" s="448"/>
      <c r="B658" s="448"/>
      <c r="C658" s="448"/>
      <c r="D658" s="448"/>
      <c r="E658" s="448"/>
      <c r="F658" s="448"/>
      <c r="G658" s="448"/>
      <c r="H658" s="448"/>
      <c r="I658" s="448"/>
      <c r="J658" s="448"/>
      <c r="K658" s="448"/>
      <c r="L658" s="448"/>
      <c r="M658" s="448"/>
      <c r="N658" s="448"/>
      <c r="O658" s="448"/>
      <c r="P658" s="448"/>
      <c r="Q658" s="448"/>
      <c r="R658" s="448"/>
      <c r="S658" s="448"/>
      <c r="T658" s="448"/>
      <c r="U658" s="448"/>
      <c r="V658" s="448"/>
      <c r="W658" s="448"/>
      <c r="X658" s="448"/>
      <c r="Y658" s="448"/>
    </row>
    <row r="659">
      <c r="A659" s="448"/>
      <c r="B659" s="448"/>
      <c r="C659" s="448"/>
      <c r="D659" s="448"/>
      <c r="E659" s="448"/>
      <c r="F659" s="448"/>
      <c r="G659" s="448"/>
      <c r="H659" s="448"/>
      <c r="I659" s="448"/>
      <c r="J659" s="448"/>
      <c r="K659" s="448"/>
      <c r="L659" s="448"/>
      <c r="M659" s="448"/>
      <c r="N659" s="448"/>
      <c r="O659" s="448"/>
      <c r="P659" s="448"/>
      <c r="Q659" s="448"/>
      <c r="R659" s="448"/>
      <c r="S659" s="448"/>
      <c r="T659" s="448"/>
      <c r="U659" s="448"/>
      <c r="V659" s="448"/>
      <c r="W659" s="448"/>
      <c r="X659" s="448"/>
      <c r="Y659" s="448"/>
    </row>
    <row r="660">
      <c r="A660" s="448"/>
      <c r="B660" s="448"/>
      <c r="C660" s="448"/>
      <c r="D660" s="448"/>
      <c r="E660" s="448"/>
      <c r="F660" s="448"/>
      <c r="G660" s="448"/>
      <c r="H660" s="448"/>
      <c r="I660" s="448"/>
      <c r="J660" s="448"/>
      <c r="K660" s="448"/>
      <c r="L660" s="448"/>
      <c r="M660" s="448"/>
      <c r="N660" s="448"/>
      <c r="O660" s="448"/>
      <c r="P660" s="448"/>
      <c r="Q660" s="448"/>
      <c r="R660" s="448"/>
      <c r="S660" s="448"/>
      <c r="T660" s="448"/>
      <c r="U660" s="448"/>
      <c r="V660" s="448"/>
      <c r="W660" s="448"/>
      <c r="X660" s="448"/>
      <c r="Y660" s="448"/>
    </row>
    <row r="661">
      <c r="A661" s="448"/>
      <c r="B661" s="448"/>
      <c r="C661" s="448"/>
      <c r="D661" s="448"/>
      <c r="E661" s="448"/>
      <c r="F661" s="448"/>
      <c r="G661" s="448"/>
      <c r="H661" s="448"/>
      <c r="I661" s="448"/>
      <c r="J661" s="448"/>
      <c r="K661" s="448"/>
      <c r="L661" s="448"/>
      <c r="M661" s="448"/>
      <c r="N661" s="448"/>
      <c r="O661" s="448"/>
      <c r="P661" s="448"/>
      <c r="Q661" s="448"/>
      <c r="R661" s="448"/>
      <c r="S661" s="448"/>
      <c r="T661" s="448"/>
      <c r="U661" s="448"/>
      <c r="V661" s="448"/>
      <c r="W661" s="448"/>
      <c r="X661" s="448"/>
      <c r="Y661" s="448"/>
    </row>
    <row r="662">
      <c r="A662" s="448"/>
      <c r="B662" s="448"/>
      <c r="C662" s="448"/>
      <c r="D662" s="448"/>
      <c r="E662" s="448"/>
      <c r="F662" s="448"/>
      <c r="G662" s="448"/>
      <c r="H662" s="448"/>
      <c r="I662" s="448"/>
      <c r="J662" s="448"/>
      <c r="K662" s="448"/>
      <c r="L662" s="448"/>
      <c r="M662" s="448"/>
      <c r="N662" s="448"/>
      <c r="O662" s="448"/>
      <c r="P662" s="448"/>
      <c r="Q662" s="448"/>
      <c r="R662" s="448"/>
      <c r="S662" s="448"/>
      <c r="T662" s="448"/>
      <c r="U662" s="448"/>
      <c r="V662" s="448"/>
      <c r="W662" s="448"/>
      <c r="X662" s="448"/>
      <c r="Y662" s="448"/>
    </row>
    <row r="663">
      <c r="A663" s="448"/>
      <c r="B663" s="448"/>
      <c r="C663" s="448"/>
      <c r="D663" s="448"/>
      <c r="E663" s="448"/>
      <c r="F663" s="448"/>
      <c r="G663" s="448"/>
      <c r="H663" s="448"/>
      <c r="I663" s="448"/>
      <c r="J663" s="448"/>
      <c r="K663" s="448"/>
      <c r="L663" s="448"/>
      <c r="M663" s="448"/>
      <c r="N663" s="448"/>
      <c r="O663" s="448"/>
      <c r="P663" s="448"/>
      <c r="Q663" s="448"/>
      <c r="R663" s="448"/>
      <c r="S663" s="448"/>
      <c r="T663" s="448"/>
      <c r="U663" s="448"/>
      <c r="V663" s="448"/>
      <c r="W663" s="448"/>
      <c r="X663" s="448"/>
      <c r="Y663" s="448"/>
    </row>
    <row r="664">
      <c r="A664" s="448"/>
      <c r="B664" s="448"/>
      <c r="C664" s="448"/>
      <c r="D664" s="448"/>
      <c r="E664" s="448"/>
      <c r="F664" s="448"/>
      <c r="G664" s="448"/>
      <c r="H664" s="448"/>
      <c r="I664" s="448"/>
      <c r="J664" s="448"/>
      <c r="K664" s="448"/>
      <c r="L664" s="448"/>
      <c r="M664" s="448"/>
      <c r="N664" s="448"/>
      <c r="O664" s="448"/>
      <c r="P664" s="448"/>
      <c r="Q664" s="448"/>
      <c r="R664" s="448"/>
      <c r="S664" s="448"/>
      <c r="T664" s="448"/>
      <c r="U664" s="448"/>
      <c r="V664" s="448"/>
      <c r="W664" s="448"/>
      <c r="X664" s="448"/>
      <c r="Y664" s="448"/>
    </row>
    <row r="665">
      <c r="A665" s="448"/>
      <c r="B665" s="448"/>
      <c r="C665" s="448"/>
      <c r="D665" s="448"/>
      <c r="E665" s="448"/>
      <c r="F665" s="448"/>
      <c r="G665" s="448"/>
      <c r="H665" s="448"/>
      <c r="I665" s="448"/>
      <c r="J665" s="448"/>
      <c r="K665" s="448"/>
      <c r="L665" s="448"/>
      <c r="M665" s="448"/>
      <c r="N665" s="448"/>
      <c r="O665" s="448"/>
      <c r="P665" s="448"/>
      <c r="Q665" s="448"/>
      <c r="R665" s="448"/>
      <c r="S665" s="448"/>
      <c r="T665" s="448"/>
      <c r="U665" s="448"/>
      <c r="V665" s="448"/>
      <c r="W665" s="448"/>
      <c r="X665" s="448"/>
      <c r="Y665" s="448"/>
    </row>
    <row r="666">
      <c r="A666" s="448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48"/>
      <c r="M666" s="448"/>
      <c r="N666" s="448"/>
      <c r="O666" s="448"/>
      <c r="P666" s="448"/>
      <c r="Q666" s="448"/>
      <c r="R666" s="448"/>
      <c r="S666" s="448"/>
      <c r="T666" s="448"/>
      <c r="U666" s="448"/>
      <c r="V666" s="448"/>
      <c r="W666" s="448"/>
      <c r="X666" s="448"/>
      <c r="Y666" s="448"/>
    </row>
    <row r="667">
      <c r="A667" s="448"/>
      <c r="B667" s="448"/>
      <c r="C667" s="448"/>
      <c r="D667" s="448"/>
      <c r="E667" s="448"/>
      <c r="F667" s="448"/>
      <c r="G667" s="448"/>
      <c r="H667" s="448"/>
      <c r="I667" s="448"/>
      <c r="J667" s="448"/>
      <c r="K667" s="448"/>
      <c r="L667" s="448"/>
      <c r="M667" s="448"/>
      <c r="N667" s="448"/>
      <c r="O667" s="448"/>
      <c r="P667" s="448"/>
      <c r="Q667" s="448"/>
      <c r="R667" s="448"/>
      <c r="S667" s="448"/>
      <c r="T667" s="448"/>
      <c r="U667" s="448"/>
      <c r="V667" s="448"/>
      <c r="W667" s="448"/>
      <c r="X667" s="448"/>
      <c r="Y667" s="448"/>
    </row>
    <row r="668">
      <c r="A668" s="448"/>
      <c r="B668" s="448"/>
      <c r="C668" s="448"/>
      <c r="D668" s="448"/>
      <c r="E668" s="448"/>
      <c r="F668" s="448"/>
      <c r="G668" s="448"/>
      <c r="H668" s="448"/>
      <c r="I668" s="448"/>
      <c r="J668" s="448"/>
      <c r="K668" s="448"/>
      <c r="L668" s="448"/>
      <c r="M668" s="448"/>
      <c r="N668" s="448"/>
      <c r="O668" s="448"/>
      <c r="P668" s="448"/>
      <c r="Q668" s="448"/>
      <c r="R668" s="448"/>
      <c r="S668" s="448"/>
      <c r="T668" s="448"/>
      <c r="U668" s="448"/>
      <c r="V668" s="448"/>
      <c r="W668" s="448"/>
      <c r="X668" s="448"/>
      <c r="Y668" s="448"/>
    </row>
    <row r="669">
      <c r="A669" s="448"/>
      <c r="B669" s="448"/>
      <c r="C669" s="448"/>
      <c r="D669" s="448"/>
      <c r="E669" s="448"/>
      <c r="F669" s="448"/>
      <c r="G669" s="448"/>
      <c r="H669" s="448"/>
      <c r="I669" s="448"/>
      <c r="J669" s="448"/>
      <c r="K669" s="448"/>
      <c r="L669" s="448"/>
      <c r="M669" s="448"/>
      <c r="N669" s="448"/>
      <c r="O669" s="448"/>
      <c r="P669" s="448"/>
      <c r="Q669" s="448"/>
      <c r="R669" s="448"/>
      <c r="S669" s="448"/>
      <c r="T669" s="448"/>
      <c r="U669" s="448"/>
      <c r="V669" s="448"/>
      <c r="W669" s="448"/>
      <c r="X669" s="448"/>
      <c r="Y669" s="448"/>
    </row>
    <row r="670">
      <c r="A670" s="448"/>
      <c r="B670" s="448"/>
      <c r="C670" s="448"/>
      <c r="D670" s="448"/>
      <c r="E670" s="448"/>
      <c r="F670" s="448"/>
      <c r="G670" s="448"/>
      <c r="H670" s="448"/>
      <c r="I670" s="448"/>
      <c r="J670" s="448"/>
      <c r="K670" s="448"/>
      <c r="L670" s="448"/>
      <c r="M670" s="448"/>
      <c r="N670" s="448"/>
      <c r="O670" s="448"/>
      <c r="P670" s="448"/>
      <c r="Q670" s="448"/>
      <c r="R670" s="448"/>
      <c r="S670" s="448"/>
      <c r="T670" s="448"/>
      <c r="U670" s="448"/>
      <c r="V670" s="448"/>
      <c r="W670" s="448"/>
      <c r="X670" s="448"/>
      <c r="Y670" s="448"/>
    </row>
    <row r="671">
      <c r="A671" s="448"/>
      <c r="B671" s="448"/>
      <c r="C671" s="448"/>
      <c r="D671" s="448"/>
      <c r="E671" s="448"/>
      <c r="F671" s="448"/>
      <c r="G671" s="448"/>
      <c r="H671" s="448"/>
      <c r="I671" s="448"/>
      <c r="J671" s="448"/>
      <c r="K671" s="448"/>
      <c r="L671" s="448"/>
      <c r="M671" s="448"/>
      <c r="N671" s="448"/>
      <c r="O671" s="448"/>
      <c r="P671" s="448"/>
      <c r="Q671" s="448"/>
      <c r="R671" s="448"/>
      <c r="S671" s="448"/>
      <c r="T671" s="448"/>
      <c r="U671" s="448"/>
      <c r="V671" s="448"/>
      <c r="W671" s="448"/>
      <c r="X671" s="448"/>
      <c r="Y671" s="448"/>
    </row>
    <row r="672">
      <c r="A672" s="448"/>
      <c r="B672" s="448"/>
      <c r="C672" s="448"/>
      <c r="D672" s="448"/>
      <c r="E672" s="448"/>
      <c r="F672" s="448"/>
      <c r="G672" s="448"/>
      <c r="H672" s="448"/>
      <c r="I672" s="448"/>
      <c r="J672" s="448"/>
      <c r="K672" s="448"/>
      <c r="L672" s="448"/>
      <c r="M672" s="448"/>
      <c r="N672" s="448"/>
      <c r="O672" s="448"/>
      <c r="P672" s="448"/>
      <c r="Q672" s="448"/>
      <c r="R672" s="448"/>
      <c r="S672" s="448"/>
      <c r="T672" s="448"/>
      <c r="U672" s="448"/>
      <c r="V672" s="448"/>
      <c r="W672" s="448"/>
      <c r="X672" s="448"/>
      <c r="Y672" s="448"/>
    </row>
    <row r="673">
      <c r="A673" s="448"/>
      <c r="B673" s="448"/>
      <c r="C673" s="448"/>
      <c r="D673" s="448"/>
      <c r="E673" s="448"/>
      <c r="F673" s="448"/>
      <c r="G673" s="448"/>
      <c r="H673" s="448"/>
      <c r="I673" s="448"/>
      <c r="J673" s="448"/>
      <c r="K673" s="448"/>
      <c r="L673" s="448"/>
      <c r="M673" s="448"/>
      <c r="N673" s="448"/>
      <c r="O673" s="448"/>
      <c r="P673" s="448"/>
      <c r="Q673" s="448"/>
      <c r="R673" s="448"/>
      <c r="S673" s="448"/>
      <c r="T673" s="448"/>
      <c r="U673" s="448"/>
      <c r="V673" s="448"/>
      <c r="W673" s="448"/>
      <c r="X673" s="448"/>
      <c r="Y673" s="448"/>
    </row>
    <row r="674">
      <c r="A674" s="448"/>
      <c r="B674" s="448"/>
      <c r="C674" s="448"/>
      <c r="D674" s="448"/>
      <c r="E674" s="448"/>
      <c r="F674" s="448"/>
      <c r="G674" s="448"/>
      <c r="H674" s="448"/>
      <c r="I674" s="448"/>
      <c r="J674" s="448"/>
      <c r="K674" s="448"/>
      <c r="L674" s="448"/>
      <c r="M674" s="448"/>
      <c r="N674" s="448"/>
      <c r="O674" s="448"/>
      <c r="P674" s="448"/>
      <c r="Q674" s="448"/>
      <c r="R674" s="448"/>
      <c r="S674" s="448"/>
      <c r="T674" s="448"/>
      <c r="U674" s="448"/>
      <c r="V674" s="448"/>
      <c r="W674" s="448"/>
      <c r="X674" s="448"/>
      <c r="Y674" s="448"/>
    </row>
    <row r="675">
      <c r="A675" s="448"/>
      <c r="B675" s="448"/>
      <c r="C675" s="448"/>
      <c r="D675" s="448"/>
      <c r="E675" s="448"/>
      <c r="F675" s="448"/>
      <c r="G675" s="448"/>
      <c r="H675" s="448"/>
      <c r="I675" s="448"/>
      <c r="J675" s="448"/>
      <c r="K675" s="448"/>
      <c r="L675" s="448"/>
      <c r="M675" s="448"/>
      <c r="N675" s="448"/>
      <c r="O675" s="448"/>
      <c r="P675" s="448"/>
      <c r="Q675" s="448"/>
      <c r="R675" s="448"/>
      <c r="S675" s="448"/>
      <c r="T675" s="448"/>
      <c r="U675" s="448"/>
      <c r="V675" s="448"/>
      <c r="W675" s="448"/>
      <c r="X675" s="448"/>
      <c r="Y675" s="448"/>
    </row>
    <row r="676">
      <c r="A676" s="448"/>
      <c r="B676" s="448"/>
      <c r="C676" s="448"/>
      <c r="D676" s="448"/>
      <c r="E676" s="448"/>
      <c r="F676" s="448"/>
      <c r="G676" s="448"/>
      <c r="H676" s="448"/>
      <c r="I676" s="448"/>
      <c r="J676" s="448"/>
      <c r="K676" s="448"/>
      <c r="L676" s="448"/>
      <c r="M676" s="448"/>
      <c r="N676" s="448"/>
      <c r="O676" s="448"/>
      <c r="P676" s="448"/>
      <c r="Q676" s="448"/>
      <c r="R676" s="448"/>
      <c r="S676" s="448"/>
      <c r="T676" s="448"/>
      <c r="U676" s="448"/>
      <c r="V676" s="448"/>
      <c r="W676" s="448"/>
      <c r="X676" s="448"/>
      <c r="Y676" s="448"/>
    </row>
    <row r="677">
      <c r="A677" s="448"/>
      <c r="B677" s="448"/>
      <c r="C677" s="448"/>
      <c r="D677" s="448"/>
      <c r="E677" s="448"/>
      <c r="F677" s="448"/>
      <c r="G677" s="448"/>
      <c r="H677" s="448"/>
      <c r="I677" s="448"/>
      <c r="J677" s="448"/>
      <c r="K677" s="448"/>
      <c r="L677" s="448"/>
      <c r="M677" s="448"/>
      <c r="N677" s="448"/>
      <c r="O677" s="448"/>
      <c r="P677" s="448"/>
      <c r="Q677" s="448"/>
      <c r="R677" s="448"/>
      <c r="S677" s="448"/>
      <c r="T677" s="448"/>
      <c r="U677" s="448"/>
      <c r="V677" s="448"/>
      <c r="W677" s="448"/>
      <c r="X677" s="448"/>
      <c r="Y677" s="448"/>
    </row>
    <row r="678">
      <c r="A678" s="448"/>
      <c r="B678" s="448"/>
      <c r="C678" s="448"/>
      <c r="D678" s="448"/>
      <c r="E678" s="448"/>
      <c r="F678" s="448"/>
      <c r="G678" s="448"/>
      <c r="H678" s="448"/>
      <c r="I678" s="448"/>
      <c r="J678" s="448"/>
      <c r="K678" s="448"/>
      <c r="L678" s="448"/>
      <c r="M678" s="448"/>
      <c r="N678" s="448"/>
      <c r="O678" s="448"/>
      <c r="P678" s="448"/>
      <c r="Q678" s="448"/>
      <c r="R678" s="448"/>
      <c r="S678" s="448"/>
      <c r="T678" s="448"/>
      <c r="U678" s="448"/>
      <c r="V678" s="448"/>
      <c r="W678" s="448"/>
      <c r="X678" s="448"/>
      <c r="Y678" s="448"/>
    </row>
    <row r="679">
      <c r="A679" s="448"/>
      <c r="B679" s="448"/>
      <c r="C679" s="448"/>
      <c r="D679" s="448"/>
      <c r="E679" s="448"/>
      <c r="F679" s="448"/>
      <c r="G679" s="448"/>
      <c r="H679" s="448"/>
      <c r="I679" s="448"/>
      <c r="J679" s="448"/>
      <c r="K679" s="448"/>
      <c r="L679" s="448"/>
      <c r="M679" s="448"/>
      <c r="N679" s="448"/>
      <c r="O679" s="448"/>
      <c r="P679" s="448"/>
      <c r="Q679" s="448"/>
      <c r="R679" s="448"/>
      <c r="S679" s="448"/>
      <c r="T679" s="448"/>
      <c r="U679" s="448"/>
      <c r="V679" s="448"/>
      <c r="W679" s="448"/>
      <c r="X679" s="448"/>
      <c r="Y679" s="448"/>
    </row>
    <row r="680">
      <c r="A680" s="448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48"/>
      <c r="M680" s="448"/>
      <c r="N680" s="448"/>
      <c r="O680" s="448"/>
      <c r="P680" s="448"/>
      <c r="Q680" s="448"/>
      <c r="R680" s="448"/>
      <c r="S680" s="448"/>
      <c r="T680" s="448"/>
      <c r="U680" s="448"/>
      <c r="V680" s="448"/>
      <c r="W680" s="448"/>
      <c r="X680" s="448"/>
      <c r="Y680" s="448"/>
    </row>
    <row r="681">
      <c r="A681" s="448"/>
      <c r="B681" s="448"/>
      <c r="C681" s="448"/>
      <c r="D681" s="448"/>
      <c r="E681" s="448"/>
      <c r="F681" s="448"/>
      <c r="G681" s="448"/>
      <c r="H681" s="448"/>
      <c r="I681" s="448"/>
      <c r="J681" s="448"/>
      <c r="K681" s="448"/>
      <c r="L681" s="448"/>
      <c r="M681" s="448"/>
      <c r="N681" s="448"/>
      <c r="O681" s="448"/>
      <c r="P681" s="448"/>
      <c r="Q681" s="448"/>
      <c r="R681" s="448"/>
      <c r="S681" s="448"/>
      <c r="T681" s="448"/>
      <c r="U681" s="448"/>
      <c r="V681" s="448"/>
      <c r="W681" s="448"/>
      <c r="X681" s="448"/>
      <c r="Y681" s="448"/>
    </row>
    <row r="682">
      <c r="A682" s="448"/>
      <c r="B682" s="448"/>
      <c r="C682" s="448"/>
      <c r="D682" s="448"/>
      <c r="E682" s="448"/>
      <c r="F682" s="448"/>
      <c r="G682" s="448"/>
      <c r="H682" s="448"/>
      <c r="I682" s="448"/>
      <c r="J682" s="448"/>
      <c r="K682" s="448"/>
      <c r="L682" s="448"/>
      <c r="M682" s="448"/>
      <c r="N682" s="448"/>
      <c r="O682" s="448"/>
      <c r="P682" s="448"/>
      <c r="Q682" s="448"/>
      <c r="R682" s="448"/>
      <c r="S682" s="448"/>
      <c r="T682" s="448"/>
      <c r="U682" s="448"/>
      <c r="V682" s="448"/>
      <c r="W682" s="448"/>
      <c r="X682" s="448"/>
      <c r="Y682" s="448"/>
    </row>
    <row r="683">
      <c r="A683" s="448"/>
      <c r="B683" s="448"/>
      <c r="C683" s="448"/>
      <c r="D683" s="448"/>
      <c r="E683" s="448"/>
      <c r="F683" s="448"/>
      <c r="G683" s="448"/>
      <c r="H683" s="448"/>
      <c r="I683" s="448"/>
      <c r="J683" s="448"/>
      <c r="K683" s="448"/>
      <c r="L683" s="448"/>
      <c r="M683" s="448"/>
      <c r="N683" s="448"/>
      <c r="O683" s="448"/>
      <c r="P683" s="448"/>
      <c r="Q683" s="448"/>
      <c r="R683" s="448"/>
      <c r="S683" s="448"/>
      <c r="T683" s="448"/>
      <c r="U683" s="448"/>
      <c r="V683" s="448"/>
      <c r="W683" s="448"/>
      <c r="X683" s="448"/>
      <c r="Y683" s="448"/>
    </row>
    <row r="684">
      <c r="A684" s="448"/>
      <c r="B684" s="448"/>
      <c r="C684" s="448"/>
      <c r="D684" s="448"/>
      <c r="E684" s="448"/>
      <c r="F684" s="448"/>
      <c r="G684" s="448"/>
      <c r="H684" s="448"/>
      <c r="I684" s="448"/>
      <c r="J684" s="448"/>
      <c r="K684" s="448"/>
      <c r="L684" s="448"/>
      <c r="M684" s="448"/>
      <c r="N684" s="448"/>
      <c r="O684" s="448"/>
      <c r="P684" s="448"/>
      <c r="Q684" s="448"/>
      <c r="R684" s="448"/>
      <c r="S684" s="448"/>
      <c r="T684" s="448"/>
      <c r="U684" s="448"/>
      <c r="V684" s="448"/>
      <c r="W684" s="448"/>
      <c r="X684" s="448"/>
      <c r="Y684" s="448"/>
    </row>
    <row r="685">
      <c r="A685" s="448"/>
      <c r="B685" s="448"/>
      <c r="C685" s="448"/>
      <c r="D685" s="448"/>
      <c r="E685" s="448"/>
      <c r="F685" s="448"/>
      <c r="G685" s="448"/>
      <c r="H685" s="448"/>
      <c r="I685" s="448"/>
      <c r="J685" s="448"/>
      <c r="K685" s="448"/>
      <c r="L685" s="448"/>
      <c r="M685" s="448"/>
      <c r="N685" s="448"/>
      <c r="O685" s="448"/>
      <c r="P685" s="448"/>
      <c r="Q685" s="448"/>
      <c r="R685" s="448"/>
      <c r="S685" s="448"/>
      <c r="T685" s="448"/>
      <c r="U685" s="448"/>
      <c r="V685" s="448"/>
      <c r="W685" s="448"/>
      <c r="X685" s="448"/>
      <c r="Y685" s="448"/>
    </row>
    <row r="686">
      <c r="A686" s="448"/>
      <c r="B686" s="448"/>
      <c r="C686" s="448"/>
      <c r="D686" s="448"/>
      <c r="E686" s="448"/>
      <c r="F686" s="448"/>
      <c r="G686" s="448"/>
      <c r="H686" s="448"/>
      <c r="I686" s="448"/>
      <c r="J686" s="448"/>
      <c r="K686" s="448"/>
      <c r="L686" s="448"/>
      <c r="M686" s="448"/>
      <c r="N686" s="448"/>
      <c r="O686" s="448"/>
      <c r="P686" s="448"/>
      <c r="Q686" s="448"/>
      <c r="R686" s="448"/>
      <c r="S686" s="448"/>
      <c r="T686" s="448"/>
      <c r="U686" s="448"/>
      <c r="V686" s="448"/>
      <c r="W686" s="448"/>
      <c r="X686" s="448"/>
      <c r="Y686" s="448"/>
    </row>
    <row r="687">
      <c r="A687" s="448"/>
      <c r="B687" s="448"/>
      <c r="C687" s="448"/>
      <c r="D687" s="448"/>
      <c r="E687" s="448"/>
      <c r="F687" s="448"/>
      <c r="G687" s="448"/>
      <c r="H687" s="448"/>
      <c r="I687" s="448"/>
      <c r="J687" s="448"/>
      <c r="K687" s="448"/>
      <c r="L687" s="448"/>
      <c r="M687" s="448"/>
      <c r="N687" s="448"/>
      <c r="O687" s="448"/>
      <c r="P687" s="448"/>
      <c r="Q687" s="448"/>
      <c r="R687" s="448"/>
      <c r="S687" s="448"/>
      <c r="T687" s="448"/>
      <c r="U687" s="448"/>
      <c r="V687" s="448"/>
      <c r="W687" s="448"/>
      <c r="X687" s="448"/>
      <c r="Y687" s="448"/>
    </row>
    <row r="688">
      <c r="A688" s="448"/>
      <c r="B688" s="448"/>
      <c r="C688" s="448"/>
      <c r="D688" s="448"/>
      <c r="E688" s="448"/>
      <c r="F688" s="448"/>
      <c r="G688" s="448"/>
      <c r="H688" s="448"/>
      <c r="I688" s="448"/>
      <c r="J688" s="448"/>
      <c r="K688" s="448"/>
      <c r="L688" s="448"/>
      <c r="M688" s="448"/>
      <c r="N688" s="448"/>
      <c r="O688" s="448"/>
      <c r="P688" s="448"/>
      <c r="Q688" s="448"/>
      <c r="R688" s="448"/>
      <c r="S688" s="448"/>
      <c r="T688" s="448"/>
      <c r="U688" s="448"/>
      <c r="V688" s="448"/>
      <c r="W688" s="448"/>
      <c r="X688" s="448"/>
      <c r="Y688" s="448"/>
    </row>
    <row r="689">
      <c r="A689" s="448"/>
      <c r="B689" s="448"/>
      <c r="C689" s="448"/>
      <c r="D689" s="448"/>
      <c r="E689" s="448"/>
      <c r="F689" s="448"/>
      <c r="G689" s="448"/>
      <c r="H689" s="448"/>
      <c r="I689" s="448"/>
      <c r="J689" s="448"/>
      <c r="K689" s="448"/>
      <c r="L689" s="448"/>
      <c r="M689" s="448"/>
      <c r="N689" s="448"/>
      <c r="O689" s="448"/>
      <c r="P689" s="448"/>
      <c r="Q689" s="448"/>
      <c r="R689" s="448"/>
      <c r="S689" s="448"/>
      <c r="T689" s="448"/>
      <c r="U689" s="448"/>
      <c r="V689" s="448"/>
      <c r="W689" s="448"/>
      <c r="X689" s="448"/>
      <c r="Y689" s="448"/>
    </row>
    <row r="690">
      <c r="A690" s="448"/>
      <c r="B690" s="448"/>
      <c r="C690" s="448"/>
      <c r="D690" s="448"/>
      <c r="E690" s="448"/>
      <c r="F690" s="448"/>
      <c r="G690" s="448"/>
      <c r="H690" s="448"/>
      <c r="I690" s="448"/>
      <c r="J690" s="448"/>
      <c r="K690" s="448"/>
      <c r="L690" s="448"/>
      <c r="M690" s="448"/>
      <c r="N690" s="448"/>
      <c r="O690" s="448"/>
      <c r="P690" s="448"/>
      <c r="Q690" s="448"/>
      <c r="R690" s="448"/>
      <c r="S690" s="448"/>
      <c r="T690" s="448"/>
      <c r="U690" s="448"/>
      <c r="V690" s="448"/>
      <c r="W690" s="448"/>
      <c r="X690" s="448"/>
      <c r="Y690" s="448"/>
    </row>
    <row r="691">
      <c r="A691" s="448"/>
      <c r="B691" s="448"/>
      <c r="C691" s="448"/>
      <c r="D691" s="448"/>
      <c r="E691" s="448"/>
      <c r="F691" s="448"/>
      <c r="G691" s="448"/>
      <c r="H691" s="448"/>
      <c r="I691" s="448"/>
      <c r="J691" s="448"/>
      <c r="K691" s="448"/>
      <c r="L691" s="448"/>
      <c r="M691" s="448"/>
      <c r="N691" s="448"/>
      <c r="O691" s="448"/>
      <c r="P691" s="448"/>
      <c r="Q691" s="448"/>
      <c r="R691" s="448"/>
      <c r="S691" s="448"/>
      <c r="T691" s="448"/>
      <c r="U691" s="448"/>
      <c r="V691" s="448"/>
      <c r="W691" s="448"/>
      <c r="X691" s="448"/>
      <c r="Y691" s="448"/>
    </row>
    <row r="692">
      <c r="A692" s="448"/>
      <c r="B692" s="448"/>
      <c r="C692" s="448"/>
      <c r="D692" s="448"/>
      <c r="E692" s="448"/>
      <c r="F692" s="448"/>
      <c r="G692" s="448"/>
      <c r="H692" s="448"/>
      <c r="I692" s="448"/>
      <c r="J692" s="448"/>
      <c r="K692" s="448"/>
      <c r="L692" s="448"/>
      <c r="M692" s="448"/>
      <c r="N692" s="448"/>
      <c r="O692" s="448"/>
      <c r="P692" s="448"/>
      <c r="Q692" s="448"/>
      <c r="R692" s="448"/>
      <c r="S692" s="448"/>
      <c r="T692" s="448"/>
      <c r="U692" s="448"/>
      <c r="V692" s="448"/>
      <c r="W692" s="448"/>
      <c r="X692" s="448"/>
      <c r="Y692" s="448"/>
    </row>
    <row r="693">
      <c r="A693" s="448"/>
      <c r="B693" s="448"/>
      <c r="C693" s="448"/>
      <c r="D693" s="448"/>
      <c r="E693" s="448"/>
      <c r="F693" s="448"/>
      <c r="G693" s="448"/>
      <c r="H693" s="448"/>
      <c r="I693" s="448"/>
      <c r="J693" s="448"/>
      <c r="K693" s="448"/>
      <c r="L693" s="448"/>
      <c r="M693" s="448"/>
      <c r="N693" s="448"/>
      <c r="O693" s="448"/>
      <c r="P693" s="448"/>
      <c r="Q693" s="448"/>
      <c r="R693" s="448"/>
      <c r="S693" s="448"/>
      <c r="T693" s="448"/>
      <c r="U693" s="448"/>
      <c r="V693" s="448"/>
      <c r="W693" s="448"/>
      <c r="X693" s="448"/>
      <c r="Y693" s="448"/>
    </row>
    <row r="694">
      <c r="A694" s="448"/>
      <c r="B694" s="448"/>
      <c r="C694" s="448"/>
      <c r="D694" s="448"/>
      <c r="E694" s="448"/>
      <c r="F694" s="448"/>
      <c r="G694" s="448"/>
      <c r="H694" s="448"/>
      <c r="I694" s="448"/>
      <c r="J694" s="448"/>
      <c r="K694" s="448"/>
      <c r="L694" s="448"/>
      <c r="M694" s="448"/>
      <c r="N694" s="448"/>
      <c r="O694" s="448"/>
      <c r="P694" s="448"/>
      <c r="Q694" s="448"/>
      <c r="R694" s="448"/>
      <c r="S694" s="448"/>
      <c r="T694" s="448"/>
      <c r="U694" s="448"/>
      <c r="V694" s="448"/>
      <c r="W694" s="448"/>
      <c r="X694" s="448"/>
      <c r="Y694" s="448"/>
    </row>
    <row r="695">
      <c r="A695" s="448"/>
      <c r="B695" s="448"/>
      <c r="C695" s="448"/>
      <c r="D695" s="448"/>
      <c r="E695" s="448"/>
      <c r="F695" s="448"/>
      <c r="G695" s="448"/>
      <c r="H695" s="448"/>
      <c r="I695" s="448"/>
      <c r="J695" s="448"/>
      <c r="K695" s="448"/>
      <c r="L695" s="448"/>
      <c r="M695" s="448"/>
      <c r="N695" s="448"/>
      <c r="O695" s="448"/>
      <c r="P695" s="448"/>
      <c r="Q695" s="448"/>
      <c r="R695" s="448"/>
      <c r="S695" s="448"/>
      <c r="T695" s="448"/>
      <c r="U695" s="448"/>
      <c r="V695" s="448"/>
      <c r="W695" s="448"/>
      <c r="X695" s="448"/>
      <c r="Y695" s="448"/>
    </row>
    <row r="696">
      <c r="A696" s="448"/>
      <c r="B696" s="448"/>
      <c r="C696" s="448"/>
      <c r="D696" s="448"/>
      <c r="E696" s="448"/>
      <c r="F696" s="448"/>
      <c r="G696" s="448"/>
      <c r="H696" s="448"/>
      <c r="I696" s="448"/>
      <c r="J696" s="448"/>
      <c r="K696" s="448"/>
      <c r="L696" s="448"/>
      <c r="M696" s="448"/>
      <c r="N696" s="448"/>
      <c r="O696" s="448"/>
      <c r="P696" s="448"/>
      <c r="Q696" s="448"/>
      <c r="R696" s="448"/>
      <c r="S696" s="448"/>
      <c r="T696" s="448"/>
      <c r="U696" s="448"/>
      <c r="V696" s="448"/>
      <c r="W696" s="448"/>
      <c r="X696" s="448"/>
      <c r="Y696" s="448"/>
    </row>
    <row r="697">
      <c r="A697" s="448"/>
      <c r="B697" s="448"/>
      <c r="C697" s="448"/>
      <c r="D697" s="448"/>
      <c r="E697" s="448"/>
      <c r="F697" s="448"/>
      <c r="G697" s="448"/>
      <c r="H697" s="448"/>
      <c r="I697" s="448"/>
      <c r="J697" s="448"/>
      <c r="K697" s="448"/>
      <c r="L697" s="448"/>
      <c r="M697" s="448"/>
      <c r="N697" s="448"/>
      <c r="O697" s="448"/>
      <c r="P697" s="448"/>
      <c r="Q697" s="448"/>
      <c r="R697" s="448"/>
      <c r="S697" s="448"/>
      <c r="T697" s="448"/>
      <c r="U697" s="448"/>
      <c r="V697" s="448"/>
      <c r="W697" s="448"/>
      <c r="X697" s="448"/>
      <c r="Y697" s="448"/>
    </row>
    <row r="698">
      <c r="A698" s="448"/>
      <c r="B698" s="448"/>
      <c r="C698" s="448"/>
      <c r="D698" s="448"/>
      <c r="E698" s="448"/>
      <c r="F698" s="448"/>
      <c r="G698" s="448"/>
      <c r="H698" s="448"/>
      <c r="I698" s="448"/>
      <c r="J698" s="448"/>
      <c r="K698" s="448"/>
      <c r="L698" s="448"/>
      <c r="M698" s="448"/>
      <c r="N698" s="448"/>
      <c r="O698" s="448"/>
      <c r="P698" s="448"/>
      <c r="Q698" s="448"/>
      <c r="R698" s="448"/>
      <c r="S698" s="448"/>
      <c r="T698" s="448"/>
      <c r="U698" s="448"/>
      <c r="V698" s="448"/>
      <c r="W698" s="448"/>
      <c r="X698" s="448"/>
      <c r="Y698" s="448"/>
    </row>
    <row r="699">
      <c r="A699" s="448"/>
      <c r="B699" s="448"/>
      <c r="C699" s="448"/>
      <c r="D699" s="448"/>
      <c r="E699" s="448"/>
      <c r="F699" s="448"/>
      <c r="G699" s="448"/>
      <c r="H699" s="448"/>
      <c r="I699" s="448"/>
      <c r="J699" s="448"/>
      <c r="K699" s="448"/>
      <c r="L699" s="448"/>
      <c r="M699" s="448"/>
      <c r="N699" s="448"/>
      <c r="O699" s="448"/>
      <c r="P699" s="448"/>
      <c r="Q699" s="448"/>
      <c r="R699" s="448"/>
      <c r="S699" s="448"/>
      <c r="T699" s="448"/>
      <c r="U699" s="448"/>
      <c r="V699" s="448"/>
      <c r="W699" s="448"/>
      <c r="X699" s="448"/>
      <c r="Y699" s="448"/>
    </row>
    <row r="700">
      <c r="A700" s="448"/>
      <c r="B700" s="448"/>
      <c r="C700" s="448"/>
      <c r="D700" s="448"/>
      <c r="E700" s="448"/>
      <c r="F700" s="448"/>
      <c r="G700" s="448"/>
      <c r="H700" s="448"/>
      <c r="I700" s="448"/>
      <c r="J700" s="448"/>
      <c r="K700" s="448"/>
      <c r="L700" s="448"/>
      <c r="M700" s="448"/>
      <c r="N700" s="448"/>
      <c r="O700" s="448"/>
      <c r="P700" s="448"/>
      <c r="Q700" s="448"/>
      <c r="R700" s="448"/>
      <c r="S700" s="448"/>
      <c r="T700" s="448"/>
      <c r="U700" s="448"/>
      <c r="V700" s="448"/>
      <c r="W700" s="448"/>
      <c r="X700" s="448"/>
      <c r="Y700" s="448"/>
    </row>
    <row r="701">
      <c r="A701" s="448"/>
      <c r="B701" s="448"/>
      <c r="C701" s="448"/>
      <c r="D701" s="448"/>
      <c r="E701" s="448"/>
      <c r="F701" s="448"/>
      <c r="G701" s="448"/>
      <c r="H701" s="448"/>
      <c r="I701" s="448"/>
      <c r="J701" s="448"/>
      <c r="K701" s="448"/>
      <c r="L701" s="448"/>
      <c r="M701" s="448"/>
      <c r="N701" s="448"/>
      <c r="O701" s="448"/>
      <c r="P701" s="448"/>
      <c r="Q701" s="448"/>
      <c r="R701" s="448"/>
      <c r="S701" s="448"/>
      <c r="T701" s="448"/>
      <c r="U701" s="448"/>
      <c r="V701" s="448"/>
      <c r="W701" s="448"/>
      <c r="X701" s="448"/>
      <c r="Y701" s="448"/>
    </row>
    <row r="702">
      <c r="A702" s="448"/>
      <c r="B702" s="448"/>
      <c r="C702" s="448"/>
      <c r="D702" s="448"/>
      <c r="E702" s="448"/>
      <c r="F702" s="448"/>
      <c r="G702" s="448"/>
      <c r="H702" s="448"/>
      <c r="I702" s="448"/>
      <c r="J702" s="448"/>
      <c r="K702" s="448"/>
      <c r="L702" s="448"/>
      <c r="M702" s="448"/>
      <c r="N702" s="448"/>
      <c r="O702" s="448"/>
      <c r="P702" s="448"/>
      <c r="Q702" s="448"/>
      <c r="R702" s="448"/>
      <c r="S702" s="448"/>
      <c r="T702" s="448"/>
      <c r="U702" s="448"/>
      <c r="V702" s="448"/>
      <c r="W702" s="448"/>
      <c r="X702" s="448"/>
      <c r="Y702" s="448"/>
    </row>
    <row r="703">
      <c r="A703" s="448"/>
      <c r="B703" s="448"/>
      <c r="C703" s="448"/>
      <c r="D703" s="448"/>
      <c r="E703" s="448"/>
      <c r="F703" s="448"/>
      <c r="G703" s="448"/>
      <c r="H703" s="448"/>
      <c r="I703" s="448"/>
      <c r="J703" s="448"/>
      <c r="K703" s="448"/>
      <c r="L703" s="448"/>
      <c r="M703" s="448"/>
      <c r="N703" s="448"/>
      <c r="O703" s="448"/>
      <c r="P703" s="448"/>
      <c r="Q703" s="448"/>
      <c r="R703" s="448"/>
      <c r="S703" s="448"/>
      <c r="T703" s="448"/>
      <c r="U703" s="448"/>
      <c r="V703" s="448"/>
      <c r="W703" s="448"/>
      <c r="X703" s="448"/>
      <c r="Y703" s="448"/>
    </row>
    <row r="704">
      <c r="A704" s="448"/>
      <c r="B704" s="448"/>
      <c r="C704" s="448"/>
      <c r="D704" s="448"/>
      <c r="E704" s="448"/>
      <c r="F704" s="448"/>
      <c r="G704" s="448"/>
      <c r="H704" s="448"/>
      <c r="I704" s="448"/>
      <c r="J704" s="448"/>
      <c r="K704" s="448"/>
      <c r="L704" s="448"/>
      <c r="M704" s="448"/>
      <c r="N704" s="448"/>
      <c r="O704" s="448"/>
      <c r="P704" s="448"/>
      <c r="Q704" s="448"/>
      <c r="R704" s="448"/>
      <c r="S704" s="448"/>
      <c r="T704" s="448"/>
      <c r="U704" s="448"/>
      <c r="V704" s="448"/>
      <c r="W704" s="448"/>
      <c r="X704" s="448"/>
      <c r="Y704" s="448"/>
    </row>
    <row r="705">
      <c r="A705" s="448"/>
      <c r="B705" s="448"/>
      <c r="C705" s="448"/>
      <c r="D705" s="448"/>
      <c r="E705" s="448"/>
      <c r="F705" s="448"/>
      <c r="G705" s="448"/>
      <c r="H705" s="448"/>
      <c r="I705" s="448"/>
      <c r="J705" s="448"/>
      <c r="K705" s="448"/>
      <c r="L705" s="448"/>
      <c r="M705" s="448"/>
      <c r="N705" s="448"/>
      <c r="O705" s="448"/>
      <c r="P705" s="448"/>
      <c r="Q705" s="448"/>
      <c r="R705" s="448"/>
      <c r="S705" s="448"/>
      <c r="T705" s="448"/>
      <c r="U705" s="448"/>
      <c r="V705" s="448"/>
      <c r="W705" s="448"/>
      <c r="X705" s="448"/>
      <c r="Y705" s="448"/>
    </row>
    <row r="706">
      <c r="A706" s="448"/>
      <c r="B706" s="448"/>
      <c r="C706" s="448"/>
      <c r="D706" s="448"/>
      <c r="E706" s="448"/>
      <c r="F706" s="448"/>
      <c r="G706" s="448"/>
      <c r="H706" s="448"/>
      <c r="I706" s="448"/>
      <c r="J706" s="448"/>
      <c r="K706" s="448"/>
      <c r="L706" s="448"/>
      <c r="M706" s="448"/>
      <c r="N706" s="448"/>
      <c r="O706" s="448"/>
      <c r="P706" s="448"/>
      <c r="Q706" s="448"/>
      <c r="R706" s="448"/>
      <c r="S706" s="448"/>
      <c r="T706" s="448"/>
      <c r="U706" s="448"/>
      <c r="V706" s="448"/>
      <c r="W706" s="448"/>
      <c r="X706" s="448"/>
      <c r="Y706" s="448"/>
    </row>
    <row r="707">
      <c r="A707" s="448"/>
      <c r="B707" s="448"/>
      <c r="C707" s="448"/>
      <c r="D707" s="448"/>
      <c r="E707" s="448"/>
      <c r="F707" s="448"/>
      <c r="G707" s="448"/>
      <c r="H707" s="448"/>
      <c r="I707" s="448"/>
      <c r="J707" s="448"/>
      <c r="K707" s="448"/>
      <c r="L707" s="448"/>
      <c r="M707" s="448"/>
      <c r="N707" s="448"/>
      <c r="O707" s="448"/>
      <c r="P707" s="448"/>
      <c r="Q707" s="448"/>
      <c r="R707" s="448"/>
      <c r="S707" s="448"/>
      <c r="T707" s="448"/>
      <c r="U707" s="448"/>
      <c r="V707" s="448"/>
      <c r="W707" s="448"/>
      <c r="X707" s="448"/>
      <c r="Y707" s="448"/>
    </row>
    <row r="708">
      <c r="A708" s="448"/>
      <c r="B708" s="448"/>
      <c r="C708" s="448"/>
      <c r="D708" s="448"/>
      <c r="E708" s="448"/>
      <c r="F708" s="448"/>
      <c r="G708" s="448"/>
      <c r="H708" s="448"/>
      <c r="I708" s="448"/>
      <c r="J708" s="448"/>
      <c r="K708" s="448"/>
      <c r="L708" s="448"/>
      <c r="M708" s="448"/>
      <c r="N708" s="448"/>
      <c r="O708" s="448"/>
      <c r="P708" s="448"/>
      <c r="Q708" s="448"/>
      <c r="R708" s="448"/>
      <c r="S708" s="448"/>
      <c r="T708" s="448"/>
      <c r="U708" s="448"/>
      <c r="V708" s="448"/>
      <c r="W708" s="448"/>
      <c r="X708" s="448"/>
      <c r="Y708" s="448"/>
    </row>
    <row r="709">
      <c r="A709" s="448"/>
      <c r="B709" s="448"/>
      <c r="C709" s="448"/>
      <c r="D709" s="448"/>
      <c r="E709" s="448"/>
      <c r="F709" s="448"/>
      <c r="G709" s="448"/>
      <c r="H709" s="448"/>
      <c r="I709" s="448"/>
      <c r="J709" s="448"/>
      <c r="K709" s="448"/>
      <c r="L709" s="448"/>
      <c r="M709" s="448"/>
      <c r="N709" s="448"/>
      <c r="O709" s="448"/>
      <c r="P709" s="448"/>
      <c r="Q709" s="448"/>
      <c r="R709" s="448"/>
      <c r="S709" s="448"/>
      <c r="T709" s="448"/>
      <c r="U709" s="448"/>
      <c r="V709" s="448"/>
      <c r="W709" s="448"/>
      <c r="X709" s="448"/>
      <c r="Y709" s="448"/>
    </row>
    <row r="710">
      <c r="A710" s="448"/>
      <c r="B710" s="448"/>
      <c r="C710" s="448"/>
      <c r="D710" s="448"/>
      <c r="E710" s="448"/>
      <c r="F710" s="448"/>
      <c r="G710" s="448"/>
      <c r="H710" s="448"/>
      <c r="I710" s="448"/>
      <c r="J710" s="448"/>
      <c r="K710" s="448"/>
      <c r="L710" s="448"/>
      <c r="M710" s="448"/>
      <c r="N710" s="448"/>
      <c r="O710" s="448"/>
      <c r="P710" s="448"/>
      <c r="Q710" s="448"/>
      <c r="R710" s="448"/>
      <c r="S710" s="448"/>
      <c r="T710" s="448"/>
      <c r="U710" s="448"/>
      <c r="V710" s="448"/>
      <c r="W710" s="448"/>
      <c r="X710" s="448"/>
      <c r="Y710" s="448"/>
    </row>
    <row r="711">
      <c r="A711" s="448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48"/>
      <c r="M711" s="448"/>
      <c r="N711" s="448"/>
      <c r="O711" s="448"/>
      <c r="P711" s="448"/>
      <c r="Q711" s="448"/>
      <c r="R711" s="448"/>
      <c r="S711" s="448"/>
      <c r="T711" s="448"/>
      <c r="U711" s="448"/>
      <c r="V711" s="448"/>
      <c r="W711" s="448"/>
      <c r="X711" s="448"/>
      <c r="Y711" s="448"/>
    </row>
    <row r="712">
      <c r="A712" s="448"/>
      <c r="B712" s="448"/>
      <c r="C712" s="448"/>
      <c r="D712" s="448"/>
      <c r="E712" s="448"/>
      <c r="F712" s="448"/>
      <c r="G712" s="448"/>
      <c r="H712" s="448"/>
      <c r="I712" s="448"/>
      <c r="J712" s="448"/>
      <c r="K712" s="448"/>
      <c r="L712" s="448"/>
      <c r="M712" s="448"/>
      <c r="N712" s="448"/>
      <c r="O712" s="448"/>
      <c r="P712" s="448"/>
      <c r="Q712" s="448"/>
      <c r="R712" s="448"/>
      <c r="S712" s="448"/>
      <c r="T712" s="448"/>
      <c r="U712" s="448"/>
      <c r="V712" s="448"/>
      <c r="W712" s="448"/>
      <c r="X712" s="448"/>
      <c r="Y712" s="448"/>
    </row>
    <row r="713">
      <c r="A713" s="448"/>
      <c r="B713" s="448"/>
      <c r="C713" s="448"/>
      <c r="D713" s="448"/>
      <c r="E713" s="448"/>
      <c r="F713" s="448"/>
      <c r="G713" s="448"/>
      <c r="H713" s="448"/>
      <c r="I713" s="448"/>
      <c r="J713" s="448"/>
      <c r="K713" s="448"/>
      <c r="L713" s="448"/>
      <c r="M713" s="448"/>
      <c r="N713" s="448"/>
      <c r="O713" s="448"/>
      <c r="P713" s="448"/>
      <c r="Q713" s="448"/>
      <c r="R713" s="448"/>
      <c r="S713" s="448"/>
      <c r="T713" s="448"/>
      <c r="U713" s="448"/>
      <c r="V713" s="448"/>
      <c r="W713" s="448"/>
      <c r="X713" s="448"/>
      <c r="Y713" s="448"/>
    </row>
    <row r="714">
      <c r="A714" s="448"/>
      <c r="B714" s="448"/>
      <c r="C714" s="448"/>
      <c r="D714" s="448"/>
      <c r="E714" s="448"/>
      <c r="F714" s="448"/>
      <c r="G714" s="448"/>
      <c r="H714" s="448"/>
      <c r="I714" s="448"/>
      <c r="J714" s="448"/>
      <c r="K714" s="448"/>
      <c r="L714" s="448"/>
      <c r="M714" s="448"/>
      <c r="N714" s="448"/>
      <c r="O714" s="448"/>
      <c r="P714" s="448"/>
      <c r="Q714" s="448"/>
      <c r="R714" s="448"/>
      <c r="S714" s="448"/>
      <c r="T714" s="448"/>
      <c r="U714" s="448"/>
      <c r="V714" s="448"/>
      <c r="W714" s="448"/>
      <c r="X714" s="448"/>
      <c r="Y714" s="448"/>
    </row>
    <row r="715">
      <c r="A715" s="448"/>
      <c r="B715" s="448"/>
      <c r="C715" s="448"/>
      <c r="D715" s="448"/>
      <c r="E715" s="448"/>
      <c r="F715" s="448"/>
      <c r="G715" s="448"/>
      <c r="H715" s="448"/>
      <c r="I715" s="448"/>
      <c r="J715" s="448"/>
      <c r="K715" s="448"/>
      <c r="L715" s="448"/>
      <c r="M715" s="448"/>
      <c r="N715" s="448"/>
      <c r="O715" s="448"/>
      <c r="P715" s="448"/>
      <c r="Q715" s="448"/>
      <c r="R715" s="448"/>
      <c r="S715" s="448"/>
      <c r="T715" s="448"/>
      <c r="U715" s="448"/>
      <c r="V715" s="448"/>
      <c r="W715" s="448"/>
      <c r="X715" s="448"/>
      <c r="Y715" s="448"/>
    </row>
    <row r="716">
      <c r="A716" s="448"/>
      <c r="B716" s="448"/>
      <c r="C716" s="448"/>
      <c r="D716" s="448"/>
      <c r="E716" s="448"/>
      <c r="F716" s="448"/>
      <c r="G716" s="448"/>
      <c r="H716" s="448"/>
      <c r="I716" s="448"/>
      <c r="J716" s="448"/>
      <c r="K716" s="448"/>
      <c r="L716" s="448"/>
      <c r="M716" s="448"/>
      <c r="N716" s="448"/>
      <c r="O716" s="448"/>
      <c r="P716" s="448"/>
      <c r="Q716" s="448"/>
      <c r="R716" s="448"/>
      <c r="S716" s="448"/>
      <c r="T716" s="448"/>
      <c r="U716" s="448"/>
      <c r="V716" s="448"/>
      <c r="W716" s="448"/>
      <c r="X716" s="448"/>
      <c r="Y716" s="448"/>
    </row>
    <row r="717">
      <c r="A717" s="448"/>
      <c r="B717" s="448"/>
      <c r="C717" s="448"/>
      <c r="D717" s="448"/>
      <c r="E717" s="448"/>
      <c r="F717" s="448"/>
      <c r="G717" s="448"/>
      <c r="H717" s="448"/>
      <c r="I717" s="448"/>
      <c r="J717" s="448"/>
      <c r="K717" s="448"/>
      <c r="L717" s="448"/>
      <c r="M717" s="448"/>
      <c r="N717" s="448"/>
      <c r="O717" s="448"/>
      <c r="P717" s="448"/>
      <c r="Q717" s="448"/>
      <c r="R717" s="448"/>
      <c r="S717" s="448"/>
      <c r="T717" s="448"/>
      <c r="U717" s="448"/>
      <c r="V717" s="448"/>
      <c r="W717" s="448"/>
      <c r="X717" s="448"/>
      <c r="Y717" s="448"/>
    </row>
    <row r="718">
      <c r="A718" s="448"/>
      <c r="B718" s="448"/>
      <c r="C718" s="448"/>
      <c r="D718" s="448"/>
      <c r="E718" s="448"/>
      <c r="F718" s="448"/>
      <c r="G718" s="448"/>
      <c r="H718" s="448"/>
      <c r="I718" s="448"/>
      <c r="J718" s="448"/>
      <c r="K718" s="448"/>
      <c r="L718" s="448"/>
      <c r="M718" s="448"/>
      <c r="N718" s="448"/>
      <c r="O718" s="448"/>
      <c r="P718" s="448"/>
      <c r="Q718" s="448"/>
      <c r="R718" s="448"/>
      <c r="S718" s="448"/>
      <c r="T718" s="448"/>
      <c r="U718" s="448"/>
      <c r="V718" s="448"/>
      <c r="W718" s="448"/>
      <c r="X718" s="448"/>
      <c r="Y718" s="448"/>
    </row>
    <row r="719">
      <c r="A719" s="448"/>
      <c r="B719" s="448"/>
      <c r="C719" s="448"/>
      <c r="D719" s="448"/>
      <c r="E719" s="448"/>
      <c r="F719" s="448"/>
      <c r="G719" s="448"/>
      <c r="H719" s="448"/>
      <c r="I719" s="448"/>
      <c r="J719" s="448"/>
      <c r="K719" s="448"/>
      <c r="L719" s="448"/>
      <c r="M719" s="448"/>
      <c r="N719" s="448"/>
      <c r="O719" s="448"/>
      <c r="P719" s="448"/>
      <c r="Q719" s="448"/>
      <c r="R719" s="448"/>
      <c r="S719" s="448"/>
      <c r="T719" s="448"/>
      <c r="U719" s="448"/>
      <c r="V719" s="448"/>
      <c r="W719" s="448"/>
      <c r="X719" s="448"/>
      <c r="Y719" s="448"/>
    </row>
    <row r="720">
      <c r="A720" s="448"/>
      <c r="B720" s="448"/>
      <c r="C720" s="448"/>
      <c r="D720" s="448"/>
      <c r="E720" s="448"/>
      <c r="F720" s="448"/>
      <c r="G720" s="448"/>
      <c r="H720" s="448"/>
      <c r="I720" s="448"/>
      <c r="J720" s="448"/>
      <c r="K720" s="448"/>
      <c r="L720" s="448"/>
      <c r="M720" s="448"/>
      <c r="N720" s="448"/>
      <c r="O720" s="448"/>
      <c r="P720" s="448"/>
      <c r="Q720" s="448"/>
      <c r="R720" s="448"/>
      <c r="S720" s="448"/>
      <c r="T720" s="448"/>
      <c r="U720" s="448"/>
      <c r="V720" s="448"/>
      <c r="W720" s="448"/>
      <c r="X720" s="448"/>
      <c r="Y720" s="448"/>
    </row>
    <row r="721">
      <c r="A721" s="448"/>
      <c r="B721" s="448"/>
      <c r="C721" s="448"/>
      <c r="D721" s="448"/>
      <c r="E721" s="448"/>
      <c r="F721" s="448"/>
      <c r="G721" s="448"/>
      <c r="H721" s="448"/>
      <c r="I721" s="448"/>
      <c r="J721" s="448"/>
      <c r="K721" s="448"/>
      <c r="L721" s="448"/>
      <c r="M721" s="448"/>
      <c r="N721" s="448"/>
      <c r="O721" s="448"/>
      <c r="P721" s="448"/>
      <c r="Q721" s="448"/>
      <c r="R721" s="448"/>
      <c r="S721" s="448"/>
      <c r="T721" s="448"/>
      <c r="U721" s="448"/>
      <c r="V721" s="448"/>
      <c r="W721" s="448"/>
      <c r="X721" s="448"/>
      <c r="Y721" s="448"/>
    </row>
    <row r="722">
      <c r="A722" s="448"/>
      <c r="B722" s="448"/>
      <c r="C722" s="448"/>
      <c r="D722" s="448"/>
      <c r="E722" s="448"/>
      <c r="F722" s="448"/>
      <c r="G722" s="448"/>
      <c r="H722" s="448"/>
      <c r="I722" s="448"/>
      <c r="J722" s="448"/>
      <c r="K722" s="448"/>
      <c r="L722" s="448"/>
      <c r="M722" s="448"/>
      <c r="N722" s="448"/>
      <c r="O722" s="448"/>
      <c r="P722" s="448"/>
      <c r="Q722" s="448"/>
      <c r="R722" s="448"/>
      <c r="S722" s="448"/>
      <c r="T722" s="448"/>
      <c r="U722" s="448"/>
      <c r="V722" s="448"/>
      <c r="W722" s="448"/>
      <c r="X722" s="448"/>
      <c r="Y722" s="448"/>
    </row>
    <row r="723">
      <c r="A723" s="448"/>
      <c r="B723" s="448"/>
      <c r="C723" s="448"/>
      <c r="D723" s="448"/>
      <c r="E723" s="448"/>
      <c r="F723" s="448"/>
      <c r="G723" s="448"/>
      <c r="H723" s="448"/>
      <c r="I723" s="448"/>
      <c r="J723" s="448"/>
      <c r="K723" s="448"/>
      <c r="L723" s="448"/>
      <c r="M723" s="448"/>
      <c r="N723" s="448"/>
      <c r="O723" s="448"/>
      <c r="P723" s="448"/>
      <c r="Q723" s="448"/>
      <c r="R723" s="448"/>
      <c r="S723" s="448"/>
      <c r="T723" s="448"/>
      <c r="U723" s="448"/>
      <c r="V723" s="448"/>
      <c r="W723" s="448"/>
      <c r="X723" s="448"/>
      <c r="Y723" s="448"/>
    </row>
    <row r="724">
      <c r="A724" s="448"/>
      <c r="B724" s="448"/>
      <c r="C724" s="448"/>
      <c r="D724" s="448"/>
      <c r="E724" s="448"/>
      <c r="F724" s="448"/>
      <c r="G724" s="448"/>
      <c r="H724" s="448"/>
      <c r="I724" s="448"/>
      <c r="J724" s="448"/>
      <c r="K724" s="448"/>
      <c r="L724" s="448"/>
      <c r="M724" s="448"/>
      <c r="N724" s="448"/>
      <c r="O724" s="448"/>
      <c r="P724" s="448"/>
      <c r="Q724" s="448"/>
      <c r="R724" s="448"/>
      <c r="S724" s="448"/>
      <c r="T724" s="448"/>
      <c r="U724" s="448"/>
      <c r="V724" s="448"/>
      <c r="W724" s="448"/>
      <c r="X724" s="448"/>
      <c r="Y724" s="448"/>
    </row>
    <row r="725">
      <c r="A725" s="448"/>
      <c r="B725" s="448"/>
      <c r="C725" s="448"/>
      <c r="D725" s="448"/>
      <c r="E725" s="448"/>
      <c r="F725" s="448"/>
      <c r="G725" s="448"/>
      <c r="H725" s="448"/>
      <c r="I725" s="448"/>
      <c r="J725" s="448"/>
      <c r="K725" s="448"/>
      <c r="L725" s="448"/>
      <c r="M725" s="448"/>
      <c r="N725" s="448"/>
      <c r="O725" s="448"/>
      <c r="P725" s="448"/>
      <c r="Q725" s="448"/>
      <c r="R725" s="448"/>
      <c r="S725" s="448"/>
      <c r="T725" s="448"/>
      <c r="U725" s="448"/>
      <c r="V725" s="448"/>
      <c r="W725" s="448"/>
      <c r="X725" s="448"/>
      <c r="Y725" s="448"/>
    </row>
    <row r="726">
      <c r="A726" s="448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48"/>
      <c r="M726" s="448"/>
      <c r="N726" s="448"/>
      <c r="O726" s="448"/>
      <c r="P726" s="448"/>
      <c r="Q726" s="448"/>
      <c r="R726" s="448"/>
      <c r="S726" s="448"/>
      <c r="T726" s="448"/>
      <c r="U726" s="448"/>
      <c r="V726" s="448"/>
      <c r="W726" s="448"/>
      <c r="X726" s="448"/>
      <c r="Y726" s="448"/>
    </row>
    <row r="727">
      <c r="A727" s="448"/>
      <c r="B727" s="448"/>
      <c r="C727" s="448"/>
      <c r="D727" s="448"/>
      <c r="E727" s="448"/>
      <c r="F727" s="448"/>
      <c r="G727" s="448"/>
      <c r="H727" s="448"/>
      <c r="I727" s="448"/>
      <c r="J727" s="448"/>
      <c r="K727" s="448"/>
      <c r="L727" s="448"/>
      <c r="M727" s="448"/>
      <c r="N727" s="448"/>
      <c r="O727" s="448"/>
      <c r="P727" s="448"/>
      <c r="Q727" s="448"/>
      <c r="R727" s="448"/>
      <c r="S727" s="448"/>
      <c r="T727" s="448"/>
      <c r="U727" s="448"/>
      <c r="V727" s="448"/>
      <c r="W727" s="448"/>
      <c r="X727" s="448"/>
      <c r="Y727" s="448"/>
    </row>
    <row r="728">
      <c r="A728" s="448"/>
      <c r="B728" s="448"/>
      <c r="C728" s="448"/>
      <c r="D728" s="448"/>
      <c r="E728" s="448"/>
      <c r="F728" s="448"/>
      <c r="G728" s="448"/>
      <c r="H728" s="448"/>
      <c r="I728" s="448"/>
      <c r="J728" s="448"/>
      <c r="K728" s="448"/>
      <c r="L728" s="448"/>
      <c r="M728" s="448"/>
      <c r="N728" s="448"/>
      <c r="O728" s="448"/>
      <c r="P728" s="448"/>
      <c r="Q728" s="448"/>
      <c r="R728" s="448"/>
      <c r="S728" s="448"/>
      <c r="T728" s="448"/>
      <c r="U728" s="448"/>
      <c r="V728" s="448"/>
      <c r="W728" s="448"/>
      <c r="X728" s="448"/>
      <c r="Y728" s="448"/>
    </row>
    <row r="729">
      <c r="A729" s="448"/>
      <c r="B729" s="448"/>
      <c r="C729" s="448"/>
      <c r="D729" s="448"/>
      <c r="E729" s="448"/>
      <c r="F729" s="448"/>
      <c r="G729" s="448"/>
      <c r="H729" s="448"/>
      <c r="I729" s="448"/>
      <c r="J729" s="448"/>
      <c r="K729" s="448"/>
      <c r="L729" s="448"/>
      <c r="M729" s="448"/>
      <c r="N729" s="448"/>
      <c r="O729" s="448"/>
      <c r="P729" s="448"/>
      <c r="Q729" s="448"/>
      <c r="R729" s="448"/>
      <c r="S729" s="448"/>
      <c r="T729" s="448"/>
      <c r="U729" s="448"/>
      <c r="V729" s="448"/>
      <c r="W729" s="448"/>
      <c r="X729" s="448"/>
      <c r="Y729" s="448"/>
    </row>
    <row r="730">
      <c r="A730" s="448"/>
      <c r="B730" s="448"/>
      <c r="C730" s="448"/>
      <c r="D730" s="448"/>
      <c r="E730" s="448"/>
      <c r="F730" s="448"/>
      <c r="G730" s="448"/>
      <c r="H730" s="448"/>
      <c r="I730" s="448"/>
      <c r="J730" s="448"/>
      <c r="K730" s="448"/>
      <c r="L730" s="448"/>
      <c r="M730" s="448"/>
      <c r="N730" s="448"/>
      <c r="O730" s="448"/>
      <c r="P730" s="448"/>
      <c r="Q730" s="448"/>
      <c r="R730" s="448"/>
      <c r="S730" s="448"/>
      <c r="T730" s="448"/>
      <c r="U730" s="448"/>
      <c r="V730" s="448"/>
      <c r="W730" s="448"/>
      <c r="X730" s="448"/>
      <c r="Y730" s="448"/>
    </row>
    <row r="731">
      <c r="A731" s="448"/>
      <c r="B731" s="448"/>
      <c r="C731" s="448"/>
      <c r="D731" s="448"/>
      <c r="E731" s="448"/>
      <c r="F731" s="448"/>
      <c r="G731" s="448"/>
      <c r="H731" s="448"/>
      <c r="I731" s="448"/>
      <c r="J731" s="448"/>
      <c r="K731" s="448"/>
      <c r="L731" s="448"/>
      <c r="M731" s="448"/>
      <c r="N731" s="448"/>
      <c r="O731" s="448"/>
      <c r="P731" s="448"/>
      <c r="Q731" s="448"/>
      <c r="R731" s="448"/>
      <c r="S731" s="448"/>
      <c r="T731" s="448"/>
      <c r="U731" s="448"/>
      <c r="V731" s="448"/>
      <c r="W731" s="448"/>
      <c r="X731" s="448"/>
      <c r="Y731" s="448"/>
    </row>
    <row r="732">
      <c r="A732" s="448"/>
      <c r="B732" s="448"/>
      <c r="C732" s="448"/>
      <c r="D732" s="448"/>
      <c r="E732" s="448"/>
      <c r="F732" s="448"/>
      <c r="G732" s="448"/>
      <c r="H732" s="448"/>
      <c r="I732" s="448"/>
      <c r="J732" s="448"/>
      <c r="K732" s="448"/>
      <c r="L732" s="448"/>
      <c r="M732" s="448"/>
      <c r="N732" s="448"/>
      <c r="O732" s="448"/>
      <c r="P732" s="448"/>
      <c r="Q732" s="448"/>
      <c r="R732" s="448"/>
      <c r="S732" s="448"/>
      <c r="T732" s="448"/>
      <c r="U732" s="448"/>
      <c r="V732" s="448"/>
      <c r="W732" s="448"/>
      <c r="X732" s="448"/>
      <c r="Y732" s="448"/>
    </row>
    <row r="733">
      <c r="A733" s="448"/>
      <c r="B733" s="448"/>
      <c r="C733" s="448"/>
      <c r="D733" s="448"/>
      <c r="E733" s="448"/>
      <c r="F733" s="448"/>
      <c r="G733" s="448"/>
      <c r="H733" s="448"/>
      <c r="I733" s="448"/>
      <c r="J733" s="448"/>
      <c r="K733" s="448"/>
      <c r="L733" s="448"/>
      <c r="M733" s="448"/>
      <c r="N733" s="448"/>
      <c r="O733" s="448"/>
      <c r="P733" s="448"/>
      <c r="Q733" s="448"/>
      <c r="R733" s="448"/>
      <c r="S733" s="448"/>
      <c r="T733" s="448"/>
      <c r="U733" s="448"/>
      <c r="V733" s="448"/>
      <c r="W733" s="448"/>
      <c r="X733" s="448"/>
      <c r="Y733" s="448"/>
    </row>
    <row r="734">
      <c r="A734" s="448"/>
      <c r="B734" s="448"/>
      <c r="C734" s="448"/>
      <c r="D734" s="448"/>
      <c r="E734" s="448"/>
      <c r="F734" s="448"/>
      <c r="G734" s="448"/>
      <c r="H734" s="448"/>
      <c r="I734" s="448"/>
      <c r="J734" s="448"/>
      <c r="K734" s="448"/>
      <c r="L734" s="448"/>
      <c r="M734" s="448"/>
      <c r="N734" s="448"/>
      <c r="O734" s="448"/>
      <c r="P734" s="448"/>
      <c r="Q734" s="448"/>
      <c r="R734" s="448"/>
      <c r="S734" s="448"/>
      <c r="T734" s="448"/>
      <c r="U734" s="448"/>
      <c r="V734" s="448"/>
      <c r="W734" s="448"/>
      <c r="X734" s="448"/>
      <c r="Y734" s="448"/>
    </row>
    <row r="735">
      <c r="A735" s="448"/>
      <c r="B735" s="448"/>
      <c r="C735" s="448"/>
      <c r="D735" s="448"/>
      <c r="E735" s="448"/>
      <c r="F735" s="448"/>
      <c r="G735" s="448"/>
      <c r="H735" s="448"/>
      <c r="I735" s="448"/>
      <c r="J735" s="448"/>
      <c r="K735" s="448"/>
      <c r="L735" s="448"/>
      <c r="M735" s="448"/>
      <c r="N735" s="448"/>
      <c r="O735" s="448"/>
      <c r="P735" s="448"/>
      <c r="Q735" s="448"/>
      <c r="R735" s="448"/>
      <c r="S735" s="448"/>
      <c r="T735" s="448"/>
      <c r="U735" s="448"/>
      <c r="V735" s="448"/>
      <c r="W735" s="448"/>
      <c r="X735" s="448"/>
      <c r="Y735" s="448"/>
    </row>
    <row r="736">
      <c r="A736" s="448"/>
      <c r="B736" s="448"/>
      <c r="C736" s="448"/>
      <c r="D736" s="448"/>
      <c r="E736" s="448"/>
      <c r="F736" s="448"/>
      <c r="G736" s="448"/>
      <c r="H736" s="448"/>
      <c r="I736" s="448"/>
      <c r="J736" s="448"/>
      <c r="K736" s="448"/>
      <c r="L736" s="448"/>
      <c r="M736" s="448"/>
      <c r="N736" s="448"/>
      <c r="O736" s="448"/>
      <c r="P736" s="448"/>
      <c r="Q736" s="448"/>
      <c r="R736" s="448"/>
      <c r="S736" s="448"/>
      <c r="T736" s="448"/>
      <c r="U736" s="448"/>
      <c r="V736" s="448"/>
      <c r="W736" s="448"/>
      <c r="X736" s="448"/>
      <c r="Y736" s="448"/>
    </row>
    <row r="737">
      <c r="A737" s="448"/>
      <c r="B737" s="448"/>
      <c r="C737" s="448"/>
      <c r="D737" s="448"/>
      <c r="E737" s="448"/>
      <c r="F737" s="448"/>
      <c r="G737" s="448"/>
      <c r="H737" s="448"/>
      <c r="I737" s="448"/>
      <c r="J737" s="448"/>
      <c r="K737" s="448"/>
      <c r="L737" s="448"/>
      <c r="M737" s="448"/>
      <c r="N737" s="448"/>
      <c r="O737" s="448"/>
      <c r="P737" s="448"/>
      <c r="Q737" s="448"/>
      <c r="R737" s="448"/>
      <c r="S737" s="448"/>
      <c r="T737" s="448"/>
      <c r="U737" s="448"/>
      <c r="V737" s="448"/>
      <c r="W737" s="448"/>
      <c r="X737" s="448"/>
      <c r="Y737" s="448"/>
    </row>
    <row r="738">
      <c r="A738" s="448"/>
      <c r="B738" s="448"/>
      <c r="C738" s="448"/>
      <c r="D738" s="448"/>
      <c r="E738" s="448"/>
      <c r="F738" s="448"/>
      <c r="G738" s="448"/>
      <c r="H738" s="448"/>
      <c r="I738" s="448"/>
      <c r="J738" s="448"/>
      <c r="K738" s="448"/>
      <c r="L738" s="448"/>
      <c r="M738" s="448"/>
      <c r="N738" s="448"/>
      <c r="O738" s="448"/>
      <c r="P738" s="448"/>
      <c r="Q738" s="448"/>
      <c r="R738" s="448"/>
      <c r="S738" s="448"/>
      <c r="T738" s="448"/>
      <c r="U738" s="448"/>
      <c r="V738" s="448"/>
      <c r="W738" s="448"/>
      <c r="X738" s="448"/>
      <c r="Y738" s="448"/>
    </row>
    <row r="739">
      <c r="A739" s="448"/>
      <c r="B739" s="448"/>
      <c r="C739" s="448"/>
      <c r="D739" s="448"/>
      <c r="E739" s="448"/>
      <c r="F739" s="448"/>
      <c r="G739" s="448"/>
      <c r="H739" s="448"/>
      <c r="I739" s="448"/>
      <c r="J739" s="448"/>
      <c r="K739" s="448"/>
      <c r="L739" s="448"/>
      <c r="M739" s="448"/>
      <c r="N739" s="448"/>
      <c r="O739" s="448"/>
      <c r="P739" s="448"/>
      <c r="Q739" s="448"/>
      <c r="R739" s="448"/>
      <c r="S739" s="448"/>
      <c r="T739" s="448"/>
      <c r="U739" s="448"/>
      <c r="V739" s="448"/>
      <c r="W739" s="448"/>
      <c r="X739" s="448"/>
      <c r="Y739" s="448"/>
    </row>
    <row r="740">
      <c r="A740" s="448"/>
      <c r="B740" s="448"/>
      <c r="C740" s="448"/>
      <c r="D740" s="448"/>
      <c r="E740" s="448"/>
      <c r="F740" s="448"/>
      <c r="G740" s="448"/>
      <c r="H740" s="448"/>
      <c r="I740" s="448"/>
      <c r="J740" s="448"/>
      <c r="K740" s="448"/>
      <c r="L740" s="448"/>
      <c r="M740" s="448"/>
      <c r="N740" s="448"/>
      <c r="O740" s="448"/>
      <c r="P740" s="448"/>
      <c r="Q740" s="448"/>
      <c r="R740" s="448"/>
      <c r="S740" s="448"/>
      <c r="T740" s="448"/>
      <c r="U740" s="448"/>
      <c r="V740" s="448"/>
      <c r="W740" s="448"/>
      <c r="X740" s="448"/>
      <c r="Y740" s="448"/>
    </row>
    <row r="741">
      <c r="A741" s="448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48"/>
      <c r="M741" s="448"/>
      <c r="N741" s="448"/>
      <c r="O741" s="448"/>
      <c r="P741" s="448"/>
      <c r="Q741" s="448"/>
      <c r="R741" s="448"/>
      <c r="S741" s="448"/>
      <c r="T741" s="448"/>
      <c r="U741" s="448"/>
      <c r="V741" s="448"/>
      <c r="W741" s="448"/>
      <c r="X741" s="448"/>
      <c r="Y741" s="448"/>
    </row>
    <row r="742">
      <c r="A742" s="448"/>
      <c r="B742" s="448"/>
      <c r="C742" s="448"/>
      <c r="D742" s="448"/>
      <c r="E742" s="448"/>
      <c r="F742" s="448"/>
      <c r="G742" s="448"/>
      <c r="H742" s="448"/>
      <c r="I742" s="448"/>
      <c r="J742" s="448"/>
      <c r="K742" s="448"/>
      <c r="L742" s="448"/>
      <c r="M742" s="448"/>
      <c r="N742" s="448"/>
      <c r="O742" s="448"/>
      <c r="P742" s="448"/>
      <c r="Q742" s="448"/>
      <c r="R742" s="448"/>
      <c r="S742" s="448"/>
      <c r="T742" s="448"/>
      <c r="U742" s="448"/>
      <c r="V742" s="448"/>
      <c r="W742" s="448"/>
      <c r="X742" s="448"/>
      <c r="Y742" s="448"/>
    </row>
    <row r="743">
      <c r="A743" s="448"/>
      <c r="B743" s="448"/>
      <c r="C743" s="448"/>
      <c r="D743" s="448"/>
      <c r="E743" s="448"/>
      <c r="F743" s="448"/>
      <c r="G743" s="448"/>
      <c r="H743" s="448"/>
      <c r="I743" s="448"/>
      <c r="J743" s="448"/>
      <c r="K743" s="448"/>
      <c r="L743" s="448"/>
      <c r="M743" s="448"/>
      <c r="N743" s="448"/>
      <c r="O743" s="448"/>
      <c r="P743" s="448"/>
      <c r="Q743" s="448"/>
      <c r="R743" s="448"/>
      <c r="S743" s="448"/>
      <c r="T743" s="448"/>
      <c r="U743" s="448"/>
      <c r="V743" s="448"/>
      <c r="W743" s="448"/>
      <c r="X743" s="448"/>
      <c r="Y743" s="448"/>
    </row>
    <row r="744">
      <c r="A744" s="448"/>
      <c r="B744" s="448"/>
      <c r="C744" s="448"/>
      <c r="D744" s="448"/>
      <c r="E744" s="448"/>
      <c r="F744" s="448"/>
      <c r="G744" s="448"/>
      <c r="H744" s="448"/>
      <c r="I744" s="448"/>
      <c r="J744" s="448"/>
      <c r="K744" s="448"/>
      <c r="L744" s="448"/>
      <c r="M744" s="448"/>
      <c r="N744" s="448"/>
      <c r="O744" s="448"/>
      <c r="P744" s="448"/>
      <c r="Q744" s="448"/>
      <c r="R744" s="448"/>
      <c r="S744" s="448"/>
      <c r="T744" s="448"/>
      <c r="U744" s="448"/>
      <c r="V744" s="448"/>
      <c r="W744" s="448"/>
      <c r="X744" s="448"/>
      <c r="Y744" s="448"/>
    </row>
    <row r="745">
      <c r="A745" s="448"/>
      <c r="B745" s="448"/>
      <c r="C745" s="448"/>
      <c r="D745" s="448"/>
      <c r="E745" s="448"/>
      <c r="F745" s="448"/>
      <c r="G745" s="448"/>
      <c r="H745" s="448"/>
      <c r="I745" s="448"/>
      <c r="J745" s="448"/>
      <c r="K745" s="448"/>
      <c r="L745" s="448"/>
      <c r="M745" s="448"/>
      <c r="N745" s="448"/>
      <c r="O745" s="448"/>
      <c r="P745" s="448"/>
      <c r="Q745" s="448"/>
      <c r="R745" s="448"/>
      <c r="S745" s="448"/>
      <c r="T745" s="448"/>
      <c r="U745" s="448"/>
      <c r="V745" s="448"/>
      <c r="W745" s="448"/>
      <c r="X745" s="448"/>
      <c r="Y745" s="448"/>
    </row>
    <row r="746">
      <c r="A746" s="448"/>
      <c r="B746" s="448"/>
      <c r="C746" s="448"/>
      <c r="D746" s="448"/>
      <c r="E746" s="448"/>
      <c r="F746" s="448"/>
      <c r="G746" s="448"/>
      <c r="H746" s="448"/>
      <c r="I746" s="448"/>
      <c r="J746" s="448"/>
      <c r="K746" s="448"/>
      <c r="L746" s="448"/>
      <c r="M746" s="448"/>
      <c r="N746" s="448"/>
      <c r="O746" s="448"/>
      <c r="P746" s="448"/>
      <c r="Q746" s="448"/>
      <c r="R746" s="448"/>
      <c r="S746" s="448"/>
      <c r="T746" s="448"/>
      <c r="U746" s="448"/>
      <c r="V746" s="448"/>
      <c r="W746" s="448"/>
      <c r="X746" s="448"/>
      <c r="Y746" s="448"/>
    </row>
    <row r="747">
      <c r="A747" s="448"/>
      <c r="B747" s="448"/>
      <c r="C747" s="448"/>
      <c r="D747" s="448"/>
      <c r="E747" s="448"/>
      <c r="F747" s="448"/>
      <c r="G747" s="448"/>
      <c r="H747" s="448"/>
      <c r="I747" s="448"/>
      <c r="J747" s="448"/>
      <c r="K747" s="448"/>
      <c r="L747" s="448"/>
      <c r="M747" s="448"/>
      <c r="N747" s="448"/>
      <c r="O747" s="448"/>
      <c r="P747" s="448"/>
      <c r="Q747" s="448"/>
      <c r="R747" s="448"/>
      <c r="S747" s="448"/>
      <c r="T747" s="448"/>
      <c r="U747" s="448"/>
      <c r="V747" s="448"/>
      <c r="W747" s="448"/>
      <c r="X747" s="448"/>
      <c r="Y747" s="448"/>
    </row>
    <row r="748">
      <c r="A748" s="448"/>
      <c r="B748" s="448"/>
      <c r="C748" s="448"/>
      <c r="D748" s="448"/>
      <c r="E748" s="448"/>
      <c r="F748" s="448"/>
      <c r="G748" s="448"/>
      <c r="H748" s="448"/>
      <c r="I748" s="448"/>
      <c r="J748" s="448"/>
      <c r="K748" s="448"/>
      <c r="L748" s="448"/>
      <c r="M748" s="448"/>
      <c r="N748" s="448"/>
      <c r="O748" s="448"/>
      <c r="P748" s="448"/>
      <c r="Q748" s="448"/>
      <c r="R748" s="448"/>
      <c r="S748" s="448"/>
      <c r="T748" s="448"/>
      <c r="U748" s="448"/>
      <c r="V748" s="448"/>
      <c r="W748" s="448"/>
      <c r="X748" s="448"/>
      <c r="Y748" s="448"/>
    </row>
    <row r="749">
      <c r="A749" s="448"/>
      <c r="B749" s="448"/>
      <c r="C749" s="448"/>
      <c r="D749" s="448"/>
      <c r="E749" s="448"/>
      <c r="F749" s="448"/>
      <c r="G749" s="448"/>
      <c r="H749" s="448"/>
      <c r="I749" s="448"/>
      <c r="J749" s="448"/>
      <c r="K749" s="448"/>
      <c r="L749" s="448"/>
      <c r="M749" s="448"/>
      <c r="N749" s="448"/>
      <c r="O749" s="448"/>
      <c r="P749" s="448"/>
      <c r="Q749" s="448"/>
      <c r="R749" s="448"/>
      <c r="S749" s="448"/>
      <c r="T749" s="448"/>
      <c r="U749" s="448"/>
      <c r="V749" s="448"/>
      <c r="W749" s="448"/>
      <c r="X749" s="448"/>
      <c r="Y749" s="448"/>
    </row>
    <row r="750">
      <c r="A750" s="448"/>
      <c r="B750" s="448"/>
      <c r="C750" s="448"/>
      <c r="D750" s="448"/>
      <c r="E750" s="448"/>
      <c r="F750" s="448"/>
      <c r="G750" s="448"/>
      <c r="H750" s="448"/>
      <c r="I750" s="448"/>
      <c r="J750" s="448"/>
      <c r="K750" s="448"/>
      <c r="L750" s="448"/>
      <c r="M750" s="448"/>
      <c r="N750" s="448"/>
      <c r="O750" s="448"/>
      <c r="P750" s="448"/>
      <c r="Q750" s="448"/>
      <c r="R750" s="448"/>
      <c r="S750" s="448"/>
      <c r="T750" s="448"/>
      <c r="U750" s="448"/>
      <c r="V750" s="448"/>
      <c r="W750" s="448"/>
      <c r="X750" s="448"/>
      <c r="Y750" s="448"/>
    </row>
    <row r="751">
      <c r="A751" s="448"/>
      <c r="B751" s="448"/>
      <c r="C751" s="448"/>
      <c r="D751" s="448"/>
      <c r="E751" s="448"/>
      <c r="F751" s="448"/>
      <c r="G751" s="448"/>
      <c r="H751" s="448"/>
      <c r="I751" s="448"/>
      <c r="J751" s="448"/>
      <c r="K751" s="448"/>
      <c r="L751" s="448"/>
      <c r="M751" s="448"/>
      <c r="N751" s="448"/>
      <c r="O751" s="448"/>
      <c r="P751" s="448"/>
      <c r="Q751" s="448"/>
      <c r="R751" s="448"/>
      <c r="S751" s="448"/>
      <c r="T751" s="448"/>
      <c r="U751" s="448"/>
      <c r="V751" s="448"/>
      <c r="W751" s="448"/>
      <c r="X751" s="448"/>
      <c r="Y751" s="448"/>
    </row>
    <row r="752">
      <c r="A752" s="448"/>
      <c r="B752" s="448"/>
      <c r="C752" s="448"/>
      <c r="D752" s="448"/>
      <c r="E752" s="448"/>
      <c r="F752" s="448"/>
      <c r="G752" s="448"/>
      <c r="H752" s="448"/>
      <c r="I752" s="448"/>
      <c r="J752" s="448"/>
      <c r="K752" s="448"/>
      <c r="L752" s="448"/>
      <c r="M752" s="448"/>
      <c r="N752" s="448"/>
      <c r="O752" s="448"/>
      <c r="P752" s="448"/>
      <c r="Q752" s="448"/>
      <c r="R752" s="448"/>
      <c r="S752" s="448"/>
      <c r="T752" s="448"/>
      <c r="U752" s="448"/>
      <c r="V752" s="448"/>
      <c r="W752" s="448"/>
      <c r="X752" s="448"/>
      <c r="Y752" s="448"/>
    </row>
    <row r="753">
      <c r="A753" s="448"/>
      <c r="B753" s="448"/>
      <c r="C753" s="448"/>
      <c r="D753" s="448"/>
      <c r="E753" s="448"/>
      <c r="F753" s="448"/>
      <c r="G753" s="448"/>
      <c r="H753" s="448"/>
      <c r="I753" s="448"/>
      <c r="J753" s="448"/>
      <c r="K753" s="448"/>
      <c r="L753" s="448"/>
      <c r="M753" s="448"/>
      <c r="N753" s="448"/>
      <c r="O753" s="448"/>
      <c r="P753" s="448"/>
      <c r="Q753" s="448"/>
      <c r="R753" s="448"/>
      <c r="S753" s="448"/>
      <c r="T753" s="448"/>
      <c r="U753" s="448"/>
      <c r="V753" s="448"/>
      <c r="W753" s="448"/>
      <c r="X753" s="448"/>
      <c r="Y753" s="448"/>
    </row>
    <row r="754">
      <c r="A754" s="448"/>
      <c r="B754" s="448"/>
      <c r="C754" s="448"/>
      <c r="D754" s="448"/>
      <c r="E754" s="448"/>
      <c r="F754" s="448"/>
      <c r="G754" s="448"/>
      <c r="H754" s="448"/>
      <c r="I754" s="448"/>
      <c r="J754" s="448"/>
      <c r="K754" s="448"/>
      <c r="L754" s="448"/>
      <c r="M754" s="448"/>
      <c r="N754" s="448"/>
      <c r="O754" s="448"/>
      <c r="P754" s="448"/>
      <c r="Q754" s="448"/>
      <c r="R754" s="448"/>
      <c r="S754" s="448"/>
      <c r="T754" s="448"/>
      <c r="U754" s="448"/>
      <c r="V754" s="448"/>
      <c r="W754" s="448"/>
      <c r="X754" s="448"/>
      <c r="Y754" s="448"/>
    </row>
    <row r="755">
      <c r="A755" s="448"/>
      <c r="B755" s="448"/>
      <c r="C755" s="448"/>
      <c r="D755" s="448"/>
      <c r="E755" s="448"/>
      <c r="F755" s="448"/>
      <c r="G755" s="448"/>
      <c r="H755" s="448"/>
      <c r="I755" s="448"/>
      <c r="J755" s="448"/>
      <c r="K755" s="448"/>
      <c r="L755" s="448"/>
      <c r="M755" s="448"/>
      <c r="N755" s="448"/>
      <c r="O755" s="448"/>
      <c r="P755" s="448"/>
      <c r="Q755" s="448"/>
      <c r="R755" s="448"/>
      <c r="S755" s="448"/>
      <c r="T755" s="448"/>
      <c r="U755" s="448"/>
      <c r="V755" s="448"/>
      <c r="W755" s="448"/>
      <c r="X755" s="448"/>
      <c r="Y755" s="448"/>
    </row>
    <row r="756">
      <c r="A756" s="448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48"/>
      <c r="M756" s="448"/>
      <c r="N756" s="448"/>
      <c r="O756" s="448"/>
      <c r="P756" s="448"/>
      <c r="Q756" s="448"/>
      <c r="R756" s="448"/>
      <c r="S756" s="448"/>
      <c r="T756" s="448"/>
      <c r="U756" s="448"/>
      <c r="V756" s="448"/>
      <c r="W756" s="448"/>
      <c r="X756" s="448"/>
      <c r="Y756" s="448"/>
    </row>
    <row r="757">
      <c r="A757" s="448"/>
      <c r="B757" s="448"/>
      <c r="C757" s="448"/>
      <c r="D757" s="448"/>
      <c r="E757" s="448"/>
      <c r="F757" s="448"/>
      <c r="G757" s="448"/>
      <c r="H757" s="448"/>
      <c r="I757" s="448"/>
      <c r="J757" s="448"/>
      <c r="K757" s="448"/>
      <c r="L757" s="448"/>
      <c r="M757" s="448"/>
      <c r="N757" s="448"/>
      <c r="O757" s="448"/>
      <c r="P757" s="448"/>
      <c r="Q757" s="448"/>
      <c r="R757" s="448"/>
      <c r="S757" s="448"/>
      <c r="T757" s="448"/>
      <c r="U757" s="448"/>
      <c r="V757" s="448"/>
      <c r="W757" s="448"/>
      <c r="X757" s="448"/>
      <c r="Y757" s="448"/>
    </row>
    <row r="758">
      <c r="A758" s="448"/>
      <c r="B758" s="448"/>
      <c r="C758" s="448"/>
      <c r="D758" s="448"/>
      <c r="E758" s="448"/>
      <c r="F758" s="448"/>
      <c r="G758" s="448"/>
      <c r="H758" s="448"/>
      <c r="I758" s="448"/>
      <c r="J758" s="448"/>
      <c r="K758" s="448"/>
      <c r="L758" s="448"/>
      <c r="M758" s="448"/>
      <c r="N758" s="448"/>
      <c r="O758" s="448"/>
      <c r="P758" s="448"/>
      <c r="Q758" s="448"/>
      <c r="R758" s="448"/>
      <c r="S758" s="448"/>
      <c r="T758" s="448"/>
      <c r="U758" s="448"/>
      <c r="V758" s="448"/>
      <c r="W758" s="448"/>
      <c r="X758" s="448"/>
      <c r="Y758" s="448"/>
    </row>
    <row r="759">
      <c r="A759" s="448"/>
      <c r="B759" s="448"/>
      <c r="C759" s="448"/>
      <c r="D759" s="448"/>
      <c r="E759" s="448"/>
      <c r="F759" s="448"/>
      <c r="G759" s="448"/>
      <c r="H759" s="448"/>
      <c r="I759" s="448"/>
      <c r="J759" s="448"/>
      <c r="K759" s="448"/>
      <c r="L759" s="448"/>
      <c r="M759" s="448"/>
      <c r="N759" s="448"/>
      <c r="O759" s="448"/>
      <c r="P759" s="448"/>
      <c r="Q759" s="448"/>
      <c r="R759" s="448"/>
      <c r="S759" s="448"/>
      <c r="T759" s="448"/>
      <c r="U759" s="448"/>
      <c r="V759" s="448"/>
      <c r="W759" s="448"/>
      <c r="X759" s="448"/>
      <c r="Y759" s="448"/>
    </row>
    <row r="760">
      <c r="A760" s="448"/>
      <c r="B760" s="448"/>
      <c r="C760" s="448"/>
      <c r="D760" s="448"/>
      <c r="E760" s="448"/>
      <c r="F760" s="448"/>
      <c r="G760" s="448"/>
      <c r="H760" s="448"/>
      <c r="I760" s="448"/>
      <c r="J760" s="448"/>
      <c r="K760" s="448"/>
      <c r="L760" s="448"/>
      <c r="M760" s="448"/>
      <c r="N760" s="448"/>
      <c r="O760" s="448"/>
      <c r="P760" s="448"/>
      <c r="Q760" s="448"/>
      <c r="R760" s="448"/>
      <c r="S760" s="448"/>
      <c r="T760" s="448"/>
      <c r="U760" s="448"/>
      <c r="V760" s="448"/>
      <c r="W760" s="448"/>
      <c r="X760" s="448"/>
      <c r="Y760" s="448"/>
    </row>
    <row r="761">
      <c r="A761" s="448"/>
      <c r="B761" s="448"/>
      <c r="C761" s="448"/>
      <c r="D761" s="448"/>
      <c r="E761" s="448"/>
      <c r="F761" s="448"/>
      <c r="G761" s="448"/>
      <c r="H761" s="448"/>
      <c r="I761" s="448"/>
      <c r="J761" s="448"/>
      <c r="K761" s="448"/>
      <c r="L761" s="448"/>
      <c r="M761" s="448"/>
      <c r="N761" s="448"/>
      <c r="O761" s="448"/>
      <c r="P761" s="448"/>
      <c r="Q761" s="448"/>
      <c r="R761" s="448"/>
      <c r="S761" s="448"/>
      <c r="T761" s="448"/>
      <c r="U761" s="448"/>
      <c r="V761" s="448"/>
      <c r="W761" s="448"/>
      <c r="X761" s="448"/>
      <c r="Y761" s="448"/>
    </row>
    <row r="762">
      <c r="A762" s="448"/>
      <c r="B762" s="448"/>
      <c r="C762" s="448"/>
      <c r="D762" s="448"/>
      <c r="E762" s="448"/>
      <c r="F762" s="448"/>
      <c r="G762" s="448"/>
      <c r="H762" s="448"/>
      <c r="I762" s="448"/>
      <c r="J762" s="448"/>
      <c r="K762" s="448"/>
      <c r="L762" s="448"/>
      <c r="M762" s="448"/>
      <c r="N762" s="448"/>
      <c r="O762" s="448"/>
      <c r="P762" s="448"/>
      <c r="Q762" s="448"/>
      <c r="R762" s="448"/>
      <c r="S762" s="448"/>
      <c r="T762" s="448"/>
      <c r="U762" s="448"/>
      <c r="V762" s="448"/>
      <c r="W762" s="448"/>
      <c r="X762" s="448"/>
      <c r="Y762" s="448"/>
    </row>
    <row r="763">
      <c r="A763" s="448"/>
      <c r="B763" s="448"/>
      <c r="C763" s="448"/>
      <c r="D763" s="448"/>
      <c r="E763" s="448"/>
      <c r="F763" s="448"/>
      <c r="G763" s="448"/>
      <c r="H763" s="448"/>
      <c r="I763" s="448"/>
      <c r="J763" s="448"/>
      <c r="K763" s="448"/>
      <c r="L763" s="448"/>
      <c r="M763" s="448"/>
      <c r="N763" s="448"/>
      <c r="O763" s="448"/>
      <c r="P763" s="448"/>
      <c r="Q763" s="448"/>
      <c r="R763" s="448"/>
      <c r="S763" s="448"/>
      <c r="T763" s="448"/>
      <c r="U763" s="448"/>
      <c r="V763" s="448"/>
      <c r="W763" s="448"/>
      <c r="X763" s="448"/>
      <c r="Y763" s="448"/>
    </row>
    <row r="764">
      <c r="A764" s="448"/>
      <c r="B764" s="448"/>
      <c r="C764" s="448"/>
      <c r="D764" s="448"/>
      <c r="E764" s="448"/>
      <c r="F764" s="448"/>
      <c r="G764" s="448"/>
      <c r="H764" s="448"/>
      <c r="I764" s="448"/>
      <c r="J764" s="448"/>
      <c r="K764" s="448"/>
      <c r="L764" s="448"/>
      <c r="M764" s="448"/>
      <c r="N764" s="448"/>
      <c r="O764" s="448"/>
      <c r="P764" s="448"/>
      <c r="Q764" s="448"/>
      <c r="R764" s="448"/>
      <c r="S764" s="448"/>
      <c r="T764" s="448"/>
      <c r="U764" s="448"/>
      <c r="V764" s="448"/>
      <c r="W764" s="448"/>
      <c r="X764" s="448"/>
      <c r="Y764" s="448"/>
    </row>
    <row r="765">
      <c r="A765" s="448"/>
      <c r="B765" s="448"/>
      <c r="C765" s="448"/>
      <c r="D765" s="448"/>
      <c r="E765" s="448"/>
      <c r="F765" s="448"/>
      <c r="G765" s="448"/>
      <c r="H765" s="448"/>
      <c r="I765" s="448"/>
      <c r="J765" s="448"/>
      <c r="K765" s="448"/>
      <c r="L765" s="448"/>
      <c r="M765" s="448"/>
      <c r="N765" s="448"/>
      <c r="O765" s="448"/>
      <c r="P765" s="448"/>
      <c r="Q765" s="448"/>
      <c r="R765" s="448"/>
      <c r="S765" s="448"/>
      <c r="T765" s="448"/>
      <c r="U765" s="448"/>
      <c r="V765" s="448"/>
      <c r="W765" s="448"/>
      <c r="X765" s="448"/>
      <c r="Y765" s="448"/>
    </row>
    <row r="766">
      <c r="A766" s="448"/>
      <c r="B766" s="448"/>
      <c r="C766" s="448"/>
      <c r="D766" s="448"/>
      <c r="E766" s="448"/>
      <c r="F766" s="448"/>
      <c r="G766" s="448"/>
      <c r="H766" s="448"/>
      <c r="I766" s="448"/>
      <c r="J766" s="448"/>
      <c r="K766" s="448"/>
      <c r="L766" s="448"/>
      <c r="M766" s="448"/>
      <c r="N766" s="448"/>
      <c r="O766" s="448"/>
      <c r="P766" s="448"/>
      <c r="Q766" s="448"/>
      <c r="R766" s="448"/>
      <c r="S766" s="448"/>
      <c r="T766" s="448"/>
      <c r="U766" s="448"/>
      <c r="V766" s="448"/>
      <c r="W766" s="448"/>
      <c r="X766" s="448"/>
      <c r="Y766" s="448"/>
    </row>
    <row r="767">
      <c r="A767" s="448"/>
      <c r="B767" s="448"/>
      <c r="C767" s="448"/>
      <c r="D767" s="448"/>
      <c r="E767" s="448"/>
      <c r="F767" s="448"/>
      <c r="G767" s="448"/>
      <c r="H767" s="448"/>
      <c r="I767" s="448"/>
      <c r="J767" s="448"/>
      <c r="K767" s="448"/>
      <c r="L767" s="448"/>
      <c r="M767" s="448"/>
      <c r="N767" s="448"/>
      <c r="O767" s="448"/>
      <c r="P767" s="448"/>
      <c r="Q767" s="448"/>
      <c r="R767" s="448"/>
      <c r="S767" s="448"/>
      <c r="T767" s="448"/>
      <c r="U767" s="448"/>
      <c r="V767" s="448"/>
      <c r="W767" s="448"/>
      <c r="X767" s="448"/>
      <c r="Y767" s="448"/>
    </row>
    <row r="768">
      <c r="A768" s="448"/>
      <c r="B768" s="448"/>
      <c r="C768" s="448"/>
      <c r="D768" s="448"/>
      <c r="E768" s="448"/>
      <c r="F768" s="448"/>
      <c r="G768" s="448"/>
      <c r="H768" s="448"/>
      <c r="I768" s="448"/>
      <c r="J768" s="448"/>
      <c r="K768" s="448"/>
      <c r="L768" s="448"/>
      <c r="M768" s="448"/>
      <c r="N768" s="448"/>
      <c r="O768" s="448"/>
      <c r="P768" s="448"/>
      <c r="Q768" s="448"/>
      <c r="R768" s="448"/>
      <c r="S768" s="448"/>
      <c r="T768" s="448"/>
      <c r="U768" s="448"/>
      <c r="V768" s="448"/>
      <c r="W768" s="448"/>
      <c r="X768" s="448"/>
      <c r="Y768" s="448"/>
    </row>
    <row r="769">
      <c r="A769" s="448"/>
      <c r="B769" s="448"/>
      <c r="C769" s="448"/>
      <c r="D769" s="448"/>
      <c r="E769" s="448"/>
      <c r="F769" s="448"/>
      <c r="G769" s="448"/>
      <c r="H769" s="448"/>
      <c r="I769" s="448"/>
      <c r="J769" s="448"/>
      <c r="K769" s="448"/>
      <c r="L769" s="448"/>
      <c r="M769" s="448"/>
      <c r="N769" s="448"/>
      <c r="O769" s="448"/>
      <c r="P769" s="448"/>
      <c r="Q769" s="448"/>
      <c r="R769" s="448"/>
      <c r="S769" s="448"/>
      <c r="T769" s="448"/>
      <c r="U769" s="448"/>
      <c r="V769" s="448"/>
      <c r="W769" s="448"/>
      <c r="X769" s="448"/>
      <c r="Y769" s="448"/>
    </row>
    <row r="770">
      <c r="A770" s="448"/>
      <c r="B770" s="448"/>
      <c r="C770" s="448"/>
      <c r="D770" s="448"/>
      <c r="E770" s="448"/>
      <c r="F770" s="448"/>
      <c r="G770" s="448"/>
      <c r="H770" s="448"/>
      <c r="I770" s="448"/>
      <c r="J770" s="448"/>
      <c r="K770" s="448"/>
      <c r="L770" s="448"/>
      <c r="M770" s="448"/>
      <c r="N770" s="448"/>
      <c r="O770" s="448"/>
      <c r="P770" s="448"/>
      <c r="Q770" s="448"/>
      <c r="R770" s="448"/>
      <c r="S770" s="448"/>
      <c r="T770" s="448"/>
      <c r="U770" s="448"/>
      <c r="V770" s="448"/>
      <c r="W770" s="448"/>
      <c r="X770" s="448"/>
      <c r="Y770" s="448"/>
    </row>
    <row r="771">
      <c r="A771" s="448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48"/>
      <c r="M771" s="448"/>
      <c r="N771" s="448"/>
      <c r="O771" s="448"/>
      <c r="P771" s="448"/>
      <c r="Q771" s="448"/>
      <c r="R771" s="448"/>
      <c r="S771" s="448"/>
      <c r="T771" s="448"/>
      <c r="U771" s="448"/>
      <c r="V771" s="448"/>
      <c r="W771" s="448"/>
      <c r="X771" s="448"/>
      <c r="Y771" s="448"/>
    </row>
    <row r="772">
      <c r="A772" s="448"/>
      <c r="B772" s="448"/>
      <c r="C772" s="448"/>
      <c r="D772" s="448"/>
      <c r="E772" s="448"/>
      <c r="F772" s="448"/>
      <c r="G772" s="448"/>
      <c r="H772" s="448"/>
      <c r="I772" s="448"/>
      <c r="J772" s="448"/>
      <c r="K772" s="448"/>
      <c r="L772" s="448"/>
      <c r="M772" s="448"/>
      <c r="N772" s="448"/>
      <c r="O772" s="448"/>
      <c r="P772" s="448"/>
      <c r="Q772" s="448"/>
      <c r="R772" s="448"/>
      <c r="S772" s="448"/>
      <c r="T772" s="448"/>
      <c r="U772" s="448"/>
      <c r="V772" s="448"/>
      <c r="W772" s="448"/>
      <c r="X772" s="448"/>
      <c r="Y772" s="448"/>
    </row>
    <row r="773">
      <c r="A773" s="448"/>
      <c r="B773" s="448"/>
      <c r="C773" s="448"/>
      <c r="D773" s="448"/>
      <c r="E773" s="448"/>
      <c r="F773" s="448"/>
      <c r="G773" s="448"/>
      <c r="H773" s="448"/>
      <c r="I773" s="448"/>
      <c r="J773" s="448"/>
      <c r="K773" s="448"/>
      <c r="L773" s="448"/>
      <c r="M773" s="448"/>
      <c r="N773" s="448"/>
      <c r="O773" s="448"/>
      <c r="P773" s="448"/>
      <c r="Q773" s="448"/>
      <c r="R773" s="448"/>
      <c r="S773" s="448"/>
      <c r="T773" s="448"/>
      <c r="U773" s="448"/>
      <c r="V773" s="448"/>
      <c r="W773" s="448"/>
      <c r="X773" s="448"/>
      <c r="Y773" s="448"/>
    </row>
    <row r="774">
      <c r="A774" s="448"/>
      <c r="B774" s="448"/>
      <c r="C774" s="448"/>
      <c r="D774" s="448"/>
      <c r="E774" s="448"/>
      <c r="F774" s="448"/>
      <c r="G774" s="448"/>
      <c r="H774" s="448"/>
      <c r="I774" s="448"/>
      <c r="J774" s="448"/>
      <c r="K774" s="448"/>
      <c r="L774" s="448"/>
      <c r="M774" s="448"/>
      <c r="N774" s="448"/>
      <c r="O774" s="448"/>
      <c r="P774" s="448"/>
      <c r="Q774" s="448"/>
      <c r="R774" s="448"/>
      <c r="S774" s="448"/>
      <c r="T774" s="448"/>
      <c r="U774" s="448"/>
      <c r="V774" s="448"/>
      <c r="W774" s="448"/>
      <c r="X774" s="448"/>
      <c r="Y774" s="448"/>
    </row>
    <row r="775">
      <c r="A775" s="448"/>
      <c r="B775" s="448"/>
      <c r="C775" s="448"/>
      <c r="D775" s="448"/>
      <c r="E775" s="448"/>
      <c r="F775" s="448"/>
      <c r="G775" s="448"/>
      <c r="H775" s="448"/>
      <c r="I775" s="448"/>
      <c r="J775" s="448"/>
      <c r="K775" s="448"/>
      <c r="L775" s="448"/>
      <c r="M775" s="448"/>
      <c r="N775" s="448"/>
      <c r="O775" s="448"/>
      <c r="P775" s="448"/>
      <c r="Q775" s="448"/>
      <c r="R775" s="448"/>
      <c r="S775" s="448"/>
      <c r="T775" s="448"/>
      <c r="U775" s="448"/>
      <c r="V775" s="448"/>
      <c r="W775" s="448"/>
      <c r="X775" s="448"/>
      <c r="Y775" s="448"/>
    </row>
    <row r="776">
      <c r="A776" s="448"/>
      <c r="B776" s="448"/>
      <c r="C776" s="448"/>
      <c r="D776" s="448"/>
      <c r="E776" s="448"/>
      <c r="F776" s="448"/>
      <c r="G776" s="448"/>
      <c r="H776" s="448"/>
      <c r="I776" s="448"/>
      <c r="J776" s="448"/>
      <c r="K776" s="448"/>
      <c r="L776" s="448"/>
      <c r="M776" s="448"/>
      <c r="N776" s="448"/>
      <c r="O776" s="448"/>
      <c r="P776" s="448"/>
      <c r="Q776" s="448"/>
      <c r="R776" s="448"/>
      <c r="S776" s="448"/>
      <c r="T776" s="448"/>
      <c r="U776" s="448"/>
      <c r="V776" s="448"/>
      <c r="W776" s="448"/>
      <c r="X776" s="448"/>
      <c r="Y776" s="448"/>
    </row>
    <row r="777">
      <c r="A777" s="448"/>
      <c r="B777" s="448"/>
      <c r="C777" s="448"/>
      <c r="D777" s="448"/>
      <c r="E777" s="448"/>
      <c r="F777" s="448"/>
      <c r="G777" s="448"/>
      <c r="H777" s="448"/>
      <c r="I777" s="448"/>
      <c r="J777" s="448"/>
      <c r="K777" s="448"/>
      <c r="L777" s="448"/>
      <c r="M777" s="448"/>
      <c r="N777" s="448"/>
      <c r="O777" s="448"/>
      <c r="P777" s="448"/>
      <c r="Q777" s="448"/>
      <c r="R777" s="448"/>
      <c r="S777" s="448"/>
      <c r="T777" s="448"/>
      <c r="U777" s="448"/>
      <c r="V777" s="448"/>
      <c r="W777" s="448"/>
      <c r="X777" s="448"/>
      <c r="Y777" s="448"/>
    </row>
    <row r="778">
      <c r="A778" s="448"/>
      <c r="B778" s="448"/>
      <c r="C778" s="448"/>
      <c r="D778" s="448"/>
      <c r="E778" s="448"/>
      <c r="F778" s="448"/>
      <c r="G778" s="448"/>
      <c r="H778" s="448"/>
      <c r="I778" s="448"/>
      <c r="J778" s="448"/>
      <c r="K778" s="448"/>
      <c r="L778" s="448"/>
      <c r="M778" s="448"/>
      <c r="N778" s="448"/>
      <c r="O778" s="448"/>
      <c r="P778" s="448"/>
      <c r="Q778" s="448"/>
      <c r="R778" s="448"/>
      <c r="S778" s="448"/>
      <c r="T778" s="448"/>
      <c r="U778" s="448"/>
      <c r="V778" s="448"/>
      <c r="W778" s="448"/>
      <c r="X778" s="448"/>
      <c r="Y778" s="448"/>
    </row>
    <row r="779">
      <c r="A779" s="448"/>
      <c r="B779" s="448"/>
      <c r="C779" s="448"/>
      <c r="D779" s="448"/>
      <c r="E779" s="448"/>
      <c r="F779" s="448"/>
      <c r="G779" s="448"/>
      <c r="H779" s="448"/>
      <c r="I779" s="448"/>
      <c r="J779" s="448"/>
      <c r="K779" s="448"/>
      <c r="L779" s="448"/>
      <c r="M779" s="448"/>
      <c r="N779" s="448"/>
      <c r="O779" s="448"/>
      <c r="P779" s="448"/>
      <c r="Q779" s="448"/>
      <c r="R779" s="448"/>
      <c r="S779" s="448"/>
      <c r="T779" s="448"/>
      <c r="U779" s="448"/>
      <c r="V779" s="448"/>
      <c r="W779" s="448"/>
      <c r="X779" s="448"/>
      <c r="Y779" s="448"/>
    </row>
    <row r="780">
      <c r="A780" s="448"/>
      <c r="B780" s="448"/>
      <c r="C780" s="448"/>
      <c r="D780" s="448"/>
      <c r="E780" s="448"/>
      <c r="F780" s="448"/>
      <c r="G780" s="448"/>
      <c r="H780" s="448"/>
      <c r="I780" s="448"/>
      <c r="J780" s="448"/>
      <c r="K780" s="448"/>
      <c r="L780" s="448"/>
      <c r="M780" s="448"/>
      <c r="N780" s="448"/>
      <c r="O780" s="448"/>
      <c r="P780" s="448"/>
      <c r="Q780" s="448"/>
      <c r="R780" s="448"/>
      <c r="S780" s="448"/>
      <c r="T780" s="448"/>
      <c r="U780" s="448"/>
      <c r="V780" s="448"/>
      <c r="W780" s="448"/>
      <c r="X780" s="448"/>
      <c r="Y780" s="448"/>
    </row>
    <row r="781">
      <c r="A781" s="448"/>
      <c r="B781" s="448"/>
      <c r="C781" s="448"/>
      <c r="D781" s="448"/>
      <c r="E781" s="448"/>
      <c r="F781" s="448"/>
      <c r="G781" s="448"/>
      <c r="H781" s="448"/>
      <c r="I781" s="448"/>
      <c r="J781" s="448"/>
      <c r="K781" s="448"/>
      <c r="L781" s="448"/>
      <c r="M781" s="448"/>
      <c r="N781" s="448"/>
      <c r="O781" s="448"/>
      <c r="P781" s="448"/>
      <c r="Q781" s="448"/>
      <c r="R781" s="448"/>
      <c r="S781" s="448"/>
      <c r="T781" s="448"/>
      <c r="U781" s="448"/>
      <c r="V781" s="448"/>
      <c r="W781" s="448"/>
      <c r="X781" s="448"/>
      <c r="Y781" s="448"/>
    </row>
    <row r="782">
      <c r="A782" s="448"/>
      <c r="B782" s="448"/>
      <c r="C782" s="448"/>
      <c r="D782" s="448"/>
      <c r="E782" s="448"/>
      <c r="F782" s="448"/>
      <c r="G782" s="448"/>
      <c r="H782" s="448"/>
      <c r="I782" s="448"/>
      <c r="J782" s="448"/>
      <c r="K782" s="448"/>
      <c r="L782" s="448"/>
      <c r="M782" s="448"/>
      <c r="N782" s="448"/>
      <c r="O782" s="448"/>
      <c r="P782" s="448"/>
      <c r="Q782" s="448"/>
      <c r="R782" s="448"/>
      <c r="S782" s="448"/>
      <c r="T782" s="448"/>
      <c r="U782" s="448"/>
      <c r="V782" s="448"/>
      <c r="W782" s="448"/>
      <c r="X782" s="448"/>
      <c r="Y782" s="448"/>
    </row>
    <row r="783">
      <c r="A783" s="448"/>
      <c r="B783" s="448"/>
      <c r="C783" s="448"/>
      <c r="D783" s="448"/>
      <c r="E783" s="448"/>
      <c r="F783" s="448"/>
      <c r="G783" s="448"/>
      <c r="H783" s="448"/>
      <c r="I783" s="448"/>
      <c r="J783" s="448"/>
      <c r="K783" s="448"/>
      <c r="L783" s="448"/>
      <c r="M783" s="448"/>
      <c r="N783" s="448"/>
      <c r="O783" s="448"/>
      <c r="P783" s="448"/>
      <c r="Q783" s="448"/>
      <c r="R783" s="448"/>
      <c r="S783" s="448"/>
      <c r="T783" s="448"/>
      <c r="U783" s="448"/>
      <c r="V783" s="448"/>
      <c r="W783" s="448"/>
      <c r="X783" s="448"/>
      <c r="Y783" s="448"/>
    </row>
    <row r="784">
      <c r="A784" s="448"/>
      <c r="B784" s="448"/>
      <c r="C784" s="448"/>
      <c r="D784" s="448"/>
      <c r="E784" s="448"/>
      <c r="F784" s="448"/>
      <c r="G784" s="448"/>
      <c r="H784" s="448"/>
      <c r="I784" s="448"/>
      <c r="J784" s="448"/>
      <c r="K784" s="448"/>
      <c r="L784" s="448"/>
      <c r="M784" s="448"/>
      <c r="N784" s="448"/>
      <c r="O784" s="448"/>
      <c r="P784" s="448"/>
      <c r="Q784" s="448"/>
      <c r="R784" s="448"/>
      <c r="S784" s="448"/>
      <c r="T784" s="448"/>
      <c r="U784" s="448"/>
      <c r="V784" s="448"/>
      <c r="W784" s="448"/>
      <c r="X784" s="448"/>
      <c r="Y784" s="448"/>
    </row>
    <row r="785">
      <c r="A785" s="448"/>
      <c r="B785" s="448"/>
      <c r="C785" s="448"/>
      <c r="D785" s="448"/>
      <c r="E785" s="448"/>
      <c r="F785" s="448"/>
      <c r="G785" s="448"/>
      <c r="H785" s="448"/>
      <c r="I785" s="448"/>
      <c r="J785" s="448"/>
      <c r="K785" s="448"/>
      <c r="L785" s="448"/>
      <c r="M785" s="448"/>
      <c r="N785" s="448"/>
      <c r="O785" s="448"/>
      <c r="P785" s="448"/>
      <c r="Q785" s="448"/>
      <c r="R785" s="448"/>
      <c r="S785" s="448"/>
      <c r="T785" s="448"/>
      <c r="U785" s="448"/>
      <c r="V785" s="448"/>
      <c r="W785" s="448"/>
      <c r="X785" s="448"/>
      <c r="Y785" s="448"/>
    </row>
    <row r="786">
      <c r="A786" s="448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48"/>
      <c r="M786" s="448"/>
      <c r="N786" s="448"/>
      <c r="O786" s="448"/>
      <c r="P786" s="448"/>
      <c r="Q786" s="448"/>
      <c r="R786" s="448"/>
      <c r="S786" s="448"/>
      <c r="T786" s="448"/>
      <c r="U786" s="448"/>
      <c r="V786" s="448"/>
      <c r="W786" s="448"/>
      <c r="X786" s="448"/>
      <c r="Y786" s="448"/>
    </row>
    <row r="787">
      <c r="A787" s="448"/>
      <c r="B787" s="448"/>
      <c r="C787" s="448"/>
      <c r="D787" s="448"/>
      <c r="E787" s="448"/>
      <c r="F787" s="448"/>
      <c r="G787" s="448"/>
      <c r="H787" s="448"/>
      <c r="I787" s="448"/>
      <c r="J787" s="448"/>
      <c r="K787" s="448"/>
      <c r="L787" s="448"/>
      <c r="M787" s="448"/>
      <c r="N787" s="448"/>
      <c r="O787" s="448"/>
      <c r="P787" s="448"/>
      <c r="Q787" s="448"/>
      <c r="R787" s="448"/>
      <c r="S787" s="448"/>
      <c r="T787" s="448"/>
      <c r="U787" s="448"/>
      <c r="V787" s="448"/>
      <c r="W787" s="448"/>
      <c r="X787" s="448"/>
      <c r="Y787" s="448"/>
    </row>
    <row r="788">
      <c r="A788" s="448"/>
      <c r="B788" s="448"/>
      <c r="C788" s="448"/>
      <c r="D788" s="448"/>
      <c r="E788" s="448"/>
      <c r="F788" s="448"/>
      <c r="G788" s="448"/>
      <c r="H788" s="448"/>
      <c r="I788" s="448"/>
      <c r="J788" s="448"/>
      <c r="K788" s="448"/>
      <c r="L788" s="448"/>
      <c r="M788" s="448"/>
      <c r="N788" s="448"/>
      <c r="O788" s="448"/>
      <c r="P788" s="448"/>
      <c r="Q788" s="448"/>
      <c r="R788" s="448"/>
      <c r="S788" s="448"/>
      <c r="T788" s="448"/>
      <c r="U788" s="448"/>
      <c r="V788" s="448"/>
      <c r="W788" s="448"/>
      <c r="X788" s="448"/>
      <c r="Y788" s="448"/>
    </row>
    <row r="789">
      <c r="A789" s="448"/>
      <c r="B789" s="448"/>
      <c r="C789" s="448"/>
      <c r="D789" s="448"/>
      <c r="E789" s="448"/>
      <c r="F789" s="448"/>
      <c r="G789" s="448"/>
      <c r="H789" s="448"/>
      <c r="I789" s="448"/>
      <c r="J789" s="448"/>
      <c r="K789" s="448"/>
      <c r="L789" s="448"/>
      <c r="M789" s="448"/>
      <c r="N789" s="448"/>
      <c r="O789" s="448"/>
      <c r="P789" s="448"/>
      <c r="Q789" s="448"/>
      <c r="R789" s="448"/>
      <c r="S789" s="448"/>
      <c r="T789" s="448"/>
      <c r="U789" s="448"/>
      <c r="V789" s="448"/>
      <c r="W789" s="448"/>
      <c r="X789" s="448"/>
      <c r="Y789" s="448"/>
    </row>
    <row r="790">
      <c r="A790" s="448"/>
      <c r="B790" s="448"/>
      <c r="C790" s="448"/>
      <c r="D790" s="448"/>
      <c r="E790" s="448"/>
      <c r="F790" s="448"/>
      <c r="G790" s="448"/>
      <c r="H790" s="448"/>
      <c r="I790" s="448"/>
      <c r="J790" s="448"/>
      <c r="K790" s="448"/>
      <c r="L790" s="448"/>
      <c r="M790" s="448"/>
      <c r="N790" s="448"/>
      <c r="O790" s="448"/>
      <c r="P790" s="448"/>
      <c r="Q790" s="448"/>
      <c r="R790" s="448"/>
      <c r="S790" s="448"/>
      <c r="T790" s="448"/>
      <c r="U790" s="448"/>
      <c r="V790" s="448"/>
      <c r="W790" s="448"/>
      <c r="X790" s="448"/>
      <c r="Y790" s="448"/>
    </row>
    <row r="791">
      <c r="A791" s="448"/>
      <c r="B791" s="448"/>
      <c r="C791" s="448"/>
      <c r="D791" s="448"/>
      <c r="E791" s="448"/>
      <c r="F791" s="448"/>
      <c r="G791" s="448"/>
      <c r="H791" s="448"/>
      <c r="I791" s="448"/>
      <c r="J791" s="448"/>
      <c r="K791" s="448"/>
      <c r="L791" s="448"/>
      <c r="M791" s="448"/>
      <c r="N791" s="448"/>
      <c r="O791" s="448"/>
      <c r="P791" s="448"/>
      <c r="Q791" s="448"/>
      <c r="R791" s="448"/>
      <c r="S791" s="448"/>
      <c r="T791" s="448"/>
      <c r="U791" s="448"/>
      <c r="V791" s="448"/>
      <c r="W791" s="448"/>
      <c r="X791" s="448"/>
      <c r="Y791" s="448"/>
    </row>
    <row r="792">
      <c r="A792" s="448"/>
      <c r="B792" s="448"/>
      <c r="C792" s="448"/>
      <c r="D792" s="448"/>
      <c r="E792" s="448"/>
      <c r="F792" s="448"/>
      <c r="G792" s="448"/>
      <c r="H792" s="448"/>
      <c r="I792" s="448"/>
      <c r="J792" s="448"/>
      <c r="K792" s="448"/>
      <c r="L792" s="448"/>
      <c r="M792" s="448"/>
      <c r="N792" s="448"/>
      <c r="O792" s="448"/>
      <c r="P792" s="448"/>
      <c r="Q792" s="448"/>
      <c r="R792" s="448"/>
      <c r="S792" s="448"/>
      <c r="T792" s="448"/>
      <c r="U792" s="448"/>
      <c r="V792" s="448"/>
      <c r="W792" s="448"/>
      <c r="X792" s="448"/>
      <c r="Y792" s="448"/>
    </row>
    <row r="793">
      <c r="A793" s="448"/>
      <c r="B793" s="448"/>
      <c r="C793" s="448"/>
      <c r="D793" s="448"/>
      <c r="E793" s="448"/>
      <c r="F793" s="448"/>
      <c r="G793" s="448"/>
      <c r="H793" s="448"/>
      <c r="I793" s="448"/>
      <c r="J793" s="448"/>
      <c r="K793" s="448"/>
      <c r="L793" s="448"/>
      <c r="M793" s="448"/>
      <c r="N793" s="448"/>
      <c r="O793" s="448"/>
      <c r="P793" s="448"/>
      <c r="Q793" s="448"/>
      <c r="R793" s="448"/>
      <c r="S793" s="448"/>
      <c r="T793" s="448"/>
      <c r="U793" s="448"/>
      <c r="V793" s="448"/>
      <c r="W793" s="448"/>
      <c r="X793" s="448"/>
      <c r="Y793" s="448"/>
    </row>
    <row r="794">
      <c r="A794" s="448"/>
      <c r="B794" s="448"/>
      <c r="C794" s="448"/>
      <c r="D794" s="448"/>
      <c r="E794" s="448"/>
      <c r="F794" s="448"/>
      <c r="G794" s="448"/>
      <c r="H794" s="448"/>
      <c r="I794" s="448"/>
      <c r="J794" s="448"/>
      <c r="K794" s="448"/>
      <c r="L794" s="448"/>
      <c r="M794" s="448"/>
      <c r="N794" s="448"/>
      <c r="O794" s="448"/>
      <c r="P794" s="448"/>
      <c r="Q794" s="448"/>
      <c r="R794" s="448"/>
      <c r="S794" s="448"/>
      <c r="T794" s="448"/>
      <c r="U794" s="448"/>
      <c r="V794" s="448"/>
      <c r="W794" s="448"/>
      <c r="X794" s="448"/>
      <c r="Y794" s="448"/>
    </row>
    <row r="795">
      <c r="A795" s="448"/>
      <c r="B795" s="448"/>
      <c r="C795" s="448"/>
      <c r="D795" s="448"/>
      <c r="E795" s="448"/>
      <c r="F795" s="448"/>
      <c r="G795" s="448"/>
      <c r="H795" s="448"/>
      <c r="I795" s="448"/>
      <c r="J795" s="448"/>
      <c r="K795" s="448"/>
      <c r="L795" s="448"/>
      <c r="M795" s="448"/>
      <c r="N795" s="448"/>
      <c r="O795" s="448"/>
      <c r="P795" s="448"/>
      <c r="Q795" s="448"/>
      <c r="R795" s="448"/>
      <c r="S795" s="448"/>
      <c r="T795" s="448"/>
      <c r="U795" s="448"/>
      <c r="V795" s="448"/>
      <c r="W795" s="448"/>
      <c r="X795" s="448"/>
      <c r="Y795" s="448"/>
    </row>
    <row r="796">
      <c r="A796" s="448"/>
      <c r="B796" s="448"/>
      <c r="C796" s="448"/>
      <c r="D796" s="448"/>
      <c r="E796" s="448"/>
      <c r="F796" s="448"/>
      <c r="G796" s="448"/>
      <c r="H796" s="448"/>
      <c r="I796" s="448"/>
      <c r="J796" s="448"/>
      <c r="K796" s="448"/>
      <c r="L796" s="448"/>
      <c r="M796" s="448"/>
      <c r="N796" s="448"/>
      <c r="O796" s="448"/>
      <c r="P796" s="448"/>
      <c r="Q796" s="448"/>
      <c r="R796" s="448"/>
      <c r="S796" s="448"/>
      <c r="T796" s="448"/>
      <c r="U796" s="448"/>
      <c r="V796" s="448"/>
      <c r="W796" s="448"/>
      <c r="X796" s="448"/>
      <c r="Y796" s="448"/>
    </row>
    <row r="797">
      <c r="A797" s="448"/>
      <c r="B797" s="448"/>
      <c r="C797" s="448"/>
      <c r="D797" s="448"/>
      <c r="E797" s="448"/>
      <c r="F797" s="448"/>
      <c r="G797" s="448"/>
      <c r="H797" s="448"/>
      <c r="I797" s="448"/>
      <c r="J797" s="448"/>
      <c r="K797" s="448"/>
      <c r="L797" s="448"/>
      <c r="M797" s="448"/>
      <c r="N797" s="448"/>
      <c r="O797" s="448"/>
      <c r="P797" s="448"/>
      <c r="Q797" s="448"/>
      <c r="R797" s="448"/>
      <c r="S797" s="448"/>
      <c r="T797" s="448"/>
      <c r="U797" s="448"/>
      <c r="V797" s="448"/>
      <c r="W797" s="448"/>
      <c r="X797" s="448"/>
      <c r="Y797" s="448"/>
    </row>
    <row r="798">
      <c r="A798" s="448"/>
      <c r="B798" s="448"/>
      <c r="C798" s="448"/>
      <c r="D798" s="448"/>
      <c r="E798" s="448"/>
      <c r="F798" s="448"/>
      <c r="G798" s="448"/>
      <c r="H798" s="448"/>
      <c r="I798" s="448"/>
      <c r="J798" s="448"/>
      <c r="K798" s="448"/>
      <c r="L798" s="448"/>
      <c r="M798" s="448"/>
      <c r="N798" s="448"/>
      <c r="O798" s="448"/>
      <c r="P798" s="448"/>
      <c r="Q798" s="448"/>
      <c r="R798" s="448"/>
      <c r="S798" s="448"/>
      <c r="T798" s="448"/>
      <c r="U798" s="448"/>
      <c r="V798" s="448"/>
      <c r="W798" s="448"/>
      <c r="X798" s="448"/>
      <c r="Y798" s="448"/>
    </row>
    <row r="799">
      <c r="A799" s="448"/>
      <c r="B799" s="448"/>
      <c r="C799" s="448"/>
      <c r="D799" s="448"/>
      <c r="E799" s="448"/>
      <c r="F799" s="448"/>
      <c r="G799" s="448"/>
      <c r="H799" s="448"/>
      <c r="I799" s="448"/>
      <c r="J799" s="448"/>
      <c r="K799" s="448"/>
      <c r="L799" s="448"/>
      <c r="M799" s="448"/>
      <c r="N799" s="448"/>
      <c r="O799" s="448"/>
      <c r="P799" s="448"/>
      <c r="Q799" s="448"/>
      <c r="R799" s="448"/>
      <c r="S799" s="448"/>
      <c r="T799" s="448"/>
      <c r="U799" s="448"/>
      <c r="V799" s="448"/>
      <c r="W799" s="448"/>
      <c r="X799" s="448"/>
      <c r="Y799" s="448"/>
    </row>
    <row r="800">
      <c r="A800" s="448"/>
      <c r="B800" s="448"/>
      <c r="C800" s="448"/>
      <c r="D800" s="448"/>
      <c r="E800" s="448"/>
      <c r="F800" s="448"/>
      <c r="G800" s="448"/>
      <c r="H800" s="448"/>
      <c r="I800" s="448"/>
      <c r="J800" s="448"/>
      <c r="K800" s="448"/>
      <c r="L800" s="448"/>
      <c r="M800" s="448"/>
      <c r="N800" s="448"/>
      <c r="O800" s="448"/>
      <c r="P800" s="448"/>
      <c r="Q800" s="448"/>
      <c r="R800" s="448"/>
      <c r="S800" s="448"/>
      <c r="T800" s="448"/>
      <c r="U800" s="448"/>
      <c r="V800" s="448"/>
      <c r="W800" s="448"/>
      <c r="X800" s="448"/>
      <c r="Y800" s="448"/>
    </row>
    <row r="801">
      <c r="A801" s="448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48"/>
      <c r="M801" s="448"/>
      <c r="N801" s="448"/>
      <c r="O801" s="448"/>
      <c r="P801" s="448"/>
      <c r="Q801" s="448"/>
      <c r="R801" s="448"/>
      <c r="S801" s="448"/>
      <c r="T801" s="448"/>
      <c r="U801" s="448"/>
      <c r="V801" s="448"/>
      <c r="W801" s="448"/>
      <c r="X801" s="448"/>
      <c r="Y801" s="448"/>
    </row>
    <row r="802">
      <c r="A802" s="448"/>
      <c r="B802" s="448"/>
      <c r="C802" s="448"/>
      <c r="D802" s="448"/>
      <c r="E802" s="448"/>
      <c r="F802" s="448"/>
      <c r="G802" s="448"/>
      <c r="H802" s="448"/>
      <c r="I802" s="448"/>
      <c r="J802" s="448"/>
      <c r="K802" s="448"/>
      <c r="L802" s="448"/>
      <c r="M802" s="448"/>
      <c r="N802" s="448"/>
      <c r="O802" s="448"/>
      <c r="P802" s="448"/>
      <c r="Q802" s="448"/>
      <c r="R802" s="448"/>
      <c r="S802" s="448"/>
      <c r="T802" s="448"/>
      <c r="U802" s="448"/>
      <c r="V802" s="448"/>
      <c r="W802" s="448"/>
      <c r="X802" s="448"/>
      <c r="Y802" s="448"/>
    </row>
    <row r="803">
      <c r="A803" s="448"/>
      <c r="B803" s="448"/>
      <c r="C803" s="448"/>
      <c r="D803" s="448"/>
      <c r="E803" s="448"/>
      <c r="F803" s="448"/>
      <c r="G803" s="448"/>
      <c r="H803" s="448"/>
      <c r="I803" s="448"/>
      <c r="J803" s="448"/>
      <c r="K803" s="448"/>
      <c r="L803" s="448"/>
      <c r="M803" s="448"/>
      <c r="N803" s="448"/>
      <c r="O803" s="448"/>
      <c r="P803" s="448"/>
      <c r="Q803" s="448"/>
      <c r="R803" s="448"/>
      <c r="S803" s="448"/>
      <c r="T803" s="448"/>
      <c r="U803" s="448"/>
      <c r="V803" s="448"/>
      <c r="W803" s="448"/>
      <c r="X803" s="448"/>
      <c r="Y803" s="448"/>
    </row>
    <row r="804">
      <c r="A804" s="448"/>
      <c r="B804" s="448"/>
      <c r="C804" s="448"/>
      <c r="D804" s="448"/>
      <c r="E804" s="448"/>
      <c r="F804" s="448"/>
      <c r="G804" s="448"/>
      <c r="H804" s="448"/>
      <c r="I804" s="448"/>
      <c r="J804" s="448"/>
      <c r="K804" s="448"/>
      <c r="L804" s="448"/>
      <c r="M804" s="448"/>
      <c r="N804" s="448"/>
      <c r="O804" s="448"/>
      <c r="P804" s="448"/>
      <c r="Q804" s="448"/>
      <c r="R804" s="448"/>
      <c r="S804" s="448"/>
      <c r="T804" s="448"/>
      <c r="U804" s="448"/>
      <c r="V804" s="448"/>
      <c r="W804" s="448"/>
      <c r="X804" s="448"/>
      <c r="Y804" s="448"/>
    </row>
    <row r="805">
      <c r="A805" s="448"/>
      <c r="B805" s="448"/>
      <c r="C805" s="448"/>
      <c r="D805" s="448"/>
      <c r="E805" s="448"/>
      <c r="F805" s="448"/>
      <c r="G805" s="448"/>
      <c r="H805" s="448"/>
      <c r="I805" s="448"/>
      <c r="J805" s="448"/>
      <c r="K805" s="448"/>
      <c r="L805" s="448"/>
      <c r="M805" s="448"/>
      <c r="N805" s="448"/>
      <c r="O805" s="448"/>
      <c r="P805" s="448"/>
      <c r="Q805" s="448"/>
      <c r="R805" s="448"/>
      <c r="S805" s="448"/>
      <c r="T805" s="448"/>
      <c r="U805" s="448"/>
      <c r="V805" s="448"/>
      <c r="W805" s="448"/>
      <c r="X805" s="448"/>
      <c r="Y805" s="448"/>
    </row>
    <row r="806">
      <c r="A806" s="448"/>
      <c r="B806" s="448"/>
      <c r="C806" s="448"/>
      <c r="D806" s="448"/>
      <c r="E806" s="448"/>
      <c r="F806" s="448"/>
      <c r="G806" s="448"/>
      <c r="H806" s="448"/>
      <c r="I806" s="448"/>
      <c r="J806" s="448"/>
      <c r="K806" s="448"/>
      <c r="L806" s="448"/>
      <c r="M806" s="448"/>
      <c r="N806" s="448"/>
      <c r="O806" s="448"/>
      <c r="P806" s="448"/>
      <c r="Q806" s="448"/>
      <c r="R806" s="448"/>
      <c r="S806" s="448"/>
      <c r="T806" s="448"/>
      <c r="U806" s="448"/>
      <c r="V806" s="448"/>
      <c r="W806" s="448"/>
      <c r="X806" s="448"/>
      <c r="Y806" s="448"/>
    </row>
    <row r="807">
      <c r="A807" s="448"/>
      <c r="B807" s="448"/>
      <c r="C807" s="448"/>
      <c r="D807" s="448"/>
      <c r="E807" s="448"/>
      <c r="F807" s="448"/>
      <c r="G807" s="448"/>
      <c r="H807" s="448"/>
      <c r="I807" s="448"/>
      <c r="J807" s="448"/>
      <c r="K807" s="448"/>
      <c r="L807" s="448"/>
      <c r="M807" s="448"/>
      <c r="N807" s="448"/>
      <c r="O807" s="448"/>
      <c r="P807" s="448"/>
      <c r="Q807" s="448"/>
      <c r="R807" s="448"/>
      <c r="S807" s="448"/>
      <c r="T807" s="448"/>
      <c r="U807" s="448"/>
      <c r="V807" s="448"/>
      <c r="W807" s="448"/>
      <c r="X807" s="448"/>
      <c r="Y807" s="448"/>
    </row>
    <row r="808">
      <c r="A808" s="448"/>
      <c r="B808" s="448"/>
      <c r="C808" s="448"/>
      <c r="D808" s="448"/>
      <c r="E808" s="448"/>
      <c r="F808" s="448"/>
      <c r="G808" s="448"/>
      <c r="H808" s="448"/>
      <c r="I808" s="448"/>
      <c r="J808" s="448"/>
      <c r="K808" s="448"/>
      <c r="L808" s="448"/>
      <c r="M808" s="448"/>
      <c r="N808" s="448"/>
      <c r="O808" s="448"/>
      <c r="P808" s="448"/>
      <c r="Q808" s="448"/>
      <c r="R808" s="448"/>
      <c r="S808" s="448"/>
      <c r="T808" s="448"/>
      <c r="U808" s="448"/>
      <c r="V808" s="448"/>
      <c r="W808" s="448"/>
      <c r="X808" s="448"/>
      <c r="Y808" s="448"/>
    </row>
    <row r="809">
      <c r="A809" s="448"/>
      <c r="B809" s="448"/>
      <c r="C809" s="448"/>
      <c r="D809" s="448"/>
      <c r="E809" s="448"/>
      <c r="F809" s="448"/>
      <c r="G809" s="448"/>
      <c r="H809" s="448"/>
      <c r="I809" s="448"/>
      <c r="J809" s="448"/>
      <c r="K809" s="448"/>
      <c r="L809" s="448"/>
      <c r="M809" s="448"/>
      <c r="N809" s="448"/>
      <c r="O809" s="448"/>
      <c r="P809" s="448"/>
      <c r="Q809" s="448"/>
      <c r="R809" s="448"/>
      <c r="S809" s="448"/>
      <c r="T809" s="448"/>
      <c r="U809" s="448"/>
      <c r="V809" s="448"/>
      <c r="W809" s="448"/>
      <c r="X809" s="448"/>
      <c r="Y809" s="448"/>
    </row>
    <row r="810">
      <c r="A810" s="448"/>
      <c r="B810" s="448"/>
      <c r="C810" s="448"/>
      <c r="D810" s="448"/>
      <c r="E810" s="448"/>
      <c r="F810" s="448"/>
      <c r="G810" s="448"/>
      <c r="H810" s="448"/>
      <c r="I810" s="448"/>
      <c r="J810" s="448"/>
      <c r="K810" s="448"/>
      <c r="L810" s="448"/>
      <c r="M810" s="448"/>
      <c r="N810" s="448"/>
      <c r="O810" s="448"/>
      <c r="P810" s="448"/>
      <c r="Q810" s="448"/>
      <c r="R810" s="448"/>
      <c r="S810" s="448"/>
      <c r="T810" s="448"/>
      <c r="U810" s="448"/>
      <c r="V810" s="448"/>
      <c r="W810" s="448"/>
      <c r="X810" s="448"/>
      <c r="Y810" s="448"/>
    </row>
    <row r="811">
      <c r="A811" s="448"/>
      <c r="B811" s="448"/>
      <c r="C811" s="448"/>
      <c r="D811" s="448"/>
      <c r="E811" s="448"/>
      <c r="F811" s="448"/>
      <c r="G811" s="448"/>
      <c r="H811" s="448"/>
      <c r="I811" s="448"/>
      <c r="J811" s="448"/>
      <c r="K811" s="448"/>
      <c r="L811" s="448"/>
      <c r="M811" s="448"/>
      <c r="N811" s="448"/>
      <c r="O811" s="448"/>
      <c r="P811" s="448"/>
      <c r="Q811" s="448"/>
      <c r="R811" s="448"/>
      <c r="S811" s="448"/>
      <c r="T811" s="448"/>
      <c r="U811" s="448"/>
      <c r="V811" s="448"/>
      <c r="W811" s="448"/>
      <c r="X811" s="448"/>
      <c r="Y811" s="448"/>
    </row>
    <row r="812">
      <c r="A812" s="448"/>
      <c r="B812" s="448"/>
      <c r="C812" s="448"/>
      <c r="D812" s="448"/>
      <c r="E812" s="448"/>
      <c r="F812" s="448"/>
      <c r="G812" s="448"/>
      <c r="H812" s="448"/>
      <c r="I812" s="448"/>
      <c r="J812" s="448"/>
      <c r="K812" s="448"/>
      <c r="L812" s="448"/>
      <c r="M812" s="448"/>
      <c r="N812" s="448"/>
      <c r="O812" s="448"/>
      <c r="P812" s="448"/>
      <c r="Q812" s="448"/>
      <c r="R812" s="448"/>
      <c r="S812" s="448"/>
      <c r="T812" s="448"/>
      <c r="U812" s="448"/>
      <c r="V812" s="448"/>
      <c r="W812" s="448"/>
      <c r="X812" s="448"/>
      <c r="Y812" s="448"/>
    </row>
    <row r="813">
      <c r="A813" s="448"/>
      <c r="B813" s="448"/>
      <c r="C813" s="448"/>
      <c r="D813" s="448"/>
      <c r="E813" s="448"/>
      <c r="F813" s="448"/>
      <c r="G813" s="448"/>
      <c r="H813" s="448"/>
      <c r="I813" s="448"/>
      <c r="J813" s="448"/>
      <c r="K813" s="448"/>
      <c r="L813" s="448"/>
      <c r="M813" s="448"/>
      <c r="N813" s="448"/>
      <c r="O813" s="448"/>
      <c r="P813" s="448"/>
      <c r="Q813" s="448"/>
      <c r="R813" s="448"/>
      <c r="S813" s="448"/>
      <c r="T813" s="448"/>
      <c r="U813" s="448"/>
      <c r="V813" s="448"/>
      <c r="W813" s="448"/>
      <c r="X813" s="448"/>
      <c r="Y813" s="448"/>
    </row>
    <row r="814">
      <c r="A814" s="448"/>
      <c r="B814" s="448"/>
      <c r="C814" s="448"/>
      <c r="D814" s="448"/>
      <c r="E814" s="448"/>
      <c r="F814" s="448"/>
      <c r="G814" s="448"/>
      <c r="H814" s="448"/>
      <c r="I814" s="448"/>
      <c r="J814" s="448"/>
      <c r="K814" s="448"/>
      <c r="L814" s="448"/>
      <c r="M814" s="448"/>
      <c r="N814" s="448"/>
      <c r="O814" s="448"/>
      <c r="P814" s="448"/>
      <c r="Q814" s="448"/>
      <c r="R814" s="448"/>
      <c r="S814" s="448"/>
      <c r="T814" s="448"/>
      <c r="U814" s="448"/>
      <c r="V814" s="448"/>
      <c r="W814" s="448"/>
      <c r="X814" s="448"/>
      <c r="Y814" s="448"/>
    </row>
    <row r="815">
      <c r="A815" s="448"/>
      <c r="B815" s="448"/>
      <c r="C815" s="448"/>
      <c r="D815" s="448"/>
      <c r="E815" s="448"/>
      <c r="F815" s="448"/>
      <c r="G815" s="448"/>
      <c r="H815" s="448"/>
      <c r="I815" s="448"/>
      <c r="J815" s="448"/>
      <c r="K815" s="448"/>
      <c r="L815" s="448"/>
      <c r="M815" s="448"/>
      <c r="N815" s="448"/>
      <c r="O815" s="448"/>
      <c r="P815" s="448"/>
      <c r="Q815" s="448"/>
      <c r="R815" s="448"/>
      <c r="S815" s="448"/>
      <c r="T815" s="448"/>
      <c r="U815" s="448"/>
      <c r="V815" s="448"/>
      <c r="W815" s="448"/>
      <c r="X815" s="448"/>
      <c r="Y815" s="448"/>
    </row>
    <row r="816">
      <c r="A816" s="448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48"/>
      <c r="M816" s="448"/>
      <c r="N816" s="448"/>
      <c r="O816" s="448"/>
      <c r="P816" s="448"/>
      <c r="Q816" s="448"/>
      <c r="R816" s="448"/>
      <c r="S816" s="448"/>
      <c r="T816" s="448"/>
      <c r="U816" s="448"/>
      <c r="V816" s="448"/>
      <c r="W816" s="448"/>
      <c r="X816" s="448"/>
      <c r="Y816" s="448"/>
    </row>
    <row r="817">
      <c r="A817" s="448"/>
      <c r="B817" s="448"/>
      <c r="C817" s="448"/>
      <c r="D817" s="448"/>
      <c r="E817" s="448"/>
      <c r="F817" s="448"/>
      <c r="G817" s="448"/>
      <c r="H817" s="448"/>
      <c r="I817" s="448"/>
      <c r="J817" s="448"/>
      <c r="K817" s="448"/>
      <c r="L817" s="448"/>
      <c r="M817" s="448"/>
      <c r="N817" s="448"/>
      <c r="O817" s="448"/>
      <c r="P817" s="448"/>
      <c r="Q817" s="448"/>
      <c r="R817" s="448"/>
      <c r="S817" s="448"/>
      <c r="T817" s="448"/>
      <c r="U817" s="448"/>
      <c r="V817" s="448"/>
      <c r="W817" s="448"/>
      <c r="X817" s="448"/>
      <c r="Y817" s="448"/>
    </row>
    <row r="818">
      <c r="A818" s="448"/>
      <c r="B818" s="448"/>
      <c r="C818" s="448"/>
      <c r="D818" s="448"/>
      <c r="E818" s="448"/>
      <c r="F818" s="448"/>
      <c r="G818" s="448"/>
      <c r="H818" s="448"/>
      <c r="I818" s="448"/>
      <c r="J818" s="448"/>
      <c r="K818" s="448"/>
      <c r="L818" s="448"/>
      <c r="M818" s="448"/>
      <c r="N818" s="448"/>
      <c r="O818" s="448"/>
      <c r="P818" s="448"/>
      <c r="Q818" s="448"/>
      <c r="R818" s="448"/>
      <c r="S818" s="448"/>
      <c r="T818" s="448"/>
      <c r="U818" s="448"/>
      <c r="V818" s="448"/>
      <c r="W818" s="448"/>
      <c r="X818" s="448"/>
      <c r="Y818" s="448"/>
    </row>
    <row r="819">
      <c r="A819" s="448"/>
      <c r="B819" s="448"/>
      <c r="C819" s="448"/>
      <c r="D819" s="448"/>
      <c r="E819" s="448"/>
      <c r="F819" s="448"/>
      <c r="G819" s="448"/>
      <c r="H819" s="448"/>
      <c r="I819" s="448"/>
      <c r="J819" s="448"/>
      <c r="K819" s="448"/>
      <c r="L819" s="448"/>
      <c r="M819" s="448"/>
      <c r="N819" s="448"/>
      <c r="O819" s="448"/>
      <c r="P819" s="448"/>
      <c r="Q819" s="448"/>
      <c r="R819" s="448"/>
      <c r="S819" s="448"/>
      <c r="T819" s="448"/>
      <c r="U819" s="448"/>
      <c r="V819" s="448"/>
      <c r="W819" s="448"/>
      <c r="X819" s="448"/>
      <c r="Y819" s="448"/>
    </row>
    <row r="820">
      <c r="A820" s="448"/>
      <c r="B820" s="448"/>
      <c r="C820" s="448"/>
      <c r="D820" s="448"/>
      <c r="E820" s="448"/>
      <c r="F820" s="448"/>
      <c r="G820" s="448"/>
      <c r="H820" s="448"/>
      <c r="I820" s="448"/>
      <c r="J820" s="448"/>
      <c r="K820" s="448"/>
      <c r="L820" s="448"/>
      <c r="M820" s="448"/>
      <c r="N820" s="448"/>
      <c r="O820" s="448"/>
      <c r="P820" s="448"/>
      <c r="Q820" s="448"/>
      <c r="R820" s="448"/>
      <c r="S820" s="448"/>
      <c r="T820" s="448"/>
      <c r="U820" s="448"/>
      <c r="V820" s="448"/>
      <c r="W820" s="448"/>
      <c r="X820" s="448"/>
      <c r="Y820" s="448"/>
    </row>
    <row r="821">
      <c r="A821" s="448"/>
      <c r="B821" s="448"/>
      <c r="C821" s="448"/>
      <c r="D821" s="448"/>
      <c r="E821" s="448"/>
      <c r="F821" s="448"/>
      <c r="G821" s="448"/>
      <c r="H821" s="448"/>
      <c r="I821" s="448"/>
      <c r="J821" s="448"/>
      <c r="K821" s="448"/>
      <c r="L821" s="448"/>
      <c r="M821" s="448"/>
      <c r="N821" s="448"/>
      <c r="O821" s="448"/>
      <c r="P821" s="448"/>
      <c r="Q821" s="448"/>
      <c r="R821" s="448"/>
      <c r="S821" s="448"/>
      <c r="T821" s="448"/>
      <c r="U821" s="448"/>
      <c r="V821" s="448"/>
      <c r="W821" s="448"/>
      <c r="X821" s="448"/>
      <c r="Y821" s="448"/>
    </row>
    <row r="822">
      <c r="A822" s="448"/>
      <c r="B822" s="448"/>
      <c r="C822" s="448"/>
      <c r="D822" s="448"/>
      <c r="E822" s="448"/>
      <c r="F822" s="448"/>
      <c r="G822" s="448"/>
      <c r="H822" s="448"/>
      <c r="I822" s="448"/>
      <c r="J822" s="448"/>
      <c r="K822" s="448"/>
      <c r="L822" s="448"/>
      <c r="M822" s="448"/>
      <c r="N822" s="448"/>
      <c r="O822" s="448"/>
      <c r="P822" s="448"/>
      <c r="Q822" s="448"/>
      <c r="R822" s="448"/>
      <c r="S822" s="448"/>
      <c r="T822" s="448"/>
      <c r="U822" s="448"/>
      <c r="V822" s="448"/>
      <c r="W822" s="448"/>
      <c r="X822" s="448"/>
      <c r="Y822" s="448"/>
    </row>
    <row r="823">
      <c r="A823" s="448"/>
      <c r="B823" s="448"/>
      <c r="C823" s="448"/>
      <c r="D823" s="448"/>
      <c r="E823" s="448"/>
      <c r="F823" s="448"/>
      <c r="G823" s="448"/>
      <c r="H823" s="448"/>
      <c r="I823" s="448"/>
      <c r="J823" s="448"/>
      <c r="K823" s="448"/>
      <c r="L823" s="448"/>
      <c r="M823" s="448"/>
      <c r="N823" s="448"/>
      <c r="O823" s="448"/>
      <c r="P823" s="448"/>
      <c r="Q823" s="448"/>
      <c r="R823" s="448"/>
      <c r="S823" s="448"/>
      <c r="T823" s="448"/>
      <c r="U823" s="448"/>
      <c r="V823" s="448"/>
      <c r="W823" s="448"/>
      <c r="X823" s="448"/>
      <c r="Y823" s="448"/>
    </row>
    <row r="824">
      <c r="A824" s="448"/>
      <c r="B824" s="448"/>
      <c r="C824" s="448"/>
      <c r="D824" s="448"/>
      <c r="E824" s="448"/>
      <c r="F824" s="448"/>
      <c r="G824" s="448"/>
      <c r="H824" s="448"/>
      <c r="I824" s="448"/>
      <c r="J824" s="448"/>
      <c r="K824" s="448"/>
      <c r="L824" s="448"/>
      <c r="M824" s="448"/>
      <c r="N824" s="448"/>
      <c r="O824" s="448"/>
      <c r="P824" s="448"/>
      <c r="Q824" s="448"/>
      <c r="R824" s="448"/>
      <c r="S824" s="448"/>
      <c r="T824" s="448"/>
      <c r="U824" s="448"/>
      <c r="V824" s="448"/>
      <c r="W824" s="448"/>
      <c r="X824" s="448"/>
      <c r="Y824" s="448"/>
    </row>
    <row r="825">
      <c r="A825" s="448"/>
      <c r="B825" s="448"/>
      <c r="C825" s="448"/>
      <c r="D825" s="448"/>
      <c r="E825" s="448"/>
      <c r="F825" s="448"/>
      <c r="G825" s="448"/>
      <c r="H825" s="448"/>
      <c r="I825" s="448"/>
      <c r="J825" s="448"/>
      <c r="K825" s="448"/>
      <c r="L825" s="448"/>
      <c r="M825" s="448"/>
      <c r="N825" s="448"/>
      <c r="O825" s="448"/>
      <c r="P825" s="448"/>
      <c r="Q825" s="448"/>
      <c r="R825" s="448"/>
      <c r="S825" s="448"/>
      <c r="T825" s="448"/>
      <c r="U825" s="448"/>
      <c r="V825" s="448"/>
      <c r="W825" s="448"/>
      <c r="X825" s="448"/>
      <c r="Y825" s="448"/>
    </row>
    <row r="826">
      <c r="A826" s="448"/>
      <c r="B826" s="448"/>
      <c r="C826" s="448"/>
      <c r="D826" s="448"/>
      <c r="E826" s="448"/>
      <c r="F826" s="448"/>
      <c r="G826" s="448"/>
      <c r="H826" s="448"/>
      <c r="I826" s="448"/>
      <c r="J826" s="448"/>
      <c r="K826" s="448"/>
      <c r="L826" s="448"/>
      <c r="M826" s="448"/>
      <c r="N826" s="448"/>
      <c r="O826" s="448"/>
      <c r="P826" s="448"/>
      <c r="Q826" s="448"/>
      <c r="R826" s="448"/>
      <c r="S826" s="448"/>
      <c r="T826" s="448"/>
      <c r="U826" s="448"/>
      <c r="V826" s="448"/>
      <c r="W826" s="448"/>
      <c r="X826" s="448"/>
      <c r="Y826" s="448"/>
    </row>
    <row r="827">
      <c r="A827" s="448"/>
      <c r="B827" s="448"/>
      <c r="C827" s="448"/>
      <c r="D827" s="448"/>
      <c r="E827" s="448"/>
      <c r="F827" s="448"/>
      <c r="G827" s="448"/>
      <c r="H827" s="448"/>
      <c r="I827" s="448"/>
      <c r="J827" s="448"/>
      <c r="K827" s="448"/>
      <c r="L827" s="448"/>
      <c r="M827" s="448"/>
      <c r="N827" s="448"/>
      <c r="O827" s="448"/>
      <c r="P827" s="448"/>
      <c r="Q827" s="448"/>
      <c r="R827" s="448"/>
      <c r="S827" s="448"/>
      <c r="T827" s="448"/>
      <c r="U827" s="448"/>
      <c r="V827" s="448"/>
      <c r="W827" s="448"/>
      <c r="X827" s="448"/>
      <c r="Y827" s="448"/>
    </row>
    <row r="828">
      <c r="A828" s="448"/>
      <c r="B828" s="448"/>
      <c r="C828" s="448"/>
      <c r="D828" s="448"/>
      <c r="E828" s="448"/>
      <c r="F828" s="448"/>
      <c r="G828" s="448"/>
      <c r="H828" s="448"/>
      <c r="I828" s="448"/>
      <c r="J828" s="448"/>
      <c r="K828" s="448"/>
      <c r="L828" s="448"/>
      <c r="M828" s="448"/>
      <c r="N828" s="448"/>
      <c r="O828" s="448"/>
      <c r="P828" s="448"/>
      <c r="Q828" s="448"/>
      <c r="R828" s="448"/>
      <c r="S828" s="448"/>
      <c r="T828" s="448"/>
      <c r="U828" s="448"/>
      <c r="V828" s="448"/>
      <c r="W828" s="448"/>
      <c r="X828" s="448"/>
      <c r="Y828" s="448"/>
    </row>
    <row r="829">
      <c r="A829" s="448"/>
      <c r="B829" s="448"/>
      <c r="C829" s="448"/>
      <c r="D829" s="448"/>
      <c r="E829" s="448"/>
      <c r="F829" s="448"/>
      <c r="G829" s="448"/>
      <c r="H829" s="448"/>
      <c r="I829" s="448"/>
      <c r="J829" s="448"/>
      <c r="K829" s="448"/>
      <c r="L829" s="448"/>
      <c r="M829" s="448"/>
      <c r="N829" s="448"/>
      <c r="O829" s="448"/>
      <c r="P829" s="448"/>
      <c r="Q829" s="448"/>
      <c r="R829" s="448"/>
      <c r="S829" s="448"/>
      <c r="T829" s="448"/>
      <c r="U829" s="448"/>
      <c r="V829" s="448"/>
      <c r="W829" s="448"/>
      <c r="X829" s="448"/>
      <c r="Y829" s="448"/>
    </row>
    <row r="830">
      <c r="A830" s="448"/>
      <c r="B830" s="448"/>
      <c r="C830" s="448"/>
      <c r="D830" s="448"/>
      <c r="E830" s="448"/>
      <c r="F830" s="448"/>
      <c r="G830" s="448"/>
      <c r="H830" s="448"/>
      <c r="I830" s="448"/>
      <c r="J830" s="448"/>
      <c r="K830" s="448"/>
      <c r="L830" s="448"/>
      <c r="M830" s="448"/>
      <c r="N830" s="448"/>
      <c r="O830" s="448"/>
      <c r="P830" s="448"/>
      <c r="Q830" s="448"/>
      <c r="R830" s="448"/>
      <c r="S830" s="448"/>
      <c r="T830" s="448"/>
      <c r="U830" s="448"/>
      <c r="V830" s="448"/>
      <c r="W830" s="448"/>
      <c r="X830" s="448"/>
      <c r="Y830" s="448"/>
    </row>
    <row r="831">
      <c r="A831" s="448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48"/>
      <c r="M831" s="448"/>
      <c r="N831" s="448"/>
      <c r="O831" s="448"/>
      <c r="P831" s="448"/>
      <c r="Q831" s="448"/>
      <c r="R831" s="448"/>
      <c r="S831" s="448"/>
      <c r="T831" s="448"/>
      <c r="U831" s="448"/>
      <c r="V831" s="448"/>
      <c r="W831" s="448"/>
      <c r="X831" s="448"/>
      <c r="Y831" s="448"/>
    </row>
    <row r="832">
      <c r="A832" s="448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48"/>
      <c r="M832" s="448"/>
      <c r="N832" s="448"/>
      <c r="O832" s="448"/>
      <c r="P832" s="448"/>
      <c r="Q832" s="448"/>
      <c r="R832" s="448"/>
      <c r="S832" s="448"/>
      <c r="T832" s="448"/>
      <c r="U832" s="448"/>
      <c r="V832" s="448"/>
      <c r="W832" s="448"/>
      <c r="X832" s="448"/>
      <c r="Y832" s="448"/>
    </row>
    <row r="833">
      <c r="A833" s="448"/>
      <c r="B833" s="448"/>
      <c r="C833" s="448"/>
      <c r="D833" s="448"/>
      <c r="E833" s="448"/>
      <c r="F833" s="448"/>
      <c r="G833" s="448"/>
      <c r="H833" s="448"/>
      <c r="I833" s="448"/>
      <c r="J833" s="448"/>
      <c r="K833" s="448"/>
      <c r="L833" s="448"/>
      <c r="M833" s="448"/>
      <c r="N833" s="448"/>
      <c r="O833" s="448"/>
      <c r="P833" s="448"/>
      <c r="Q833" s="448"/>
      <c r="R833" s="448"/>
      <c r="S833" s="448"/>
      <c r="T833" s="448"/>
      <c r="U833" s="448"/>
      <c r="V833" s="448"/>
      <c r="W833" s="448"/>
      <c r="X833" s="448"/>
      <c r="Y833" s="448"/>
    </row>
    <row r="834">
      <c r="A834" s="448"/>
      <c r="B834" s="448"/>
      <c r="C834" s="448"/>
      <c r="D834" s="448"/>
      <c r="E834" s="448"/>
      <c r="F834" s="448"/>
      <c r="G834" s="448"/>
      <c r="H834" s="448"/>
      <c r="I834" s="448"/>
      <c r="J834" s="448"/>
      <c r="K834" s="448"/>
      <c r="L834" s="448"/>
      <c r="M834" s="448"/>
      <c r="N834" s="448"/>
      <c r="O834" s="448"/>
      <c r="P834" s="448"/>
      <c r="Q834" s="448"/>
      <c r="R834" s="448"/>
      <c r="S834" s="448"/>
      <c r="T834" s="448"/>
      <c r="U834" s="448"/>
      <c r="V834" s="448"/>
      <c r="W834" s="448"/>
      <c r="X834" s="448"/>
      <c r="Y834" s="448"/>
    </row>
    <row r="835">
      <c r="A835" s="448"/>
      <c r="B835" s="448"/>
      <c r="C835" s="448"/>
      <c r="D835" s="448"/>
      <c r="E835" s="448"/>
      <c r="F835" s="448"/>
      <c r="G835" s="448"/>
      <c r="H835" s="448"/>
      <c r="I835" s="448"/>
      <c r="J835" s="448"/>
      <c r="K835" s="448"/>
      <c r="L835" s="448"/>
      <c r="M835" s="448"/>
      <c r="N835" s="448"/>
      <c r="O835" s="448"/>
      <c r="P835" s="448"/>
      <c r="Q835" s="448"/>
      <c r="R835" s="448"/>
      <c r="S835" s="448"/>
      <c r="T835" s="448"/>
      <c r="U835" s="448"/>
      <c r="V835" s="448"/>
      <c r="W835" s="448"/>
      <c r="X835" s="448"/>
      <c r="Y835" s="448"/>
    </row>
    <row r="836">
      <c r="A836" s="448"/>
      <c r="B836" s="448"/>
      <c r="C836" s="448"/>
      <c r="D836" s="448"/>
      <c r="E836" s="448"/>
      <c r="F836" s="448"/>
      <c r="G836" s="448"/>
      <c r="H836" s="448"/>
      <c r="I836" s="448"/>
      <c r="J836" s="448"/>
      <c r="K836" s="448"/>
      <c r="L836" s="448"/>
      <c r="M836" s="448"/>
      <c r="N836" s="448"/>
      <c r="O836" s="448"/>
      <c r="P836" s="448"/>
      <c r="Q836" s="448"/>
      <c r="R836" s="448"/>
      <c r="S836" s="448"/>
      <c r="T836" s="448"/>
      <c r="U836" s="448"/>
      <c r="V836" s="448"/>
      <c r="W836" s="448"/>
      <c r="X836" s="448"/>
      <c r="Y836" s="448"/>
    </row>
    <row r="837">
      <c r="A837" s="448"/>
      <c r="B837" s="448"/>
      <c r="C837" s="448"/>
      <c r="D837" s="448"/>
      <c r="E837" s="448"/>
      <c r="F837" s="448"/>
      <c r="G837" s="448"/>
      <c r="H837" s="448"/>
      <c r="I837" s="448"/>
      <c r="J837" s="448"/>
      <c r="K837" s="448"/>
      <c r="L837" s="448"/>
      <c r="M837" s="448"/>
      <c r="N837" s="448"/>
      <c r="O837" s="448"/>
      <c r="P837" s="448"/>
      <c r="Q837" s="448"/>
      <c r="R837" s="448"/>
      <c r="S837" s="448"/>
      <c r="T837" s="448"/>
      <c r="U837" s="448"/>
      <c r="V837" s="448"/>
      <c r="W837" s="448"/>
      <c r="X837" s="448"/>
      <c r="Y837" s="448"/>
    </row>
    <row r="838">
      <c r="A838" s="448"/>
      <c r="B838" s="448"/>
      <c r="C838" s="448"/>
      <c r="D838" s="448"/>
      <c r="E838" s="448"/>
      <c r="F838" s="448"/>
      <c r="G838" s="448"/>
      <c r="H838" s="448"/>
      <c r="I838" s="448"/>
      <c r="J838" s="448"/>
      <c r="K838" s="448"/>
      <c r="L838" s="448"/>
      <c r="M838" s="448"/>
      <c r="N838" s="448"/>
      <c r="O838" s="448"/>
      <c r="P838" s="448"/>
      <c r="Q838" s="448"/>
      <c r="R838" s="448"/>
      <c r="S838" s="448"/>
      <c r="T838" s="448"/>
      <c r="U838" s="448"/>
      <c r="V838" s="448"/>
      <c r="W838" s="448"/>
      <c r="X838" s="448"/>
      <c r="Y838" s="448"/>
    </row>
    <row r="839">
      <c r="A839" s="448"/>
      <c r="B839" s="448"/>
      <c r="C839" s="448"/>
      <c r="D839" s="448"/>
      <c r="E839" s="448"/>
      <c r="F839" s="448"/>
      <c r="G839" s="448"/>
      <c r="H839" s="448"/>
      <c r="I839" s="448"/>
      <c r="J839" s="448"/>
      <c r="K839" s="448"/>
      <c r="L839" s="448"/>
      <c r="M839" s="448"/>
      <c r="N839" s="448"/>
      <c r="O839" s="448"/>
      <c r="P839" s="448"/>
      <c r="Q839" s="448"/>
      <c r="R839" s="448"/>
      <c r="S839" s="448"/>
      <c r="T839" s="448"/>
      <c r="U839" s="448"/>
      <c r="V839" s="448"/>
      <c r="W839" s="448"/>
      <c r="X839" s="448"/>
      <c r="Y839" s="448"/>
    </row>
    <row r="840">
      <c r="A840" s="448"/>
      <c r="B840" s="448"/>
      <c r="C840" s="448"/>
      <c r="D840" s="448"/>
      <c r="E840" s="448"/>
      <c r="F840" s="448"/>
      <c r="G840" s="448"/>
      <c r="H840" s="448"/>
      <c r="I840" s="448"/>
      <c r="J840" s="448"/>
      <c r="K840" s="448"/>
      <c r="L840" s="448"/>
      <c r="M840" s="448"/>
      <c r="N840" s="448"/>
      <c r="O840" s="448"/>
      <c r="P840" s="448"/>
      <c r="Q840" s="448"/>
      <c r="R840" s="448"/>
      <c r="S840" s="448"/>
      <c r="T840" s="448"/>
      <c r="U840" s="448"/>
      <c r="V840" s="448"/>
      <c r="W840" s="448"/>
      <c r="X840" s="448"/>
      <c r="Y840" s="448"/>
    </row>
    <row r="841">
      <c r="A841" s="448"/>
      <c r="B841" s="448"/>
      <c r="C841" s="448"/>
      <c r="D841" s="448"/>
      <c r="E841" s="448"/>
      <c r="F841" s="448"/>
      <c r="G841" s="448"/>
      <c r="H841" s="448"/>
      <c r="I841" s="448"/>
      <c r="J841" s="448"/>
      <c r="K841" s="448"/>
      <c r="L841" s="448"/>
      <c r="M841" s="448"/>
      <c r="N841" s="448"/>
      <c r="O841" s="448"/>
      <c r="P841" s="448"/>
      <c r="Q841" s="448"/>
      <c r="R841" s="448"/>
      <c r="S841" s="448"/>
      <c r="T841" s="448"/>
      <c r="U841" s="448"/>
      <c r="V841" s="448"/>
      <c r="W841" s="448"/>
      <c r="X841" s="448"/>
      <c r="Y841" s="448"/>
    </row>
    <row r="842">
      <c r="A842" s="448"/>
      <c r="B842" s="448"/>
      <c r="C842" s="448"/>
      <c r="D842" s="448"/>
      <c r="E842" s="448"/>
      <c r="F842" s="448"/>
      <c r="G842" s="448"/>
      <c r="H842" s="448"/>
      <c r="I842" s="448"/>
      <c r="J842" s="448"/>
      <c r="K842" s="448"/>
      <c r="L842" s="448"/>
      <c r="M842" s="448"/>
      <c r="N842" s="448"/>
      <c r="O842" s="448"/>
      <c r="P842" s="448"/>
      <c r="Q842" s="448"/>
      <c r="R842" s="448"/>
      <c r="S842" s="448"/>
      <c r="T842" s="448"/>
      <c r="U842" s="448"/>
      <c r="V842" s="448"/>
      <c r="W842" s="448"/>
      <c r="X842" s="448"/>
      <c r="Y842" s="448"/>
    </row>
    <row r="843">
      <c r="A843" s="448"/>
      <c r="B843" s="448"/>
      <c r="C843" s="448"/>
      <c r="D843" s="448"/>
      <c r="E843" s="448"/>
      <c r="F843" s="448"/>
      <c r="G843" s="448"/>
      <c r="H843" s="448"/>
      <c r="I843" s="448"/>
      <c r="J843" s="448"/>
      <c r="K843" s="448"/>
      <c r="L843" s="448"/>
      <c r="M843" s="448"/>
      <c r="N843" s="448"/>
      <c r="O843" s="448"/>
      <c r="P843" s="448"/>
      <c r="Q843" s="448"/>
      <c r="R843" s="448"/>
      <c r="S843" s="448"/>
      <c r="T843" s="448"/>
      <c r="U843" s="448"/>
      <c r="V843" s="448"/>
      <c r="W843" s="448"/>
      <c r="X843" s="448"/>
      <c r="Y843" s="448"/>
    </row>
    <row r="844">
      <c r="A844" s="448"/>
      <c r="B844" s="448"/>
      <c r="C844" s="448"/>
      <c r="D844" s="448"/>
      <c r="E844" s="448"/>
      <c r="F844" s="448"/>
      <c r="G844" s="448"/>
      <c r="H844" s="448"/>
      <c r="I844" s="448"/>
      <c r="J844" s="448"/>
      <c r="K844" s="448"/>
      <c r="L844" s="448"/>
      <c r="M844" s="448"/>
      <c r="N844" s="448"/>
      <c r="O844" s="448"/>
      <c r="P844" s="448"/>
      <c r="Q844" s="448"/>
      <c r="R844" s="448"/>
      <c r="S844" s="448"/>
      <c r="T844" s="448"/>
      <c r="U844" s="448"/>
      <c r="V844" s="448"/>
      <c r="W844" s="448"/>
      <c r="X844" s="448"/>
      <c r="Y844" s="448"/>
    </row>
    <row r="845">
      <c r="A845" s="448"/>
      <c r="B845" s="448"/>
      <c r="C845" s="448"/>
      <c r="D845" s="448"/>
      <c r="E845" s="448"/>
      <c r="F845" s="448"/>
      <c r="G845" s="448"/>
      <c r="H845" s="448"/>
      <c r="I845" s="448"/>
      <c r="J845" s="448"/>
      <c r="K845" s="448"/>
      <c r="L845" s="448"/>
      <c r="M845" s="448"/>
      <c r="N845" s="448"/>
      <c r="O845" s="448"/>
      <c r="P845" s="448"/>
      <c r="Q845" s="448"/>
      <c r="R845" s="448"/>
      <c r="S845" s="448"/>
      <c r="T845" s="448"/>
      <c r="U845" s="448"/>
      <c r="V845" s="448"/>
      <c r="W845" s="448"/>
      <c r="X845" s="448"/>
      <c r="Y845" s="448"/>
    </row>
    <row r="846">
      <c r="A846" s="448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48"/>
      <c r="M846" s="448"/>
      <c r="N846" s="448"/>
      <c r="O846" s="448"/>
      <c r="P846" s="448"/>
      <c r="Q846" s="448"/>
      <c r="R846" s="448"/>
      <c r="S846" s="448"/>
      <c r="T846" s="448"/>
      <c r="U846" s="448"/>
      <c r="V846" s="448"/>
      <c r="W846" s="448"/>
      <c r="X846" s="448"/>
      <c r="Y846" s="448"/>
    </row>
    <row r="847">
      <c r="A847" s="448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48"/>
      <c r="M847" s="448"/>
      <c r="N847" s="448"/>
      <c r="O847" s="448"/>
      <c r="P847" s="448"/>
      <c r="Q847" s="448"/>
      <c r="R847" s="448"/>
      <c r="S847" s="448"/>
      <c r="T847" s="448"/>
      <c r="U847" s="448"/>
      <c r="V847" s="448"/>
      <c r="W847" s="448"/>
      <c r="X847" s="448"/>
      <c r="Y847" s="448"/>
    </row>
    <row r="848">
      <c r="A848" s="448"/>
      <c r="B848" s="448"/>
      <c r="C848" s="448"/>
      <c r="D848" s="448"/>
      <c r="E848" s="448"/>
      <c r="F848" s="448"/>
      <c r="G848" s="448"/>
      <c r="H848" s="448"/>
      <c r="I848" s="448"/>
      <c r="J848" s="448"/>
      <c r="K848" s="448"/>
      <c r="L848" s="448"/>
      <c r="M848" s="448"/>
      <c r="N848" s="448"/>
      <c r="O848" s="448"/>
      <c r="P848" s="448"/>
      <c r="Q848" s="448"/>
      <c r="R848" s="448"/>
      <c r="S848" s="448"/>
      <c r="T848" s="448"/>
      <c r="U848" s="448"/>
      <c r="V848" s="448"/>
      <c r="W848" s="448"/>
      <c r="X848" s="448"/>
      <c r="Y848" s="448"/>
    </row>
    <row r="849">
      <c r="A849" s="448"/>
      <c r="B849" s="448"/>
      <c r="C849" s="448"/>
      <c r="D849" s="448"/>
      <c r="E849" s="448"/>
      <c r="F849" s="448"/>
      <c r="G849" s="448"/>
      <c r="H849" s="448"/>
      <c r="I849" s="448"/>
      <c r="J849" s="448"/>
      <c r="K849" s="448"/>
      <c r="L849" s="448"/>
      <c r="M849" s="448"/>
      <c r="N849" s="448"/>
      <c r="O849" s="448"/>
      <c r="P849" s="448"/>
      <c r="Q849" s="448"/>
      <c r="R849" s="448"/>
      <c r="S849" s="448"/>
      <c r="T849" s="448"/>
      <c r="U849" s="448"/>
      <c r="V849" s="448"/>
      <c r="W849" s="448"/>
      <c r="X849" s="448"/>
      <c r="Y849" s="448"/>
    </row>
    <row r="850">
      <c r="A850" s="448"/>
      <c r="B850" s="448"/>
      <c r="C850" s="448"/>
      <c r="D850" s="448"/>
      <c r="E850" s="448"/>
      <c r="F850" s="448"/>
      <c r="G850" s="448"/>
      <c r="H850" s="448"/>
      <c r="I850" s="448"/>
      <c r="J850" s="448"/>
      <c r="K850" s="448"/>
      <c r="L850" s="448"/>
      <c r="M850" s="448"/>
      <c r="N850" s="448"/>
      <c r="O850" s="448"/>
      <c r="P850" s="448"/>
      <c r="Q850" s="448"/>
      <c r="R850" s="448"/>
      <c r="S850" s="448"/>
      <c r="T850" s="448"/>
      <c r="U850" s="448"/>
      <c r="V850" s="448"/>
      <c r="W850" s="448"/>
      <c r="X850" s="448"/>
      <c r="Y850" s="448"/>
    </row>
    <row r="851">
      <c r="A851" s="448"/>
      <c r="B851" s="448"/>
      <c r="C851" s="448"/>
      <c r="D851" s="448"/>
      <c r="E851" s="448"/>
      <c r="F851" s="448"/>
      <c r="G851" s="448"/>
      <c r="H851" s="448"/>
      <c r="I851" s="448"/>
      <c r="J851" s="448"/>
      <c r="K851" s="448"/>
      <c r="L851" s="448"/>
      <c r="M851" s="448"/>
      <c r="N851" s="448"/>
      <c r="O851" s="448"/>
      <c r="P851" s="448"/>
      <c r="Q851" s="448"/>
      <c r="R851" s="448"/>
      <c r="S851" s="448"/>
      <c r="T851" s="448"/>
      <c r="U851" s="448"/>
      <c r="V851" s="448"/>
      <c r="W851" s="448"/>
      <c r="X851" s="448"/>
      <c r="Y851" s="448"/>
    </row>
    <row r="852">
      <c r="A852" s="448"/>
      <c r="B852" s="448"/>
      <c r="C852" s="448"/>
      <c r="D852" s="448"/>
      <c r="E852" s="448"/>
      <c r="F852" s="448"/>
      <c r="G852" s="448"/>
      <c r="H852" s="448"/>
      <c r="I852" s="448"/>
      <c r="J852" s="448"/>
      <c r="K852" s="448"/>
      <c r="L852" s="448"/>
      <c r="M852" s="448"/>
      <c r="N852" s="448"/>
      <c r="O852" s="448"/>
      <c r="P852" s="448"/>
      <c r="Q852" s="448"/>
      <c r="R852" s="448"/>
      <c r="S852" s="448"/>
      <c r="T852" s="448"/>
      <c r="U852" s="448"/>
      <c r="V852" s="448"/>
      <c r="W852" s="448"/>
      <c r="X852" s="448"/>
      <c r="Y852" s="448"/>
    </row>
    <row r="853">
      <c r="A853" s="448"/>
      <c r="B853" s="448"/>
      <c r="C853" s="448"/>
      <c r="D853" s="448"/>
      <c r="E853" s="448"/>
      <c r="F853" s="448"/>
      <c r="G853" s="448"/>
      <c r="H853" s="448"/>
      <c r="I853" s="448"/>
      <c r="J853" s="448"/>
      <c r="K853" s="448"/>
      <c r="L853" s="448"/>
      <c r="M853" s="448"/>
      <c r="N853" s="448"/>
      <c r="O853" s="448"/>
      <c r="P853" s="448"/>
      <c r="Q853" s="448"/>
      <c r="R853" s="448"/>
      <c r="S853" s="448"/>
      <c r="T853" s="448"/>
      <c r="U853" s="448"/>
      <c r="V853" s="448"/>
      <c r="W853" s="448"/>
      <c r="X853" s="448"/>
      <c r="Y853" s="448"/>
    </row>
    <row r="854">
      <c r="A854" s="448"/>
      <c r="B854" s="448"/>
      <c r="C854" s="448"/>
      <c r="D854" s="448"/>
      <c r="E854" s="448"/>
      <c r="F854" s="448"/>
      <c r="G854" s="448"/>
      <c r="H854" s="448"/>
      <c r="I854" s="448"/>
      <c r="J854" s="448"/>
      <c r="K854" s="448"/>
      <c r="L854" s="448"/>
      <c r="M854" s="448"/>
      <c r="N854" s="448"/>
      <c r="O854" s="448"/>
      <c r="P854" s="448"/>
      <c r="Q854" s="448"/>
      <c r="R854" s="448"/>
      <c r="S854" s="448"/>
      <c r="T854" s="448"/>
      <c r="U854" s="448"/>
      <c r="V854" s="448"/>
      <c r="W854" s="448"/>
      <c r="X854" s="448"/>
      <c r="Y854" s="448"/>
    </row>
    <row r="855">
      <c r="A855" s="448"/>
      <c r="B855" s="448"/>
      <c r="C855" s="448"/>
      <c r="D855" s="448"/>
      <c r="E855" s="448"/>
      <c r="F855" s="448"/>
      <c r="G855" s="448"/>
      <c r="H855" s="448"/>
      <c r="I855" s="448"/>
      <c r="J855" s="448"/>
      <c r="K855" s="448"/>
      <c r="L855" s="448"/>
      <c r="M855" s="448"/>
      <c r="N855" s="448"/>
      <c r="O855" s="448"/>
      <c r="P855" s="448"/>
      <c r="Q855" s="448"/>
      <c r="R855" s="448"/>
      <c r="S855" s="448"/>
      <c r="T855" s="448"/>
      <c r="U855" s="448"/>
      <c r="V855" s="448"/>
      <c r="W855" s="448"/>
      <c r="X855" s="448"/>
      <c r="Y855" s="448"/>
    </row>
    <row r="856">
      <c r="A856" s="448"/>
      <c r="B856" s="448"/>
      <c r="C856" s="448"/>
      <c r="D856" s="448"/>
      <c r="E856" s="448"/>
      <c r="F856" s="448"/>
      <c r="G856" s="448"/>
      <c r="H856" s="448"/>
      <c r="I856" s="448"/>
      <c r="J856" s="448"/>
      <c r="K856" s="448"/>
      <c r="L856" s="448"/>
      <c r="M856" s="448"/>
      <c r="N856" s="448"/>
      <c r="O856" s="448"/>
      <c r="P856" s="448"/>
      <c r="Q856" s="448"/>
      <c r="R856" s="448"/>
      <c r="S856" s="448"/>
      <c r="T856" s="448"/>
      <c r="U856" s="448"/>
      <c r="V856" s="448"/>
      <c r="W856" s="448"/>
      <c r="X856" s="448"/>
      <c r="Y856" s="448"/>
    </row>
    <row r="857">
      <c r="A857" s="448"/>
      <c r="B857" s="448"/>
      <c r="C857" s="448"/>
      <c r="D857" s="448"/>
      <c r="E857" s="448"/>
      <c r="F857" s="448"/>
      <c r="G857" s="448"/>
      <c r="H857" s="448"/>
      <c r="I857" s="448"/>
      <c r="J857" s="448"/>
      <c r="K857" s="448"/>
      <c r="L857" s="448"/>
      <c r="M857" s="448"/>
      <c r="N857" s="448"/>
      <c r="O857" s="448"/>
      <c r="P857" s="448"/>
      <c r="Q857" s="448"/>
      <c r="R857" s="448"/>
      <c r="S857" s="448"/>
      <c r="T857" s="448"/>
      <c r="U857" s="448"/>
      <c r="V857" s="448"/>
      <c r="W857" s="448"/>
      <c r="X857" s="448"/>
      <c r="Y857" s="448"/>
    </row>
    <row r="858">
      <c r="A858" s="448"/>
      <c r="B858" s="448"/>
      <c r="C858" s="448"/>
      <c r="D858" s="448"/>
      <c r="E858" s="448"/>
      <c r="F858" s="448"/>
      <c r="G858" s="448"/>
      <c r="H858" s="448"/>
      <c r="I858" s="448"/>
      <c r="J858" s="448"/>
      <c r="K858" s="448"/>
      <c r="L858" s="448"/>
      <c r="M858" s="448"/>
      <c r="N858" s="448"/>
      <c r="O858" s="448"/>
      <c r="P858" s="448"/>
      <c r="Q858" s="448"/>
      <c r="R858" s="448"/>
      <c r="S858" s="448"/>
      <c r="T858" s="448"/>
      <c r="U858" s="448"/>
      <c r="V858" s="448"/>
      <c r="W858" s="448"/>
      <c r="X858" s="448"/>
      <c r="Y858" s="448"/>
    </row>
    <row r="859">
      <c r="A859" s="448"/>
      <c r="B859" s="448"/>
      <c r="C859" s="448"/>
      <c r="D859" s="448"/>
      <c r="E859" s="448"/>
      <c r="F859" s="448"/>
      <c r="G859" s="448"/>
      <c r="H859" s="448"/>
      <c r="I859" s="448"/>
      <c r="J859" s="448"/>
      <c r="K859" s="448"/>
      <c r="L859" s="448"/>
      <c r="M859" s="448"/>
      <c r="N859" s="448"/>
      <c r="O859" s="448"/>
      <c r="P859" s="448"/>
      <c r="Q859" s="448"/>
      <c r="R859" s="448"/>
      <c r="S859" s="448"/>
      <c r="T859" s="448"/>
      <c r="U859" s="448"/>
      <c r="V859" s="448"/>
      <c r="W859" s="448"/>
      <c r="X859" s="448"/>
      <c r="Y859" s="448"/>
    </row>
    <row r="860">
      <c r="A860" s="448"/>
      <c r="B860" s="448"/>
      <c r="C860" s="448"/>
      <c r="D860" s="448"/>
      <c r="E860" s="448"/>
      <c r="F860" s="448"/>
      <c r="G860" s="448"/>
      <c r="H860" s="448"/>
      <c r="I860" s="448"/>
      <c r="J860" s="448"/>
      <c r="K860" s="448"/>
      <c r="L860" s="448"/>
      <c r="M860" s="448"/>
      <c r="N860" s="448"/>
      <c r="O860" s="448"/>
      <c r="P860" s="448"/>
      <c r="Q860" s="448"/>
      <c r="R860" s="448"/>
      <c r="S860" s="448"/>
      <c r="T860" s="448"/>
      <c r="U860" s="448"/>
      <c r="V860" s="448"/>
      <c r="W860" s="448"/>
      <c r="X860" s="448"/>
      <c r="Y860" s="448"/>
    </row>
    <row r="861">
      <c r="A861" s="448"/>
      <c r="B861" s="448"/>
      <c r="C861" s="448"/>
      <c r="D861" s="448"/>
      <c r="E861" s="448"/>
      <c r="F861" s="448"/>
      <c r="G861" s="448"/>
      <c r="H861" s="448"/>
      <c r="I861" s="448"/>
      <c r="J861" s="448"/>
      <c r="K861" s="448"/>
      <c r="L861" s="448"/>
      <c r="M861" s="448"/>
      <c r="N861" s="448"/>
      <c r="O861" s="448"/>
      <c r="P861" s="448"/>
      <c r="Q861" s="448"/>
      <c r="R861" s="448"/>
      <c r="S861" s="448"/>
      <c r="T861" s="448"/>
      <c r="U861" s="448"/>
      <c r="V861" s="448"/>
      <c r="W861" s="448"/>
      <c r="X861" s="448"/>
      <c r="Y861" s="448"/>
    </row>
    <row r="862">
      <c r="A862" s="448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48"/>
      <c r="M862" s="448"/>
      <c r="N862" s="448"/>
      <c r="O862" s="448"/>
      <c r="P862" s="448"/>
      <c r="Q862" s="448"/>
      <c r="R862" s="448"/>
      <c r="S862" s="448"/>
      <c r="T862" s="448"/>
      <c r="U862" s="448"/>
      <c r="V862" s="448"/>
      <c r="W862" s="448"/>
      <c r="X862" s="448"/>
      <c r="Y862" s="448"/>
    </row>
    <row r="863">
      <c r="A863" s="448"/>
      <c r="B863" s="448"/>
      <c r="C863" s="448"/>
      <c r="D863" s="448"/>
      <c r="E863" s="448"/>
      <c r="F863" s="448"/>
      <c r="G863" s="448"/>
      <c r="H863" s="448"/>
      <c r="I863" s="448"/>
      <c r="J863" s="448"/>
      <c r="K863" s="448"/>
      <c r="L863" s="448"/>
      <c r="M863" s="448"/>
      <c r="N863" s="448"/>
      <c r="O863" s="448"/>
      <c r="P863" s="448"/>
      <c r="Q863" s="448"/>
      <c r="R863" s="448"/>
      <c r="S863" s="448"/>
      <c r="T863" s="448"/>
      <c r="U863" s="448"/>
      <c r="V863" s="448"/>
      <c r="W863" s="448"/>
      <c r="X863" s="448"/>
      <c r="Y863" s="448"/>
    </row>
    <row r="864">
      <c r="A864" s="448"/>
      <c r="B864" s="448"/>
      <c r="C864" s="448"/>
      <c r="D864" s="448"/>
      <c r="E864" s="448"/>
      <c r="F864" s="448"/>
      <c r="G864" s="448"/>
      <c r="H864" s="448"/>
      <c r="I864" s="448"/>
      <c r="J864" s="448"/>
      <c r="K864" s="448"/>
      <c r="L864" s="448"/>
      <c r="M864" s="448"/>
      <c r="N864" s="448"/>
      <c r="O864" s="448"/>
      <c r="P864" s="448"/>
      <c r="Q864" s="448"/>
      <c r="R864" s="448"/>
      <c r="S864" s="448"/>
      <c r="T864" s="448"/>
      <c r="U864" s="448"/>
      <c r="V864" s="448"/>
      <c r="W864" s="448"/>
      <c r="X864" s="448"/>
      <c r="Y864" s="448"/>
    </row>
    <row r="865">
      <c r="A865" s="448"/>
      <c r="B865" s="448"/>
      <c r="C865" s="448"/>
      <c r="D865" s="448"/>
      <c r="E865" s="448"/>
      <c r="F865" s="448"/>
      <c r="G865" s="448"/>
      <c r="H865" s="448"/>
      <c r="I865" s="448"/>
      <c r="J865" s="448"/>
      <c r="K865" s="448"/>
      <c r="L865" s="448"/>
      <c r="M865" s="448"/>
      <c r="N865" s="448"/>
      <c r="O865" s="448"/>
      <c r="P865" s="448"/>
      <c r="Q865" s="448"/>
      <c r="R865" s="448"/>
      <c r="S865" s="448"/>
      <c r="T865" s="448"/>
      <c r="U865" s="448"/>
      <c r="V865" s="448"/>
      <c r="W865" s="448"/>
      <c r="X865" s="448"/>
      <c r="Y865" s="448"/>
    </row>
    <row r="866">
      <c r="A866" s="448"/>
      <c r="B866" s="448"/>
      <c r="C866" s="448"/>
      <c r="D866" s="448"/>
      <c r="E866" s="448"/>
      <c r="F866" s="448"/>
      <c r="G866" s="448"/>
      <c r="H866" s="448"/>
      <c r="I866" s="448"/>
      <c r="J866" s="448"/>
      <c r="K866" s="448"/>
      <c r="L866" s="448"/>
      <c r="M866" s="448"/>
      <c r="N866" s="448"/>
      <c r="O866" s="448"/>
      <c r="P866" s="448"/>
      <c r="Q866" s="448"/>
      <c r="R866" s="448"/>
      <c r="S866" s="448"/>
      <c r="T866" s="448"/>
      <c r="U866" s="448"/>
      <c r="V866" s="448"/>
      <c r="W866" s="448"/>
      <c r="X866" s="448"/>
      <c r="Y866" s="448"/>
    </row>
    <row r="867">
      <c r="A867" s="448"/>
      <c r="B867" s="448"/>
      <c r="C867" s="448"/>
      <c r="D867" s="448"/>
      <c r="E867" s="448"/>
      <c r="F867" s="448"/>
      <c r="G867" s="448"/>
      <c r="H867" s="448"/>
      <c r="I867" s="448"/>
      <c r="J867" s="448"/>
      <c r="K867" s="448"/>
      <c r="L867" s="448"/>
      <c r="M867" s="448"/>
      <c r="N867" s="448"/>
      <c r="O867" s="448"/>
      <c r="P867" s="448"/>
      <c r="Q867" s="448"/>
      <c r="R867" s="448"/>
      <c r="S867" s="448"/>
      <c r="T867" s="448"/>
      <c r="U867" s="448"/>
      <c r="V867" s="448"/>
      <c r="W867" s="448"/>
      <c r="X867" s="448"/>
      <c r="Y867" s="448"/>
    </row>
    <row r="868">
      <c r="A868" s="448"/>
      <c r="B868" s="448"/>
      <c r="C868" s="448"/>
      <c r="D868" s="448"/>
      <c r="E868" s="448"/>
      <c r="F868" s="448"/>
      <c r="G868" s="448"/>
      <c r="H868" s="448"/>
      <c r="I868" s="448"/>
      <c r="J868" s="448"/>
      <c r="K868" s="448"/>
      <c r="L868" s="448"/>
      <c r="M868" s="448"/>
      <c r="N868" s="448"/>
      <c r="O868" s="448"/>
      <c r="P868" s="448"/>
      <c r="Q868" s="448"/>
      <c r="R868" s="448"/>
      <c r="S868" s="448"/>
      <c r="T868" s="448"/>
      <c r="U868" s="448"/>
      <c r="V868" s="448"/>
      <c r="W868" s="448"/>
      <c r="X868" s="448"/>
      <c r="Y868" s="448"/>
    </row>
    <row r="869">
      <c r="A869" s="448"/>
      <c r="B869" s="448"/>
      <c r="C869" s="448"/>
      <c r="D869" s="448"/>
      <c r="E869" s="448"/>
      <c r="F869" s="448"/>
      <c r="G869" s="448"/>
      <c r="H869" s="448"/>
      <c r="I869" s="448"/>
      <c r="J869" s="448"/>
      <c r="K869" s="448"/>
      <c r="L869" s="448"/>
      <c r="M869" s="448"/>
      <c r="N869" s="448"/>
      <c r="O869" s="448"/>
      <c r="P869" s="448"/>
      <c r="Q869" s="448"/>
      <c r="R869" s="448"/>
      <c r="S869" s="448"/>
      <c r="T869" s="448"/>
      <c r="U869" s="448"/>
      <c r="V869" s="448"/>
      <c r="W869" s="448"/>
      <c r="X869" s="448"/>
      <c r="Y869" s="448"/>
    </row>
    <row r="870">
      <c r="A870" s="448"/>
      <c r="B870" s="448"/>
      <c r="C870" s="448"/>
      <c r="D870" s="448"/>
      <c r="E870" s="448"/>
      <c r="F870" s="448"/>
      <c r="G870" s="448"/>
      <c r="H870" s="448"/>
      <c r="I870" s="448"/>
      <c r="J870" s="448"/>
      <c r="K870" s="448"/>
      <c r="L870" s="448"/>
      <c r="M870" s="448"/>
      <c r="N870" s="448"/>
      <c r="O870" s="448"/>
      <c r="P870" s="448"/>
      <c r="Q870" s="448"/>
      <c r="R870" s="448"/>
      <c r="S870" s="448"/>
      <c r="T870" s="448"/>
      <c r="U870" s="448"/>
      <c r="V870" s="448"/>
      <c r="W870" s="448"/>
      <c r="X870" s="448"/>
      <c r="Y870" s="448"/>
    </row>
    <row r="871">
      <c r="A871" s="448"/>
      <c r="B871" s="448"/>
      <c r="C871" s="448"/>
      <c r="D871" s="448"/>
      <c r="E871" s="448"/>
      <c r="F871" s="448"/>
      <c r="G871" s="448"/>
      <c r="H871" s="448"/>
      <c r="I871" s="448"/>
      <c r="J871" s="448"/>
      <c r="K871" s="448"/>
      <c r="L871" s="448"/>
      <c r="M871" s="448"/>
      <c r="N871" s="448"/>
      <c r="O871" s="448"/>
      <c r="P871" s="448"/>
      <c r="Q871" s="448"/>
      <c r="R871" s="448"/>
      <c r="S871" s="448"/>
      <c r="T871" s="448"/>
      <c r="U871" s="448"/>
      <c r="V871" s="448"/>
      <c r="W871" s="448"/>
      <c r="X871" s="448"/>
      <c r="Y871" s="448"/>
    </row>
    <row r="872">
      <c r="A872" s="448"/>
      <c r="B872" s="448"/>
      <c r="C872" s="448"/>
      <c r="D872" s="448"/>
      <c r="E872" s="448"/>
      <c r="F872" s="448"/>
      <c r="G872" s="448"/>
      <c r="H872" s="448"/>
      <c r="I872" s="448"/>
      <c r="J872" s="448"/>
      <c r="K872" s="448"/>
      <c r="L872" s="448"/>
      <c r="M872" s="448"/>
      <c r="N872" s="448"/>
      <c r="O872" s="448"/>
      <c r="P872" s="448"/>
      <c r="Q872" s="448"/>
      <c r="R872" s="448"/>
      <c r="S872" s="448"/>
      <c r="T872" s="448"/>
      <c r="U872" s="448"/>
      <c r="V872" s="448"/>
      <c r="W872" s="448"/>
      <c r="X872" s="448"/>
      <c r="Y872" s="448"/>
    </row>
    <row r="873">
      <c r="A873" s="448"/>
      <c r="B873" s="448"/>
      <c r="C873" s="448"/>
      <c r="D873" s="448"/>
      <c r="E873" s="448"/>
      <c r="F873" s="448"/>
      <c r="G873" s="448"/>
      <c r="H873" s="448"/>
      <c r="I873" s="448"/>
      <c r="J873" s="448"/>
      <c r="K873" s="448"/>
      <c r="L873" s="448"/>
      <c r="M873" s="448"/>
      <c r="N873" s="448"/>
      <c r="O873" s="448"/>
      <c r="P873" s="448"/>
      <c r="Q873" s="448"/>
      <c r="R873" s="448"/>
      <c r="S873" s="448"/>
      <c r="T873" s="448"/>
      <c r="U873" s="448"/>
      <c r="V873" s="448"/>
      <c r="W873" s="448"/>
      <c r="X873" s="448"/>
      <c r="Y873" s="448"/>
    </row>
    <row r="874">
      <c r="A874" s="448"/>
      <c r="B874" s="448"/>
      <c r="C874" s="448"/>
      <c r="D874" s="448"/>
      <c r="E874" s="448"/>
      <c r="F874" s="448"/>
      <c r="G874" s="448"/>
      <c r="H874" s="448"/>
      <c r="I874" s="448"/>
      <c r="J874" s="448"/>
      <c r="K874" s="448"/>
      <c r="L874" s="448"/>
      <c r="M874" s="448"/>
      <c r="N874" s="448"/>
      <c r="O874" s="448"/>
      <c r="P874" s="448"/>
      <c r="Q874" s="448"/>
      <c r="R874" s="448"/>
      <c r="S874" s="448"/>
      <c r="T874" s="448"/>
      <c r="U874" s="448"/>
      <c r="V874" s="448"/>
      <c r="W874" s="448"/>
      <c r="X874" s="448"/>
      <c r="Y874" s="448"/>
    </row>
    <row r="875">
      <c r="A875" s="448"/>
      <c r="B875" s="448"/>
      <c r="C875" s="448"/>
      <c r="D875" s="448"/>
      <c r="E875" s="448"/>
      <c r="F875" s="448"/>
      <c r="G875" s="448"/>
      <c r="H875" s="448"/>
      <c r="I875" s="448"/>
      <c r="J875" s="448"/>
      <c r="K875" s="448"/>
      <c r="L875" s="448"/>
      <c r="M875" s="448"/>
      <c r="N875" s="448"/>
      <c r="O875" s="448"/>
      <c r="P875" s="448"/>
      <c r="Q875" s="448"/>
      <c r="R875" s="448"/>
      <c r="S875" s="448"/>
      <c r="T875" s="448"/>
      <c r="U875" s="448"/>
      <c r="V875" s="448"/>
      <c r="W875" s="448"/>
      <c r="X875" s="448"/>
      <c r="Y875" s="448"/>
    </row>
    <row r="876">
      <c r="A876" s="448"/>
      <c r="B876" s="448"/>
      <c r="C876" s="448"/>
      <c r="D876" s="448"/>
      <c r="E876" s="448"/>
      <c r="F876" s="448"/>
      <c r="G876" s="448"/>
      <c r="H876" s="448"/>
      <c r="I876" s="448"/>
      <c r="J876" s="448"/>
      <c r="K876" s="448"/>
      <c r="L876" s="448"/>
      <c r="M876" s="448"/>
      <c r="N876" s="448"/>
      <c r="O876" s="448"/>
      <c r="P876" s="448"/>
      <c r="Q876" s="448"/>
      <c r="R876" s="448"/>
      <c r="S876" s="448"/>
      <c r="T876" s="448"/>
      <c r="U876" s="448"/>
      <c r="V876" s="448"/>
      <c r="W876" s="448"/>
      <c r="X876" s="448"/>
      <c r="Y876" s="448"/>
    </row>
    <row r="877">
      <c r="A877" s="448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48"/>
      <c r="M877" s="448"/>
      <c r="N877" s="448"/>
      <c r="O877" s="448"/>
      <c r="P877" s="448"/>
      <c r="Q877" s="448"/>
      <c r="R877" s="448"/>
      <c r="S877" s="448"/>
      <c r="T877" s="448"/>
      <c r="U877" s="448"/>
      <c r="V877" s="448"/>
      <c r="W877" s="448"/>
      <c r="X877" s="448"/>
      <c r="Y877" s="448"/>
    </row>
    <row r="878">
      <c r="A878" s="448"/>
      <c r="B878" s="448"/>
      <c r="C878" s="448"/>
      <c r="D878" s="448"/>
      <c r="E878" s="448"/>
      <c r="F878" s="448"/>
      <c r="G878" s="448"/>
      <c r="H878" s="448"/>
      <c r="I878" s="448"/>
      <c r="J878" s="448"/>
      <c r="K878" s="448"/>
      <c r="L878" s="448"/>
      <c r="M878" s="448"/>
      <c r="N878" s="448"/>
      <c r="O878" s="448"/>
      <c r="P878" s="448"/>
      <c r="Q878" s="448"/>
      <c r="R878" s="448"/>
      <c r="S878" s="448"/>
      <c r="T878" s="448"/>
      <c r="U878" s="448"/>
      <c r="V878" s="448"/>
      <c r="W878" s="448"/>
      <c r="X878" s="448"/>
      <c r="Y878" s="448"/>
    </row>
    <row r="879">
      <c r="A879" s="448"/>
      <c r="B879" s="448"/>
      <c r="C879" s="448"/>
      <c r="D879" s="448"/>
      <c r="E879" s="448"/>
      <c r="F879" s="448"/>
      <c r="G879" s="448"/>
      <c r="H879" s="448"/>
      <c r="I879" s="448"/>
      <c r="J879" s="448"/>
      <c r="K879" s="448"/>
      <c r="L879" s="448"/>
      <c r="M879" s="448"/>
      <c r="N879" s="448"/>
      <c r="O879" s="448"/>
      <c r="P879" s="448"/>
      <c r="Q879" s="448"/>
      <c r="R879" s="448"/>
      <c r="S879" s="448"/>
      <c r="T879" s="448"/>
      <c r="U879" s="448"/>
      <c r="V879" s="448"/>
      <c r="W879" s="448"/>
      <c r="X879" s="448"/>
      <c r="Y879" s="448"/>
    </row>
    <row r="880">
      <c r="A880" s="448"/>
      <c r="B880" s="448"/>
      <c r="C880" s="448"/>
      <c r="D880" s="448"/>
      <c r="E880" s="448"/>
      <c r="F880" s="448"/>
      <c r="G880" s="448"/>
      <c r="H880" s="448"/>
      <c r="I880" s="448"/>
      <c r="J880" s="448"/>
      <c r="K880" s="448"/>
      <c r="L880" s="448"/>
      <c r="M880" s="448"/>
      <c r="N880" s="448"/>
      <c r="O880" s="448"/>
      <c r="P880" s="448"/>
      <c r="Q880" s="448"/>
      <c r="R880" s="448"/>
      <c r="S880" s="448"/>
      <c r="T880" s="448"/>
      <c r="U880" s="448"/>
      <c r="V880" s="448"/>
      <c r="W880" s="448"/>
      <c r="X880" s="448"/>
      <c r="Y880" s="448"/>
    </row>
    <row r="881">
      <c r="A881" s="448"/>
      <c r="B881" s="448"/>
      <c r="C881" s="448"/>
      <c r="D881" s="448"/>
      <c r="E881" s="448"/>
      <c r="F881" s="448"/>
      <c r="G881" s="448"/>
      <c r="H881" s="448"/>
      <c r="I881" s="448"/>
      <c r="J881" s="448"/>
      <c r="K881" s="448"/>
      <c r="L881" s="448"/>
      <c r="M881" s="448"/>
      <c r="N881" s="448"/>
      <c r="O881" s="448"/>
      <c r="P881" s="448"/>
      <c r="Q881" s="448"/>
      <c r="R881" s="448"/>
      <c r="S881" s="448"/>
      <c r="T881" s="448"/>
      <c r="U881" s="448"/>
      <c r="V881" s="448"/>
      <c r="W881" s="448"/>
      <c r="X881" s="448"/>
      <c r="Y881" s="448"/>
    </row>
    <row r="882">
      <c r="A882" s="448"/>
      <c r="B882" s="448"/>
      <c r="C882" s="448"/>
      <c r="D882" s="448"/>
      <c r="E882" s="448"/>
      <c r="F882" s="448"/>
      <c r="G882" s="448"/>
      <c r="H882" s="448"/>
      <c r="I882" s="448"/>
      <c r="J882" s="448"/>
      <c r="K882" s="448"/>
      <c r="L882" s="448"/>
      <c r="M882" s="448"/>
      <c r="N882" s="448"/>
      <c r="O882" s="448"/>
      <c r="P882" s="448"/>
      <c r="Q882" s="448"/>
      <c r="R882" s="448"/>
      <c r="S882" s="448"/>
      <c r="T882" s="448"/>
      <c r="U882" s="448"/>
      <c r="V882" s="448"/>
      <c r="W882" s="448"/>
      <c r="X882" s="448"/>
      <c r="Y882" s="448"/>
    </row>
    <row r="883">
      <c r="A883" s="448"/>
      <c r="B883" s="448"/>
      <c r="C883" s="448"/>
      <c r="D883" s="448"/>
      <c r="E883" s="448"/>
      <c r="F883" s="448"/>
      <c r="G883" s="448"/>
      <c r="H883" s="448"/>
      <c r="I883" s="448"/>
      <c r="J883" s="448"/>
      <c r="K883" s="448"/>
      <c r="L883" s="448"/>
      <c r="M883" s="448"/>
      <c r="N883" s="448"/>
      <c r="O883" s="448"/>
      <c r="P883" s="448"/>
      <c r="Q883" s="448"/>
      <c r="R883" s="448"/>
      <c r="S883" s="448"/>
      <c r="T883" s="448"/>
      <c r="U883" s="448"/>
      <c r="V883" s="448"/>
      <c r="W883" s="448"/>
      <c r="X883" s="448"/>
      <c r="Y883" s="448"/>
    </row>
    <row r="884">
      <c r="A884" s="448"/>
      <c r="B884" s="448"/>
      <c r="C884" s="448"/>
      <c r="D884" s="448"/>
      <c r="E884" s="448"/>
      <c r="F884" s="448"/>
      <c r="G884" s="448"/>
      <c r="H884" s="448"/>
      <c r="I884" s="448"/>
      <c r="J884" s="448"/>
      <c r="K884" s="448"/>
      <c r="L884" s="448"/>
      <c r="M884" s="448"/>
      <c r="N884" s="448"/>
      <c r="O884" s="448"/>
      <c r="P884" s="448"/>
      <c r="Q884" s="448"/>
      <c r="R884" s="448"/>
      <c r="S884" s="448"/>
      <c r="T884" s="448"/>
      <c r="U884" s="448"/>
      <c r="V884" s="448"/>
      <c r="W884" s="448"/>
      <c r="X884" s="448"/>
      <c r="Y884" s="448"/>
    </row>
    <row r="885">
      <c r="A885" s="448"/>
      <c r="B885" s="448"/>
      <c r="C885" s="448"/>
      <c r="D885" s="448"/>
      <c r="E885" s="448"/>
      <c r="F885" s="448"/>
      <c r="G885" s="448"/>
      <c r="H885" s="448"/>
      <c r="I885" s="448"/>
      <c r="J885" s="448"/>
      <c r="K885" s="448"/>
      <c r="L885" s="448"/>
      <c r="M885" s="448"/>
      <c r="N885" s="448"/>
      <c r="O885" s="448"/>
      <c r="P885" s="448"/>
      <c r="Q885" s="448"/>
      <c r="R885" s="448"/>
      <c r="S885" s="448"/>
      <c r="T885" s="448"/>
      <c r="U885" s="448"/>
      <c r="V885" s="448"/>
      <c r="W885" s="448"/>
      <c r="X885" s="448"/>
      <c r="Y885" s="448"/>
    </row>
    <row r="886">
      <c r="A886" s="448"/>
      <c r="B886" s="448"/>
      <c r="C886" s="448"/>
      <c r="D886" s="448"/>
      <c r="E886" s="448"/>
      <c r="F886" s="448"/>
      <c r="G886" s="448"/>
      <c r="H886" s="448"/>
      <c r="I886" s="448"/>
      <c r="J886" s="448"/>
      <c r="K886" s="448"/>
      <c r="L886" s="448"/>
      <c r="M886" s="448"/>
      <c r="N886" s="448"/>
      <c r="O886" s="448"/>
      <c r="P886" s="448"/>
      <c r="Q886" s="448"/>
      <c r="R886" s="448"/>
      <c r="S886" s="448"/>
      <c r="T886" s="448"/>
      <c r="U886" s="448"/>
      <c r="V886" s="448"/>
      <c r="W886" s="448"/>
      <c r="X886" s="448"/>
      <c r="Y886" s="448"/>
    </row>
    <row r="887">
      <c r="A887" s="448"/>
      <c r="B887" s="448"/>
      <c r="C887" s="448"/>
      <c r="D887" s="448"/>
      <c r="E887" s="448"/>
      <c r="F887" s="448"/>
      <c r="G887" s="448"/>
      <c r="H887" s="448"/>
      <c r="I887" s="448"/>
      <c r="J887" s="448"/>
      <c r="K887" s="448"/>
      <c r="L887" s="448"/>
      <c r="M887" s="448"/>
      <c r="N887" s="448"/>
      <c r="O887" s="448"/>
      <c r="P887" s="448"/>
      <c r="Q887" s="448"/>
      <c r="R887" s="448"/>
      <c r="S887" s="448"/>
      <c r="T887" s="448"/>
      <c r="U887" s="448"/>
      <c r="V887" s="448"/>
      <c r="W887" s="448"/>
      <c r="X887" s="448"/>
      <c r="Y887" s="448"/>
    </row>
    <row r="888">
      <c r="A888" s="448"/>
      <c r="B888" s="448"/>
      <c r="C888" s="448"/>
      <c r="D888" s="448"/>
      <c r="E888" s="448"/>
      <c r="F888" s="448"/>
      <c r="G888" s="448"/>
      <c r="H888" s="448"/>
      <c r="I888" s="448"/>
      <c r="J888" s="448"/>
      <c r="K888" s="448"/>
      <c r="L888" s="448"/>
      <c r="M888" s="448"/>
      <c r="N888" s="448"/>
      <c r="O888" s="448"/>
      <c r="P888" s="448"/>
      <c r="Q888" s="448"/>
      <c r="R888" s="448"/>
      <c r="S888" s="448"/>
      <c r="T888" s="448"/>
      <c r="U888" s="448"/>
      <c r="V888" s="448"/>
      <c r="W888" s="448"/>
      <c r="X888" s="448"/>
      <c r="Y888" s="448"/>
    </row>
    <row r="889">
      <c r="A889" s="448"/>
      <c r="B889" s="448"/>
      <c r="C889" s="448"/>
      <c r="D889" s="448"/>
      <c r="E889" s="448"/>
      <c r="F889" s="448"/>
      <c r="G889" s="448"/>
      <c r="H889" s="448"/>
      <c r="I889" s="448"/>
      <c r="J889" s="448"/>
      <c r="K889" s="448"/>
      <c r="L889" s="448"/>
      <c r="M889" s="448"/>
      <c r="N889" s="448"/>
      <c r="O889" s="448"/>
      <c r="P889" s="448"/>
      <c r="Q889" s="448"/>
      <c r="R889" s="448"/>
      <c r="S889" s="448"/>
      <c r="T889" s="448"/>
      <c r="U889" s="448"/>
      <c r="V889" s="448"/>
      <c r="W889" s="448"/>
      <c r="X889" s="448"/>
      <c r="Y889" s="448"/>
    </row>
    <row r="890">
      <c r="A890" s="448"/>
      <c r="B890" s="448"/>
      <c r="C890" s="448"/>
      <c r="D890" s="448"/>
      <c r="E890" s="448"/>
      <c r="F890" s="448"/>
      <c r="G890" s="448"/>
      <c r="H890" s="448"/>
      <c r="I890" s="448"/>
      <c r="J890" s="448"/>
      <c r="K890" s="448"/>
      <c r="L890" s="448"/>
      <c r="M890" s="448"/>
      <c r="N890" s="448"/>
      <c r="O890" s="448"/>
      <c r="P890" s="448"/>
      <c r="Q890" s="448"/>
      <c r="R890" s="448"/>
      <c r="S890" s="448"/>
      <c r="T890" s="448"/>
      <c r="U890" s="448"/>
      <c r="V890" s="448"/>
      <c r="W890" s="448"/>
      <c r="X890" s="448"/>
      <c r="Y890" s="448"/>
    </row>
    <row r="891">
      <c r="A891" s="448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48"/>
      <c r="M891" s="448"/>
      <c r="N891" s="448"/>
      <c r="O891" s="448"/>
      <c r="P891" s="448"/>
      <c r="Q891" s="448"/>
      <c r="R891" s="448"/>
      <c r="S891" s="448"/>
      <c r="T891" s="448"/>
      <c r="U891" s="448"/>
      <c r="V891" s="448"/>
      <c r="W891" s="448"/>
      <c r="X891" s="448"/>
      <c r="Y891" s="448"/>
    </row>
    <row r="892">
      <c r="A892" s="448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48"/>
      <c r="M892" s="448"/>
      <c r="N892" s="448"/>
      <c r="O892" s="448"/>
      <c r="P892" s="448"/>
      <c r="Q892" s="448"/>
      <c r="R892" s="448"/>
      <c r="S892" s="448"/>
      <c r="T892" s="448"/>
      <c r="U892" s="448"/>
      <c r="V892" s="448"/>
      <c r="W892" s="448"/>
      <c r="X892" s="448"/>
      <c r="Y892" s="448"/>
    </row>
    <row r="893">
      <c r="A893" s="448"/>
      <c r="B893" s="448"/>
      <c r="C893" s="448"/>
      <c r="D893" s="448"/>
      <c r="E893" s="448"/>
      <c r="F893" s="448"/>
      <c r="G893" s="448"/>
      <c r="H893" s="448"/>
      <c r="I893" s="448"/>
      <c r="J893" s="448"/>
      <c r="K893" s="448"/>
      <c r="L893" s="448"/>
      <c r="M893" s="448"/>
      <c r="N893" s="448"/>
      <c r="O893" s="448"/>
      <c r="P893" s="448"/>
      <c r="Q893" s="448"/>
      <c r="R893" s="448"/>
      <c r="S893" s="448"/>
      <c r="T893" s="448"/>
      <c r="U893" s="448"/>
      <c r="V893" s="448"/>
      <c r="W893" s="448"/>
      <c r="X893" s="448"/>
      <c r="Y893" s="448"/>
    </row>
    <row r="894">
      <c r="A894" s="448"/>
      <c r="B894" s="448"/>
      <c r="C894" s="448"/>
      <c r="D894" s="448"/>
      <c r="E894" s="448"/>
      <c r="F894" s="448"/>
      <c r="G894" s="448"/>
      <c r="H894" s="448"/>
      <c r="I894" s="448"/>
      <c r="J894" s="448"/>
      <c r="K894" s="448"/>
      <c r="L894" s="448"/>
      <c r="M894" s="448"/>
      <c r="N894" s="448"/>
      <c r="O894" s="448"/>
      <c r="P894" s="448"/>
      <c r="Q894" s="448"/>
      <c r="R894" s="448"/>
      <c r="S894" s="448"/>
      <c r="T894" s="448"/>
      <c r="U894" s="448"/>
      <c r="V894" s="448"/>
      <c r="W894" s="448"/>
      <c r="X894" s="448"/>
      <c r="Y894" s="448"/>
    </row>
    <row r="895">
      <c r="A895" s="448"/>
      <c r="B895" s="448"/>
      <c r="C895" s="448"/>
      <c r="D895" s="448"/>
      <c r="E895" s="448"/>
      <c r="F895" s="448"/>
      <c r="G895" s="448"/>
      <c r="H895" s="448"/>
      <c r="I895" s="448"/>
      <c r="J895" s="448"/>
      <c r="K895" s="448"/>
      <c r="L895" s="448"/>
      <c r="M895" s="448"/>
      <c r="N895" s="448"/>
      <c r="O895" s="448"/>
      <c r="P895" s="448"/>
      <c r="Q895" s="448"/>
      <c r="R895" s="448"/>
      <c r="S895" s="448"/>
      <c r="T895" s="448"/>
      <c r="U895" s="448"/>
      <c r="V895" s="448"/>
      <c r="W895" s="448"/>
      <c r="X895" s="448"/>
      <c r="Y895" s="448"/>
    </row>
    <row r="896">
      <c r="A896" s="448"/>
      <c r="B896" s="448"/>
      <c r="C896" s="448"/>
      <c r="D896" s="448"/>
      <c r="E896" s="448"/>
      <c r="F896" s="448"/>
      <c r="G896" s="448"/>
      <c r="H896" s="448"/>
      <c r="I896" s="448"/>
      <c r="J896" s="448"/>
      <c r="K896" s="448"/>
      <c r="L896" s="448"/>
      <c r="M896" s="448"/>
      <c r="N896" s="448"/>
      <c r="O896" s="448"/>
      <c r="P896" s="448"/>
      <c r="Q896" s="448"/>
      <c r="R896" s="448"/>
      <c r="S896" s="448"/>
      <c r="T896" s="448"/>
      <c r="U896" s="448"/>
      <c r="V896" s="448"/>
      <c r="W896" s="448"/>
      <c r="X896" s="448"/>
      <c r="Y896" s="448"/>
    </row>
    <row r="897">
      <c r="A897" s="448"/>
      <c r="B897" s="448"/>
      <c r="C897" s="448"/>
      <c r="D897" s="448"/>
      <c r="E897" s="448"/>
      <c r="F897" s="448"/>
      <c r="G897" s="448"/>
      <c r="H897" s="448"/>
      <c r="I897" s="448"/>
      <c r="J897" s="448"/>
      <c r="K897" s="448"/>
      <c r="L897" s="448"/>
      <c r="M897" s="448"/>
      <c r="N897" s="448"/>
      <c r="O897" s="448"/>
      <c r="P897" s="448"/>
      <c r="Q897" s="448"/>
      <c r="R897" s="448"/>
      <c r="S897" s="448"/>
      <c r="T897" s="448"/>
      <c r="U897" s="448"/>
      <c r="V897" s="448"/>
      <c r="W897" s="448"/>
      <c r="X897" s="448"/>
      <c r="Y897" s="448"/>
    </row>
    <row r="898">
      <c r="A898" s="448"/>
      <c r="B898" s="448"/>
      <c r="C898" s="448"/>
      <c r="D898" s="448"/>
      <c r="E898" s="448"/>
      <c r="F898" s="448"/>
      <c r="G898" s="448"/>
      <c r="H898" s="448"/>
      <c r="I898" s="448"/>
      <c r="J898" s="448"/>
      <c r="K898" s="448"/>
      <c r="L898" s="448"/>
      <c r="M898" s="448"/>
      <c r="N898" s="448"/>
      <c r="O898" s="448"/>
      <c r="P898" s="448"/>
      <c r="Q898" s="448"/>
      <c r="R898" s="448"/>
      <c r="S898" s="448"/>
      <c r="T898" s="448"/>
      <c r="U898" s="448"/>
      <c r="V898" s="448"/>
      <c r="W898" s="448"/>
      <c r="X898" s="448"/>
      <c r="Y898" s="448"/>
    </row>
    <row r="899">
      <c r="A899" s="448"/>
      <c r="B899" s="448"/>
      <c r="C899" s="448"/>
      <c r="D899" s="448"/>
      <c r="E899" s="448"/>
      <c r="F899" s="448"/>
      <c r="G899" s="448"/>
      <c r="H899" s="448"/>
      <c r="I899" s="448"/>
      <c r="J899" s="448"/>
      <c r="K899" s="448"/>
      <c r="L899" s="448"/>
      <c r="M899" s="448"/>
      <c r="N899" s="448"/>
      <c r="O899" s="448"/>
      <c r="P899" s="448"/>
      <c r="Q899" s="448"/>
      <c r="R899" s="448"/>
      <c r="S899" s="448"/>
      <c r="T899" s="448"/>
      <c r="U899" s="448"/>
      <c r="V899" s="448"/>
      <c r="W899" s="448"/>
      <c r="X899" s="448"/>
      <c r="Y899" s="448"/>
    </row>
    <row r="900">
      <c r="A900" s="448"/>
      <c r="B900" s="448"/>
      <c r="C900" s="448"/>
      <c r="D900" s="448"/>
      <c r="E900" s="448"/>
      <c r="F900" s="448"/>
      <c r="G900" s="448"/>
      <c r="H900" s="448"/>
      <c r="I900" s="448"/>
      <c r="J900" s="448"/>
      <c r="K900" s="448"/>
      <c r="L900" s="448"/>
      <c r="M900" s="448"/>
      <c r="N900" s="448"/>
      <c r="O900" s="448"/>
      <c r="P900" s="448"/>
      <c r="Q900" s="448"/>
      <c r="R900" s="448"/>
      <c r="S900" s="448"/>
      <c r="T900" s="448"/>
      <c r="U900" s="448"/>
      <c r="V900" s="448"/>
      <c r="W900" s="448"/>
      <c r="X900" s="448"/>
      <c r="Y900" s="448"/>
    </row>
    <row r="901">
      <c r="A901" s="448"/>
      <c r="B901" s="448"/>
      <c r="C901" s="448"/>
      <c r="D901" s="448"/>
      <c r="E901" s="448"/>
      <c r="F901" s="448"/>
      <c r="G901" s="448"/>
      <c r="H901" s="448"/>
      <c r="I901" s="448"/>
      <c r="J901" s="448"/>
      <c r="K901" s="448"/>
      <c r="L901" s="448"/>
      <c r="M901" s="448"/>
      <c r="N901" s="448"/>
      <c r="O901" s="448"/>
      <c r="P901" s="448"/>
      <c r="Q901" s="448"/>
      <c r="R901" s="448"/>
      <c r="S901" s="448"/>
      <c r="T901" s="448"/>
      <c r="U901" s="448"/>
      <c r="V901" s="448"/>
      <c r="W901" s="448"/>
      <c r="X901" s="448"/>
      <c r="Y901" s="448"/>
    </row>
    <row r="902">
      <c r="A902" s="448"/>
      <c r="B902" s="448"/>
      <c r="C902" s="448"/>
      <c r="D902" s="448"/>
      <c r="E902" s="448"/>
      <c r="F902" s="448"/>
      <c r="G902" s="448"/>
      <c r="H902" s="448"/>
      <c r="I902" s="448"/>
      <c r="J902" s="448"/>
      <c r="K902" s="448"/>
      <c r="L902" s="448"/>
      <c r="M902" s="448"/>
      <c r="N902" s="448"/>
      <c r="O902" s="448"/>
      <c r="P902" s="448"/>
      <c r="Q902" s="448"/>
      <c r="R902" s="448"/>
      <c r="S902" s="448"/>
      <c r="T902" s="448"/>
      <c r="U902" s="448"/>
      <c r="V902" s="448"/>
      <c r="W902" s="448"/>
      <c r="X902" s="448"/>
      <c r="Y902" s="448"/>
    </row>
    <row r="903">
      <c r="A903" s="448"/>
      <c r="B903" s="448"/>
      <c r="C903" s="448"/>
      <c r="D903" s="448"/>
      <c r="E903" s="448"/>
      <c r="F903" s="448"/>
      <c r="G903" s="448"/>
      <c r="H903" s="448"/>
      <c r="I903" s="448"/>
      <c r="J903" s="448"/>
      <c r="K903" s="448"/>
      <c r="L903" s="448"/>
      <c r="M903" s="448"/>
      <c r="N903" s="448"/>
      <c r="O903" s="448"/>
      <c r="P903" s="448"/>
      <c r="Q903" s="448"/>
      <c r="R903" s="448"/>
      <c r="S903" s="448"/>
      <c r="T903" s="448"/>
      <c r="U903" s="448"/>
      <c r="V903" s="448"/>
      <c r="W903" s="448"/>
      <c r="X903" s="448"/>
      <c r="Y903" s="448"/>
    </row>
    <row r="904">
      <c r="A904" s="448"/>
      <c r="B904" s="448"/>
      <c r="C904" s="448"/>
      <c r="D904" s="448"/>
      <c r="E904" s="448"/>
      <c r="F904" s="448"/>
      <c r="G904" s="448"/>
      <c r="H904" s="448"/>
      <c r="I904" s="448"/>
      <c r="J904" s="448"/>
      <c r="K904" s="448"/>
      <c r="L904" s="448"/>
      <c r="M904" s="448"/>
      <c r="N904" s="448"/>
      <c r="O904" s="448"/>
      <c r="P904" s="448"/>
      <c r="Q904" s="448"/>
      <c r="R904" s="448"/>
      <c r="S904" s="448"/>
      <c r="T904" s="448"/>
      <c r="U904" s="448"/>
      <c r="V904" s="448"/>
      <c r="W904" s="448"/>
      <c r="X904" s="448"/>
      <c r="Y904" s="448"/>
    </row>
    <row r="905">
      <c r="A905" s="448"/>
      <c r="B905" s="448"/>
      <c r="C905" s="448"/>
      <c r="D905" s="448"/>
      <c r="E905" s="448"/>
      <c r="F905" s="448"/>
      <c r="G905" s="448"/>
      <c r="H905" s="448"/>
      <c r="I905" s="448"/>
      <c r="J905" s="448"/>
      <c r="K905" s="448"/>
      <c r="L905" s="448"/>
      <c r="M905" s="448"/>
      <c r="N905" s="448"/>
      <c r="O905" s="448"/>
      <c r="P905" s="448"/>
      <c r="Q905" s="448"/>
      <c r="R905" s="448"/>
      <c r="S905" s="448"/>
      <c r="T905" s="448"/>
      <c r="U905" s="448"/>
      <c r="V905" s="448"/>
      <c r="W905" s="448"/>
      <c r="X905" s="448"/>
      <c r="Y905" s="448"/>
    </row>
    <row r="906">
      <c r="A906" s="448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48"/>
      <c r="M906" s="448"/>
      <c r="N906" s="448"/>
      <c r="O906" s="448"/>
      <c r="P906" s="448"/>
      <c r="Q906" s="448"/>
      <c r="R906" s="448"/>
      <c r="S906" s="448"/>
      <c r="T906" s="448"/>
      <c r="U906" s="448"/>
      <c r="V906" s="448"/>
      <c r="W906" s="448"/>
      <c r="X906" s="448"/>
      <c r="Y906" s="448"/>
    </row>
    <row r="907">
      <c r="A907" s="448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48"/>
      <c r="M907" s="448"/>
      <c r="N907" s="448"/>
      <c r="O907" s="448"/>
      <c r="P907" s="448"/>
      <c r="Q907" s="448"/>
      <c r="R907" s="448"/>
      <c r="S907" s="448"/>
      <c r="T907" s="448"/>
      <c r="U907" s="448"/>
      <c r="V907" s="448"/>
      <c r="W907" s="448"/>
      <c r="X907" s="448"/>
      <c r="Y907" s="448"/>
    </row>
    <row r="908">
      <c r="A908" s="448"/>
      <c r="B908" s="448"/>
      <c r="C908" s="448"/>
      <c r="D908" s="448"/>
      <c r="E908" s="448"/>
      <c r="F908" s="448"/>
      <c r="G908" s="448"/>
      <c r="H908" s="448"/>
      <c r="I908" s="448"/>
      <c r="J908" s="448"/>
      <c r="K908" s="448"/>
      <c r="L908" s="448"/>
      <c r="M908" s="448"/>
      <c r="N908" s="448"/>
      <c r="O908" s="448"/>
      <c r="P908" s="448"/>
      <c r="Q908" s="448"/>
      <c r="R908" s="448"/>
      <c r="S908" s="448"/>
      <c r="T908" s="448"/>
      <c r="U908" s="448"/>
      <c r="V908" s="448"/>
      <c r="W908" s="448"/>
      <c r="X908" s="448"/>
      <c r="Y908" s="448"/>
    </row>
    <row r="909">
      <c r="A909" s="448"/>
      <c r="B909" s="448"/>
      <c r="C909" s="448"/>
      <c r="D909" s="448"/>
      <c r="E909" s="448"/>
      <c r="F909" s="448"/>
      <c r="G909" s="448"/>
      <c r="H909" s="448"/>
      <c r="I909" s="448"/>
      <c r="J909" s="448"/>
      <c r="K909" s="448"/>
      <c r="L909" s="448"/>
      <c r="M909" s="448"/>
      <c r="N909" s="448"/>
      <c r="O909" s="448"/>
      <c r="P909" s="448"/>
      <c r="Q909" s="448"/>
      <c r="R909" s="448"/>
      <c r="S909" s="448"/>
      <c r="T909" s="448"/>
      <c r="U909" s="448"/>
      <c r="V909" s="448"/>
      <c r="W909" s="448"/>
      <c r="X909" s="448"/>
      <c r="Y909" s="448"/>
    </row>
    <row r="910">
      <c r="A910" s="448"/>
      <c r="B910" s="448"/>
      <c r="C910" s="448"/>
      <c r="D910" s="448"/>
      <c r="E910" s="448"/>
      <c r="F910" s="448"/>
      <c r="G910" s="448"/>
      <c r="H910" s="448"/>
      <c r="I910" s="448"/>
      <c r="J910" s="448"/>
      <c r="K910" s="448"/>
      <c r="L910" s="448"/>
      <c r="M910" s="448"/>
      <c r="N910" s="448"/>
      <c r="O910" s="448"/>
      <c r="P910" s="448"/>
      <c r="Q910" s="448"/>
      <c r="R910" s="448"/>
      <c r="S910" s="448"/>
      <c r="T910" s="448"/>
      <c r="U910" s="448"/>
      <c r="V910" s="448"/>
      <c r="W910" s="448"/>
      <c r="X910" s="448"/>
      <c r="Y910" s="448"/>
    </row>
    <row r="911">
      <c r="A911" s="448"/>
      <c r="B911" s="448"/>
      <c r="C911" s="448"/>
      <c r="D911" s="448"/>
      <c r="E911" s="448"/>
      <c r="F911" s="448"/>
      <c r="G911" s="448"/>
      <c r="H911" s="448"/>
      <c r="I911" s="448"/>
      <c r="J911" s="448"/>
      <c r="K911" s="448"/>
      <c r="L911" s="448"/>
      <c r="M911" s="448"/>
      <c r="N911" s="448"/>
      <c r="O911" s="448"/>
      <c r="P911" s="448"/>
      <c r="Q911" s="448"/>
      <c r="R911" s="448"/>
      <c r="S911" s="448"/>
      <c r="T911" s="448"/>
      <c r="U911" s="448"/>
      <c r="V911" s="448"/>
      <c r="W911" s="448"/>
      <c r="X911" s="448"/>
      <c r="Y911" s="448"/>
    </row>
    <row r="912">
      <c r="A912" s="448"/>
      <c r="B912" s="448"/>
      <c r="C912" s="448"/>
      <c r="D912" s="448"/>
      <c r="E912" s="448"/>
      <c r="F912" s="448"/>
      <c r="G912" s="448"/>
      <c r="H912" s="448"/>
      <c r="I912" s="448"/>
      <c r="J912" s="448"/>
      <c r="K912" s="448"/>
      <c r="L912" s="448"/>
      <c r="M912" s="448"/>
      <c r="N912" s="448"/>
      <c r="O912" s="448"/>
      <c r="P912" s="448"/>
      <c r="Q912" s="448"/>
      <c r="R912" s="448"/>
      <c r="S912" s="448"/>
      <c r="T912" s="448"/>
      <c r="U912" s="448"/>
      <c r="V912" s="448"/>
      <c r="W912" s="448"/>
      <c r="X912" s="448"/>
      <c r="Y912" s="448"/>
    </row>
    <row r="913">
      <c r="A913" s="448"/>
      <c r="B913" s="448"/>
      <c r="C913" s="448"/>
      <c r="D913" s="448"/>
      <c r="E913" s="448"/>
      <c r="F913" s="448"/>
      <c r="G913" s="448"/>
      <c r="H913" s="448"/>
      <c r="I913" s="448"/>
      <c r="J913" s="448"/>
      <c r="K913" s="448"/>
      <c r="L913" s="448"/>
      <c r="M913" s="448"/>
      <c r="N913" s="448"/>
      <c r="O913" s="448"/>
      <c r="P913" s="448"/>
      <c r="Q913" s="448"/>
      <c r="R913" s="448"/>
      <c r="S913" s="448"/>
      <c r="T913" s="448"/>
      <c r="U913" s="448"/>
      <c r="V913" s="448"/>
      <c r="W913" s="448"/>
      <c r="X913" s="448"/>
      <c r="Y913" s="448"/>
    </row>
    <row r="914">
      <c r="A914" s="448"/>
      <c r="B914" s="448"/>
      <c r="C914" s="448"/>
      <c r="D914" s="448"/>
      <c r="E914" s="448"/>
      <c r="F914" s="448"/>
      <c r="G914" s="448"/>
      <c r="H914" s="448"/>
      <c r="I914" s="448"/>
      <c r="J914" s="448"/>
      <c r="K914" s="448"/>
      <c r="L914" s="448"/>
      <c r="M914" s="448"/>
      <c r="N914" s="448"/>
      <c r="O914" s="448"/>
      <c r="P914" s="448"/>
      <c r="Q914" s="448"/>
      <c r="R914" s="448"/>
      <c r="S914" s="448"/>
      <c r="T914" s="448"/>
      <c r="U914" s="448"/>
      <c r="V914" s="448"/>
      <c r="W914" s="448"/>
      <c r="X914" s="448"/>
      <c r="Y914" s="448"/>
    </row>
    <row r="915">
      <c r="A915" s="448"/>
      <c r="B915" s="448"/>
      <c r="C915" s="448"/>
      <c r="D915" s="448"/>
      <c r="E915" s="448"/>
      <c r="F915" s="448"/>
      <c r="G915" s="448"/>
      <c r="H915" s="448"/>
      <c r="I915" s="448"/>
      <c r="J915" s="448"/>
      <c r="K915" s="448"/>
      <c r="L915" s="448"/>
      <c r="M915" s="448"/>
      <c r="N915" s="448"/>
      <c r="O915" s="448"/>
      <c r="P915" s="448"/>
      <c r="Q915" s="448"/>
      <c r="R915" s="448"/>
      <c r="S915" s="448"/>
      <c r="T915" s="448"/>
      <c r="U915" s="448"/>
      <c r="V915" s="448"/>
      <c r="W915" s="448"/>
      <c r="X915" s="448"/>
      <c r="Y915" s="448"/>
    </row>
    <row r="916">
      <c r="A916" s="448"/>
      <c r="B916" s="448"/>
      <c r="C916" s="448"/>
      <c r="D916" s="448"/>
      <c r="E916" s="448"/>
      <c r="F916" s="448"/>
      <c r="G916" s="448"/>
      <c r="H916" s="448"/>
      <c r="I916" s="448"/>
      <c r="J916" s="448"/>
      <c r="K916" s="448"/>
      <c r="L916" s="448"/>
      <c r="M916" s="448"/>
      <c r="N916" s="448"/>
      <c r="O916" s="448"/>
      <c r="P916" s="448"/>
      <c r="Q916" s="448"/>
      <c r="R916" s="448"/>
      <c r="S916" s="448"/>
      <c r="T916" s="448"/>
      <c r="U916" s="448"/>
      <c r="V916" s="448"/>
      <c r="W916" s="448"/>
      <c r="X916" s="448"/>
      <c r="Y916" s="448"/>
    </row>
    <row r="917">
      <c r="A917" s="448"/>
      <c r="B917" s="448"/>
      <c r="C917" s="448"/>
      <c r="D917" s="448"/>
      <c r="E917" s="448"/>
      <c r="F917" s="448"/>
      <c r="G917" s="448"/>
      <c r="H917" s="448"/>
      <c r="I917" s="448"/>
      <c r="J917" s="448"/>
      <c r="K917" s="448"/>
      <c r="L917" s="448"/>
      <c r="M917" s="448"/>
      <c r="N917" s="448"/>
      <c r="O917" s="448"/>
      <c r="P917" s="448"/>
      <c r="Q917" s="448"/>
      <c r="R917" s="448"/>
      <c r="S917" s="448"/>
      <c r="T917" s="448"/>
      <c r="U917" s="448"/>
      <c r="V917" s="448"/>
      <c r="W917" s="448"/>
      <c r="X917" s="448"/>
      <c r="Y917" s="448"/>
    </row>
    <row r="918">
      <c r="A918" s="448"/>
      <c r="B918" s="448"/>
      <c r="C918" s="448"/>
      <c r="D918" s="448"/>
      <c r="E918" s="448"/>
      <c r="F918" s="448"/>
      <c r="G918" s="448"/>
      <c r="H918" s="448"/>
      <c r="I918" s="448"/>
      <c r="J918" s="448"/>
      <c r="K918" s="448"/>
      <c r="L918" s="448"/>
      <c r="M918" s="448"/>
      <c r="N918" s="448"/>
      <c r="O918" s="448"/>
      <c r="P918" s="448"/>
      <c r="Q918" s="448"/>
      <c r="R918" s="448"/>
      <c r="S918" s="448"/>
      <c r="T918" s="448"/>
      <c r="U918" s="448"/>
      <c r="V918" s="448"/>
      <c r="W918" s="448"/>
      <c r="X918" s="448"/>
      <c r="Y918" s="448"/>
    </row>
    <row r="919">
      <c r="A919" s="448"/>
      <c r="B919" s="448"/>
      <c r="C919" s="448"/>
      <c r="D919" s="448"/>
      <c r="E919" s="448"/>
      <c r="F919" s="448"/>
      <c r="G919" s="448"/>
      <c r="H919" s="448"/>
      <c r="I919" s="448"/>
      <c r="J919" s="448"/>
      <c r="K919" s="448"/>
      <c r="L919" s="448"/>
      <c r="M919" s="448"/>
      <c r="N919" s="448"/>
      <c r="O919" s="448"/>
      <c r="P919" s="448"/>
      <c r="Q919" s="448"/>
      <c r="R919" s="448"/>
      <c r="S919" s="448"/>
      <c r="T919" s="448"/>
      <c r="U919" s="448"/>
      <c r="V919" s="448"/>
      <c r="W919" s="448"/>
      <c r="X919" s="448"/>
      <c r="Y919" s="448"/>
    </row>
    <row r="920">
      <c r="A920" s="448"/>
      <c r="B920" s="448"/>
      <c r="C920" s="448"/>
      <c r="D920" s="448"/>
      <c r="E920" s="448"/>
      <c r="F920" s="448"/>
      <c r="G920" s="448"/>
      <c r="H920" s="448"/>
      <c r="I920" s="448"/>
      <c r="J920" s="448"/>
      <c r="K920" s="448"/>
      <c r="L920" s="448"/>
      <c r="M920" s="448"/>
      <c r="N920" s="448"/>
      <c r="O920" s="448"/>
      <c r="P920" s="448"/>
      <c r="Q920" s="448"/>
      <c r="R920" s="448"/>
      <c r="S920" s="448"/>
      <c r="T920" s="448"/>
      <c r="U920" s="448"/>
      <c r="V920" s="448"/>
      <c r="W920" s="448"/>
      <c r="X920" s="448"/>
      <c r="Y920" s="448"/>
    </row>
    <row r="921">
      <c r="A921" s="448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48"/>
      <c r="M921" s="448"/>
      <c r="N921" s="448"/>
      <c r="O921" s="448"/>
      <c r="P921" s="448"/>
      <c r="Q921" s="448"/>
      <c r="R921" s="448"/>
      <c r="S921" s="448"/>
      <c r="T921" s="448"/>
      <c r="U921" s="448"/>
      <c r="V921" s="448"/>
      <c r="W921" s="448"/>
      <c r="X921" s="448"/>
      <c r="Y921" s="448"/>
    </row>
    <row r="922">
      <c r="A922" s="448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48"/>
      <c r="M922" s="448"/>
      <c r="N922" s="448"/>
      <c r="O922" s="448"/>
      <c r="P922" s="448"/>
      <c r="Q922" s="448"/>
      <c r="R922" s="448"/>
      <c r="S922" s="448"/>
      <c r="T922" s="448"/>
      <c r="U922" s="448"/>
      <c r="V922" s="448"/>
      <c r="W922" s="448"/>
      <c r="X922" s="448"/>
      <c r="Y922" s="448"/>
    </row>
    <row r="923">
      <c r="A923" s="448"/>
      <c r="B923" s="448"/>
      <c r="C923" s="448"/>
      <c r="D923" s="448"/>
      <c r="E923" s="448"/>
      <c r="F923" s="448"/>
      <c r="G923" s="448"/>
      <c r="H923" s="448"/>
      <c r="I923" s="448"/>
      <c r="J923" s="448"/>
      <c r="K923" s="448"/>
      <c r="L923" s="448"/>
      <c r="M923" s="448"/>
      <c r="N923" s="448"/>
      <c r="O923" s="448"/>
      <c r="P923" s="448"/>
      <c r="Q923" s="448"/>
      <c r="R923" s="448"/>
      <c r="S923" s="448"/>
      <c r="T923" s="448"/>
      <c r="U923" s="448"/>
      <c r="V923" s="448"/>
      <c r="W923" s="448"/>
      <c r="X923" s="448"/>
      <c r="Y923" s="448"/>
    </row>
    <row r="924">
      <c r="A924" s="448"/>
      <c r="B924" s="448"/>
      <c r="C924" s="448"/>
      <c r="D924" s="448"/>
      <c r="E924" s="448"/>
      <c r="F924" s="448"/>
      <c r="G924" s="448"/>
      <c r="H924" s="448"/>
      <c r="I924" s="448"/>
      <c r="J924" s="448"/>
      <c r="K924" s="448"/>
      <c r="L924" s="448"/>
      <c r="M924" s="448"/>
      <c r="N924" s="448"/>
      <c r="O924" s="448"/>
      <c r="P924" s="448"/>
      <c r="Q924" s="448"/>
      <c r="R924" s="448"/>
      <c r="S924" s="448"/>
      <c r="T924" s="448"/>
      <c r="U924" s="448"/>
      <c r="V924" s="448"/>
      <c r="W924" s="448"/>
      <c r="X924" s="448"/>
      <c r="Y924" s="448"/>
    </row>
    <row r="925">
      <c r="A925" s="448"/>
      <c r="B925" s="448"/>
      <c r="C925" s="448"/>
      <c r="D925" s="448"/>
      <c r="E925" s="448"/>
      <c r="F925" s="448"/>
      <c r="G925" s="448"/>
      <c r="H925" s="448"/>
      <c r="I925" s="448"/>
      <c r="J925" s="448"/>
      <c r="K925" s="448"/>
      <c r="L925" s="448"/>
      <c r="M925" s="448"/>
      <c r="N925" s="448"/>
      <c r="O925" s="448"/>
      <c r="P925" s="448"/>
      <c r="Q925" s="448"/>
      <c r="R925" s="448"/>
      <c r="S925" s="448"/>
      <c r="T925" s="448"/>
      <c r="U925" s="448"/>
      <c r="V925" s="448"/>
      <c r="W925" s="448"/>
      <c r="X925" s="448"/>
      <c r="Y925" s="448"/>
    </row>
    <row r="926">
      <c r="A926" s="448"/>
      <c r="B926" s="448"/>
      <c r="C926" s="448"/>
      <c r="D926" s="448"/>
      <c r="E926" s="448"/>
      <c r="F926" s="448"/>
      <c r="G926" s="448"/>
      <c r="H926" s="448"/>
      <c r="I926" s="448"/>
      <c r="J926" s="448"/>
      <c r="K926" s="448"/>
      <c r="L926" s="448"/>
      <c r="M926" s="448"/>
      <c r="N926" s="448"/>
      <c r="O926" s="448"/>
      <c r="P926" s="448"/>
      <c r="Q926" s="448"/>
      <c r="R926" s="448"/>
      <c r="S926" s="448"/>
      <c r="T926" s="448"/>
      <c r="U926" s="448"/>
      <c r="V926" s="448"/>
      <c r="W926" s="448"/>
      <c r="X926" s="448"/>
      <c r="Y926" s="448"/>
    </row>
    <row r="927">
      <c r="A927" s="448"/>
      <c r="B927" s="448"/>
      <c r="C927" s="448"/>
      <c r="D927" s="448"/>
      <c r="E927" s="448"/>
      <c r="F927" s="448"/>
      <c r="G927" s="448"/>
      <c r="H927" s="448"/>
      <c r="I927" s="448"/>
      <c r="J927" s="448"/>
      <c r="K927" s="448"/>
      <c r="L927" s="448"/>
      <c r="M927" s="448"/>
      <c r="N927" s="448"/>
      <c r="O927" s="448"/>
      <c r="P927" s="448"/>
      <c r="Q927" s="448"/>
      <c r="R927" s="448"/>
      <c r="S927" s="448"/>
      <c r="T927" s="448"/>
      <c r="U927" s="448"/>
      <c r="V927" s="448"/>
      <c r="W927" s="448"/>
      <c r="X927" s="448"/>
      <c r="Y927" s="448"/>
    </row>
    <row r="928">
      <c r="A928" s="448"/>
      <c r="B928" s="448"/>
      <c r="C928" s="448"/>
      <c r="D928" s="448"/>
      <c r="E928" s="448"/>
      <c r="F928" s="448"/>
      <c r="G928" s="448"/>
      <c r="H928" s="448"/>
      <c r="I928" s="448"/>
      <c r="J928" s="448"/>
      <c r="K928" s="448"/>
      <c r="L928" s="448"/>
      <c r="M928" s="448"/>
      <c r="N928" s="448"/>
      <c r="O928" s="448"/>
      <c r="P928" s="448"/>
      <c r="Q928" s="448"/>
      <c r="R928" s="448"/>
      <c r="S928" s="448"/>
      <c r="T928" s="448"/>
      <c r="U928" s="448"/>
      <c r="V928" s="448"/>
      <c r="W928" s="448"/>
      <c r="X928" s="448"/>
      <c r="Y928" s="448"/>
    </row>
    <row r="929">
      <c r="A929" s="448"/>
      <c r="B929" s="448"/>
      <c r="C929" s="448"/>
      <c r="D929" s="448"/>
      <c r="E929" s="448"/>
      <c r="F929" s="448"/>
      <c r="G929" s="448"/>
      <c r="H929" s="448"/>
      <c r="I929" s="448"/>
      <c r="J929" s="448"/>
      <c r="K929" s="448"/>
      <c r="L929" s="448"/>
      <c r="M929" s="448"/>
      <c r="N929" s="448"/>
      <c r="O929" s="448"/>
      <c r="P929" s="448"/>
      <c r="Q929" s="448"/>
      <c r="R929" s="448"/>
      <c r="S929" s="448"/>
      <c r="T929" s="448"/>
      <c r="U929" s="448"/>
      <c r="V929" s="448"/>
      <c r="W929" s="448"/>
      <c r="X929" s="448"/>
      <c r="Y929" s="448"/>
    </row>
    <row r="930">
      <c r="A930" s="448"/>
      <c r="B930" s="448"/>
      <c r="C930" s="448"/>
      <c r="D930" s="448"/>
      <c r="E930" s="448"/>
      <c r="F930" s="448"/>
      <c r="G930" s="448"/>
      <c r="H930" s="448"/>
      <c r="I930" s="448"/>
      <c r="J930" s="448"/>
      <c r="K930" s="448"/>
      <c r="L930" s="448"/>
      <c r="M930" s="448"/>
      <c r="N930" s="448"/>
      <c r="O930" s="448"/>
      <c r="P930" s="448"/>
      <c r="Q930" s="448"/>
      <c r="R930" s="448"/>
      <c r="S930" s="448"/>
      <c r="T930" s="448"/>
      <c r="U930" s="448"/>
      <c r="V930" s="448"/>
      <c r="W930" s="448"/>
      <c r="X930" s="448"/>
      <c r="Y930" s="448"/>
    </row>
    <row r="931">
      <c r="A931" s="448"/>
      <c r="B931" s="448"/>
      <c r="C931" s="448"/>
      <c r="D931" s="448"/>
      <c r="E931" s="448"/>
      <c r="F931" s="448"/>
      <c r="G931" s="448"/>
      <c r="H931" s="448"/>
      <c r="I931" s="448"/>
      <c r="J931" s="448"/>
      <c r="K931" s="448"/>
      <c r="L931" s="448"/>
      <c r="M931" s="448"/>
      <c r="N931" s="448"/>
      <c r="O931" s="448"/>
      <c r="P931" s="448"/>
      <c r="Q931" s="448"/>
      <c r="R931" s="448"/>
      <c r="S931" s="448"/>
      <c r="T931" s="448"/>
      <c r="U931" s="448"/>
      <c r="V931" s="448"/>
      <c r="W931" s="448"/>
      <c r="X931" s="448"/>
      <c r="Y931" s="448"/>
    </row>
    <row r="932">
      <c r="A932" s="448"/>
      <c r="B932" s="448"/>
      <c r="C932" s="448"/>
      <c r="D932" s="448"/>
      <c r="E932" s="448"/>
      <c r="F932" s="448"/>
      <c r="G932" s="448"/>
      <c r="H932" s="448"/>
      <c r="I932" s="448"/>
      <c r="J932" s="448"/>
      <c r="K932" s="448"/>
      <c r="L932" s="448"/>
      <c r="M932" s="448"/>
      <c r="N932" s="448"/>
      <c r="O932" s="448"/>
      <c r="P932" s="448"/>
      <c r="Q932" s="448"/>
      <c r="R932" s="448"/>
      <c r="S932" s="448"/>
      <c r="T932" s="448"/>
      <c r="U932" s="448"/>
      <c r="V932" s="448"/>
      <c r="W932" s="448"/>
      <c r="X932" s="448"/>
      <c r="Y932" s="448"/>
    </row>
    <row r="933">
      <c r="A933" s="448"/>
      <c r="B933" s="448"/>
      <c r="C933" s="448"/>
      <c r="D933" s="448"/>
      <c r="E933" s="448"/>
      <c r="F933" s="448"/>
      <c r="G933" s="448"/>
      <c r="H933" s="448"/>
      <c r="I933" s="448"/>
      <c r="J933" s="448"/>
      <c r="K933" s="448"/>
      <c r="L933" s="448"/>
      <c r="M933" s="448"/>
      <c r="N933" s="448"/>
      <c r="O933" s="448"/>
      <c r="P933" s="448"/>
      <c r="Q933" s="448"/>
      <c r="R933" s="448"/>
      <c r="S933" s="448"/>
      <c r="T933" s="448"/>
      <c r="U933" s="448"/>
      <c r="V933" s="448"/>
      <c r="W933" s="448"/>
      <c r="X933" s="448"/>
      <c r="Y933" s="448"/>
    </row>
    <row r="934">
      <c r="A934" s="448"/>
      <c r="B934" s="448"/>
      <c r="C934" s="448"/>
      <c r="D934" s="448"/>
      <c r="E934" s="448"/>
      <c r="F934" s="448"/>
      <c r="G934" s="448"/>
      <c r="H934" s="448"/>
      <c r="I934" s="448"/>
      <c r="J934" s="448"/>
      <c r="K934" s="448"/>
      <c r="L934" s="448"/>
      <c r="M934" s="448"/>
      <c r="N934" s="448"/>
      <c r="O934" s="448"/>
      <c r="P934" s="448"/>
      <c r="Q934" s="448"/>
      <c r="R934" s="448"/>
      <c r="S934" s="448"/>
      <c r="T934" s="448"/>
      <c r="U934" s="448"/>
      <c r="V934" s="448"/>
      <c r="W934" s="448"/>
      <c r="X934" s="448"/>
      <c r="Y934" s="448"/>
    </row>
    <row r="935">
      <c r="A935" s="448"/>
      <c r="B935" s="448"/>
      <c r="C935" s="448"/>
      <c r="D935" s="448"/>
      <c r="E935" s="448"/>
      <c r="F935" s="448"/>
      <c r="G935" s="448"/>
      <c r="H935" s="448"/>
      <c r="I935" s="448"/>
      <c r="J935" s="448"/>
      <c r="K935" s="448"/>
      <c r="L935" s="448"/>
      <c r="M935" s="448"/>
      <c r="N935" s="448"/>
      <c r="O935" s="448"/>
      <c r="P935" s="448"/>
      <c r="Q935" s="448"/>
      <c r="R935" s="448"/>
      <c r="S935" s="448"/>
      <c r="T935" s="448"/>
      <c r="U935" s="448"/>
      <c r="V935" s="448"/>
      <c r="W935" s="448"/>
      <c r="X935" s="448"/>
      <c r="Y935" s="448"/>
    </row>
    <row r="936">
      <c r="A936" s="448"/>
      <c r="B936" s="448"/>
      <c r="C936" s="448"/>
      <c r="D936" s="448"/>
      <c r="E936" s="448"/>
      <c r="F936" s="448"/>
      <c r="G936" s="448"/>
      <c r="H936" s="448"/>
      <c r="I936" s="448"/>
      <c r="J936" s="448"/>
      <c r="K936" s="448"/>
      <c r="L936" s="448"/>
      <c r="M936" s="448"/>
      <c r="N936" s="448"/>
      <c r="O936" s="448"/>
      <c r="P936" s="448"/>
      <c r="Q936" s="448"/>
      <c r="R936" s="448"/>
      <c r="S936" s="448"/>
      <c r="T936" s="448"/>
      <c r="U936" s="448"/>
      <c r="V936" s="448"/>
      <c r="W936" s="448"/>
      <c r="X936" s="448"/>
      <c r="Y936" s="448"/>
    </row>
    <row r="937">
      <c r="A937" s="448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48"/>
      <c r="M937" s="448"/>
      <c r="N937" s="448"/>
      <c r="O937" s="448"/>
      <c r="P937" s="448"/>
      <c r="Q937" s="448"/>
      <c r="R937" s="448"/>
      <c r="S937" s="448"/>
      <c r="T937" s="448"/>
      <c r="U937" s="448"/>
      <c r="V937" s="448"/>
      <c r="W937" s="448"/>
      <c r="X937" s="448"/>
      <c r="Y937" s="448"/>
    </row>
    <row r="938">
      <c r="A938" s="448"/>
      <c r="B938" s="448"/>
      <c r="C938" s="448"/>
      <c r="D938" s="448"/>
      <c r="E938" s="448"/>
      <c r="F938" s="448"/>
      <c r="G938" s="448"/>
      <c r="H938" s="448"/>
      <c r="I938" s="448"/>
      <c r="J938" s="448"/>
      <c r="K938" s="448"/>
      <c r="L938" s="448"/>
      <c r="M938" s="448"/>
      <c r="N938" s="448"/>
      <c r="O938" s="448"/>
      <c r="P938" s="448"/>
      <c r="Q938" s="448"/>
      <c r="R938" s="448"/>
      <c r="S938" s="448"/>
      <c r="T938" s="448"/>
      <c r="U938" s="448"/>
      <c r="V938" s="448"/>
      <c r="W938" s="448"/>
      <c r="X938" s="448"/>
      <c r="Y938" s="448"/>
    </row>
    <row r="939">
      <c r="A939" s="448"/>
      <c r="B939" s="448"/>
      <c r="C939" s="448"/>
      <c r="D939" s="448"/>
      <c r="E939" s="448"/>
      <c r="F939" s="448"/>
      <c r="G939" s="448"/>
      <c r="H939" s="448"/>
      <c r="I939" s="448"/>
      <c r="J939" s="448"/>
      <c r="K939" s="448"/>
      <c r="L939" s="448"/>
      <c r="M939" s="448"/>
      <c r="N939" s="448"/>
      <c r="O939" s="448"/>
      <c r="P939" s="448"/>
      <c r="Q939" s="448"/>
      <c r="R939" s="448"/>
      <c r="S939" s="448"/>
      <c r="T939" s="448"/>
      <c r="U939" s="448"/>
      <c r="V939" s="448"/>
      <c r="W939" s="448"/>
      <c r="X939" s="448"/>
      <c r="Y939" s="448"/>
    </row>
    <row r="940">
      <c r="A940" s="448"/>
      <c r="B940" s="448"/>
      <c r="C940" s="448"/>
      <c r="D940" s="448"/>
      <c r="E940" s="448"/>
      <c r="F940" s="448"/>
      <c r="G940" s="448"/>
      <c r="H940" s="448"/>
      <c r="I940" s="448"/>
      <c r="J940" s="448"/>
      <c r="K940" s="448"/>
      <c r="L940" s="448"/>
      <c r="M940" s="448"/>
      <c r="N940" s="448"/>
      <c r="O940" s="448"/>
      <c r="P940" s="448"/>
      <c r="Q940" s="448"/>
      <c r="R940" s="448"/>
      <c r="S940" s="448"/>
      <c r="T940" s="448"/>
      <c r="U940" s="448"/>
      <c r="V940" s="448"/>
      <c r="W940" s="448"/>
      <c r="X940" s="448"/>
      <c r="Y940" s="448"/>
    </row>
    <row r="941">
      <c r="A941" s="448"/>
      <c r="B941" s="448"/>
      <c r="C941" s="448"/>
      <c r="D941" s="448"/>
      <c r="E941" s="448"/>
      <c r="F941" s="448"/>
      <c r="G941" s="448"/>
      <c r="H941" s="448"/>
      <c r="I941" s="448"/>
      <c r="J941" s="448"/>
      <c r="K941" s="448"/>
      <c r="L941" s="448"/>
      <c r="M941" s="448"/>
      <c r="N941" s="448"/>
      <c r="O941" s="448"/>
      <c r="P941" s="448"/>
      <c r="Q941" s="448"/>
      <c r="R941" s="448"/>
      <c r="S941" s="448"/>
      <c r="T941" s="448"/>
      <c r="U941" s="448"/>
      <c r="V941" s="448"/>
      <c r="W941" s="448"/>
      <c r="X941" s="448"/>
      <c r="Y941" s="448"/>
    </row>
    <row r="942">
      <c r="A942" s="448"/>
      <c r="B942" s="448"/>
      <c r="C942" s="448"/>
      <c r="D942" s="448"/>
      <c r="E942" s="448"/>
      <c r="F942" s="448"/>
      <c r="G942" s="448"/>
      <c r="H942" s="448"/>
      <c r="I942" s="448"/>
      <c r="J942" s="448"/>
      <c r="K942" s="448"/>
      <c r="L942" s="448"/>
      <c r="M942" s="448"/>
      <c r="N942" s="448"/>
      <c r="O942" s="448"/>
      <c r="P942" s="448"/>
      <c r="Q942" s="448"/>
      <c r="R942" s="448"/>
      <c r="S942" s="448"/>
      <c r="T942" s="448"/>
      <c r="U942" s="448"/>
      <c r="V942" s="448"/>
      <c r="W942" s="448"/>
      <c r="X942" s="448"/>
      <c r="Y942" s="448"/>
    </row>
    <row r="943">
      <c r="A943" s="448"/>
      <c r="B943" s="448"/>
      <c r="C943" s="448"/>
      <c r="D943" s="448"/>
      <c r="E943" s="448"/>
      <c r="F943" s="448"/>
      <c r="G943" s="448"/>
      <c r="H943" s="448"/>
      <c r="I943" s="448"/>
      <c r="J943" s="448"/>
      <c r="K943" s="448"/>
      <c r="L943" s="448"/>
      <c r="M943" s="448"/>
      <c r="N943" s="448"/>
      <c r="O943" s="448"/>
      <c r="P943" s="448"/>
      <c r="Q943" s="448"/>
      <c r="R943" s="448"/>
      <c r="S943" s="448"/>
      <c r="T943" s="448"/>
      <c r="U943" s="448"/>
      <c r="V943" s="448"/>
      <c r="W943" s="448"/>
      <c r="X943" s="448"/>
      <c r="Y943" s="448"/>
    </row>
    <row r="944">
      <c r="A944" s="448"/>
      <c r="B944" s="448"/>
      <c r="C944" s="448"/>
      <c r="D944" s="448"/>
      <c r="E944" s="448"/>
      <c r="F944" s="448"/>
      <c r="G944" s="448"/>
      <c r="H944" s="448"/>
      <c r="I944" s="448"/>
      <c r="J944" s="448"/>
      <c r="K944" s="448"/>
      <c r="L944" s="448"/>
      <c r="M944" s="448"/>
      <c r="N944" s="448"/>
      <c r="O944" s="448"/>
      <c r="P944" s="448"/>
      <c r="Q944" s="448"/>
      <c r="R944" s="448"/>
      <c r="S944" s="448"/>
      <c r="T944" s="448"/>
      <c r="U944" s="448"/>
      <c r="V944" s="448"/>
      <c r="W944" s="448"/>
      <c r="X944" s="448"/>
      <c r="Y944" s="448"/>
    </row>
    <row r="945">
      <c r="A945" s="448"/>
      <c r="B945" s="448"/>
      <c r="C945" s="448"/>
      <c r="D945" s="448"/>
      <c r="E945" s="448"/>
      <c r="F945" s="448"/>
      <c r="G945" s="448"/>
      <c r="H945" s="448"/>
      <c r="I945" s="448"/>
      <c r="J945" s="448"/>
      <c r="K945" s="448"/>
      <c r="L945" s="448"/>
      <c r="M945" s="448"/>
      <c r="N945" s="448"/>
      <c r="O945" s="448"/>
      <c r="P945" s="448"/>
      <c r="Q945" s="448"/>
      <c r="R945" s="448"/>
      <c r="S945" s="448"/>
      <c r="T945" s="448"/>
      <c r="U945" s="448"/>
      <c r="V945" s="448"/>
      <c r="W945" s="448"/>
      <c r="X945" s="448"/>
      <c r="Y945" s="448"/>
    </row>
    <row r="946">
      <c r="A946" s="448"/>
      <c r="B946" s="448"/>
      <c r="C946" s="448"/>
      <c r="D946" s="448"/>
      <c r="E946" s="448"/>
      <c r="F946" s="448"/>
      <c r="G946" s="448"/>
      <c r="H946" s="448"/>
      <c r="I946" s="448"/>
      <c r="J946" s="448"/>
      <c r="K946" s="448"/>
      <c r="L946" s="448"/>
      <c r="M946" s="448"/>
      <c r="N946" s="448"/>
      <c r="O946" s="448"/>
      <c r="P946" s="448"/>
      <c r="Q946" s="448"/>
      <c r="R946" s="448"/>
      <c r="S946" s="448"/>
      <c r="T946" s="448"/>
      <c r="U946" s="448"/>
      <c r="V946" s="448"/>
      <c r="W946" s="448"/>
      <c r="X946" s="448"/>
      <c r="Y946" s="448"/>
    </row>
    <row r="947">
      <c r="A947" s="448"/>
      <c r="B947" s="448"/>
      <c r="C947" s="448"/>
      <c r="D947" s="448"/>
      <c r="E947" s="448"/>
      <c r="F947" s="448"/>
      <c r="G947" s="448"/>
      <c r="H947" s="448"/>
      <c r="I947" s="448"/>
      <c r="J947" s="448"/>
      <c r="K947" s="448"/>
      <c r="L947" s="448"/>
      <c r="M947" s="448"/>
      <c r="N947" s="448"/>
      <c r="O947" s="448"/>
      <c r="P947" s="448"/>
      <c r="Q947" s="448"/>
      <c r="R947" s="448"/>
      <c r="S947" s="448"/>
      <c r="T947" s="448"/>
      <c r="U947" s="448"/>
      <c r="V947" s="448"/>
      <c r="W947" s="448"/>
      <c r="X947" s="448"/>
      <c r="Y947" s="448"/>
    </row>
    <row r="948">
      <c r="A948" s="448"/>
      <c r="B948" s="448"/>
      <c r="C948" s="448"/>
      <c r="D948" s="448"/>
      <c r="E948" s="448"/>
      <c r="F948" s="448"/>
      <c r="G948" s="448"/>
      <c r="H948" s="448"/>
      <c r="I948" s="448"/>
      <c r="J948" s="448"/>
      <c r="K948" s="448"/>
      <c r="L948" s="448"/>
      <c r="M948" s="448"/>
      <c r="N948" s="448"/>
      <c r="O948" s="448"/>
      <c r="P948" s="448"/>
      <c r="Q948" s="448"/>
      <c r="R948" s="448"/>
      <c r="S948" s="448"/>
      <c r="T948" s="448"/>
      <c r="U948" s="448"/>
      <c r="V948" s="448"/>
      <c r="W948" s="448"/>
      <c r="X948" s="448"/>
      <c r="Y948" s="448"/>
    </row>
    <row r="949">
      <c r="A949" s="448"/>
      <c r="B949" s="448"/>
      <c r="C949" s="448"/>
      <c r="D949" s="448"/>
      <c r="E949" s="448"/>
      <c r="F949" s="448"/>
      <c r="G949" s="448"/>
      <c r="H949" s="448"/>
      <c r="I949" s="448"/>
      <c r="J949" s="448"/>
      <c r="K949" s="448"/>
      <c r="L949" s="448"/>
      <c r="M949" s="448"/>
      <c r="N949" s="448"/>
      <c r="O949" s="448"/>
      <c r="P949" s="448"/>
      <c r="Q949" s="448"/>
      <c r="R949" s="448"/>
      <c r="S949" s="448"/>
      <c r="T949" s="448"/>
      <c r="U949" s="448"/>
      <c r="V949" s="448"/>
      <c r="W949" s="448"/>
      <c r="X949" s="448"/>
      <c r="Y949" s="448"/>
    </row>
    <row r="950">
      <c r="A950" s="448"/>
      <c r="B950" s="448"/>
      <c r="C950" s="448"/>
      <c r="D950" s="448"/>
      <c r="E950" s="448"/>
      <c r="F950" s="448"/>
      <c r="G950" s="448"/>
      <c r="H950" s="448"/>
      <c r="I950" s="448"/>
      <c r="J950" s="448"/>
      <c r="K950" s="448"/>
      <c r="L950" s="448"/>
      <c r="M950" s="448"/>
      <c r="N950" s="448"/>
      <c r="O950" s="448"/>
      <c r="P950" s="448"/>
      <c r="Q950" s="448"/>
      <c r="R950" s="448"/>
      <c r="S950" s="448"/>
      <c r="T950" s="448"/>
      <c r="U950" s="448"/>
      <c r="V950" s="448"/>
      <c r="W950" s="448"/>
      <c r="X950" s="448"/>
      <c r="Y950" s="448"/>
    </row>
    <row r="951">
      <c r="A951" s="448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48"/>
      <c r="M951" s="448"/>
      <c r="N951" s="448"/>
      <c r="O951" s="448"/>
      <c r="P951" s="448"/>
      <c r="Q951" s="448"/>
      <c r="R951" s="448"/>
      <c r="S951" s="448"/>
      <c r="T951" s="448"/>
      <c r="U951" s="448"/>
      <c r="V951" s="448"/>
      <c r="W951" s="448"/>
      <c r="X951" s="448"/>
      <c r="Y951" s="448"/>
    </row>
    <row r="952">
      <c r="A952" s="448"/>
      <c r="B952" s="448"/>
      <c r="C952" s="448"/>
      <c r="D952" s="448"/>
      <c r="E952" s="448"/>
      <c r="F952" s="448"/>
      <c r="G952" s="448"/>
      <c r="H952" s="448"/>
      <c r="I952" s="448"/>
      <c r="J952" s="448"/>
      <c r="K952" s="448"/>
      <c r="L952" s="448"/>
      <c r="M952" s="448"/>
      <c r="N952" s="448"/>
      <c r="O952" s="448"/>
      <c r="P952" s="448"/>
      <c r="Q952" s="448"/>
      <c r="R952" s="448"/>
      <c r="S952" s="448"/>
      <c r="T952" s="448"/>
      <c r="U952" s="448"/>
      <c r="V952" s="448"/>
      <c r="W952" s="448"/>
      <c r="X952" s="448"/>
      <c r="Y952" s="448"/>
    </row>
    <row r="953">
      <c r="A953" s="448"/>
      <c r="B953" s="448"/>
      <c r="C953" s="448"/>
      <c r="D953" s="448"/>
      <c r="E953" s="448"/>
      <c r="F953" s="448"/>
      <c r="G953" s="448"/>
      <c r="H953" s="448"/>
      <c r="I953" s="448"/>
      <c r="J953" s="448"/>
      <c r="K953" s="448"/>
      <c r="L953" s="448"/>
      <c r="M953" s="448"/>
      <c r="N953" s="448"/>
      <c r="O953" s="448"/>
      <c r="P953" s="448"/>
      <c r="Q953" s="448"/>
      <c r="R953" s="448"/>
      <c r="S953" s="448"/>
      <c r="T953" s="448"/>
      <c r="U953" s="448"/>
      <c r="V953" s="448"/>
      <c r="W953" s="448"/>
      <c r="X953" s="448"/>
      <c r="Y953" s="448"/>
    </row>
    <row r="954">
      <c r="A954" s="448"/>
      <c r="B954" s="448"/>
      <c r="C954" s="448"/>
      <c r="D954" s="448"/>
      <c r="E954" s="448"/>
      <c r="F954" s="448"/>
      <c r="G954" s="448"/>
      <c r="H954" s="448"/>
      <c r="I954" s="448"/>
      <c r="J954" s="448"/>
      <c r="K954" s="448"/>
      <c r="L954" s="448"/>
      <c r="M954" s="448"/>
      <c r="N954" s="448"/>
      <c r="O954" s="448"/>
      <c r="P954" s="448"/>
      <c r="Q954" s="448"/>
      <c r="R954" s="448"/>
      <c r="S954" s="448"/>
      <c r="T954" s="448"/>
      <c r="U954" s="448"/>
      <c r="V954" s="448"/>
      <c r="W954" s="448"/>
      <c r="X954" s="448"/>
      <c r="Y954" s="448"/>
    </row>
    <row r="955">
      <c r="A955" s="448"/>
      <c r="B955" s="448"/>
      <c r="C955" s="448"/>
      <c r="D955" s="448"/>
      <c r="E955" s="448"/>
      <c r="F955" s="448"/>
      <c r="G955" s="448"/>
      <c r="H955" s="448"/>
      <c r="I955" s="448"/>
      <c r="J955" s="448"/>
      <c r="K955" s="448"/>
      <c r="L955" s="448"/>
      <c r="M955" s="448"/>
      <c r="N955" s="448"/>
      <c r="O955" s="448"/>
      <c r="P955" s="448"/>
      <c r="Q955" s="448"/>
      <c r="R955" s="448"/>
      <c r="S955" s="448"/>
      <c r="T955" s="448"/>
      <c r="U955" s="448"/>
      <c r="V955" s="448"/>
      <c r="W955" s="448"/>
      <c r="X955" s="448"/>
      <c r="Y955" s="448"/>
    </row>
    <row r="956">
      <c r="A956" s="448"/>
      <c r="B956" s="448"/>
      <c r="C956" s="448"/>
      <c r="D956" s="448"/>
      <c r="E956" s="448"/>
      <c r="F956" s="448"/>
      <c r="G956" s="448"/>
      <c r="H956" s="448"/>
      <c r="I956" s="448"/>
      <c r="J956" s="448"/>
      <c r="K956" s="448"/>
      <c r="L956" s="448"/>
      <c r="M956" s="448"/>
      <c r="N956" s="448"/>
      <c r="O956" s="448"/>
      <c r="P956" s="448"/>
      <c r="Q956" s="448"/>
      <c r="R956" s="448"/>
      <c r="S956" s="448"/>
      <c r="T956" s="448"/>
      <c r="U956" s="448"/>
      <c r="V956" s="448"/>
      <c r="W956" s="448"/>
      <c r="X956" s="448"/>
      <c r="Y956" s="448"/>
    </row>
    <row r="957">
      <c r="A957" s="448"/>
      <c r="B957" s="448"/>
      <c r="C957" s="448"/>
      <c r="D957" s="448"/>
      <c r="E957" s="448"/>
      <c r="F957" s="448"/>
      <c r="G957" s="448"/>
      <c r="H957" s="448"/>
      <c r="I957" s="448"/>
      <c r="J957" s="448"/>
      <c r="K957" s="448"/>
      <c r="L957" s="448"/>
      <c r="M957" s="448"/>
      <c r="N957" s="448"/>
      <c r="O957" s="448"/>
      <c r="P957" s="448"/>
      <c r="Q957" s="448"/>
      <c r="R957" s="448"/>
      <c r="S957" s="448"/>
      <c r="T957" s="448"/>
      <c r="U957" s="448"/>
      <c r="V957" s="448"/>
      <c r="W957" s="448"/>
      <c r="X957" s="448"/>
      <c r="Y957" s="448"/>
    </row>
    <row r="958">
      <c r="A958" s="448"/>
      <c r="B958" s="448"/>
      <c r="C958" s="448"/>
      <c r="D958" s="448"/>
      <c r="E958" s="448"/>
      <c r="F958" s="448"/>
      <c r="G958" s="448"/>
      <c r="H958" s="448"/>
      <c r="I958" s="448"/>
      <c r="J958" s="448"/>
      <c r="K958" s="448"/>
      <c r="L958" s="448"/>
      <c r="M958" s="448"/>
      <c r="N958" s="448"/>
      <c r="O958" s="448"/>
      <c r="P958" s="448"/>
      <c r="Q958" s="448"/>
      <c r="R958" s="448"/>
      <c r="S958" s="448"/>
      <c r="T958" s="448"/>
      <c r="U958" s="448"/>
      <c r="V958" s="448"/>
      <c r="W958" s="448"/>
      <c r="X958" s="448"/>
      <c r="Y958" s="448"/>
    </row>
    <row r="959">
      <c r="A959" s="448"/>
      <c r="B959" s="448"/>
      <c r="C959" s="448"/>
      <c r="D959" s="448"/>
      <c r="E959" s="448"/>
      <c r="F959" s="448"/>
      <c r="G959" s="448"/>
      <c r="H959" s="448"/>
      <c r="I959" s="448"/>
      <c r="J959" s="448"/>
      <c r="K959" s="448"/>
      <c r="L959" s="448"/>
      <c r="M959" s="448"/>
      <c r="N959" s="448"/>
      <c r="O959" s="448"/>
      <c r="P959" s="448"/>
      <c r="Q959" s="448"/>
      <c r="R959" s="448"/>
      <c r="S959" s="448"/>
      <c r="T959" s="448"/>
      <c r="U959" s="448"/>
      <c r="V959" s="448"/>
      <c r="W959" s="448"/>
      <c r="X959" s="448"/>
      <c r="Y959" s="448"/>
    </row>
    <row r="960">
      <c r="A960" s="448"/>
      <c r="B960" s="448"/>
      <c r="C960" s="448"/>
      <c r="D960" s="448"/>
      <c r="E960" s="448"/>
      <c r="F960" s="448"/>
      <c r="G960" s="448"/>
      <c r="H960" s="448"/>
      <c r="I960" s="448"/>
      <c r="J960" s="448"/>
      <c r="K960" s="448"/>
      <c r="L960" s="448"/>
      <c r="M960" s="448"/>
      <c r="N960" s="448"/>
      <c r="O960" s="448"/>
      <c r="P960" s="448"/>
      <c r="Q960" s="448"/>
      <c r="R960" s="448"/>
      <c r="S960" s="448"/>
      <c r="T960" s="448"/>
      <c r="U960" s="448"/>
      <c r="V960" s="448"/>
      <c r="W960" s="448"/>
      <c r="X960" s="448"/>
      <c r="Y960" s="448"/>
    </row>
    <row r="961">
      <c r="A961" s="448"/>
      <c r="B961" s="448"/>
      <c r="C961" s="448"/>
      <c r="D961" s="448"/>
      <c r="E961" s="448"/>
      <c r="F961" s="448"/>
      <c r="G961" s="448"/>
      <c r="H961" s="448"/>
      <c r="I961" s="448"/>
      <c r="J961" s="448"/>
      <c r="K961" s="448"/>
      <c r="L961" s="448"/>
      <c r="M961" s="448"/>
      <c r="N961" s="448"/>
      <c r="O961" s="448"/>
      <c r="P961" s="448"/>
      <c r="Q961" s="448"/>
      <c r="R961" s="448"/>
      <c r="S961" s="448"/>
      <c r="T961" s="448"/>
      <c r="U961" s="448"/>
      <c r="V961" s="448"/>
      <c r="W961" s="448"/>
      <c r="X961" s="448"/>
      <c r="Y961" s="448"/>
    </row>
    <row r="962">
      <c r="A962" s="448"/>
      <c r="B962" s="448"/>
      <c r="C962" s="448"/>
      <c r="D962" s="448"/>
      <c r="E962" s="448"/>
      <c r="F962" s="448"/>
      <c r="G962" s="448"/>
      <c r="H962" s="448"/>
      <c r="I962" s="448"/>
      <c r="J962" s="448"/>
      <c r="K962" s="448"/>
      <c r="L962" s="448"/>
      <c r="M962" s="448"/>
      <c r="N962" s="448"/>
      <c r="O962" s="448"/>
      <c r="P962" s="448"/>
      <c r="Q962" s="448"/>
      <c r="R962" s="448"/>
      <c r="S962" s="448"/>
      <c r="T962" s="448"/>
      <c r="U962" s="448"/>
      <c r="V962" s="448"/>
      <c r="W962" s="448"/>
      <c r="X962" s="448"/>
      <c r="Y962" s="448"/>
    </row>
    <row r="963">
      <c r="A963" s="448"/>
      <c r="B963" s="448"/>
      <c r="C963" s="448"/>
      <c r="D963" s="448"/>
      <c r="E963" s="448"/>
      <c r="F963" s="448"/>
      <c r="G963" s="448"/>
      <c r="H963" s="448"/>
      <c r="I963" s="448"/>
      <c r="J963" s="448"/>
      <c r="K963" s="448"/>
      <c r="L963" s="448"/>
      <c r="M963" s="448"/>
      <c r="N963" s="448"/>
      <c r="O963" s="448"/>
      <c r="P963" s="448"/>
      <c r="Q963" s="448"/>
      <c r="R963" s="448"/>
      <c r="S963" s="448"/>
      <c r="T963" s="448"/>
      <c r="U963" s="448"/>
      <c r="V963" s="448"/>
      <c r="W963" s="448"/>
      <c r="X963" s="448"/>
      <c r="Y963" s="448"/>
    </row>
    <row r="964">
      <c r="A964" s="448"/>
      <c r="B964" s="448"/>
      <c r="C964" s="448"/>
      <c r="D964" s="448"/>
      <c r="E964" s="448"/>
      <c r="F964" s="448"/>
      <c r="G964" s="448"/>
      <c r="H964" s="448"/>
      <c r="I964" s="448"/>
      <c r="J964" s="448"/>
      <c r="K964" s="448"/>
      <c r="L964" s="448"/>
      <c r="M964" s="448"/>
      <c r="N964" s="448"/>
      <c r="O964" s="448"/>
      <c r="P964" s="448"/>
      <c r="Q964" s="448"/>
      <c r="R964" s="448"/>
      <c r="S964" s="448"/>
      <c r="T964" s="448"/>
      <c r="U964" s="448"/>
      <c r="V964" s="448"/>
      <c r="W964" s="448"/>
      <c r="X964" s="448"/>
      <c r="Y964" s="448"/>
    </row>
    <row r="965">
      <c r="A965" s="448"/>
      <c r="B965" s="448"/>
      <c r="C965" s="448"/>
      <c r="D965" s="448"/>
      <c r="E965" s="448"/>
      <c r="F965" s="448"/>
      <c r="G965" s="448"/>
      <c r="H965" s="448"/>
      <c r="I965" s="448"/>
      <c r="J965" s="448"/>
      <c r="K965" s="448"/>
      <c r="L965" s="448"/>
      <c r="M965" s="448"/>
      <c r="N965" s="448"/>
      <c r="O965" s="448"/>
      <c r="P965" s="448"/>
      <c r="Q965" s="448"/>
      <c r="R965" s="448"/>
      <c r="S965" s="448"/>
      <c r="T965" s="448"/>
      <c r="U965" s="448"/>
      <c r="V965" s="448"/>
      <c r="W965" s="448"/>
      <c r="X965" s="448"/>
      <c r="Y965" s="448"/>
    </row>
    <row r="966">
      <c r="A966" s="448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48"/>
      <c r="M966" s="448"/>
      <c r="N966" s="448"/>
      <c r="O966" s="448"/>
      <c r="P966" s="448"/>
      <c r="Q966" s="448"/>
      <c r="R966" s="448"/>
      <c r="S966" s="448"/>
      <c r="T966" s="448"/>
      <c r="U966" s="448"/>
      <c r="V966" s="448"/>
      <c r="W966" s="448"/>
      <c r="X966" s="448"/>
      <c r="Y966" s="448"/>
    </row>
    <row r="967">
      <c r="A967" s="448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48"/>
      <c r="M967" s="448"/>
      <c r="N967" s="448"/>
      <c r="O967" s="448"/>
      <c r="P967" s="448"/>
      <c r="Q967" s="448"/>
      <c r="R967" s="448"/>
      <c r="S967" s="448"/>
      <c r="T967" s="448"/>
      <c r="U967" s="448"/>
      <c r="V967" s="448"/>
      <c r="W967" s="448"/>
      <c r="X967" s="448"/>
      <c r="Y967" s="448"/>
    </row>
    <row r="968">
      <c r="A968" s="448"/>
      <c r="B968" s="448"/>
      <c r="C968" s="448"/>
      <c r="D968" s="448"/>
      <c r="E968" s="448"/>
      <c r="F968" s="448"/>
      <c r="G968" s="448"/>
      <c r="H968" s="448"/>
      <c r="I968" s="448"/>
      <c r="J968" s="448"/>
      <c r="K968" s="448"/>
      <c r="L968" s="448"/>
      <c r="M968" s="448"/>
      <c r="N968" s="448"/>
      <c r="O968" s="448"/>
      <c r="P968" s="448"/>
      <c r="Q968" s="448"/>
      <c r="R968" s="448"/>
      <c r="S968" s="448"/>
      <c r="T968" s="448"/>
      <c r="U968" s="448"/>
      <c r="V968" s="448"/>
      <c r="W968" s="448"/>
      <c r="X968" s="448"/>
      <c r="Y968" s="448"/>
    </row>
    <row r="969">
      <c r="A969" s="448"/>
      <c r="B969" s="448"/>
      <c r="C969" s="448"/>
      <c r="D969" s="448"/>
      <c r="E969" s="448"/>
      <c r="F969" s="448"/>
      <c r="G969" s="448"/>
      <c r="H969" s="448"/>
      <c r="I969" s="448"/>
      <c r="J969" s="448"/>
      <c r="K969" s="448"/>
      <c r="L969" s="448"/>
      <c r="M969" s="448"/>
      <c r="N969" s="448"/>
      <c r="O969" s="448"/>
      <c r="P969" s="448"/>
      <c r="Q969" s="448"/>
      <c r="R969" s="448"/>
      <c r="S969" s="448"/>
      <c r="T969" s="448"/>
      <c r="U969" s="448"/>
      <c r="V969" s="448"/>
      <c r="W969" s="448"/>
      <c r="X969" s="448"/>
      <c r="Y969" s="448"/>
    </row>
    <row r="970">
      <c r="A970" s="448"/>
      <c r="B970" s="448"/>
      <c r="C970" s="448"/>
      <c r="D970" s="448"/>
      <c r="E970" s="448"/>
      <c r="F970" s="448"/>
      <c r="G970" s="448"/>
      <c r="H970" s="448"/>
      <c r="I970" s="448"/>
      <c r="J970" s="448"/>
      <c r="K970" s="448"/>
      <c r="L970" s="448"/>
      <c r="M970" s="448"/>
      <c r="N970" s="448"/>
      <c r="O970" s="448"/>
      <c r="P970" s="448"/>
      <c r="Q970" s="448"/>
      <c r="R970" s="448"/>
      <c r="S970" s="448"/>
      <c r="T970" s="448"/>
      <c r="U970" s="448"/>
      <c r="V970" s="448"/>
      <c r="W970" s="448"/>
      <c r="X970" s="448"/>
      <c r="Y970" s="448"/>
    </row>
    <row r="971">
      <c r="A971" s="448"/>
      <c r="B971" s="448"/>
      <c r="C971" s="448"/>
      <c r="D971" s="448"/>
      <c r="E971" s="448"/>
      <c r="F971" s="448"/>
      <c r="G971" s="448"/>
      <c r="H971" s="448"/>
      <c r="I971" s="448"/>
      <c r="J971" s="448"/>
      <c r="K971" s="448"/>
      <c r="L971" s="448"/>
      <c r="M971" s="448"/>
      <c r="N971" s="448"/>
      <c r="O971" s="448"/>
      <c r="P971" s="448"/>
      <c r="Q971" s="448"/>
      <c r="R971" s="448"/>
      <c r="S971" s="448"/>
      <c r="T971" s="448"/>
      <c r="U971" s="448"/>
      <c r="V971" s="448"/>
      <c r="W971" s="448"/>
      <c r="X971" s="448"/>
      <c r="Y971" s="448"/>
    </row>
    <row r="972">
      <c r="A972" s="448"/>
      <c r="B972" s="448"/>
      <c r="C972" s="448"/>
      <c r="D972" s="448"/>
      <c r="E972" s="448"/>
      <c r="F972" s="448"/>
      <c r="G972" s="448"/>
      <c r="H972" s="448"/>
      <c r="I972" s="448"/>
      <c r="J972" s="448"/>
      <c r="K972" s="448"/>
      <c r="L972" s="448"/>
      <c r="M972" s="448"/>
      <c r="N972" s="448"/>
      <c r="O972" s="448"/>
      <c r="P972" s="448"/>
      <c r="Q972" s="448"/>
      <c r="R972" s="448"/>
      <c r="S972" s="448"/>
      <c r="T972" s="448"/>
      <c r="U972" s="448"/>
      <c r="V972" s="448"/>
      <c r="W972" s="448"/>
      <c r="X972" s="448"/>
      <c r="Y972" s="448"/>
    </row>
    <row r="973">
      <c r="A973" s="448"/>
      <c r="B973" s="448"/>
      <c r="C973" s="448"/>
      <c r="D973" s="448"/>
      <c r="E973" s="448"/>
      <c r="F973" s="448"/>
      <c r="G973" s="448"/>
      <c r="H973" s="448"/>
      <c r="I973" s="448"/>
      <c r="J973" s="448"/>
      <c r="K973" s="448"/>
      <c r="L973" s="448"/>
      <c r="M973" s="448"/>
      <c r="N973" s="448"/>
      <c r="O973" s="448"/>
      <c r="P973" s="448"/>
      <c r="Q973" s="448"/>
      <c r="R973" s="448"/>
      <c r="S973" s="448"/>
      <c r="T973" s="448"/>
      <c r="U973" s="448"/>
      <c r="V973" s="448"/>
      <c r="W973" s="448"/>
      <c r="X973" s="448"/>
      <c r="Y973" s="448"/>
    </row>
    <row r="974">
      <c r="A974" s="448"/>
      <c r="B974" s="448"/>
      <c r="C974" s="448"/>
      <c r="D974" s="448"/>
      <c r="E974" s="448"/>
      <c r="F974" s="448"/>
      <c r="G974" s="448"/>
      <c r="H974" s="448"/>
      <c r="I974" s="448"/>
      <c r="J974" s="448"/>
      <c r="K974" s="448"/>
      <c r="L974" s="448"/>
      <c r="M974" s="448"/>
      <c r="N974" s="448"/>
      <c r="O974" s="448"/>
      <c r="P974" s="448"/>
      <c r="Q974" s="448"/>
      <c r="R974" s="448"/>
      <c r="S974" s="448"/>
      <c r="T974" s="448"/>
      <c r="U974" s="448"/>
      <c r="V974" s="448"/>
      <c r="W974" s="448"/>
      <c r="X974" s="448"/>
      <c r="Y974" s="448"/>
    </row>
    <row r="975">
      <c r="A975" s="448"/>
      <c r="B975" s="448"/>
      <c r="C975" s="448"/>
      <c r="D975" s="448"/>
      <c r="E975" s="448"/>
      <c r="F975" s="448"/>
      <c r="G975" s="448"/>
      <c r="H975" s="448"/>
      <c r="I975" s="448"/>
      <c r="J975" s="448"/>
      <c r="K975" s="448"/>
      <c r="L975" s="448"/>
      <c r="M975" s="448"/>
      <c r="N975" s="448"/>
      <c r="O975" s="448"/>
      <c r="P975" s="448"/>
      <c r="Q975" s="448"/>
      <c r="R975" s="448"/>
      <c r="S975" s="448"/>
      <c r="T975" s="448"/>
      <c r="U975" s="448"/>
      <c r="V975" s="448"/>
      <c r="W975" s="448"/>
      <c r="X975" s="448"/>
      <c r="Y975" s="448"/>
    </row>
    <row r="976">
      <c r="A976" s="448"/>
      <c r="B976" s="448"/>
      <c r="C976" s="448"/>
      <c r="D976" s="448"/>
      <c r="E976" s="448"/>
      <c r="F976" s="448"/>
      <c r="G976" s="448"/>
      <c r="H976" s="448"/>
      <c r="I976" s="448"/>
      <c r="J976" s="448"/>
      <c r="K976" s="448"/>
      <c r="L976" s="448"/>
      <c r="M976" s="448"/>
      <c r="N976" s="448"/>
      <c r="O976" s="448"/>
      <c r="P976" s="448"/>
      <c r="Q976" s="448"/>
      <c r="R976" s="448"/>
      <c r="S976" s="448"/>
      <c r="T976" s="448"/>
      <c r="U976" s="448"/>
      <c r="V976" s="448"/>
      <c r="W976" s="448"/>
      <c r="X976" s="448"/>
      <c r="Y976" s="448"/>
    </row>
    <row r="977">
      <c r="A977" s="448"/>
      <c r="B977" s="448"/>
      <c r="C977" s="448"/>
      <c r="D977" s="448"/>
      <c r="E977" s="448"/>
      <c r="F977" s="448"/>
      <c r="G977" s="448"/>
      <c r="H977" s="448"/>
      <c r="I977" s="448"/>
      <c r="J977" s="448"/>
      <c r="K977" s="448"/>
      <c r="L977" s="448"/>
      <c r="M977" s="448"/>
      <c r="N977" s="448"/>
      <c r="O977" s="448"/>
      <c r="P977" s="448"/>
      <c r="Q977" s="448"/>
      <c r="R977" s="448"/>
      <c r="S977" s="448"/>
      <c r="T977" s="448"/>
      <c r="U977" s="448"/>
      <c r="V977" s="448"/>
      <c r="W977" s="448"/>
      <c r="X977" s="448"/>
      <c r="Y977" s="448"/>
    </row>
    <row r="978">
      <c r="A978" s="448"/>
      <c r="B978" s="448"/>
      <c r="C978" s="448"/>
      <c r="D978" s="448"/>
      <c r="E978" s="448"/>
      <c r="F978" s="448"/>
      <c r="G978" s="448"/>
      <c r="H978" s="448"/>
      <c r="I978" s="448"/>
      <c r="J978" s="448"/>
      <c r="K978" s="448"/>
      <c r="L978" s="448"/>
      <c r="M978" s="448"/>
      <c r="N978" s="448"/>
      <c r="O978" s="448"/>
      <c r="P978" s="448"/>
      <c r="Q978" s="448"/>
      <c r="R978" s="448"/>
      <c r="S978" s="448"/>
      <c r="T978" s="448"/>
      <c r="U978" s="448"/>
      <c r="V978" s="448"/>
      <c r="W978" s="448"/>
      <c r="X978" s="448"/>
      <c r="Y978" s="448"/>
    </row>
    <row r="979">
      <c r="A979" s="448"/>
      <c r="B979" s="448"/>
      <c r="C979" s="448"/>
      <c r="D979" s="448"/>
      <c r="E979" s="448"/>
      <c r="F979" s="448"/>
      <c r="G979" s="448"/>
      <c r="H979" s="448"/>
      <c r="I979" s="448"/>
      <c r="J979" s="448"/>
      <c r="K979" s="448"/>
      <c r="L979" s="448"/>
      <c r="M979" s="448"/>
      <c r="N979" s="448"/>
      <c r="O979" s="448"/>
      <c r="P979" s="448"/>
      <c r="Q979" s="448"/>
      <c r="R979" s="448"/>
      <c r="S979" s="448"/>
      <c r="T979" s="448"/>
      <c r="U979" s="448"/>
      <c r="V979" s="448"/>
      <c r="W979" s="448"/>
      <c r="X979" s="448"/>
      <c r="Y979" s="448"/>
    </row>
    <row r="980">
      <c r="A980" s="448"/>
      <c r="B980" s="448"/>
      <c r="C980" s="448"/>
      <c r="D980" s="448"/>
      <c r="E980" s="448"/>
      <c r="F980" s="448"/>
      <c r="G980" s="448"/>
      <c r="H980" s="448"/>
      <c r="I980" s="448"/>
      <c r="J980" s="448"/>
      <c r="K980" s="448"/>
      <c r="L980" s="448"/>
      <c r="M980" s="448"/>
      <c r="N980" s="448"/>
      <c r="O980" s="448"/>
      <c r="P980" s="448"/>
      <c r="Q980" s="448"/>
      <c r="R980" s="448"/>
      <c r="S980" s="448"/>
      <c r="T980" s="448"/>
      <c r="U980" s="448"/>
      <c r="V980" s="448"/>
      <c r="W980" s="448"/>
      <c r="X980" s="448"/>
      <c r="Y980" s="448"/>
    </row>
    <row r="981">
      <c r="A981" s="448"/>
      <c r="B981" s="448"/>
      <c r="C981" s="448"/>
      <c r="D981" s="448"/>
      <c r="E981" s="448"/>
      <c r="F981" s="448"/>
      <c r="G981" s="448"/>
      <c r="H981" s="448"/>
      <c r="I981" s="448"/>
      <c r="J981" s="448"/>
      <c r="K981" s="448"/>
      <c r="L981" s="448"/>
      <c r="M981" s="448"/>
      <c r="N981" s="448"/>
      <c r="O981" s="448"/>
      <c r="P981" s="448"/>
      <c r="Q981" s="448"/>
      <c r="R981" s="448"/>
      <c r="S981" s="448"/>
      <c r="T981" s="448"/>
      <c r="U981" s="448"/>
      <c r="V981" s="448"/>
      <c r="W981" s="448"/>
      <c r="X981" s="448"/>
      <c r="Y981" s="448"/>
    </row>
    <row r="982">
      <c r="A982" s="448"/>
      <c r="B982" s="448"/>
      <c r="C982" s="448"/>
      <c r="D982" s="448"/>
      <c r="E982" s="448"/>
      <c r="F982" s="448"/>
      <c r="G982" s="448"/>
      <c r="H982" s="448"/>
      <c r="I982" s="448"/>
      <c r="J982" s="448"/>
      <c r="K982" s="448"/>
      <c r="L982" s="448"/>
      <c r="M982" s="448"/>
      <c r="N982" s="448"/>
      <c r="O982" s="448"/>
      <c r="P982" s="448"/>
      <c r="Q982" s="448"/>
      <c r="R982" s="448"/>
      <c r="S982" s="448"/>
      <c r="T982" s="448"/>
      <c r="U982" s="448"/>
      <c r="V982" s="448"/>
      <c r="W982" s="448"/>
      <c r="X982" s="448"/>
      <c r="Y982" s="448"/>
    </row>
    <row r="983">
      <c r="A983" s="448"/>
      <c r="B983" s="448"/>
      <c r="C983" s="448"/>
      <c r="D983" s="448"/>
      <c r="E983" s="448"/>
      <c r="F983" s="448"/>
      <c r="G983" s="448"/>
      <c r="H983" s="448"/>
      <c r="I983" s="448"/>
      <c r="J983" s="448"/>
      <c r="K983" s="448"/>
      <c r="L983" s="448"/>
      <c r="M983" s="448"/>
      <c r="N983" s="448"/>
      <c r="O983" s="448"/>
      <c r="P983" s="448"/>
      <c r="Q983" s="448"/>
      <c r="R983" s="448"/>
      <c r="S983" s="448"/>
      <c r="T983" s="448"/>
      <c r="U983" s="448"/>
      <c r="V983" s="448"/>
      <c r="W983" s="448"/>
      <c r="X983" s="448"/>
      <c r="Y983" s="448"/>
    </row>
    <row r="984">
      <c r="A984" s="448"/>
      <c r="B984" s="448"/>
      <c r="C984" s="448"/>
      <c r="D984" s="448"/>
      <c r="E984" s="448"/>
      <c r="F984" s="448"/>
      <c r="G984" s="448"/>
      <c r="H984" s="448"/>
      <c r="I984" s="448"/>
      <c r="J984" s="448"/>
      <c r="K984" s="448"/>
      <c r="L984" s="448"/>
      <c r="M984" s="448"/>
      <c r="N984" s="448"/>
      <c r="O984" s="448"/>
      <c r="P984" s="448"/>
      <c r="Q984" s="448"/>
      <c r="R984" s="448"/>
      <c r="S984" s="448"/>
      <c r="T984" s="448"/>
      <c r="U984" s="448"/>
      <c r="V984" s="448"/>
      <c r="W984" s="448"/>
      <c r="X984" s="448"/>
      <c r="Y984" s="448"/>
    </row>
    <row r="985">
      <c r="A985" s="448"/>
      <c r="B985" s="448"/>
      <c r="C985" s="448"/>
      <c r="D985" s="448"/>
      <c r="E985" s="448"/>
      <c r="F985" s="448"/>
      <c r="G985" s="448"/>
      <c r="H985" s="448"/>
      <c r="I985" s="448"/>
      <c r="J985" s="448"/>
      <c r="K985" s="448"/>
      <c r="L985" s="448"/>
      <c r="M985" s="448"/>
      <c r="N985" s="448"/>
      <c r="O985" s="448"/>
      <c r="P985" s="448"/>
      <c r="Q985" s="448"/>
      <c r="R985" s="448"/>
      <c r="S985" s="448"/>
      <c r="T985" s="448"/>
      <c r="U985" s="448"/>
      <c r="V985" s="448"/>
      <c r="W985" s="448"/>
      <c r="X985" s="448"/>
      <c r="Y985" s="448"/>
    </row>
    <row r="986">
      <c r="A986" s="448"/>
      <c r="B986" s="448"/>
      <c r="C986" s="448"/>
      <c r="D986" s="448"/>
      <c r="E986" s="448"/>
      <c r="F986" s="448"/>
      <c r="G986" s="448"/>
      <c r="H986" s="448"/>
      <c r="I986" s="448"/>
      <c r="J986" s="448"/>
      <c r="K986" s="448"/>
      <c r="L986" s="448"/>
      <c r="M986" s="448"/>
      <c r="N986" s="448"/>
      <c r="O986" s="448"/>
      <c r="P986" s="448"/>
      <c r="Q986" s="448"/>
      <c r="R986" s="448"/>
      <c r="S986" s="448"/>
      <c r="T986" s="448"/>
      <c r="U986" s="448"/>
      <c r="V986" s="448"/>
      <c r="W986" s="448"/>
      <c r="X986" s="448"/>
      <c r="Y986" s="448"/>
    </row>
    <row r="987">
      <c r="A987" s="448"/>
      <c r="B987" s="448"/>
      <c r="C987" s="448"/>
      <c r="D987" s="448"/>
      <c r="E987" s="448"/>
      <c r="F987" s="448"/>
      <c r="G987" s="448"/>
      <c r="H987" s="448"/>
      <c r="I987" s="448"/>
      <c r="J987" s="448"/>
      <c r="K987" s="448"/>
      <c r="L987" s="448"/>
      <c r="M987" s="448"/>
      <c r="N987" s="448"/>
      <c r="O987" s="448"/>
      <c r="P987" s="448"/>
      <c r="Q987" s="448"/>
      <c r="R987" s="448"/>
      <c r="S987" s="448"/>
      <c r="T987" s="448"/>
      <c r="U987" s="448"/>
      <c r="V987" s="448"/>
      <c r="W987" s="448"/>
      <c r="X987" s="448"/>
      <c r="Y987" s="448"/>
    </row>
    <row r="988">
      <c r="A988" s="448"/>
      <c r="B988" s="448"/>
      <c r="C988" s="448"/>
      <c r="D988" s="448"/>
      <c r="E988" s="448"/>
      <c r="F988" s="448"/>
      <c r="G988" s="448"/>
      <c r="H988" s="448"/>
      <c r="I988" s="448"/>
      <c r="J988" s="448"/>
      <c r="K988" s="448"/>
      <c r="L988" s="448"/>
      <c r="M988" s="448"/>
      <c r="N988" s="448"/>
      <c r="O988" s="448"/>
      <c r="P988" s="448"/>
      <c r="Q988" s="448"/>
      <c r="R988" s="448"/>
      <c r="S988" s="448"/>
      <c r="T988" s="448"/>
      <c r="U988" s="448"/>
      <c r="V988" s="448"/>
      <c r="W988" s="448"/>
      <c r="X988" s="448"/>
      <c r="Y988" s="448"/>
    </row>
    <row r="989">
      <c r="A989" s="448"/>
      <c r="B989" s="448"/>
      <c r="C989" s="448"/>
      <c r="D989" s="448"/>
      <c r="E989" s="448"/>
      <c r="F989" s="448"/>
      <c r="G989" s="448"/>
      <c r="H989" s="448"/>
      <c r="I989" s="448"/>
      <c r="J989" s="448"/>
      <c r="K989" s="448"/>
      <c r="L989" s="448"/>
      <c r="M989" s="448"/>
      <c r="N989" s="448"/>
      <c r="O989" s="448"/>
      <c r="P989" s="448"/>
      <c r="Q989" s="448"/>
      <c r="R989" s="448"/>
      <c r="S989" s="448"/>
      <c r="T989" s="448"/>
      <c r="U989" s="448"/>
      <c r="V989" s="448"/>
      <c r="W989" s="448"/>
      <c r="X989" s="448"/>
      <c r="Y989" s="448"/>
    </row>
    <row r="990">
      <c r="A990" s="448"/>
      <c r="B990" s="448"/>
      <c r="C990" s="448"/>
      <c r="D990" s="448"/>
      <c r="E990" s="448"/>
      <c r="F990" s="448"/>
      <c r="G990" s="448"/>
      <c r="H990" s="448"/>
      <c r="I990" s="448"/>
      <c r="J990" s="448"/>
      <c r="K990" s="448"/>
      <c r="L990" s="448"/>
      <c r="M990" s="448"/>
      <c r="N990" s="448"/>
      <c r="O990" s="448"/>
      <c r="P990" s="448"/>
      <c r="Q990" s="448"/>
      <c r="R990" s="448"/>
      <c r="S990" s="448"/>
      <c r="T990" s="448"/>
      <c r="U990" s="448"/>
      <c r="V990" s="448"/>
      <c r="W990" s="448"/>
      <c r="X990" s="448"/>
      <c r="Y990" s="448"/>
    </row>
    <row r="991">
      <c r="A991" s="448"/>
      <c r="B991" s="448"/>
      <c r="C991" s="448"/>
      <c r="D991" s="448"/>
      <c r="E991" s="448"/>
      <c r="F991" s="448"/>
      <c r="G991" s="448"/>
      <c r="H991" s="448"/>
      <c r="I991" s="448"/>
      <c r="J991" s="448"/>
      <c r="K991" s="448"/>
      <c r="L991" s="448"/>
      <c r="M991" s="448"/>
      <c r="N991" s="448"/>
      <c r="O991" s="448"/>
      <c r="P991" s="448"/>
      <c r="Q991" s="448"/>
      <c r="R991" s="448"/>
      <c r="S991" s="448"/>
      <c r="T991" s="448"/>
      <c r="U991" s="448"/>
      <c r="V991" s="448"/>
      <c r="W991" s="448"/>
      <c r="X991" s="448"/>
      <c r="Y991" s="448"/>
    </row>
    <row r="992">
      <c r="A992" s="448"/>
      <c r="B992" s="448"/>
      <c r="C992" s="448"/>
      <c r="D992" s="448"/>
      <c r="E992" s="448"/>
      <c r="F992" s="448"/>
      <c r="G992" s="448"/>
      <c r="H992" s="448"/>
      <c r="I992" s="448"/>
      <c r="J992" s="448"/>
      <c r="K992" s="448"/>
      <c r="L992" s="448"/>
      <c r="M992" s="448"/>
      <c r="N992" s="448"/>
      <c r="O992" s="448"/>
      <c r="P992" s="448"/>
      <c r="Q992" s="448"/>
      <c r="R992" s="448"/>
      <c r="S992" s="448"/>
      <c r="T992" s="448"/>
      <c r="U992" s="448"/>
      <c r="V992" s="448"/>
      <c r="W992" s="448"/>
      <c r="X992" s="448"/>
      <c r="Y992" s="448"/>
    </row>
    <row r="993">
      <c r="A993" s="448"/>
      <c r="B993" s="448"/>
      <c r="C993" s="448"/>
      <c r="D993" s="448"/>
      <c r="E993" s="448"/>
      <c r="F993" s="448"/>
      <c r="G993" s="448"/>
      <c r="H993" s="448"/>
      <c r="I993" s="448"/>
      <c r="J993" s="448"/>
      <c r="K993" s="448"/>
      <c r="L993" s="448"/>
      <c r="M993" s="448"/>
      <c r="N993" s="448"/>
      <c r="O993" s="448"/>
      <c r="P993" s="448"/>
      <c r="Q993" s="448"/>
      <c r="R993" s="448"/>
      <c r="S993" s="448"/>
      <c r="T993" s="448"/>
      <c r="U993" s="448"/>
      <c r="V993" s="448"/>
      <c r="W993" s="448"/>
      <c r="X993" s="448"/>
      <c r="Y993" s="448"/>
    </row>
    <row r="994">
      <c r="A994" s="448"/>
      <c r="B994" s="448"/>
      <c r="C994" s="448"/>
      <c r="D994" s="448"/>
      <c r="E994" s="448"/>
      <c r="F994" s="448"/>
      <c r="G994" s="448"/>
      <c r="H994" s="448"/>
      <c r="I994" s="448"/>
      <c r="J994" s="448"/>
      <c r="K994" s="448"/>
      <c r="L994" s="448"/>
      <c r="M994" s="448"/>
      <c r="N994" s="448"/>
      <c r="O994" s="448"/>
      <c r="P994" s="448"/>
      <c r="Q994" s="448"/>
      <c r="R994" s="448"/>
      <c r="S994" s="448"/>
      <c r="T994" s="448"/>
      <c r="U994" s="448"/>
      <c r="V994" s="448"/>
      <c r="W994" s="448"/>
      <c r="X994" s="448"/>
      <c r="Y994" s="448"/>
    </row>
    <row r="995">
      <c r="A995" s="448"/>
      <c r="B995" s="448"/>
      <c r="C995" s="448"/>
      <c r="D995" s="448"/>
      <c r="E995" s="448"/>
      <c r="F995" s="448"/>
      <c r="G995" s="448"/>
      <c r="H995" s="448"/>
      <c r="I995" s="448"/>
      <c r="J995" s="448"/>
      <c r="K995" s="448"/>
      <c r="L995" s="448"/>
      <c r="M995" s="448"/>
      <c r="N995" s="448"/>
      <c r="O995" s="448"/>
      <c r="P995" s="448"/>
      <c r="Q995" s="448"/>
      <c r="R995" s="448"/>
      <c r="S995" s="448"/>
      <c r="T995" s="448"/>
      <c r="U995" s="448"/>
      <c r="V995" s="448"/>
      <c r="W995" s="448"/>
      <c r="X995" s="448"/>
      <c r="Y995" s="448"/>
    </row>
    <row r="996">
      <c r="A996" s="448"/>
      <c r="B996" s="448"/>
      <c r="C996" s="448"/>
      <c r="D996" s="448"/>
      <c r="E996" s="448"/>
      <c r="F996" s="448"/>
      <c r="G996" s="448"/>
      <c r="H996" s="448"/>
      <c r="I996" s="448"/>
      <c r="J996" s="448"/>
      <c r="K996" s="448"/>
      <c r="L996" s="448"/>
      <c r="M996" s="448"/>
      <c r="N996" s="448"/>
      <c r="O996" s="448"/>
      <c r="P996" s="448"/>
      <c r="Q996" s="448"/>
      <c r="R996" s="448"/>
      <c r="S996" s="448"/>
      <c r="T996" s="448"/>
      <c r="U996" s="448"/>
      <c r="V996" s="448"/>
      <c r="W996" s="448"/>
      <c r="X996" s="448"/>
      <c r="Y996" s="448"/>
    </row>
    <row r="997">
      <c r="A997" s="448"/>
      <c r="B997" s="448"/>
      <c r="C997" s="448"/>
      <c r="D997" s="448"/>
      <c r="E997" s="448"/>
      <c r="F997" s="448"/>
      <c r="G997" s="448"/>
      <c r="H997" s="448"/>
      <c r="I997" s="448"/>
      <c r="J997" s="448"/>
      <c r="K997" s="448"/>
      <c r="L997" s="448"/>
      <c r="M997" s="448"/>
      <c r="N997" s="448"/>
      <c r="O997" s="448"/>
      <c r="P997" s="448"/>
      <c r="Q997" s="448"/>
      <c r="R997" s="448"/>
      <c r="S997" s="448"/>
      <c r="T997" s="448"/>
      <c r="U997" s="448"/>
      <c r="V997" s="448"/>
      <c r="W997" s="448"/>
      <c r="X997" s="448"/>
      <c r="Y997" s="448"/>
    </row>
    <row r="998">
      <c r="A998" s="448"/>
      <c r="B998" s="448"/>
      <c r="C998" s="448"/>
      <c r="D998" s="448"/>
      <c r="E998" s="448"/>
      <c r="F998" s="448"/>
      <c r="G998" s="448"/>
      <c r="H998" s="448"/>
      <c r="I998" s="448"/>
      <c r="J998" s="448"/>
      <c r="K998" s="448"/>
      <c r="L998" s="448"/>
      <c r="M998" s="448"/>
      <c r="N998" s="448"/>
      <c r="O998" s="448"/>
      <c r="P998" s="448"/>
      <c r="Q998" s="448"/>
      <c r="R998" s="448"/>
      <c r="S998" s="448"/>
      <c r="T998" s="448"/>
      <c r="U998" s="448"/>
      <c r="V998" s="448"/>
      <c r="W998" s="448"/>
      <c r="X998" s="448"/>
      <c r="Y998" s="448"/>
    </row>
    <row r="999">
      <c r="A999" s="448"/>
      <c r="B999" s="448"/>
      <c r="C999" s="448"/>
      <c r="D999" s="448"/>
      <c r="E999" s="448"/>
      <c r="F999" s="448"/>
      <c r="G999" s="448"/>
      <c r="H999" s="448"/>
      <c r="I999" s="448"/>
      <c r="J999" s="448"/>
      <c r="K999" s="448"/>
      <c r="L999" s="448"/>
      <c r="M999" s="448"/>
      <c r="N999" s="448"/>
      <c r="O999" s="448"/>
      <c r="P999" s="448"/>
      <c r="Q999" s="448"/>
      <c r="R999" s="448"/>
      <c r="S999" s="448"/>
      <c r="T999" s="448"/>
      <c r="U999" s="448"/>
      <c r="V999" s="448"/>
      <c r="W999" s="448"/>
      <c r="X999" s="448"/>
      <c r="Y999" s="448"/>
    </row>
    <row r="1000">
      <c r="A1000" s="448"/>
      <c r="B1000" s="448"/>
      <c r="C1000" s="448"/>
      <c r="D1000" s="448"/>
      <c r="E1000" s="448"/>
      <c r="F1000" s="448"/>
      <c r="G1000" s="448"/>
      <c r="H1000" s="448"/>
      <c r="I1000" s="448"/>
      <c r="J1000" s="448"/>
      <c r="K1000" s="448"/>
      <c r="L1000" s="448"/>
      <c r="M1000" s="448"/>
      <c r="N1000" s="448"/>
      <c r="O1000" s="448"/>
      <c r="P1000" s="448"/>
      <c r="Q1000" s="448"/>
      <c r="R1000" s="448"/>
      <c r="S1000" s="448"/>
      <c r="T1000" s="448"/>
      <c r="U1000" s="448"/>
      <c r="V1000" s="448"/>
      <c r="W1000" s="448"/>
      <c r="X1000" s="448"/>
      <c r="Y1000" s="448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71"/>
  </cols>
  <sheetData>
    <row r="1">
      <c r="A1" s="576" t="s">
        <v>2798</v>
      </c>
      <c r="B1" s="577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  <c r="S1" s="578"/>
      <c r="T1" s="578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</row>
    <row r="2">
      <c r="A2" s="578" t="s">
        <v>2799</v>
      </c>
      <c r="B2" s="577" t="s">
        <v>41</v>
      </c>
      <c r="C2" s="578" t="s">
        <v>2800</v>
      </c>
      <c r="D2" s="578" t="s">
        <v>2801</v>
      </c>
      <c r="E2" s="578" t="s">
        <v>2802</v>
      </c>
      <c r="F2" s="578" t="s">
        <v>2803</v>
      </c>
      <c r="G2" s="578" t="s">
        <v>2804</v>
      </c>
      <c r="H2" s="578" t="s">
        <v>2805</v>
      </c>
      <c r="I2" s="578" t="s">
        <v>1786</v>
      </c>
      <c r="J2" s="578" t="s">
        <v>2806</v>
      </c>
      <c r="K2" s="578" t="s">
        <v>2807</v>
      </c>
      <c r="L2" s="578" t="s">
        <v>2808</v>
      </c>
      <c r="M2" s="578" t="s">
        <v>2809</v>
      </c>
      <c r="N2" s="578" t="s">
        <v>1794</v>
      </c>
      <c r="O2" s="578" t="s">
        <v>2810</v>
      </c>
      <c r="P2" s="578" t="s">
        <v>2811</v>
      </c>
      <c r="Q2" s="578" t="s">
        <v>2812</v>
      </c>
      <c r="R2" s="578" t="s">
        <v>2813</v>
      </c>
      <c r="S2" s="578" t="s">
        <v>51</v>
      </c>
      <c r="T2" s="578" t="s">
        <v>49</v>
      </c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</row>
    <row r="3">
      <c r="A3" s="578" t="s">
        <v>1699</v>
      </c>
      <c r="B3" s="577">
        <v>381.300999008617</v>
      </c>
      <c r="C3" s="580" t="s">
        <v>2814</v>
      </c>
      <c r="D3" s="580" t="s">
        <v>2815</v>
      </c>
      <c r="E3" s="580" t="s">
        <v>2816</v>
      </c>
      <c r="F3" s="580" t="s">
        <v>2817</v>
      </c>
      <c r="G3" s="580" t="s">
        <v>2818</v>
      </c>
      <c r="H3" s="580" t="s">
        <v>2819</v>
      </c>
      <c r="I3" s="580" t="s">
        <v>2820</v>
      </c>
      <c r="J3" s="580" t="s">
        <v>2821</v>
      </c>
      <c r="K3" s="580" t="s">
        <v>2822</v>
      </c>
      <c r="L3" s="580" t="s">
        <v>2823</v>
      </c>
      <c r="M3" s="580" t="s">
        <v>2824</v>
      </c>
      <c r="N3" s="581"/>
      <c r="O3" s="581"/>
      <c r="P3" s="580" t="s">
        <v>2825</v>
      </c>
      <c r="Q3" s="581"/>
      <c r="R3" s="581"/>
      <c r="S3" s="580" t="s">
        <v>2826</v>
      </c>
      <c r="T3" s="580" t="s">
        <v>2827</v>
      </c>
    </row>
    <row r="4">
      <c r="A4" s="578" t="s">
        <v>1707</v>
      </c>
      <c r="B4" s="577">
        <v>335.289186923721</v>
      </c>
      <c r="C4" s="580" t="s">
        <v>2828</v>
      </c>
      <c r="D4" s="580" t="s">
        <v>2829</v>
      </c>
      <c r="E4" s="580" t="s">
        <v>2830</v>
      </c>
      <c r="F4" s="580" t="s">
        <v>2831</v>
      </c>
      <c r="G4" s="580" t="s">
        <v>2832</v>
      </c>
      <c r="H4" s="580" t="s">
        <v>2833</v>
      </c>
      <c r="I4" s="580" t="s">
        <v>2834</v>
      </c>
      <c r="J4" s="580" t="s">
        <v>2835</v>
      </c>
      <c r="K4" s="580" t="s">
        <v>2836</v>
      </c>
      <c r="L4" s="580" t="s">
        <v>2837</v>
      </c>
      <c r="M4" s="580" t="s">
        <v>2838</v>
      </c>
      <c r="N4" s="581"/>
      <c r="O4" s="581"/>
      <c r="P4" s="580" t="s">
        <v>2839</v>
      </c>
      <c r="Q4" s="581"/>
      <c r="R4" s="581"/>
      <c r="S4" s="581"/>
      <c r="T4" s="581"/>
    </row>
    <row r="5">
      <c r="A5" s="578" t="s">
        <v>1711</v>
      </c>
      <c r="B5" s="577">
        <v>388.334433614228</v>
      </c>
      <c r="C5" s="580" t="s">
        <v>2840</v>
      </c>
      <c r="D5" s="580" t="s">
        <v>2841</v>
      </c>
      <c r="E5" s="580" t="s">
        <v>2842</v>
      </c>
      <c r="F5" s="580" t="s">
        <v>2843</v>
      </c>
      <c r="G5" s="580" t="s">
        <v>2844</v>
      </c>
      <c r="H5" s="580" t="s">
        <v>2815</v>
      </c>
      <c r="I5" s="580" t="s">
        <v>2845</v>
      </c>
      <c r="J5" s="580" t="s">
        <v>2846</v>
      </c>
      <c r="K5" s="580" t="s">
        <v>2847</v>
      </c>
      <c r="L5" s="580" t="s">
        <v>2848</v>
      </c>
      <c r="M5" s="580" t="s">
        <v>2824</v>
      </c>
      <c r="N5" s="581"/>
      <c r="O5" s="581"/>
      <c r="P5" s="580" t="s">
        <v>2849</v>
      </c>
      <c r="Q5" s="580" t="s">
        <v>2850</v>
      </c>
      <c r="R5" s="580" t="s">
        <v>2851</v>
      </c>
      <c r="S5" s="580" t="s">
        <v>2852</v>
      </c>
      <c r="T5" s="580" t="s">
        <v>2853</v>
      </c>
    </row>
    <row r="6">
      <c r="A6" s="578" t="s">
        <v>1659</v>
      </c>
      <c r="B6" s="577">
        <v>352.733686067019</v>
      </c>
      <c r="C6" s="580" t="s">
        <v>2854</v>
      </c>
      <c r="D6" s="580" t="s">
        <v>2855</v>
      </c>
      <c r="E6" s="580" t="s">
        <v>2856</v>
      </c>
      <c r="F6" s="580" t="s">
        <v>2857</v>
      </c>
      <c r="G6" s="580" t="s">
        <v>2858</v>
      </c>
      <c r="H6" s="580" t="s">
        <v>2859</v>
      </c>
      <c r="I6" s="580" t="s">
        <v>2860</v>
      </c>
      <c r="J6" s="580" t="s">
        <v>2861</v>
      </c>
      <c r="K6" s="580" t="s">
        <v>2862</v>
      </c>
      <c r="L6" s="580" t="s">
        <v>2863</v>
      </c>
      <c r="M6" s="580" t="s">
        <v>2824</v>
      </c>
      <c r="N6" s="581"/>
      <c r="O6" s="581"/>
      <c r="P6" s="581"/>
      <c r="Q6" s="581"/>
      <c r="R6" s="581"/>
      <c r="S6" s="581"/>
      <c r="T6" s="581"/>
    </row>
    <row r="7">
      <c r="A7" s="578" t="s">
        <v>1683</v>
      </c>
      <c r="B7" s="577">
        <v>401.65481784954</v>
      </c>
      <c r="C7" s="580" t="s">
        <v>2864</v>
      </c>
      <c r="D7" s="580" t="s">
        <v>2865</v>
      </c>
      <c r="E7" s="580" t="s">
        <v>2866</v>
      </c>
      <c r="F7" s="580" t="s">
        <v>2867</v>
      </c>
      <c r="G7" s="580" t="s">
        <v>2868</v>
      </c>
      <c r="H7" s="580" t="s">
        <v>2869</v>
      </c>
      <c r="I7" s="580" t="s">
        <v>2870</v>
      </c>
      <c r="J7" s="580" t="s">
        <v>2871</v>
      </c>
      <c r="K7" s="580" t="s">
        <v>2872</v>
      </c>
      <c r="L7" s="580" t="s">
        <v>2873</v>
      </c>
      <c r="M7" s="580" t="s">
        <v>2824</v>
      </c>
      <c r="N7" s="581"/>
      <c r="O7" s="581"/>
      <c r="P7" s="580" t="s">
        <v>2874</v>
      </c>
      <c r="Q7" s="581"/>
      <c r="R7" s="581"/>
      <c r="S7" s="580" t="s">
        <v>2875</v>
      </c>
      <c r="T7" s="580" t="s">
        <v>2876</v>
      </c>
    </row>
    <row r="8">
      <c r="A8" s="578" t="s">
        <v>1652</v>
      </c>
      <c r="B8" s="577">
        <v>413.308534821244</v>
      </c>
      <c r="C8" s="580" t="s">
        <v>2877</v>
      </c>
      <c r="D8" s="580" t="s">
        <v>2878</v>
      </c>
      <c r="E8" s="580" t="s">
        <v>2879</v>
      </c>
      <c r="F8" s="580" t="s">
        <v>2880</v>
      </c>
      <c r="G8" s="580" t="s">
        <v>2881</v>
      </c>
      <c r="H8" s="580" t="s">
        <v>2882</v>
      </c>
      <c r="I8" s="580" t="s">
        <v>2883</v>
      </c>
      <c r="J8" s="580" t="s">
        <v>2884</v>
      </c>
      <c r="K8" s="580" t="s">
        <v>2885</v>
      </c>
      <c r="L8" s="580" t="s">
        <v>2886</v>
      </c>
      <c r="M8" s="580" t="s">
        <v>2824</v>
      </c>
      <c r="N8" s="581"/>
      <c r="O8" s="581"/>
      <c r="P8" s="581"/>
      <c r="Q8" s="581"/>
      <c r="R8" s="581"/>
      <c r="S8" s="581"/>
      <c r="T8" s="581"/>
    </row>
    <row r="9">
      <c r="A9" s="578" t="s">
        <v>1654</v>
      </c>
      <c r="B9" s="577">
        <v>363.940750445827</v>
      </c>
      <c r="C9" s="580" t="s">
        <v>2887</v>
      </c>
      <c r="D9" s="580" t="s">
        <v>2888</v>
      </c>
      <c r="E9" s="580" t="s">
        <v>2889</v>
      </c>
      <c r="F9" s="580" t="s">
        <v>2890</v>
      </c>
      <c r="G9" s="580" t="s">
        <v>2891</v>
      </c>
      <c r="H9" s="580" t="s">
        <v>2892</v>
      </c>
      <c r="I9" s="580" t="s">
        <v>2893</v>
      </c>
      <c r="J9" s="580" t="s">
        <v>2894</v>
      </c>
      <c r="K9" s="580" t="s">
        <v>2895</v>
      </c>
      <c r="L9" s="580" t="s">
        <v>2896</v>
      </c>
      <c r="M9" s="580" t="s">
        <v>2824</v>
      </c>
      <c r="N9" s="581"/>
      <c r="O9" s="581"/>
      <c r="P9" s="581"/>
      <c r="Q9" s="581"/>
      <c r="R9" s="581"/>
      <c r="S9" s="581"/>
      <c r="T9" s="581"/>
    </row>
    <row r="10">
      <c r="A10" s="578" t="s">
        <v>1642</v>
      </c>
      <c r="B10" s="577">
        <v>338.718964874843</v>
      </c>
      <c r="C10" s="580" t="s">
        <v>2897</v>
      </c>
      <c r="D10" s="580" t="s">
        <v>2898</v>
      </c>
      <c r="E10" s="580" t="s">
        <v>2899</v>
      </c>
      <c r="F10" s="580" t="s">
        <v>2900</v>
      </c>
      <c r="G10" s="580" t="s">
        <v>2901</v>
      </c>
      <c r="H10" s="580" t="s">
        <v>2902</v>
      </c>
      <c r="I10" s="580" t="s">
        <v>2903</v>
      </c>
      <c r="J10" s="580" t="s">
        <v>2904</v>
      </c>
      <c r="K10" s="580" t="s">
        <v>2905</v>
      </c>
      <c r="L10" s="580" t="s">
        <v>2906</v>
      </c>
      <c r="M10" s="580" t="s">
        <v>2824</v>
      </c>
      <c r="N10" s="581"/>
      <c r="O10" s="581"/>
      <c r="P10" s="581"/>
      <c r="Q10" s="581"/>
      <c r="R10" s="581"/>
      <c r="S10" s="581"/>
      <c r="T10" s="581"/>
    </row>
    <row r="11">
      <c r="A11" s="578" t="s">
        <v>1635</v>
      </c>
      <c r="B11" s="582"/>
      <c r="C11" s="580" t="s">
        <v>2907</v>
      </c>
      <c r="D11" s="580" t="s">
        <v>2908</v>
      </c>
      <c r="E11" s="580" t="s">
        <v>2909</v>
      </c>
      <c r="F11" s="580" t="s">
        <v>2910</v>
      </c>
      <c r="G11" s="581"/>
      <c r="H11" s="581"/>
      <c r="I11" s="581"/>
      <c r="J11" s="581"/>
      <c r="K11" s="581"/>
      <c r="L11" s="581"/>
      <c r="M11" s="580" t="s">
        <v>2824</v>
      </c>
      <c r="N11" s="581"/>
      <c r="O11" s="581"/>
      <c r="P11" s="581"/>
      <c r="Q11" s="581"/>
      <c r="R11" s="581"/>
      <c r="S11" s="581"/>
      <c r="T11" s="581"/>
    </row>
    <row r="12">
      <c r="A12" s="578" t="s">
        <v>764</v>
      </c>
      <c r="B12" s="577">
        <v>-2554.27841634738</v>
      </c>
      <c r="C12" s="580" t="s">
        <v>2911</v>
      </c>
      <c r="D12" s="580" t="s">
        <v>2912</v>
      </c>
      <c r="E12" s="580" t="s">
        <v>2913</v>
      </c>
      <c r="F12" s="580" t="s">
        <v>2914</v>
      </c>
      <c r="G12" s="580" t="s">
        <v>2915</v>
      </c>
      <c r="H12" s="580" t="s">
        <v>2916</v>
      </c>
      <c r="I12" s="580" t="s">
        <v>2917</v>
      </c>
      <c r="J12" s="580" t="s">
        <v>2918</v>
      </c>
      <c r="K12" s="580" t="s">
        <v>2919</v>
      </c>
      <c r="L12" s="580" t="s">
        <v>2920</v>
      </c>
      <c r="M12" s="580" t="s">
        <v>2824</v>
      </c>
      <c r="N12" s="581"/>
      <c r="O12" s="581"/>
      <c r="P12" s="581"/>
      <c r="Q12" s="581"/>
      <c r="R12" s="581"/>
      <c r="S12" s="581"/>
      <c r="T12" s="581"/>
    </row>
    <row r="13">
      <c r="A13" s="578" t="s">
        <v>1696</v>
      </c>
      <c r="B13" s="577">
        <v>239.320330262055</v>
      </c>
      <c r="C13" s="580" t="s">
        <v>2921</v>
      </c>
      <c r="D13" s="580" t="s">
        <v>2922</v>
      </c>
      <c r="E13" s="580" t="s">
        <v>2923</v>
      </c>
      <c r="F13" s="580" t="s">
        <v>2924</v>
      </c>
      <c r="G13" s="580" t="s">
        <v>2925</v>
      </c>
      <c r="H13" s="580" t="s">
        <v>2926</v>
      </c>
      <c r="I13" s="580" t="s">
        <v>2927</v>
      </c>
      <c r="J13" s="580" t="s">
        <v>2928</v>
      </c>
      <c r="K13" s="580" t="s">
        <v>2929</v>
      </c>
      <c r="L13" s="580" t="s">
        <v>2930</v>
      </c>
      <c r="M13" s="580" t="s">
        <v>2824</v>
      </c>
      <c r="N13" s="581"/>
      <c r="O13" s="581"/>
      <c r="P13" s="581"/>
      <c r="Q13" s="581"/>
      <c r="R13" s="581"/>
      <c r="S13" s="581"/>
      <c r="T13" s="581"/>
    </row>
    <row r="14">
      <c r="A14" s="578" t="s">
        <v>490</v>
      </c>
      <c r="B14" s="577">
        <v>175.254118471784</v>
      </c>
      <c r="C14" s="580" t="s">
        <v>2931</v>
      </c>
      <c r="D14" s="580" t="s">
        <v>2932</v>
      </c>
      <c r="E14" s="580" t="s">
        <v>2933</v>
      </c>
      <c r="F14" s="580" t="s">
        <v>2934</v>
      </c>
      <c r="G14" s="580" t="s">
        <v>2935</v>
      </c>
      <c r="H14" s="580" t="s">
        <v>2936</v>
      </c>
      <c r="I14" s="580" t="s">
        <v>2937</v>
      </c>
      <c r="J14" s="580" t="s">
        <v>2938</v>
      </c>
      <c r="K14" s="580" t="s">
        <v>2939</v>
      </c>
      <c r="L14" s="580" t="s">
        <v>2863</v>
      </c>
      <c r="M14" s="580" t="s">
        <v>2824</v>
      </c>
      <c r="N14" s="581"/>
      <c r="O14" s="581"/>
      <c r="P14" s="581"/>
      <c r="Q14" s="581"/>
      <c r="R14" s="581"/>
      <c r="S14" s="581"/>
      <c r="T14" s="581"/>
    </row>
    <row r="15">
      <c r="A15" s="578" t="s">
        <v>630</v>
      </c>
      <c r="B15" s="577">
        <v>196.803904589467</v>
      </c>
      <c r="C15" s="580" t="s">
        <v>2940</v>
      </c>
      <c r="D15" s="580" t="s">
        <v>2941</v>
      </c>
      <c r="E15" s="580" t="s">
        <v>2942</v>
      </c>
      <c r="F15" s="580" t="s">
        <v>2943</v>
      </c>
      <c r="G15" s="580" t="s">
        <v>2944</v>
      </c>
      <c r="H15" s="580" t="s">
        <v>2945</v>
      </c>
      <c r="I15" s="580" t="s">
        <v>2946</v>
      </c>
      <c r="J15" s="580" t="s">
        <v>2947</v>
      </c>
      <c r="K15" s="580" t="s">
        <v>2948</v>
      </c>
      <c r="L15" s="580" t="s">
        <v>2949</v>
      </c>
      <c r="M15" s="580" t="s">
        <v>2824</v>
      </c>
      <c r="N15" s="581"/>
      <c r="O15" s="581"/>
      <c r="P15" s="581"/>
      <c r="Q15" s="581"/>
      <c r="R15" s="581"/>
      <c r="S15" s="581"/>
      <c r="T15" s="581"/>
    </row>
    <row r="16">
      <c r="A16" s="578" t="s">
        <v>630</v>
      </c>
      <c r="B16" s="577">
        <v>196.803904589467</v>
      </c>
      <c r="C16" s="580" t="s">
        <v>2940</v>
      </c>
      <c r="D16" s="580" t="s">
        <v>2941</v>
      </c>
      <c r="E16" s="580" t="s">
        <v>2942</v>
      </c>
      <c r="F16" s="580" t="s">
        <v>2943</v>
      </c>
      <c r="G16" s="580" t="s">
        <v>2944</v>
      </c>
      <c r="H16" s="580" t="s">
        <v>2945</v>
      </c>
      <c r="I16" s="580" t="s">
        <v>2946</v>
      </c>
      <c r="J16" s="580" t="s">
        <v>2947</v>
      </c>
      <c r="K16" s="580" t="s">
        <v>2948</v>
      </c>
      <c r="L16" s="580" t="s">
        <v>2949</v>
      </c>
      <c r="M16" s="580" t="s">
        <v>2824</v>
      </c>
      <c r="N16" s="581"/>
      <c r="O16" s="581"/>
      <c r="P16" s="581"/>
      <c r="Q16" s="581"/>
      <c r="R16" s="581"/>
      <c r="S16" s="581"/>
      <c r="T16" s="581"/>
    </row>
    <row r="17">
      <c r="A17" s="578" t="s">
        <v>667</v>
      </c>
      <c r="B17" s="577">
        <v>194.768517616812</v>
      </c>
      <c r="C17" s="580" t="s">
        <v>2950</v>
      </c>
      <c r="D17" s="580" t="s">
        <v>2951</v>
      </c>
      <c r="E17" s="580" t="s">
        <v>2952</v>
      </c>
      <c r="F17" s="580" t="s">
        <v>2953</v>
      </c>
      <c r="G17" s="580" t="s">
        <v>2954</v>
      </c>
      <c r="H17" s="580" t="s">
        <v>2955</v>
      </c>
      <c r="I17" s="580" t="s">
        <v>2956</v>
      </c>
      <c r="J17" s="580" t="s">
        <v>2957</v>
      </c>
      <c r="K17" s="580" t="s">
        <v>2958</v>
      </c>
      <c r="L17" s="580" t="s">
        <v>2959</v>
      </c>
      <c r="M17" s="580" t="s">
        <v>2824</v>
      </c>
      <c r="N17" s="581"/>
      <c r="O17" s="581"/>
      <c r="P17" s="581"/>
      <c r="Q17" s="581"/>
      <c r="R17" s="581"/>
      <c r="S17" s="581"/>
      <c r="T17" s="581"/>
    </row>
    <row r="18">
      <c r="A18" s="578" t="s">
        <v>655</v>
      </c>
      <c r="B18" s="577">
        <v>189.605809522003</v>
      </c>
      <c r="C18" s="580" t="s">
        <v>2960</v>
      </c>
      <c r="D18" s="580" t="s">
        <v>2961</v>
      </c>
      <c r="E18" s="580" t="s">
        <v>2962</v>
      </c>
      <c r="F18" s="580" t="s">
        <v>2963</v>
      </c>
      <c r="G18" s="580" t="s">
        <v>2964</v>
      </c>
      <c r="H18" s="580" t="s">
        <v>2965</v>
      </c>
      <c r="I18" s="580" t="s">
        <v>2966</v>
      </c>
      <c r="J18" s="580" t="s">
        <v>2967</v>
      </c>
      <c r="K18" s="580" t="s">
        <v>2968</v>
      </c>
      <c r="L18" s="580" t="s">
        <v>2969</v>
      </c>
      <c r="M18" s="580" t="s">
        <v>2824</v>
      </c>
      <c r="N18" s="581"/>
      <c r="O18" s="581"/>
      <c r="P18" s="581"/>
      <c r="Q18" s="581"/>
      <c r="R18" s="581"/>
      <c r="S18" s="581"/>
      <c r="T18" s="581"/>
    </row>
    <row r="19">
      <c r="A19" s="578" t="s">
        <v>670</v>
      </c>
      <c r="B19" s="577">
        <v>188.544062747464</v>
      </c>
      <c r="C19" s="580" t="s">
        <v>2970</v>
      </c>
      <c r="D19" s="580" t="s">
        <v>2971</v>
      </c>
      <c r="E19" s="580" t="s">
        <v>2972</v>
      </c>
      <c r="F19" s="580" t="s">
        <v>2973</v>
      </c>
      <c r="G19" s="580" t="s">
        <v>2974</v>
      </c>
      <c r="H19" s="580" t="s">
        <v>2975</v>
      </c>
      <c r="I19" s="580" t="s">
        <v>2976</v>
      </c>
      <c r="J19" s="580" t="s">
        <v>2977</v>
      </c>
      <c r="K19" s="580" t="s">
        <v>2978</v>
      </c>
      <c r="L19" s="580" t="s">
        <v>2979</v>
      </c>
      <c r="M19" s="580" t="s">
        <v>2824</v>
      </c>
      <c r="N19" s="581"/>
      <c r="O19" s="581"/>
      <c r="P19" s="581"/>
      <c r="Q19" s="581"/>
      <c r="R19" s="581"/>
      <c r="S19" s="581"/>
      <c r="T19" s="581"/>
    </row>
    <row r="20">
      <c r="A20" s="578" t="s">
        <v>281</v>
      </c>
      <c r="B20" s="582"/>
      <c r="C20" s="580" t="s">
        <v>2980</v>
      </c>
      <c r="D20" s="580" t="s">
        <v>2981</v>
      </c>
      <c r="E20" s="580" t="s">
        <v>2982</v>
      </c>
      <c r="F20" s="580" t="s">
        <v>2983</v>
      </c>
      <c r="G20" s="581"/>
      <c r="H20" s="581"/>
      <c r="I20" s="581"/>
      <c r="J20" s="581"/>
      <c r="K20" s="581"/>
      <c r="L20" s="581"/>
      <c r="M20" s="580" t="s">
        <v>2824</v>
      </c>
      <c r="N20" s="581"/>
      <c r="O20" s="581"/>
      <c r="P20" s="580" t="s">
        <v>2984</v>
      </c>
      <c r="Q20" s="581"/>
      <c r="R20" s="581"/>
      <c r="S20" s="581"/>
      <c r="T20" s="581"/>
    </row>
    <row r="21">
      <c r="A21" s="578" t="s">
        <v>281</v>
      </c>
      <c r="B21" s="582"/>
      <c r="C21" s="580" t="s">
        <v>2980</v>
      </c>
      <c r="D21" s="580" t="s">
        <v>2981</v>
      </c>
      <c r="E21" s="580" t="s">
        <v>2982</v>
      </c>
      <c r="F21" s="580" t="s">
        <v>2983</v>
      </c>
      <c r="G21" s="581"/>
      <c r="H21" s="581"/>
      <c r="I21" s="581"/>
      <c r="J21" s="581"/>
      <c r="K21" s="581"/>
      <c r="L21" s="581"/>
      <c r="M21" s="580" t="s">
        <v>2824</v>
      </c>
      <c r="N21" s="581"/>
      <c r="O21" s="581"/>
      <c r="P21" s="580" t="s">
        <v>2984</v>
      </c>
      <c r="Q21" s="581"/>
      <c r="R21" s="581"/>
      <c r="S21" s="581"/>
      <c r="T21" s="581"/>
    </row>
    <row r="22">
      <c r="A22" s="578" t="s">
        <v>657</v>
      </c>
      <c r="B22" s="577">
        <v>196.633632216454</v>
      </c>
      <c r="C22" s="580" t="s">
        <v>2985</v>
      </c>
      <c r="D22" s="580" t="s">
        <v>2986</v>
      </c>
      <c r="E22" s="580" t="s">
        <v>2987</v>
      </c>
      <c r="F22" s="580" t="s">
        <v>2988</v>
      </c>
      <c r="G22" s="580" t="s">
        <v>2989</v>
      </c>
      <c r="H22" s="580" t="s">
        <v>2990</v>
      </c>
      <c r="I22" s="580" t="s">
        <v>2991</v>
      </c>
      <c r="J22" s="580" t="s">
        <v>2992</v>
      </c>
      <c r="K22" s="580" t="s">
        <v>2993</v>
      </c>
      <c r="L22" s="580" t="s">
        <v>2994</v>
      </c>
      <c r="M22" s="580" t="s">
        <v>2824</v>
      </c>
      <c r="N22" s="581"/>
      <c r="O22" s="581"/>
      <c r="P22" s="580" t="s">
        <v>2995</v>
      </c>
      <c r="Q22" s="580" t="s">
        <v>2996</v>
      </c>
      <c r="R22" s="580" t="s">
        <v>2997</v>
      </c>
      <c r="S22" s="581"/>
      <c r="T22" s="581"/>
    </row>
    <row r="23">
      <c r="A23" s="578" t="s">
        <v>688</v>
      </c>
      <c r="B23" s="577">
        <v>196.792285742398</v>
      </c>
      <c r="C23" s="580" t="s">
        <v>2998</v>
      </c>
      <c r="D23" s="580" t="s">
        <v>2999</v>
      </c>
      <c r="E23" s="580" t="s">
        <v>3000</v>
      </c>
      <c r="F23" s="580" t="s">
        <v>3001</v>
      </c>
      <c r="G23" s="580" t="s">
        <v>3002</v>
      </c>
      <c r="H23" s="580" t="s">
        <v>3003</v>
      </c>
      <c r="I23" s="580" t="s">
        <v>3004</v>
      </c>
      <c r="J23" s="580" t="s">
        <v>3005</v>
      </c>
      <c r="K23" s="580" t="s">
        <v>3006</v>
      </c>
      <c r="L23" s="580" t="s">
        <v>3007</v>
      </c>
      <c r="M23" s="580" t="s">
        <v>2824</v>
      </c>
      <c r="N23" s="581"/>
      <c r="O23" s="581"/>
      <c r="P23" s="580" t="s">
        <v>3008</v>
      </c>
      <c r="Q23" s="581"/>
      <c r="R23" s="581"/>
      <c r="S23" s="581"/>
      <c r="T23" s="581"/>
    </row>
    <row r="24">
      <c r="A24" s="578" t="s">
        <v>266</v>
      </c>
      <c r="B24" s="577">
        <v>179.32394871335</v>
      </c>
      <c r="C24" s="580" t="s">
        <v>3009</v>
      </c>
      <c r="D24" s="580" t="s">
        <v>3010</v>
      </c>
      <c r="E24" s="580" t="s">
        <v>3011</v>
      </c>
      <c r="F24" s="580" t="s">
        <v>3012</v>
      </c>
      <c r="G24" s="580" t="s">
        <v>3013</v>
      </c>
      <c r="H24" s="580" t="s">
        <v>3014</v>
      </c>
      <c r="I24" s="580" t="s">
        <v>3015</v>
      </c>
      <c r="J24" s="580" t="s">
        <v>3016</v>
      </c>
      <c r="K24" s="580" t="s">
        <v>3017</v>
      </c>
      <c r="L24" s="580" t="s">
        <v>3018</v>
      </c>
      <c r="M24" s="580" t="s">
        <v>2824</v>
      </c>
      <c r="N24" s="581"/>
      <c r="O24" s="581"/>
      <c r="P24" s="580" t="s">
        <v>3019</v>
      </c>
      <c r="Q24" s="580" t="s">
        <v>3020</v>
      </c>
      <c r="R24" s="580" t="s">
        <v>3021</v>
      </c>
      <c r="S24" s="581"/>
      <c r="T24" s="581"/>
    </row>
    <row r="25">
      <c r="A25" s="578" t="s">
        <v>266</v>
      </c>
      <c r="B25" s="577">
        <v>179.32394871335</v>
      </c>
      <c r="C25" s="580" t="s">
        <v>3009</v>
      </c>
      <c r="D25" s="580" t="s">
        <v>3010</v>
      </c>
      <c r="E25" s="580" t="s">
        <v>3011</v>
      </c>
      <c r="F25" s="580" t="s">
        <v>3012</v>
      </c>
      <c r="G25" s="580" t="s">
        <v>3013</v>
      </c>
      <c r="H25" s="580" t="s">
        <v>3014</v>
      </c>
      <c r="I25" s="580" t="s">
        <v>3015</v>
      </c>
      <c r="J25" s="580" t="s">
        <v>3016</v>
      </c>
      <c r="K25" s="580" t="s">
        <v>3017</v>
      </c>
      <c r="L25" s="580" t="s">
        <v>3018</v>
      </c>
      <c r="M25" s="580" t="s">
        <v>2824</v>
      </c>
      <c r="N25" s="581"/>
      <c r="O25" s="581"/>
      <c r="P25" s="580" t="s">
        <v>3019</v>
      </c>
      <c r="Q25" s="580" t="s">
        <v>3020</v>
      </c>
      <c r="R25" s="580" t="s">
        <v>3021</v>
      </c>
      <c r="S25" s="581"/>
      <c r="T25" s="581"/>
    </row>
    <row r="26">
      <c r="A26" s="578" t="s">
        <v>632</v>
      </c>
      <c r="B26" s="577">
        <v>184.240101700536</v>
      </c>
      <c r="C26" s="580" t="s">
        <v>3022</v>
      </c>
      <c r="D26" s="580" t="s">
        <v>3023</v>
      </c>
      <c r="E26" s="580" t="s">
        <v>3024</v>
      </c>
      <c r="F26" s="580" t="s">
        <v>3025</v>
      </c>
      <c r="G26" s="580" t="s">
        <v>3026</v>
      </c>
      <c r="H26" s="580" t="s">
        <v>3027</v>
      </c>
      <c r="I26" s="580" t="s">
        <v>3028</v>
      </c>
      <c r="J26" s="580" t="s">
        <v>3029</v>
      </c>
      <c r="K26" s="580" t="s">
        <v>3030</v>
      </c>
      <c r="L26" s="580" t="s">
        <v>3031</v>
      </c>
      <c r="M26" s="580" t="s">
        <v>2824</v>
      </c>
      <c r="N26" s="581"/>
      <c r="O26" s="581"/>
      <c r="P26" s="581"/>
      <c r="Q26" s="581"/>
      <c r="R26" s="581"/>
      <c r="S26" s="581"/>
      <c r="T26" s="581"/>
    </row>
    <row r="27">
      <c r="A27" s="578" t="s">
        <v>1731</v>
      </c>
      <c r="B27" s="577">
        <v>400.769477396601</v>
      </c>
      <c r="C27" s="580" t="s">
        <v>3032</v>
      </c>
      <c r="D27" s="580" t="s">
        <v>3033</v>
      </c>
      <c r="E27" s="580" t="s">
        <v>3034</v>
      </c>
      <c r="F27" s="580" t="s">
        <v>3035</v>
      </c>
      <c r="G27" s="580" t="s">
        <v>3036</v>
      </c>
      <c r="H27" s="580" t="s">
        <v>3037</v>
      </c>
      <c r="I27" s="580" t="s">
        <v>3038</v>
      </c>
      <c r="J27" s="580" t="s">
        <v>3039</v>
      </c>
      <c r="K27" s="580" t="s">
        <v>3040</v>
      </c>
      <c r="L27" s="580" t="s">
        <v>3041</v>
      </c>
      <c r="M27" s="580" t="s">
        <v>2824</v>
      </c>
      <c r="N27" s="581"/>
      <c r="O27" s="581"/>
      <c r="P27" s="580" t="s">
        <v>3042</v>
      </c>
      <c r="Q27" s="580" t="s">
        <v>3043</v>
      </c>
      <c r="R27" s="580" t="s">
        <v>3044</v>
      </c>
      <c r="S27" s="580" t="s">
        <v>3045</v>
      </c>
      <c r="T27" s="580" t="s">
        <v>3046</v>
      </c>
    </row>
    <row r="28">
      <c r="A28" s="578" t="s">
        <v>2007</v>
      </c>
      <c r="B28" s="577">
        <v>413.291453132749</v>
      </c>
      <c r="C28" s="580" t="s">
        <v>3047</v>
      </c>
      <c r="D28" s="580" t="s">
        <v>3048</v>
      </c>
      <c r="E28" s="580" t="s">
        <v>3049</v>
      </c>
      <c r="F28" s="580" t="s">
        <v>3050</v>
      </c>
      <c r="G28" s="580" t="s">
        <v>3051</v>
      </c>
      <c r="H28" s="580" t="s">
        <v>3052</v>
      </c>
      <c r="I28" s="580" t="s">
        <v>3053</v>
      </c>
      <c r="J28" s="580" t="s">
        <v>3054</v>
      </c>
      <c r="K28" s="580" t="s">
        <v>3055</v>
      </c>
      <c r="L28" s="580" t="s">
        <v>3056</v>
      </c>
      <c r="M28" s="580" t="s">
        <v>2824</v>
      </c>
      <c r="N28" s="581"/>
      <c r="O28" s="581"/>
      <c r="P28" s="580" t="s">
        <v>3057</v>
      </c>
      <c r="Q28" s="581"/>
      <c r="R28" s="581"/>
      <c r="S28" s="580" t="s">
        <v>3058</v>
      </c>
      <c r="T28" s="580" t="s">
        <v>3059</v>
      </c>
    </row>
    <row r="29">
      <c r="A29" s="578" t="s">
        <v>2012</v>
      </c>
      <c r="B29" s="582"/>
      <c r="C29" s="580" t="s">
        <v>3060</v>
      </c>
      <c r="D29" s="580" t="s">
        <v>3061</v>
      </c>
      <c r="E29" s="580" t="s">
        <v>3062</v>
      </c>
      <c r="F29" s="580" t="s">
        <v>3063</v>
      </c>
      <c r="G29" s="581"/>
      <c r="H29" s="581"/>
      <c r="I29" s="581"/>
      <c r="J29" s="581"/>
      <c r="K29" s="581"/>
      <c r="L29" s="581"/>
      <c r="M29" s="580" t="s">
        <v>2838</v>
      </c>
      <c r="N29" s="581"/>
      <c r="O29" s="581"/>
      <c r="P29" s="580" t="s">
        <v>3064</v>
      </c>
      <c r="Q29" s="581"/>
      <c r="R29" s="581"/>
      <c r="S29" s="581"/>
      <c r="T29" s="581"/>
    </row>
    <row r="30">
      <c r="A30" s="578" t="s">
        <v>1673</v>
      </c>
      <c r="B30" s="577">
        <v>342.688735821253</v>
      </c>
      <c r="C30" s="580" t="s">
        <v>3065</v>
      </c>
      <c r="D30" s="580" t="s">
        <v>3066</v>
      </c>
      <c r="E30" s="580" t="s">
        <v>3067</v>
      </c>
      <c r="F30" s="580" t="s">
        <v>3068</v>
      </c>
      <c r="G30" s="580" t="s">
        <v>3069</v>
      </c>
      <c r="H30" s="580" t="s">
        <v>3070</v>
      </c>
      <c r="I30" s="580" t="s">
        <v>3071</v>
      </c>
      <c r="J30" s="580" t="s">
        <v>3072</v>
      </c>
      <c r="K30" s="580" t="s">
        <v>3073</v>
      </c>
      <c r="L30" s="580" t="s">
        <v>3074</v>
      </c>
      <c r="M30" s="580" t="s">
        <v>2824</v>
      </c>
      <c r="N30" s="581"/>
      <c r="O30" s="581"/>
      <c r="P30" s="581"/>
      <c r="Q30" s="581"/>
      <c r="R30" s="581"/>
      <c r="S30" s="581"/>
      <c r="T30" s="581"/>
    </row>
    <row r="31">
      <c r="A31" s="578" t="s">
        <v>1723</v>
      </c>
      <c r="B31" s="582"/>
      <c r="C31" s="580" t="s">
        <v>3075</v>
      </c>
      <c r="D31" s="580" t="s">
        <v>3076</v>
      </c>
      <c r="E31" s="580" t="s">
        <v>3077</v>
      </c>
      <c r="F31" s="580" t="s">
        <v>3078</v>
      </c>
      <c r="G31" s="581"/>
      <c r="H31" s="581"/>
      <c r="I31" s="581"/>
      <c r="J31" s="581"/>
      <c r="K31" s="581"/>
      <c r="L31" s="581"/>
      <c r="M31" s="580" t="s">
        <v>2838</v>
      </c>
      <c r="N31" s="581"/>
      <c r="O31" s="581"/>
      <c r="P31" s="580" t="s">
        <v>3079</v>
      </c>
      <c r="Q31" s="581"/>
      <c r="R31" s="581"/>
      <c r="S31" s="581"/>
      <c r="T31" s="581"/>
    </row>
    <row r="32">
      <c r="A32" s="578" t="s">
        <v>400</v>
      </c>
      <c r="B32" s="577">
        <v>384.659768434819</v>
      </c>
      <c r="C32" s="580" t="s">
        <v>3080</v>
      </c>
      <c r="D32" s="580" t="s">
        <v>3081</v>
      </c>
      <c r="E32" s="580" t="s">
        <v>3082</v>
      </c>
      <c r="F32" s="580" t="s">
        <v>3083</v>
      </c>
      <c r="G32" s="580" t="s">
        <v>3084</v>
      </c>
      <c r="H32" s="580" t="s">
        <v>3085</v>
      </c>
      <c r="I32" s="580" t="s">
        <v>3086</v>
      </c>
      <c r="J32" s="580" t="s">
        <v>3087</v>
      </c>
      <c r="K32" s="580" t="s">
        <v>3088</v>
      </c>
      <c r="L32" s="580" t="s">
        <v>3089</v>
      </c>
      <c r="M32" s="580" t="s">
        <v>2824</v>
      </c>
      <c r="N32" s="581"/>
      <c r="O32" s="581"/>
      <c r="P32" s="580" t="s">
        <v>3090</v>
      </c>
      <c r="Q32" s="580" t="s">
        <v>3091</v>
      </c>
      <c r="R32" s="580" t="s">
        <v>3092</v>
      </c>
      <c r="S32" s="580" t="s">
        <v>3093</v>
      </c>
      <c r="T32" s="580" t="s">
        <v>3094</v>
      </c>
    </row>
    <row r="33">
      <c r="A33" s="578" t="s">
        <v>277</v>
      </c>
      <c r="B33" s="577">
        <v>390.304828070723</v>
      </c>
      <c r="C33" s="580" t="s">
        <v>3095</v>
      </c>
      <c r="D33" s="580" t="s">
        <v>3096</v>
      </c>
      <c r="E33" s="580" t="s">
        <v>3097</v>
      </c>
      <c r="F33" s="580" t="s">
        <v>3098</v>
      </c>
      <c r="G33" s="580" t="s">
        <v>3099</v>
      </c>
      <c r="H33" s="580" t="s">
        <v>3100</v>
      </c>
      <c r="I33" s="580" t="s">
        <v>3101</v>
      </c>
      <c r="J33" s="580" t="s">
        <v>3102</v>
      </c>
      <c r="K33" s="580" t="s">
        <v>3103</v>
      </c>
      <c r="L33" s="580" t="s">
        <v>3104</v>
      </c>
      <c r="M33" s="580" t="s">
        <v>2824</v>
      </c>
      <c r="N33" s="581"/>
      <c r="O33" s="581"/>
      <c r="P33" s="581"/>
      <c r="Q33" s="581"/>
      <c r="R33" s="581"/>
      <c r="S33" s="581"/>
      <c r="T33" s="581"/>
    </row>
    <row r="34">
      <c r="A34" s="578" t="s">
        <v>693</v>
      </c>
      <c r="B34" s="582"/>
      <c r="C34" s="580" t="s">
        <v>3105</v>
      </c>
      <c r="D34" s="580" t="s">
        <v>3106</v>
      </c>
      <c r="E34" s="580" t="s">
        <v>3107</v>
      </c>
      <c r="F34" s="580" t="s">
        <v>3108</v>
      </c>
      <c r="G34" s="581"/>
      <c r="H34" s="581"/>
      <c r="I34" s="581"/>
      <c r="J34" s="581"/>
      <c r="K34" s="581"/>
      <c r="L34" s="581"/>
      <c r="M34" s="580" t="s">
        <v>2824</v>
      </c>
      <c r="N34" s="581"/>
      <c r="O34" s="581"/>
      <c r="P34" s="581"/>
      <c r="Q34" s="581"/>
      <c r="R34" s="581"/>
      <c r="S34" s="581"/>
      <c r="T34" s="581"/>
    </row>
    <row r="35">
      <c r="A35" s="578" t="s">
        <v>261</v>
      </c>
      <c r="B35" s="577">
        <v>490.436488474742</v>
      </c>
      <c r="C35" s="580" t="s">
        <v>3109</v>
      </c>
      <c r="D35" s="580" t="s">
        <v>3110</v>
      </c>
      <c r="E35" s="580" t="s">
        <v>3111</v>
      </c>
      <c r="F35" s="580" t="s">
        <v>3112</v>
      </c>
      <c r="G35" s="580" t="s">
        <v>3113</v>
      </c>
      <c r="H35" s="580" t="s">
        <v>3114</v>
      </c>
      <c r="I35" s="580" t="s">
        <v>3115</v>
      </c>
      <c r="J35" s="580" t="s">
        <v>3116</v>
      </c>
      <c r="K35" s="580" t="s">
        <v>3117</v>
      </c>
      <c r="L35" s="580" t="s">
        <v>3118</v>
      </c>
      <c r="M35" s="580" t="s">
        <v>2824</v>
      </c>
      <c r="N35" s="581"/>
      <c r="O35" s="581"/>
      <c r="P35" s="581"/>
      <c r="Q35" s="581"/>
      <c r="R35" s="581"/>
      <c r="S35" s="581"/>
      <c r="T35" s="581"/>
    </row>
    <row r="36">
      <c r="A36" s="578" t="s">
        <v>346</v>
      </c>
      <c r="B36" s="577">
        <v>131.0</v>
      </c>
      <c r="C36" s="580" t="s">
        <v>3119</v>
      </c>
      <c r="D36" s="580" t="s">
        <v>3120</v>
      </c>
      <c r="E36" s="580" t="s">
        <v>3121</v>
      </c>
      <c r="F36" s="580" t="s">
        <v>3122</v>
      </c>
      <c r="G36" s="580" t="s">
        <v>3123</v>
      </c>
      <c r="H36" s="580" t="s">
        <v>3124</v>
      </c>
      <c r="I36" s="580" t="s">
        <v>3125</v>
      </c>
      <c r="J36" s="580" t="s">
        <v>3126</v>
      </c>
      <c r="K36" s="580" t="s">
        <v>3127</v>
      </c>
      <c r="L36" s="580" t="s">
        <v>3128</v>
      </c>
      <c r="M36" s="580" t="s">
        <v>2824</v>
      </c>
      <c r="N36" s="583"/>
      <c r="O36" s="583"/>
      <c r="P36" s="583"/>
      <c r="Q36" s="583"/>
      <c r="R36" s="583"/>
      <c r="S36" s="583"/>
      <c r="T36" s="583"/>
      <c r="U36" s="584"/>
      <c r="V36" s="584"/>
      <c r="W36" s="584"/>
      <c r="X36" s="584"/>
      <c r="Y36" s="584"/>
      <c r="Z36" s="584"/>
      <c r="AA36" s="584"/>
      <c r="AB36" s="584"/>
      <c r="AC36" s="584"/>
      <c r="AD36" s="584"/>
      <c r="AE36" s="584"/>
      <c r="AF36" s="584"/>
      <c r="AG36" s="584"/>
      <c r="AH36" s="584"/>
      <c r="AI36" s="584"/>
    </row>
    <row r="37">
      <c r="A37" s="578" t="s">
        <v>346</v>
      </c>
      <c r="B37" s="577">
        <v>131.087369731926</v>
      </c>
      <c r="C37" s="580" t="s">
        <v>3119</v>
      </c>
      <c r="D37" s="580" t="s">
        <v>3120</v>
      </c>
      <c r="E37" s="580" t="s">
        <v>3121</v>
      </c>
      <c r="F37" s="580" t="s">
        <v>3122</v>
      </c>
      <c r="G37" s="580" t="s">
        <v>3123</v>
      </c>
      <c r="H37" s="580" t="s">
        <v>3124</v>
      </c>
      <c r="I37" s="580" t="s">
        <v>3125</v>
      </c>
      <c r="J37" s="580" t="s">
        <v>3126</v>
      </c>
      <c r="K37" s="580" t="s">
        <v>3127</v>
      </c>
      <c r="L37" s="580" t="s">
        <v>3128</v>
      </c>
      <c r="M37" s="580" t="s">
        <v>2824</v>
      </c>
      <c r="N37" s="581"/>
      <c r="O37" s="581"/>
      <c r="P37" s="581"/>
      <c r="Q37" s="581"/>
      <c r="R37" s="581"/>
      <c r="S37" s="581"/>
      <c r="T37" s="581"/>
    </row>
    <row r="38">
      <c r="A38" s="578" t="s">
        <v>286</v>
      </c>
      <c r="B38" s="577">
        <v>137.370185175009</v>
      </c>
      <c r="C38" s="580" t="s">
        <v>3129</v>
      </c>
      <c r="D38" s="580" t="s">
        <v>3130</v>
      </c>
      <c r="E38" s="580" t="s">
        <v>3131</v>
      </c>
      <c r="F38" s="580" t="s">
        <v>3132</v>
      </c>
      <c r="G38" s="580" t="s">
        <v>3133</v>
      </c>
      <c r="H38" s="580" t="s">
        <v>3134</v>
      </c>
      <c r="I38" s="580" t="s">
        <v>3135</v>
      </c>
      <c r="J38" s="580" t="s">
        <v>3136</v>
      </c>
      <c r="K38" s="580" t="s">
        <v>3137</v>
      </c>
      <c r="L38" s="580" t="s">
        <v>3138</v>
      </c>
      <c r="M38" s="580" t="s">
        <v>2824</v>
      </c>
      <c r="N38" s="581"/>
      <c r="O38" s="581"/>
      <c r="P38" s="580" t="s">
        <v>3139</v>
      </c>
      <c r="Q38" s="581"/>
      <c r="R38" s="581"/>
      <c r="S38" s="581"/>
      <c r="T38" s="581"/>
    </row>
    <row r="39">
      <c r="A39" s="578" t="s">
        <v>279</v>
      </c>
      <c r="B39" s="577">
        <v>129.893746915023</v>
      </c>
      <c r="C39" s="580" t="s">
        <v>3140</v>
      </c>
      <c r="D39" s="580" t="s">
        <v>3141</v>
      </c>
      <c r="E39" s="580" t="s">
        <v>3142</v>
      </c>
      <c r="F39" s="580" t="s">
        <v>3143</v>
      </c>
      <c r="G39" s="580" t="s">
        <v>3144</v>
      </c>
      <c r="H39" s="580" t="s">
        <v>3145</v>
      </c>
      <c r="I39" s="580" t="s">
        <v>3146</v>
      </c>
      <c r="J39" s="580" t="s">
        <v>3147</v>
      </c>
      <c r="K39" s="580" t="s">
        <v>3148</v>
      </c>
      <c r="L39" s="580" t="s">
        <v>3149</v>
      </c>
      <c r="M39" s="580" t="s">
        <v>2838</v>
      </c>
      <c r="N39" s="581"/>
      <c r="O39" s="581"/>
      <c r="P39" s="580" t="s">
        <v>3150</v>
      </c>
      <c r="Q39" s="581"/>
      <c r="R39" s="581"/>
      <c r="S39" s="581"/>
      <c r="T39" s="581"/>
    </row>
    <row r="40">
      <c r="A40" s="578" t="s">
        <v>652</v>
      </c>
      <c r="B40" s="577">
        <v>125.6565555025</v>
      </c>
      <c r="C40" s="580" t="s">
        <v>3151</v>
      </c>
      <c r="D40" s="580" t="s">
        <v>3152</v>
      </c>
      <c r="E40" s="580" t="s">
        <v>3153</v>
      </c>
      <c r="F40" s="580" t="s">
        <v>3154</v>
      </c>
      <c r="G40" s="580" t="s">
        <v>3155</v>
      </c>
      <c r="H40" s="580" t="s">
        <v>3156</v>
      </c>
      <c r="I40" s="580" t="s">
        <v>3157</v>
      </c>
      <c r="J40" s="580" t="s">
        <v>3158</v>
      </c>
      <c r="K40" s="580" t="s">
        <v>3159</v>
      </c>
      <c r="L40" s="580" t="s">
        <v>3160</v>
      </c>
      <c r="M40" s="580" t="s">
        <v>2824</v>
      </c>
      <c r="N40" s="581"/>
      <c r="O40" s="581"/>
      <c r="P40" s="581"/>
      <c r="Q40" s="581"/>
      <c r="R40" s="581"/>
      <c r="S40" s="581"/>
      <c r="T40" s="581"/>
    </row>
    <row r="41">
      <c r="A41" s="578" t="s">
        <v>208</v>
      </c>
      <c r="B41" s="582"/>
      <c r="C41" s="580" t="s">
        <v>3161</v>
      </c>
      <c r="D41" s="580" t="s">
        <v>3162</v>
      </c>
      <c r="E41" s="580" t="s">
        <v>3163</v>
      </c>
      <c r="F41" s="580" t="s">
        <v>3164</v>
      </c>
      <c r="G41" s="581"/>
      <c r="H41" s="581"/>
      <c r="I41" s="581"/>
      <c r="J41" s="581"/>
      <c r="K41" s="581"/>
      <c r="L41" s="581"/>
      <c r="M41" s="580" t="s">
        <v>2824</v>
      </c>
      <c r="N41" s="581"/>
      <c r="O41" s="581"/>
      <c r="P41" s="581"/>
      <c r="Q41" s="581"/>
      <c r="R41" s="581"/>
      <c r="S41" s="581"/>
      <c r="T41" s="581"/>
    </row>
    <row r="42">
      <c r="A42" s="578" t="s">
        <v>208</v>
      </c>
      <c r="B42" s="582"/>
      <c r="C42" s="580" t="s">
        <v>3161</v>
      </c>
      <c r="D42" s="580" t="s">
        <v>3162</v>
      </c>
      <c r="E42" s="580" t="s">
        <v>3163</v>
      </c>
      <c r="F42" s="580" t="s">
        <v>3164</v>
      </c>
      <c r="G42" s="581"/>
      <c r="H42" s="581"/>
      <c r="I42" s="581"/>
      <c r="J42" s="581"/>
      <c r="K42" s="581"/>
      <c r="L42" s="581"/>
      <c r="M42" s="580" t="s">
        <v>2824</v>
      </c>
      <c r="N42" s="581"/>
      <c r="O42" s="581"/>
      <c r="P42" s="581"/>
      <c r="Q42" s="581"/>
      <c r="R42" s="581"/>
      <c r="S42" s="581"/>
      <c r="T42" s="581"/>
    </row>
    <row r="43">
      <c r="A43" s="578" t="s">
        <v>251</v>
      </c>
      <c r="B43" s="577">
        <v>155.879785509415</v>
      </c>
      <c r="C43" s="580" t="s">
        <v>3165</v>
      </c>
      <c r="D43" s="580" t="s">
        <v>3166</v>
      </c>
      <c r="E43" s="580" t="s">
        <v>3167</v>
      </c>
      <c r="F43" s="580" t="s">
        <v>3168</v>
      </c>
      <c r="G43" s="580" t="s">
        <v>3169</v>
      </c>
      <c r="H43" s="580" t="s">
        <v>3170</v>
      </c>
      <c r="I43" s="580" t="s">
        <v>3171</v>
      </c>
      <c r="J43" s="580" t="s">
        <v>3172</v>
      </c>
      <c r="K43" s="580" t="s">
        <v>3173</v>
      </c>
      <c r="L43" s="580" t="s">
        <v>3174</v>
      </c>
      <c r="M43" s="580" t="s">
        <v>2824</v>
      </c>
      <c r="N43" s="581"/>
      <c r="O43" s="581"/>
      <c r="P43" s="581"/>
      <c r="Q43" s="581"/>
      <c r="R43" s="581"/>
      <c r="S43" s="581"/>
      <c r="T43" s="581"/>
    </row>
    <row r="44">
      <c r="A44" s="578" t="s">
        <v>197</v>
      </c>
      <c r="B44" s="577">
        <v>134.692832994356</v>
      </c>
      <c r="C44" s="580" t="s">
        <v>3175</v>
      </c>
      <c r="D44" s="580" t="s">
        <v>3176</v>
      </c>
      <c r="E44" s="580" t="s">
        <v>3177</v>
      </c>
      <c r="F44" s="580" t="s">
        <v>3178</v>
      </c>
      <c r="G44" s="580" t="s">
        <v>3179</v>
      </c>
      <c r="H44" s="580" t="s">
        <v>3180</v>
      </c>
      <c r="I44" s="580" t="s">
        <v>2820</v>
      </c>
      <c r="J44" s="580" t="s">
        <v>3181</v>
      </c>
      <c r="K44" s="580" t="s">
        <v>3182</v>
      </c>
      <c r="L44" s="580" t="s">
        <v>3183</v>
      </c>
      <c r="M44" s="580" t="s">
        <v>2824</v>
      </c>
      <c r="N44" s="581"/>
      <c r="O44" s="581"/>
      <c r="P44" s="581"/>
      <c r="Q44" s="581"/>
      <c r="R44" s="581"/>
      <c r="S44" s="581"/>
      <c r="T44" s="581"/>
    </row>
    <row r="45">
      <c r="A45" s="578" t="s">
        <v>197</v>
      </c>
      <c r="B45" s="577">
        <v>134.692832994356</v>
      </c>
      <c r="C45" s="580" t="s">
        <v>3175</v>
      </c>
      <c r="D45" s="580" t="s">
        <v>3176</v>
      </c>
      <c r="E45" s="580" t="s">
        <v>3177</v>
      </c>
      <c r="F45" s="580" t="s">
        <v>3178</v>
      </c>
      <c r="G45" s="580" t="s">
        <v>3179</v>
      </c>
      <c r="H45" s="580" t="s">
        <v>3180</v>
      </c>
      <c r="I45" s="580" t="s">
        <v>2820</v>
      </c>
      <c r="J45" s="580" t="s">
        <v>3181</v>
      </c>
      <c r="K45" s="580" t="s">
        <v>3182</v>
      </c>
      <c r="L45" s="580" t="s">
        <v>3183</v>
      </c>
      <c r="M45" s="580" t="s">
        <v>2824</v>
      </c>
      <c r="N45" s="581"/>
      <c r="O45" s="581"/>
      <c r="P45" s="581"/>
      <c r="Q45" s="581"/>
      <c r="R45" s="581"/>
      <c r="S45" s="581"/>
      <c r="T45" s="581"/>
    </row>
    <row r="46">
      <c r="A46" s="578" t="s">
        <v>639</v>
      </c>
      <c r="B46" s="577">
        <v>128.228143512938</v>
      </c>
      <c r="C46" s="580" t="s">
        <v>3184</v>
      </c>
      <c r="D46" s="580" t="s">
        <v>3185</v>
      </c>
      <c r="E46" s="580" t="s">
        <v>3186</v>
      </c>
      <c r="F46" s="580" t="s">
        <v>3187</v>
      </c>
      <c r="G46" s="580" t="s">
        <v>3188</v>
      </c>
      <c r="H46" s="580" t="s">
        <v>3189</v>
      </c>
      <c r="I46" s="580" t="s">
        <v>3190</v>
      </c>
      <c r="J46" s="580" t="s">
        <v>3191</v>
      </c>
      <c r="K46" s="580" t="s">
        <v>3192</v>
      </c>
      <c r="L46" s="580" t="s">
        <v>3193</v>
      </c>
      <c r="M46" s="580" t="s">
        <v>2824</v>
      </c>
      <c r="N46" s="581"/>
      <c r="O46" s="581"/>
      <c r="P46" s="580" t="s">
        <v>3194</v>
      </c>
      <c r="Q46" s="581"/>
      <c r="R46" s="581"/>
      <c r="S46" s="581"/>
      <c r="T46" s="581"/>
    </row>
    <row r="47">
      <c r="A47" s="578" t="s">
        <v>211</v>
      </c>
      <c r="B47" s="577">
        <v>116.059097292341</v>
      </c>
      <c r="C47" s="580" t="s">
        <v>3195</v>
      </c>
      <c r="D47" s="580" t="s">
        <v>3196</v>
      </c>
      <c r="E47" s="580" t="s">
        <v>3197</v>
      </c>
      <c r="F47" s="580" t="s">
        <v>3198</v>
      </c>
      <c r="G47" s="580" t="s">
        <v>3199</v>
      </c>
      <c r="H47" s="580" t="s">
        <v>3200</v>
      </c>
      <c r="I47" s="580" t="s">
        <v>3201</v>
      </c>
      <c r="J47" s="580" t="s">
        <v>3202</v>
      </c>
      <c r="K47" s="580" t="s">
        <v>3203</v>
      </c>
      <c r="L47" s="580" t="s">
        <v>3204</v>
      </c>
      <c r="M47" s="580" t="s">
        <v>2824</v>
      </c>
      <c r="N47" s="581"/>
      <c r="O47" s="581"/>
      <c r="P47" s="581"/>
      <c r="Q47" s="581"/>
      <c r="R47" s="581"/>
      <c r="S47" s="581"/>
      <c r="T47" s="581"/>
    </row>
    <row r="48">
      <c r="A48" s="578" t="s">
        <v>211</v>
      </c>
      <c r="B48" s="577">
        <v>116.059097292341</v>
      </c>
      <c r="C48" s="580" t="s">
        <v>3195</v>
      </c>
      <c r="D48" s="580" t="s">
        <v>3196</v>
      </c>
      <c r="E48" s="580" t="s">
        <v>3197</v>
      </c>
      <c r="F48" s="580" t="s">
        <v>3198</v>
      </c>
      <c r="G48" s="580" t="s">
        <v>3199</v>
      </c>
      <c r="H48" s="580" t="s">
        <v>3200</v>
      </c>
      <c r="I48" s="580" t="s">
        <v>3201</v>
      </c>
      <c r="J48" s="580" t="s">
        <v>3202</v>
      </c>
      <c r="K48" s="580" t="s">
        <v>3203</v>
      </c>
      <c r="L48" s="580" t="s">
        <v>3204</v>
      </c>
      <c r="M48" s="580" t="s">
        <v>2824</v>
      </c>
      <c r="N48" s="581"/>
      <c r="O48" s="581"/>
      <c r="P48" s="581"/>
      <c r="Q48" s="581"/>
      <c r="R48" s="581"/>
      <c r="S48" s="581"/>
      <c r="T48" s="581"/>
    </row>
    <row r="49">
      <c r="A49" s="578" t="s">
        <v>219</v>
      </c>
      <c r="B49" s="577">
        <v>122.821454451663</v>
      </c>
      <c r="C49" s="580" t="s">
        <v>3205</v>
      </c>
      <c r="D49" s="580" t="s">
        <v>3206</v>
      </c>
      <c r="E49" s="580" t="s">
        <v>3207</v>
      </c>
      <c r="F49" s="580" t="s">
        <v>3208</v>
      </c>
      <c r="G49" s="580" t="s">
        <v>3209</v>
      </c>
      <c r="H49" s="580" t="s">
        <v>3210</v>
      </c>
      <c r="I49" s="580" t="s">
        <v>3211</v>
      </c>
      <c r="J49" s="580" t="s">
        <v>3212</v>
      </c>
      <c r="K49" s="580" t="s">
        <v>3213</v>
      </c>
      <c r="L49" s="580" t="s">
        <v>3214</v>
      </c>
      <c r="M49" s="580" t="s">
        <v>2824</v>
      </c>
      <c r="N49" s="581"/>
      <c r="O49" s="581"/>
      <c r="P49" s="581"/>
      <c r="Q49" s="581"/>
      <c r="R49" s="581"/>
      <c r="S49" s="581"/>
      <c r="T49" s="581"/>
    </row>
    <row r="50">
      <c r="A50" s="578" t="s">
        <v>219</v>
      </c>
      <c r="B50" s="577">
        <v>122.821454451663</v>
      </c>
      <c r="C50" s="580" t="s">
        <v>3205</v>
      </c>
      <c r="D50" s="580" t="s">
        <v>3206</v>
      </c>
      <c r="E50" s="580" t="s">
        <v>3207</v>
      </c>
      <c r="F50" s="580" t="s">
        <v>3208</v>
      </c>
      <c r="G50" s="580" t="s">
        <v>3209</v>
      </c>
      <c r="H50" s="580" t="s">
        <v>3210</v>
      </c>
      <c r="I50" s="580" t="s">
        <v>3211</v>
      </c>
      <c r="J50" s="580" t="s">
        <v>3212</v>
      </c>
      <c r="K50" s="580" t="s">
        <v>3213</v>
      </c>
      <c r="L50" s="580" t="s">
        <v>3214</v>
      </c>
      <c r="M50" s="580" t="s">
        <v>2824</v>
      </c>
      <c r="N50" s="581"/>
      <c r="O50" s="581"/>
      <c r="P50" s="581"/>
      <c r="Q50" s="581"/>
      <c r="R50" s="581"/>
      <c r="S50" s="581"/>
      <c r="T50" s="581"/>
    </row>
    <row r="51">
      <c r="A51" s="578" t="s">
        <v>361</v>
      </c>
      <c r="B51" s="577">
        <v>144.62152546785</v>
      </c>
      <c r="C51" s="580" t="s">
        <v>3215</v>
      </c>
      <c r="D51" s="580" t="s">
        <v>3216</v>
      </c>
      <c r="E51" s="580" t="s">
        <v>3217</v>
      </c>
      <c r="F51" s="580" t="s">
        <v>3218</v>
      </c>
      <c r="G51" s="580" t="s">
        <v>3219</v>
      </c>
      <c r="H51" s="580" t="s">
        <v>3220</v>
      </c>
      <c r="I51" s="580" t="s">
        <v>3221</v>
      </c>
      <c r="J51" s="580" t="s">
        <v>3222</v>
      </c>
      <c r="K51" s="580" t="s">
        <v>3223</v>
      </c>
      <c r="L51" s="580" t="s">
        <v>3224</v>
      </c>
      <c r="M51" s="580" t="s">
        <v>2824</v>
      </c>
      <c r="N51" s="581"/>
      <c r="O51" s="581"/>
      <c r="P51" s="580" t="s">
        <v>3225</v>
      </c>
      <c r="Q51" s="580" t="s">
        <v>3226</v>
      </c>
      <c r="R51" s="580" t="s">
        <v>3227</v>
      </c>
      <c r="S51" s="581"/>
      <c r="T51" s="581"/>
    </row>
    <row r="52">
      <c r="A52" s="578" t="s">
        <v>438</v>
      </c>
      <c r="B52" s="577">
        <v>-150.31942878617</v>
      </c>
      <c r="C52" s="580" t="s">
        <v>3228</v>
      </c>
      <c r="D52" s="580" t="s">
        <v>3229</v>
      </c>
      <c r="E52" s="580" t="s">
        <v>3230</v>
      </c>
      <c r="F52" s="580" t="s">
        <v>3231</v>
      </c>
      <c r="G52" s="580" t="s">
        <v>3232</v>
      </c>
      <c r="H52" s="580" t="s">
        <v>3233</v>
      </c>
      <c r="I52" s="580" t="s">
        <v>3234</v>
      </c>
      <c r="J52" s="580" t="s">
        <v>3235</v>
      </c>
      <c r="K52" s="580" t="s">
        <v>3236</v>
      </c>
      <c r="L52" s="580" t="s">
        <v>3237</v>
      </c>
      <c r="M52" s="580" t="s">
        <v>2838</v>
      </c>
      <c r="N52" s="581"/>
      <c r="O52" s="581"/>
      <c r="P52" s="580" t="s">
        <v>3238</v>
      </c>
      <c r="Q52" s="581"/>
      <c r="R52" s="581"/>
      <c r="S52" s="581"/>
      <c r="T52" s="581"/>
    </row>
    <row r="53">
      <c r="A53" s="578" t="s">
        <v>690</v>
      </c>
      <c r="B53" s="577">
        <v>152.251031500738</v>
      </c>
      <c r="C53" s="580" t="s">
        <v>3239</v>
      </c>
      <c r="D53" s="580" t="s">
        <v>3240</v>
      </c>
      <c r="E53" s="580" t="s">
        <v>3241</v>
      </c>
      <c r="F53" s="580" t="s">
        <v>3242</v>
      </c>
      <c r="G53" s="580" t="s">
        <v>3243</v>
      </c>
      <c r="H53" s="580" t="s">
        <v>3244</v>
      </c>
      <c r="I53" s="580" t="s">
        <v>3245</v>
      </c>
      <c r="J53" s="580" t="s">
        <v>3246</v>
      </c>
      <c r="K53" s="580" t="s">
        <v>3247</v>
      </c>
      <c r="L53" s="580" t="s">
        <v>3248</v>
      </c>
      <c r="M53" s="580" t="s">
        <v>2824</v>
      </c>
      <c r="N53" s="581"/>
      <c r="O53" s="581"/>
      <c r="P53" s="581"/>
      <c r="Q53" s="581"/>
      <c r="R53" s="581"/>
      <c r="S53" s="581"/>
      <c r="T53" s="581"/>
    </row>
    <row r="54">
      <c r="A54" s="578" t="s">
        <v>451</v>
      </c>
      <c r="B54" s="577">
        <v>130.504006472998</v>
      </c>
      <c r="C54" s="580" t="s">
        <v>3249</v>
      </c>
      <c r="D54" s="580" t="s">
        <v>3250</v>
      </c>
      <c r="E54" s="580" t="s">
        <v>3251</v>
      </c>
      <c r="F54" s="580" t="s">
        <v>3252</v>
      </c>
      <c r="G54" s="580" t="s">
        <v>3253</v>
      </c>
      <c r="H54" s="580" t="s">
        <v>3254</v>
      </c>
      <c r="I54" s="580" t="s">
        <v>3255</v>
      </c>
      <c r="J54" s="580" t="s">
        <v>3256</v>
      </c>
      <c r="K54" s="580" t="s">
        <v>3257</v>
      </c>
      <c r="L54" s="580" t="s">
        <v>3258</v>
      </c>
      <c r="M54" s="580" t="s">
        <v>2824</v>
      </c>
      <c r="N54" s="581"/>
      <c r="O54" s="581"/>
      <c r="P54" s="580" t="s">
        <v>3259</v>
      </c>
      <c r="Q54" s="580" t="s">
        <v>3260</v>
      </c>
      <c r="R54" s="580" t="s">
        <v>3261</v>
      </c>
      <c r="S54" s="580" t="s">
        <v>3262</v>
      </c>
      <c r="T54" s="580" t="s">
        <v>3263</v>
      </c>
    </row>
    <row r="55">
      <c r="A55" s="578" t="s">
        <v>440</v>
      </c>
      <c r="B55" s="577">
        <v>129.262428582508</v>
      </c>
      <c r="C55" s="580" t="s">
        <v>3264</v>
      </c>
      <c r="D55" s="580" t="s">
        <v>3265</v>
      </c>
      <c r="E55" s="580" t="s">
        <v>3266</v>
      </c>
      <c r="F55" s="580" t="s">
        <v>3267</v>
      </c>
      <c r="G55" s="580" t="s">
        <v>3268</v>
      </c>
      <c r="H55" s="580" t="s">
        <v>3269</v>
      </c>
      <c r="I55" s="580" t="s">
        <v>3270</v>
      </c>
      <c r="J55" s="580" t="s">
        <v>2876</v>
      </c>
      <c r="K55" s="580" t="s">
        <v>3271</v>
      </c>
      <c r="L55" s="580" t="s">
        <v>3272</v>
      </c>
      <c r="M55" s="580" t="s">
        <v>2824</v>
      </c>
      <c r="N55" s="581"/>
      <c r="O55" s="581"/>
      <c r="P55" s="580" t="s">
        <v>3273</v>
      </c>
      <c r="Q55" s="580" t="s">
        <v>3274</v>
      </c>
      <c r="R55" s="580" t="s">
        <v>3275</v>
      </c>
      <c r="S55" s="580" t="s">
        <v>3262</v>
      </c>
      <c r="T55" s="580" t="s">
        <v>3276</v>
      </c>
    </row>
    <row r="56">
      <c r="A56" s="578" t="s">
        <v>457</v>
      </c>
      <c r="B56" s="577">
        <v>136.574706364381</v>
      </c>
      <c r="C56" s="580" t="s">
        <v>3277</v>
      </c>
      <c r="D56" s="580" t="s">
        <v>3278</v>
      </c>
      <c r="E56" s="580" t="s">
        <v>3279</v>
      </c>
      <c r="F56" s="580" t="s">
        <v>3280</v>
      </c>
      <c r="G56" s="580" t="s">
        <v>3281</v>
      </c>
      <c r="H56" s="580" t="s">
        <v>3282</v>
      </c>
      <c r="I56" s="580" t="s">
        <v>3283</v>
      </c>
      <c r="J56" s="580" t="s">
        <v>3284</v>
      </c>
      <c r="K56" s="580" t="s">
        <v>3285</v>
      </c>
      <c r="L56" s="580" t="s">
        <v>3286</v>
      </c>
      <c r="M56" s="580" t="s">
        <v>2824</v>
      </c>
      <c r="N56" s="581"/>
      <c r="O56" s="581"/>
      <c r="P56" s="580" t="s">
        <v>3287</v>
      </c>
      <c r="Q56" s="580" t="s">
        <v>3288</v>
      </c>
      <c r="R56" s="580" t="s">
        <v>3258</v>
      </c>
      <c r="S56" s="580" t="s">
        <v>3289</v>
      </c>
      <c r="T56" s="580" t="s">
        <v>3290</v>
      </c>
    </row>
    <row r="57">
      <c r="A57" s="578" t="s">
        <v>634</v>
      </c>
      <c r="B57" s="577">
        <v>183.908045977011</v>
      </c>
      <c r="C57" s="580" t="s">
        <v>3291</v>
      </c>
      <c r="D57" s="580" t="s">
        <v>3292</v>
      </c>
      <c r="E57" s="580" t="s">
        <v>3293</v>
      </c>
      <c r="F57" s="580" t="s">
        <v>3294</v>
      </c>
      <c r="G57" s="580" t="s">
        <v>3295</v>
      </c>
      <c r="H57" s="580" t="s">
        <v>3296</v>
      </c>
      <c r="I57" s="580" t="s">
        <v>3297</v>
      </c>
      <c r="J57" s="580" t="s">
        <v>3298</v>
      </c>
      <c r="K57" s="580" t="s">
        <v>3299</v>
      </c>
      <c r="L57" s="580" t="s">
        <v>3300</v>
      </c>
      <c r="M57" s="580" t="s">
        <v>2824</v>
      </c>
      <c r="N57" s="581"/>
      <c r="O57" s="581"/>
      <c r="P57" s="581"/>
      <c r="Q57" s="581"/>
      <c r="R57" s="581"/>
      <c r="S57" s="581"/>
      <c r="T57" s="581"/>
    </row>
    <row r="58">
      <c r="A58" s="578" t="s">
        <v>669</v>
      </c>
      <c r="B58" s="577">
        <v>145.410129269604</v>
      </c>
      <c r="C58" s="580" t="s">
        <v>3301</v>
      </c>
      <c r="D58" s="580" t="s">
        <v>3302</v>
      </c>
      <c r="E58" s="580" t="s">
        <v>3303</v>
      </c>
      <c r="F58" s="580" t="s">
        <v>3304</v>
      </c>
      <c r="G58" s="580" t="s">
        <v>3305</v>
      </c>
      <c r="H58" s="580" t="s">
        <v>3306</v>
      </c>
      <c r="I58" s="580" t="s">
        <v>3307</v>
      </c>
      <c r="J58" s="580" t="s">
        <v>3308</v>
      </c>
      <c r="K58" s="580" t="s">
        <v>3309</v>
      </c>
      <c r="L58" s="580" t="s">
        <v>3310</v>
      </c>
      <c r="M58" s="580" t="s">
        <v>2824</v>
      </c>
      <c r="N58" s="581"/>
      <c r="O58" s="581"/>
      <c r="P58" s="581"/>
      <c r="Q58" s="581"/>
      <c r="R58" s="581"/>
      <c r="S58" s="581"/>
      <c r="T58" s="581"/>
    </row>
    <row r="59">
      <c r="A59" s="578" t="s">
        <v>336</v>
      </c>
      <c r="B59" s="577">
        <v>144.0</v>
      </c>
      <c r="C59" s="580" t="s">
        <v>3311</v>
      </c>
      <c r="D59" s="580" t="s">
        <v>3312</v>
      </c>
      <c r="E59" s="580" t="s">
        <v>3313</v>
      </c>
      <c r="F59" s="580" t="s">
        <v>3314</v>
      </c>
      <c r="G59" s="580" t="s">
        <v>3315</v>
      </c>
      <c r="H59" s="580" t="s">
        <v>3316</v>
      </c>
      <c r="I59" s="580" t="s">
        <v>3317</v>
      </c>
      <c r="J59" s="580" t="s">
        <v>3318</v>
      </c>
      <c r="K59" s="580" t="s">
        <v>3319</v>
      </c>
      <c r="L59" s="580" t="s">
        <v>3320</v>
      </c>
      <c r="M59" s="580" t="s">
        <v>2824</v>
      </c>
      <c r="N59" s="583"/>
      <c r="O59" s="583"/>
      <c r="P59" s="583"/>
      <c r="Q59" s="583"/>
      <c r="R59" s="583"/>
      <c r="S59" s="583"/>
      <c r="T59" s="583"/>
      <c r="U59" s="584"/>
      <c r="V59" s="584"/>
      <c r="W59" s="584"/>
      <c r="X59" s="584"/>
      <c r="Y59" s="584"/>
      <c r="Z59" s="584"/>
      <c r="AA59" s="584"/>
      <c r="AB59" s="584"/>
      <c r="AC59" s="584"/>
      <c r="AD59" s="584"/>
      <c r="AE59" s="584"/>
      <c r="AF59" s="584"/>
      <c r="AG59" s="584"/>
      <c r="AH59" s="584"/>
      <c r="AI59" s="584"/>
    </row>
    <row r="60">
      <c r="A60" s="578" t="s">
        <v>336</v>
      </c>
      <c r="B60" s="577">
        <v>143.988480921526</v>
      </c>
      <c r="C60" s="580" t="s">
        <v>3311</v>
      </c>
      <c r="D60" s="580" t="s">
        <v>3312</v>
      </c>
      <c r="E60" s="580" t="s">
        <v>3313</v>
      </c>
      <c r="F60" s="580" t="s">
        <v>3314</v>
      </c>
      <c r="G60" s="580" t="s">
        <v>3315</v>
      </c>
      <c r="H60" s="580" t="s">
        <v>3316</v>
      </c>
      <c r="I60" s="580" t="s">
        <v>3317</v>
      </c>
      <c r="J60" s="580" t="s">
        <v>3318</v>
      </c>
      <c r="K60" s="580" t="s">
        <v>3319</v>
      </c>
      <c r="L60" s="580" t="s">
        <v>3320</v>
      </c>
      <c r="M60" s="580" t="s">
        <v>2824</v>
      </c>
      <c r="N60" s="581"/>
      <c r="O60" s="581"/>
      <c r="P60" s="581"/>
      <c r="Q60" s="581"/>
      <c r="R60" s="581"/>
      <c r="S60" s="581"/>
      <c r="T60" s="581"/>
    </row>
    <row r="61">
      <c r="A61" s="578" t="s">
        <v>238</v>
      </c>
      <c r="B61" s="577">
        <v>147.132389724273</v>
      </c>
      <c r="C61" s="580" t="s">
        <v>3321</v>
      </c>
      <c r="D61" s="580" t="s">
        <v>3322</v>
      </c>
      <c r="E61" s="580" t="s">
        <v>3323</v>
      </c>
      <c r="F61" s="580" t="s">
        <v>3324</v>
      </c>
      <c r="G61" s="580" t="s">
        <v>3325</v>
      </c>
      <c r="H61" s="580" t="s">
        <v>3326</v>
      </c>
      <c r="I61" s="580" t="s">
        <v>3327</v>
      </c>
      <c r="J61" s="580" t="s">
        <v>3328</v>
      </c>
      <c r="K61" s="580" t="s">
        <v>3329</v>
      </c>
      <c r="L61" s="580" t="s">
        <v>2894</v>
      </c>
      <c r="M61" s="580" t="s">
        <v>2824</v>
      </c>
      <c r="N61" s="581"/>
      <c r="O61" s="581"/>
      <c r="P61" s="581"/>
      <c r="Q61" s="581"/>
      <c r="R61" s="581"/>
      <c r="S61" s="581"/>
      <c r="T61" s="581"/>
    </row>
    <row r="62">
      <c r="A62" s="578" t="s">
        <v>238</v>
      </c>
      <c r="B62" s="577">
        <v>147.132389724273</v>
      </c>
      <c r="C62" s="580" t="s">
        <v>3321</v>
      </c>
      <c r="D62" s="580" t="s">
        <v>3322</v>
      </c>
      <c r="E62" s="580" t="s">
        <v>3323</v>
      </c>
      <c r="F62" s="580" t="s">
        <v>3324</v>
      </c>
      <c r="G62" s="580" t="s">
        <v>3325</v>
      </c>
      <c r="H62" s="580" t="s">
        <v>3326</v>
      </c>
      <c r="I62" s="580" t="s">
        <v>3327</v>
      </c>
      <c r="J62" s="580" t="s">
        <v>3328</v>
      </c>
      <c r="K62" s="580" t="s">
        <v>3329</v>
      </c>
      <c r="L62" s="580" t="s">
        <v>2894</v>
      </c>
      <c r="M62" s="580" t="s">
        <v>2824</v>
      </c>
      <c r="N62" s="581"/>
      <c r="O62" s="581"/>
      <c r="P62" s="581"/>
      <c r="Q62" s="581"/>
      <c r="R62" s="581"/>
      <c r="S62" s="581"/>
      <c r="T62" s="581"/>
    </row>
    <row r="63">
      <c r="A63" s="578" t="s">
        <v>333</v>
      </c>
      <c r="B63" s="577">
        <v>136.0</v>
      </c>
      <c r="C63" s="580" t="s">
        <v>3330</v>
      </c>
      <c r="D63" s="580" t="s">
        <v>3331</v>
      </c>
      <c r="E63" s="580" t="s">
        <v>3332</v>
      </c>
      <c r="F63" s="580" t="s">
        <v>3333</v>
      </c>
      <c r="G63" s="580" t="s">
        <v>3334</v>
      </c>
      <c r="H63" s="580" t="s">
        <v>3335</v>
      </c>
      <c r="I63" s="580" t="s">
        <v>3336</v>
      </c>
      <c r="J63" s="580" t="s">
        <v>3337</v>
      </c>
      <c r="K63" s="580" t="s">
        <v>3338</v>
      </c>
      <c r="L63" s="580" t="s">
        <v>2861</v>
      </c>
      <c r="M63" s="580" t="s">
        <v>2824</v>
      </c>
      <c r="N63" s="585"/>
      <c r="O63" s="585"/>
      <c r="P63" s="585"/>
      <c r="Q63" s="586"/>
      <c r="R63" s="586"/>
      <c r="S63" s="585"/>
      <c r="T63" s="585"/>
      <c r="U63" s="587"/>
      <c r="V63" s="588"/>
      <c r="W63" s="588"/>
      <c r="X63" s="587"/>
      <c r="Y63" s="587"/>
      <c r="Z63" s="588"/>
      <c r="AA63" s="588"/>
      <c r="AB63" s="588"/>
      <c r="AC63" s="584"/>
      <c r="AD63" s="584"/>
      <c r="AE63" s="584"/>
      <c r="AF63" s="584"/>
      <c r="AG63" s="584"/>
      <c r="AH63" s="584"/>
      <c r="AI63" s="584"/>
    </row>
    <row r="64">
      <c r="A64" s="578" t="s">
        <v>333</v>
      </c>
      <c r="B64" s="577">
        <v>136.16186923014</v>
      </c>
      <c r="C64" s="580" t="s">
        <v>3330</v>
      </c>
      <c r="D64" s="580" t="s">
        <v>3331</v>
      </c>
      <c r="E64" s="580" t="s">
        <v>3332</v>
      </c>
      <c r="F64" s="580" t="s">
        <v>3333</v>
      </c>
      <c r="G64" s="580" t="s">
        <v>3334</v>
      </c>
      <c r="H64" s="580" t="s">
        <v>3335</v>
      </c>
      <c r="I64" s="580" t="s">
        <v>3336</v>
      </c>
      <c r="J64" s="580" t="s">
        <v>3337</v>
      </c>
      <c r="K64" s="580" t="s">
        <v>3338</v>
      </c>
      <c r="L64" s="580" t="s">
        <v>2861</v>
      </c>
      <c r="M64" s="580" t="s">
        <v>2824</v>
      </c>
      <c r="N64" s="581"/>
      <c r="O64" s="581"/>
      <c r="P64" s="581"/>
      <c r="Q64" s="581"/>
      <c r="R64" s="581"/>
      <c r="S64" s="581"/>
      <c r="T64" s="581"/>
    </row>
    <row r="65">
      <c r="A65" s="578" t="s">
        <v>335</v>
      </c>
      <c r="B65" s="577">
        <v>141.0</v>
      </c>
      <c r="C65" s="580" t="s">
        <v>3339</v>
      </c>
      <c r="D65" s="580" t="s">
        <v>3340</v>
      </c>
      <c r="E65" s="580" t="s">
        <v>3341</v>
      </c>
      <c r="F65" s="580" t="s">
        <v>3342</v>
      </c>
      <c r="G65" s="580" t="s">
        <v>3343</v>
      </c>
      <c r="H65" s="580" t="s">
        <v>3344</v>
      </c>
      <c r="I65" s="580" t="s">
        <v>3345</v>
      </c>
      <c r="J65" s="580" t="s">
        <v>3016</v>
      </c>
      <c r="K65" s="580" t="s">
        <v>3346</v>
      </c>
      <c r="L65" s="580" t="s">
        <v>3347</v>
      </c>
      <c r="M65" s="580" t="s">
        <v>2824</v>
      </c>
      <c r="N65" s="583"/>
      <c r="O65" s="583"/>
      <c r="P65" s="580" t="s">
        <v>3348</v>
      </c>
      <c r="Q65" s="580" t="s">
        <v>3349</v>
      </c>
      <c r="R65" s="580" t="s">
        <v>3350</v>
      </c>
      <c r="S65" s="583"/>
      <c r="T65" s="583"/>
      <c r="U65" s="584"/>
      <c r="V65" s="584"/>
      <c r="W65" s="584"/>
      <c r="X65" s="584"/>
      <c r="Y65" s="584"/>
      <c r="Z65" s="584"/>
      <c r="AA65" s="584"/>
      <c r="AB65" s="584"/>
      <c r="AC65" s="584"/>
      <c r="AD65" s="584"/>
      <c r="AE65" s="584"/>
      <c r="AF65" s="584"/>
      <c r="AG65" s="584"/>
      <c r="AH65" s="584"/>
      <c r="AI65" s="584"/>
    </row>
    <row r="66">
      <c r="A66" s="578" t="s">
        <v>445</v>
      </c>
      <c r="B66" s="577">
        <v>159.637304045209</v>
      </c>
      <c r="C66" s="580" t="s">
        <v>3351</v>
      </c>
      <c r="D66" s="580" t="s">
        <v>3352</v>
      </c>
      <c r="E66" s="580" t="s">
        <v>3353</v>
      </c>
      <c r="F66" s="580" t="s">
        <v>3354</v>
      </c>
      <c r="G66" s="580" t="s">
        <v>3355</v>
      </c>
      <c r="H66" s="580" t="s">
        <v>3356</v>
      </c>
      <c r="I66" s="580" t="s">
        <v>3357</v>
      </c>
      <c r="J66" s="580" t="s">
        <v>3358</v>
      </c>
      <c r="K66" s="580" t="s">
        <v>3359</v>
      </c>
      <c r="L66" s="580" t="s">
        <v>3360</v>
      </c>
      <c r="M66" s="580" t="s">
        <v>2824</v>
      </c>
      <c r="N66" s="581"/>
      <c r="O66" s="581"/>
      <c r="P66" s="580" t="s">
        <v>3361</v>
      </c>
      <c r="Q66" s="581"/>
      <c r="R66" s="581"/>
      <c r="S66" s="580" t="s">
        <v>3362</v>
      </c>
      <c r="T66" s="580" t="s">
        <v>3363</v>
      </c>
    </row>
    <row r="67">
      <c r="A67" s="578" t="s">
        <v>396</v>
      </c>
      <c r="B67" s="577">
        <v>156.737355213868</v>
      </c>
      <c r="C67" s="580" t="s">
        <v>3364</v>
      </c>
      <c r="D67" s="580" t="s">
        <v>3365</v>
      </c>
      <c r="E67" s="580" t="s">
        <v>3366</v>
      </c>
      <c r="F67" s="580" t="s">
        <v>3367</v>
      </c>
      <c r="G67" s="580" t="s">
        <v>3368</v>
      </c>
      <c r="H67" s="580" t="s">
        <v>3369</v>
      </c>
      <c r="I67" s="580" t="s">
        <v>3370</v>
      </c>
      <c r="J67" s="580" t="s">
        <v>3371</v>
      </c>
      <c r="K67" s="580" t="s">
        <v>3372</v>
      </c>
      <c r="L67" s="580" t="s">
        <v>3373</v>
      </c>
      <c r="M67" s="580" t="s">
        <v>2824</v>
      </c>
      <c r="N67" s="581"/>
      <c r="O67" s="581"/>
      <c r="P67" s="580" t="s">
        <v>3374</v>
      </c>
      <c r="Q67" s="580" t="s">
        <v>3375</v>
      </c>
      <c r="R67" s="580" t="s">
        <v>3376</v>
      </c>
      <c r="S67" s="581"/>
      <c r="T67" s="581"/>
    </row>
    <row r="68">
      <c r="A68" s="578" t="s">
        <v>673</v>
      </c>
      <c r="B68" s="577">
        <v>164.828825264962</v>
      </c>
      <c r="C68" s="580" t="s">
        <v>3377</v>
      </c>
      <c r="D68" s="580" t="s">
        <v>3378</v>
      </c>
      <c r="E68" s="580" t="s">
        <v>3379</v>
      </c>
      <c r="F68" s="580" t="s">
        <v>3380</v>
      </c>
      <c r="G68" s="580" t="s">
        <v>3381</v>
      </c>
      <c r="H68" s="580" t="s">
        <v>3382</v>
      </c>
      <c r="I68" s="580" t="s">
        <v>3383</v>
      </c>
      <c r="J68" s="580" t="s">
        <v>3384</v>
      </c>
      <c r="K68" s="580" t="s">
        <v>3385</v>
      </c>
      <c r="L68" s="580" t="s">
        <v>3386</v>
      </c>
      <c r="M68" s="580" t="s">
        <v>2824</v>
      </c>
      <c r="N68" s="581"/>
      <c r="O68" s="581"/>
      <c r="P68" s="581"/>
      <c r="Q68" s="581"/>
      <c r="R68" s="581"/>
      <c r="S68" s="581"/>
      <c r="T68" s="581"/>
    </row>
    <row r="69">
      <c r="A69" s="578" t="s">
        <v>1664</v>
      </c>
      <c r="B69" s="577">
        <v>349.198589237699</v>
      </c>
      <c r="C69" s="580" t="s">
        <v>3387</v>
      </c>
      <c r="D69" s="580" t="s">
        <v>3388</v>
      </c>
      <c r="E69" s="580" t="s">
        <v>3389</v>
      </c>
      <c r="F69" s="580" t="s">
        <v>3390</v>
      </c>
      <c r="G69" s="580" t="s">
        <v>3391</v>
      </c>
      <c r="H69" s="580" t="s">
        <v>3392</v>
      </c>
      <c r="I69" s="580" t="s">
        <v>3393</v>
      </c>
      <c r="J69" s="580" t="s">
        <v>3394</v>
      </c>
      <c r="K69" s="580" t="s">
        <v>3395</v>
      </c>
      <c r="L69" s="580" t="s">
        <v>3396</v>
      </c>
      <c r="M69" s="580" t="s">
        <v>2824</v>
      </c>
      <c r="N69" s="581"/>
      <c r="O69" s="581"/>
      <c r="P69" s="580" t="s">
        <v>3397</v>
      </c>
      <c r="Q69" s="581"/>
      <c r="R69" s="581"/>
      <c r="S69" s="580" t="s">
        <v>2852</v>
      </c>
      <c r="T69" s="580" t="s">
        <v>3094</v>
      </c>
    </row>
    <row r="70">
      <c r="A70" s="578" t="s">
        <v>405</v>
      </c>
      <c r="B70" s="582"/>
      <c r="C70" s="580" t="s">
        <v>3398</v>
      </c>
      <c r="D70" s="580" t="s">
        <v>3399</v>
      </c>
      <c r="E70" s="580" t="s">
        <v>3400</v>
      </c>
      <c r="F70" s="580" t="s">
        <v>3401</v>
      </c>
      <c r="G70" s="581"/>
      <c r="H70" s="581"/>
      <c r="I70" s="581"/>
      <c r="J70" s="581"/>
      <c r="K70" s="581"/>
      <c r="L70" s="581"/>
      <c r="M70" s="580" t="s">
        <v>2838</v>
      </c>
      <c r="N70" s="581"/>
      <c r="O70" s="581"/>
      <c r="P70" s="580" t="s">
        <v>3402</v>
      </c>
      <c r="Q70" s="581"/>
      <c r="R70" s="581"/>
      <c r="S70" s="581"/>
      <c r="T70" s="581"/>
    </row>
    <row r="71">
      <c r="A71" s="578" t="s">
        <v>1715</v>
      </c>
      <c r="B71" s="577">
        <v>402.933354823112</v>
      </c>
      <c r="C71" s="580" t="s">
        <v>3403</v>
      </c>
      <c r="D71" s="580" t="s">
        <v>3404</v>
      </c>
      <c r="E71" s="580" t="s">
        <v>3405</v>
      </c>
      <c r="F71" s="580" t="s">
        <v>3406</v>
      </c>
      <c r="G71" s="580" t="s">
        <v>3407</v>
      </c>
      <c r="H71" s="580" t="s">
        <v>3408</v>
      </c>
      <c r="I71" s="580" t="s">
        <v>3409</v>
      </c>
      <c r="J71" s="580" t="s">
        <v>3410</v>
      </c>
      <c r="K71" s="580" t="s">
        <v>3040</v>
      </c>
      <c r="L71" s="580" t="s">
        <v>3411</v>
      </c>
      <c r="M71" s="580" t="s">
        <v>2824</v>
      </c>
      <c r="N71" s="581"/>
      <c r="O71" s="581"/>
      <c r="P71" s="580" t="s">
        <v>3412</v>
      </c>
      <c r="Q71" s="581"/>
      <c r="R71" s="581"/>
      <c r="S71" s="580" t="s">
        <v>3413</v>
      </c>
      <c r="T71" s="580" t="s">
        <v>3414</v>
      </c>
    </row>
    <row r="72">
      <c r="A72" s="578" t="s">
        <v>1692</v>
      </c>
      <c r="B72" s="582"/>
      <c r="C72" s="580" t="s">
        <v>3415</v>
      </c>
      <c r="D72" s="580" t="s">
        <v>3416</v>
      </c>
      <c r="E72" s="580" t="s">
        <v>3417</v>
      </c>
      <c r="F72" s="580" t="s">
        <v>3418</v>
      </c>
      <c r="G72" s="581"/>
      <c r="H72" s="581"/>
      <c r="I72" s="581"/>
      <c r="J72" s="581"/>
      <c r="K72" s="581"/>
      <c r="L72" s="581"/>
      <c r="M72" s="580" t="s">
        <v>2824</v>
      </c>
      <c r="N72" s="581"/>
      <c r="O72" s="581"/>
      <c r="P72" s="581"/>
      <c r="Q72" s="581"/>
      <c r="R72" s="581"/>
      <c r="S72" s="581"/>
      <c r="T72" s="581"/>
    </row>
    <row r="73">
      <c r="A73" s="578" t="s">
        <v>424</v>
      </c>
      <c r="B73" s="577">
        <v>428.338901739055</v>
      </c>
      <c r="C73" s="580" t="s">
        <v>3419</v>
      </c>
      <c r="D73" s="580" t="s">
        <v>3420</v>
      </c>
      <c r="E73" s="580" t="s">
        <v>3421</v>
      </c>
      <c r="F73" s="580" t="s">
        <v>3422</v>
      </c>
      <c r="G73" s="580" t="s">
        <v>3423</v>
      </c>
      <c r="H73" s="580" t="s">
        <v>3424</v>
      </c>
      <c r="I73" s="580" t="s">
        <v>3425</v>
      </c>
      <c r="J73" s="580" t="s">
        <v>3386</v>
      </c>
      <c r="K73" s="580" t="s">
        <v>3426</v>
      </c>
      <c r="L73" s="580" t="s">
        <v>3410</v>
      </c>
      <c r="M73" s="580" t="s">
        <v>2824</v>
      </c>
      <c r="N73" s="581"/>
      <c r="O73" s="581"/>
      <c r="P73" s="580" t="s">
        <v>3427</v>
      </c>
      <c r="Q73" s="580" t="s">
        <v>3428</v>
      </c>
      <c r="R73" s="580" t="s">
        <v>3429</v>
      </c>
      <c r="S73" s="580" t="s">
        <v>3430</v>
      </c>
      <c r="T73" s="580" t="s">
        <v>2853</v>
      </c>
    </row>
    <row r="74">
      <c r="A74" s="578" t="s">
        <v>1629</v>
      </c>
      <c r="B74" s="582"/>
      <c r="C74" s="580" t="s">
        <v>3431</v>
      </c>
      <c r="D74" s="580" t="s">
        <v>3432</v>
      </c>
      <c r="E74" s="580" t="s">
        <v>3433</v>
      </c>
      <c r="F74" s="580" t="s">
        <v>3434</v>
      </c>
      <c r="G74" s="581"/>
      <c r="H74" s="581"/>
      <c r="I74" s="581"/>
      <c r="J74" s="581"/>
      <c r="K74" s="581"/>
      <c r="L74" s="581"/>
      <c r="M74" s="580" t="s">
        <v>2824</v>
      </c>
      <c r="N74" s="581"/>
      <c r="O74" s="581"/>
      <c r="P74" s="581"/>
      <c r="Q74" s="581"/>
      <c r="R74" s="581"/>
      <c r="S74" s="581"/>
      <c r="T74" s="581"/>
    </row>
    <row r="75">
      <c r="A75" s="578" t="s">
        <v>1677</v>
      </c>
      <c r="B75" s="577">
        <v>372.106869092803</v>
      </c>
      <c r="C75" s="580" t="s">
        <v>3435</v>
      </c>
      <c r="D75" s="580" t="s">
        <v>3436</v>
      </c>
      <c r="E75" s="580" t="s">
        <v>3437</v>
      </c>
      <c r="F75" s="580" t="s">
        <v>3438</v>
      </c>
      <c r="G75" s="580" t="s">
        <v>3439</v>
      </c>
      <c r="H75" s="580" t="s">
        <v>3440</v>
      </c>
      <c r="I75" s="580" t="s">
        <v>3441</v>
      </c>
      <c r="J75" s="580" t="s">
        <v>3070</v>
      </c>
      <c r="K75" s="580" t="s">
        <v>3442</v>
      </c>
      <c r="L75" s="580" t="s">
        <v>3358</v>
      </c>
      <c r="M75" s="580" t="s">
        <v>2824</v>
      </c>
      <c r="N75" s="581"/>
      <c r="O75" s="581"/>
      <c r="P75" s="580" t="s">
        <v>3443</v>
      </c>
      <c r="Q75" s="581"/>
      <c r="R75" s="581"/>
      <c r="S75" s="581"/>
      <c r="T75" s="581"/>
    </row>
    <row r="76">
      <c r="A76" s="578" t="s">
        <v>1640</v>
      </c>
      <c r="B76" s="577">
        <v>314.851547495355</v>
      </c>
      <c r="C76" s="580" t="s">
        <v>3444</v>
      </c>
      <c r="D76" s="580" t="s">
        <v>3445</v>
      </c>
      <c r="E76" s="580" t="s">
        <v>3446</v>
      </c>
      <c r="F76" s="580" t="s">
        <v>3447</v>
      </c>
      <c r="G76" s="580" t="s">
        <v>3448</v>
      </c>
      <c r="H76" s="580" t="s">
        <v>3449</v>
      </c>
      <c r="I76" s="580" t="s">
        <v>3450</v>
      </c>
      <c r="J76" s="580" t="s">
        <v>3451</v>
      </c>
      <c r="K76" s="580" t="s">
        <v>3452</v>
      </c>
      <c r="L76" s="580" t="s">
        <v>3453</v>
      </c>
      <c r="M76" s="580" t="s">
        <v>2824</v>
      </c>
      <c r="N76" s="581"/>
      <c r="O76" s="581"/>
      <c r="P76" s="581"/>
      <c r="Q76" s="581"/>
      <c r="R76" s="581"/>
      <c r="S76" s="581"/>
      <c r="T76" s="581"/>
    </row>
    <row r="77">
      <c r="A77" s="578" t="s">
        <v>1671</v>
      </c>
      <c r="B77" s="577">
        <v>380.676843427614</v>
      </c>
      <c r="C77" s="580" t="s">
        <v>3454</v>
      </c>
      <c r="D77" s="580" t="s">
        <v>3455</v>
      </c>
      <c r="E77" s="580" t="s">
        <v>3456</v>
      </c>
      <c r="F77" s="580" t="s">
        <v>3457</v>
      </c>
      <c r="G77" s="580" t="s">
        <v>3458</v>
      </c>
      <c r="H77" s="580" t="s">
        <v>3459</v>
      </c>
      <c r="I77" s="580" t="s">
        <v>3460</v>
      </c>
      <c r="J77" s="580" t="s">
        <v>3461</v>
      </c>
      <c r="K77" s="580" t="s">
        <v>3462</v>
      </c>
      <c r="L77" s="580" t="s">
        <v>3463</v>
      </c>
      <c r="M77" s="580" t="s">
        <v>2824</v>
      </c>
      <c r="N77" s="581"/>
      <c r="O77" s="581"/>
      <c r="P77" s="580" t="s">
        <v>3464</v>
      </c>
      <c r="Q77" s="581"/>
      <c r="R77" s="581"/>
      <c r="S77" s="580" t="s">
        <v>2826</v>
      </c>
      <c r="T77" s="580" t="s">
        <v>3465</v>
      </c>
    </row>
    <row r="78">
      <c r="A78" s="578" t="s">
        <v>1650</v>
      </c>
      <c r="B78" s="577">
        <v>427.478305475997</v>
      </c>
      <c r="C78" s="580" t="s">
        <v>3466</v>
      </c>
      <c r="D78" s="580" t="s">
        <v>3467</v>
      </c>
      <c r="E78" s="580" t="s">
        <v>3468</v>
      </c>
      <c r="F78" s="580" t="s">
        <v>3469</v>
      </c>
      <c r="G78" s="580" t="s">
        <v>3470</v>
      </c>
      <c r="H78" s="580" t="s">
        <v>3471</v>
      </c>
      <c r="I78" s="580" t="s">
        <v>3472</v>
      </c>
      <c r="J78" s="580" t="s">
        <v>3284</v>
      </c>
      <c r="K78" s="580" t="s">
        <v>3473</v>
      </c>
      <c r="L78" s="580" t="s">
        <v>3474</v>
      </c>
      <c r="M78" s="580" t="s">
        <v>2824</v>
      </c>
      <c r="N78" s="581"/>
      <c r="O78" s="581"/>
      <c r="P78" s="581"/>
      <c r="Q78" s="581"/>
      <c r="R78" s="581"/>
      <c r="S78" s="581"/>
      <c r="T78" s="581"/>
    </row>
    <row r="79">
      <c r="A79" s="578" t="s">
        <v>1657</v>
      </c>
      <c r="B79" s="577">
        <v>398.851308232291</v>
      </c>
      <c r="C79" s="580" t="s">
        <v>3475</v>
      </c>
      <c r="D79" s="580" t="s">
        <v>3476</v>
      </c>
      <c r="E79" s="580" t="s">
        <v>3477</v>
      </c>
      <c r="F79" s="580" t="s">
        <v>3478</v>
      </c>
      <c r="G79" s="580" t="s">
        <v>3479</v>
      </c>
      <c r="H79" s="580" t="s">
        <v>3480</v>
      </c>
      <c r="I79" s="580" t="s">
        <v>3481</v>
      </c>
      <c r="J79" s="580" t="s">
        <v>3482</v>
      </c>
      <c r="K79" s="580" t="s">
        <v>2872</v>
      </c>
      <c r="L79" s="580" t="s">
        <v>3483</v>
      </c>
      <c r="M79" s="580" t="s">
        <v>2824</v>
      </c>
      <c r="N79" s="581"/>
      <c r="O79" s="581"/>
      <c r="P79" s="581"/>
      <c r="Q79" s="581"/>
      <c r="R79" s="581"/>
      <c r="S79" s="581"/>
      <c r="T79" s="581"/>
    </row>
    <row r="80">
      <c r="A80" s="578" t="s">
        <v>710</v>
      </c>
      <c r="B80" s="577">
        <v>398.692289291125</v>
      </c>
      <c r="C80" s="580" t="s">
        <v>3484</v>
      </c>
      <c r="D80" s="580" t="s">
        <v>3485</v>
      </c>
      <c r="E80" s="580" t="s">
        <v>3486</v>
      </c>
      <c r="F80" s="580" t="s">
        <v>3487</v>
      </c>
      <c r="G80" s="580" t="s">
        <v>3488</v>
      </c>
      <c r="H80" s="580" t="s">
        <v>3489</v>
      </c>
      <c r="I80" s="580" t="s">
        <v>3490</v>
      </c>
      <c r="J80" s="580" t="s">
        <v>3342</v>
      </c>
      <c r="K80" s="580" t="s">
        <v>3491</v>
      </c>
      <c r="L80" s="580" t="s">
        <v>3492</v>
      </c>
      <c r="M80" s="580" t="s">
        <v>2824</v>
      </c>
      <c r="N80" s="581"/>
      <c r="O80" s="581"/>
      <c r="P80" s="580" t="s">
        <v>3493</v>
      </c>
      <c r="Q80" s="580" t="s">
        <v>3494</v>
      </c>
      <c r="R80" s="580" t="s">
        <v>3495</v>
      </c>
      <c r="S80" s="580" t="s">
        <v>3496</v>
      </c>
      <c r="T80" s="580" t="s">
        <v>3497</v>
      </c>
    </row>
    <row r="81">
      <c r="A81" s="578" t="s">
        <v>393</v>
      </c>
      <c r="B81" s="577">
        <v>335.863505071538</v>
      </c>
      <c r="C81" s="580" t="s">
        <v>3498</v>
      </c>
      <c r="D81" s="580" t="s">
        <v>3499</v>
      </c>
      <c r="E81" s="580" t="s">
        <v>3500</v>
      </c>
      <c r="F81" s="580" t="s">
        <v>3501</v>
      </c>
      <c r="G81" s="580" t="s">
        <v>3502</v>
      </c>
      <c r="H81" s="580" t="s">
        <v>3503</v>
      </c>
      <c r="I81" s="580" t="s">
        <v>3504</v>
      </c>
      <c r="J81" s="580" t="s">
        <v>3505</v>
      </c>
      <c r="K81" s="580" t="s">
        <v>3506</v>
      </c>
      <c r="L81" s="580" t="s">
        <v>3174</v>
      </c>
      <c r="M81" s="580" t="s">
        <v>2824</v>
      </c>
      <c r="N81" s="581"/>
      <c r="O81" s="581"/>
      <c r="P81" s="581"/>
      <c r="Q81" s="581"/>
      <c r="R81" s="581"/>
      <c r="S81" s="581"/>
      <c r="T81" s="581"/>
    </row>
    <row r="82">
      <c r="A82" s="578" t="s">
        <v>1713</v>
      </c>
      <c r="B82" s="577">
        <v>410.205923373533</v>
      </c>
      <c r="C82" s="580" t="s">
        <v>3507</v>
      </c>
      <c r="D82" s="580" t="s">
        <v>3122</v>
      </c>
      <c r="E82" s="580" t="s">
        <v>3508</v>
      </c>
      <c r="F82" s="580" t="s">
        <v>3509</v>
      </c>
      <c r="G82" s="580" t="s">
        <v>3510</v>
      </c>
      <c r="H82" s="580" t="s">
        <v>3511</v>
      </c>
      <c r="I82" s="580" t="s">
        <v>3512</v>
      </c>
      <c r="J82" s="580" t="s">
        <v>3094</v>
      </c>
      <c r="K82" s="580" t="s">
        <v>3513</v>
      </c>
      <c r="L82" s="580" t="s">
        <v>3514</v>
      </c>
      <c r="M82" s="580" t="s">
        <v>2824</v>
      </c>
      <c r="N82" s="581"/>
      <c r="O82" s="581"/>
      <c r="P82" s="580" t="s">
        <v>3515</v>
      </c>
      <c r="Q82" s="581"/>
      <c r="R82" s="581"/>
      <c r="S82" s="580" t="s">
        <v>3053</v>
      </c>
      <c r="T82" s="580" t="s">
        <v>2859</v>
      </c>
    </row>
    <row r="83">
      <c r="A83" s="578" t="s">
        <v>1694</v>
      </c>
      <c r="B83" s="577">
        <v>347.258394971698</v>
      </c>
      <c r="C83" s="580" t="s">
        <v>3516</v>
      </c>
      <c r="D83" s="580" t="s">
        <v>3517</v>
      </c>
      <c r="E83" s="580" t="s">
        <v>3518</v>
      </c>
      <c r="F83" s="580" t="s">
        <v>3519</v>
      </c>
      <c r="G83" s="580" t="s">
        <v>3520</v>
      </c>
      <c r="H83" s="580" t="s">
        <v>3521</v>
      </c>
      <c r="I83" s="580" t="s">
        <v>3522</v>
      </c>
      <c r="J83" s="580" t="s">
        <v>3523</v>
      </c>
      <c r="K83" s="580" t="s">
        <v>3524</v>
      </c>
      <c r="L83" s="580" t="s">
        <v>3525</v>
      </c>
      <c r="M83" s="580" t="s">
        <v>2824</v>
      </c>
      <c r="N83" s="581"/>
      <c r="O83" s="581"/>
      <c r="P83" s="580" t="s">
        <v>3526</v>
      </c>
      <c r="Q83" s="581"/>
      <c r="R83" s="581"/>
      <c r="S83" s="581"/>
      <c r="T83" s="581"/>
    </row>
    <row r="84">
      <c r="A84" s="578" t="s">
        <v>1737</v>
      </c>
      <c r="B84" s="577">
        <v>429.922613929492</v>
      </c>
      <c r="C84" s="580" t="s">
        <v>3527</v>
      </c>
      <c r="D84" s="580" t="s">
        <v>3068</v>
      </c>
      <c r="E84" s="580" t="s">
        <v>3528</v>
      </c>
      <c r="F84" s="580" t="s">
        <v>3529</v>
      </c>
      <c r="G84" s="580" t="s">
        <v>3530</v>
      </c>
      <c r="H84" s="580" t="s">
        <v>3531</v>
      </c>
      <c r="I84" s="580" t="s">
        <v>3532</v>
      </c>
      <c r="J84" s="580" t="s">
        <v>3533</v>
      </c>
      <c r="K84" s="580" t="s">
        <v>3534</v>
      </c>
      <c r="L84" s="580" t="s">
        <v>3535</v>
      </c>
      <c r="M84" s="580" t="s">
        <v>2824</v>
      </c>
      <c r="N84" s="581"/>
      <c r="O84" s="581"/>
      <c r="P84" s="580" t="s">
        <v>3536</v>
      </c>
      <c r="Q84" s="581"/>
      <c r="R84" s="581"/>
      <c r="S84" s="580" t="s">
        <v>3045</v>
      </c>
      <c r="T84" s="580" t="s">
        <v>3537</v>
      </c>
    </row>
    <row r="85">
      <c r="A85" s="578" t="s">
        <v>700</v>
      </c>
      <c r="B85" s="577">
        <v>335.334160490929</v>
      </c>
      <c r="C85" s="580" t="s">
        <v>3538</v>
      </c>
      <c r="D85" s="580" t="s">
        <v>3539</v>
      </c>
      <c r="E85" s="580" t="s">
        <v>3540</v>
      </c>
      <c r="F85" s="580" t="s">
        <v>3187</v>
      </c>
      <c r="G85" s="580" t="s">
        <v>3541</v>
      </c>
      <c r="H85" s="580" t="s">
        <v>3542</v>
      </c>
      <c r="I85" s="580" t="s">
        <v>3543</v>
      </c>
      <c r="J85" s="580" t="s">
        <v>3414</v>
      </c>
      <c r="K85" s="580" t="s">
        <v>3544</v>
      </c>
      <c r="L85" s="580" t="s">
        <v>3358</v>
      </c>
      <c r="M85" s="580" t="s">
        <v>2824</v>
      </c>
      <c r="N85" s="581"/>
      <c r="O85" s="581"/>
      <c r="P85" s="580" t="s">
        <v>3545</v>
      </c>
      <c r="Q85" s="581"/>
      <c r="R85" s="581"/>
      <c r="S85" s="580" t="s">
        <v>3546</v>
      </c>
      <c r="T85" s="580" t="s">
        <v>3056</v>
      </c>
    </row>
    <row r="86">
      <c r="A86" s="578" t="s">
        <v>2014</v>
      </c>
      <c r="B86" s="577">
        <v>373.468778010158</v>
      </c>
      <c r="C86" s="580" t="s">
        <v>3547</v>
      </c>
      <c r="D86" s="580" t="s">
        <v>3548</v>
      </c>
      <c r="E86" s="580" t="s">
        <v>3549</v>
      </c>
      <c r="F86" s="580" t="s">
        <v>3550</v>
      </c>
      <c r="G86" s="580" t="s">
        <v>3551</v>
      </c>
      <c r="H86" s="580" t="s">
        <v>3552</v>
      </c>
      <c r="I86" s="580" t="s">
        <v>3553</v>
      </c>
      <c r="J86" s="580" t="s">
        <v>3554</v>
      </c>
      <c r="K86" s="580" t="s">
        <v>3555</v>
      </c>
      <c r="L86" s="580" t="s">
        <v>3554</v>
      </c>
      <c r="M86" s="580" t="s">
        <v>2824</v>
      </c>
      <c r="N86" s="580" t="s">
        <v>3556</v>
      </c>
      <c r="O86" s="580" t="s">
        <v>3557</v>
      </c>
      <c r="P86" s="580" t="s">
        <v>3558</v>
      </c>
      <c r="Q86" s="580" t="s">
        <v>3559</v>
      </c>
      <c r="R86" s="580" t="s">
        <v>3560</v>
      </c>
      <c r="S86" s="580" t="s">
        <v>3561</v>
      </c>
      <c r="T86" s="580" t="s">
        <v>3562</v>
      </c>
    </row>
    <row r="87">
      <c r="A87" s="578" t="s">
        <v>1661</v>
      </c>
      <c r="B87" s="577">
        <v>1990.84212621939</v>
      </c>
      <c r="C87" s="580" t="s">
        <v>3563</v>
      </c>
      <c r="D87" s="580" t="s">
        <v>3564</v>
      </c>
      <c r="E87" s="580" t="s">
        <v>3565</v>
      </c>
      <c r="F87" s="580" t="s">
        <v>3566</v>
      </c>
      <c r="G87" s="580" t="s">
        <v>3567</v>
      </c>
      <c r="H87" s="580" t="s">
        <v>3568</v>
      </c>
      <c r="I87" s="580" t="s">
        <v>3569</v>
      </c>
      <c r="J87" s="580" t="s">
        <v>3570</v>
      </c>
      <c r="K87" s="580" t="s">
        <v>3571</v>
      </c>
      <c r="L87" s="580" t="s">
        <v>3572</v>
      </c>
      <c r="M87" s="580" t="s">
        <v>2824</v>
      </c>
      <c r="N87" s="580" t="s">
        <v>3573</v>
      </c>
      <c r="O87" s="580" t="s">
        <v>3574</v>
      </c>
      <c r="P87" s="580" t="s">
        <v>3575</v>
      </c>
      <c r="Q87" s="580" t="s">
        <v>3576</v>
      </c>
      <c r="R87" s="580" t="s">
        <v>3577</v>
      </c>
      <c r="S87" s="580" t="s">
        <v>3578</v>
      </c>
      <c r="T87" s="580" t="s">
        <v>3579</v>
      </c>
    </row>
    <row r="88">
      <c r="A88" s="578" t="s">
        <v>1690</v>
      </c>
      <c r="B88" s="577">
        <v>370.356653457279</v>
      </c>
      <c r="C88" s="580" t="s">
        <v>3580</v>
      </c>
      <c r="D88" s="580" t="s">
        <v>3581</v>
      </c>
      <c r="E88" s="580" t="s">
        <v>3582</v>
      </c>
      <c r="F88" s="580" t="s">
        <v>3583</v>
      </c>
      <c r="G88" s="580" t="s">
        <v>3584</v>
      </c>
      <c r="H88" s="580" t="s">
        <v>3585</v>
      </c>
      <c r="I88" s="580" t="s">
        <v>3586</v>
      </c>
      <c r="J88" s="580" t="s">
        <v>3525</v>
      </c>
      <c r="K88" s="580" t="s">
        <v>3587</v>
      </c>
      <c r="L88" s="580" t="s">
        <v>3588</v>
      </c>
      <c r="M88" s="580" t="s">
        <v>2824</v>
      </c>
      <c r="N88" s="581"/>
      <c r="O88" s="581"/>
      <c r="P88" s="580" t="s">
        <v>3589</v>
      </c>
      <c r="Q88" s="581"/>
      <c r="R88" s="581"/>
      <c r="S88" s="581"/>
      <c r="T88" s="581"/>
    </row>
    <row r="89">
      <c r="A89" s="578" t="s">
        <v>1666</v>
      </c>
      <c r="B89" s="577">
        <v>419.023674837628</v>
      </c>
      <c r="C89" s="580" t="s">
        <v>3590</v>
      </c>
      <c r="D89" s="580" t="s">
        <v>3420</v>
      </c>
      <c r="E89" s="580" t="s">
        <v>3591</v>
      </c>
      <c r="F89" s="580" t="s">
        <v>3592</v>
      </c>
      <c r="G89" s="580" t="s">
        <v>3593</v>
      </c>
      <c r="H89" s="580" t="s">
        <v>3594</v>
      </c>
      <c r="I89" s="580" t="s">
        <v>3595</v>
      </c>
      <c r="J89" s="580" t="s">
        <v>3461</v>
      </c>
      <c r="K89" s="580" t="s">
        <v>3596</v>
      </c>
      <c r="L89" s="580" t="s">
        <v>2853</v>
      </c>
      <c r="M89" s="580" t="s">
        <v>2824</v>
      </c>
      <c r="N89" s="581"/>
      <c r="O89" s="581"/>
      <c r="P89" s="580" t="s">
        <v>3597</v>
      </c>
      <c r="Q89" s="581"/>
      <c r="R89" s="581"/>
      <c r="S89" s="580" t="s">
        <v>3451</v>
      </c>
      <c r="T89" s="580" t="s">
        <v>3598</v>
      </c>
    </row>
    <row r="90">
      <c r="A90" s="578" t="s">
        <v>1668</v>
      </c>
      <c r="B90" s="577">
        <v>387.23667905824</v>
      </c>
      <c r="C90" s="580" t="s">
        <v>3599</v>
      </c>
      <c r="D90" s="580" t="s">
        <v>3600</v>
      </c>
      <c r="E90" s="580" t="s">
        <v>3601</v>
      </c>
      <c r="F90" s="580" t="s">
        <v>3602</v>
      </c>
      <c r="G90" s="580" t="s">
        <v>3603</v>
      </c>
      <c r="H90" s="580" t="s">
        <v>3604</v>
      </c>
      <c r="I90" s="580" t="s">
        <v>3605</v>
      </c>
      <c r="J90" s="580" t="s">
        <v>3606</v>
      </c>
      <c r="K90" s="580" t="s">
        <v>3607</v>
      </c>
      <c r="L90" s="580" t="s">
        <v>3608</v>
      </c>
      <c r="M90" s="580" t="s">
        <v>2824</v>
      </c>
      <c r="N90" s="581"/>
      <c r="O90" s="581"/>
      <c r="P90" s="580" t="s">
        <v>3609</v>
      </c>
      <c r="Q90" s="581"/>
      <c r="R90" s="581"/>
      <c r="S90" s="580" t="s">
        <v>3610</v>
      </c>
      <c r="T90" s="580" t="s">
        <v>3611</v>
      </c>
    </row>
    <row r="91">
      <c r="A91" s="578" t="s">
        <v>1679</v>
      </c>
      <c r="B91" s="577">
        <v>362.818373122414</v>
      </c>
      <c r="C91" s="580" t="s">
        <v>3612</v>
      </c>
      <c r="D91" s="580" t="s">
        <v>3613</v>
      </c>
      <c r="E91" s="580" t="s">
        <v>3614</v>
      </c>
      <c r="F91" s="580" t="s">
        <v>3615</v>
      </c>
      <c r="G91" s="580" t="s">
        <v>3616</v>
      </c>
      <c r="H91" s="580" t="s">
        <v>3617</v>
      </c>
      <c r="I91" s="580" t="s">
        <v>3618</v>
      </c>
      <c r="J91" s="580" t="s">
        <v>3619</v>
      </c>
      <c r="K91" s="580" t="s">
        <v>3620</v>
      </c>
      <c r="L91" s="580" t="s">
        <v>3373</v>
      </c>
      <c r="M91" s="580" t="s">
        <v>2824</v>
      </c>
      <c r="N91" s="581"/>
      <c r="O91" s="581"/>
      <c r="P91" s="580" t="s">
        <v>3621</v>
      </c>
      <c r="Q91" s="581"/>
      <c r="R91" s="581"/>
      <c r="S91" s="581"/>
      <c r="T91" s="581"/>
    </row>
    <row r="92">
      <c r="A92" s="578" t="s">
        <v>1688</v>
      </c>
      <c r="B92" s="577">
        <v>436.395374209033</v>
      </c>
      <c r="C92" s="580" t="s">
        <v>3622</v>
      </c>
      <c r="D92" s="580" t="s">
        <v>3623</v>
      </c>
      <c r="E92" s="580" t="s">
        <v>3624</v>
      </c>
      <c r="F92" s="580" t="s">
        <v>3625</v>
      </c>
      <c r="G92" s="580" t="s">
        <v>3626</v>
      </c>
      <c r="H92" s="580" t="s">
        <v>3627</v>
      </c>
      <c r="I92" s="580" t="s">
        <v>3628</v>
      </c>
      <c r="J92" s="580" t="s">
        <v>2821</v>
      </c>
      <c r="K92" s="580" t="s">
        <v>3629</v>
      </c>
      <c r="L92" s="580" t="s">
        <v>3630</v>
      </c>
      <c r="M92" s="580" t="s">
        <v>2824</v>
      </c>
      <c r="N92" s="581"/>
      <c r="O92" s="581"/>
      <c r="P92" s="580" t="s">
        <v>3631</v>
      </c>
      <c r="Q92" s="581"/>
      <c r="R92" s="581"/>
      <c r="S92" s="581"/>
      <c r="T92" s="581"/>
    </row>
    <row r="93">
      <c r="A93" s="578" t="s">
        <v>407</v>
      </c>
      <c r="B93" s="577">
        <v>381.766816828281</v>
      </c>
      <c r="C93" s="580" t="s">
        <v>3632</v>
      </c>
      <c r="D93" s="580" t="s">
        <v>3633</v>
      </c>
      <c r="E93" s="580" t="s">
        <v>3634</v>
      </c>
      <c r="F93" s="580" t="s">
        <v>3635</v>
      </c>
      <c r="G93" s="580" t="s">
        <v>3636</v>
      </c>
      <c r="H93" s="580" t="s">
        <v>3637</v>
      </c>
      <c r="I93" s="580" t="s">
        <v>3638</v>
      </c>
      <c r="J93" s="580" t="s">
        <v>3147</v>
      </c>
      <c r="K93" s="580" t="s">
        <v>3639</v>
      </c>
      <c r="L93" s="580" t="s">
        <v>3640</v>
      </c>
      <c r="M93" s="580" t="s">
        <v>2824</v>
      </c>
      <c r="N93" s="581"/>
      <c r="O93" s="581"/>
      <c r="P93" s="580" t="s">
        <v>3641</v>
      </c>
      <c r="Q93" s="580" t="s">
        <v>3642</v>
      </c>
      <c r="R93" s="580" t="s">
        <v>3643</v>
      </c>
      <c r="S93" s="581"/>
      <c r="T93" s="581"/>
    </row>
    <row r="94">
      <c r="A94" s="578" t="s">
        <v>1681</v>
      </c>
      <c r="B94" s="577">
        <v>403.372191521116</v>
      </c>
      <c r="C94" s="580" t="s">
        <v>3644</v>
      </c>
      <c r="D94" s="580" t="s">
        <v>3645</v>
      </c>
      <c r="E94" s="580" t="s">
        <v>3646</v>
      </c>
      <c r="F94" s="580" t="s">
        <v>3647</v>
      </c>
      <c r="G94" s="580" t="s">
        <v>3648</v>
      </c>
      <c r="H94" s="580" t="s">
        <v>3649</v>
      </c>
      <c r="I94" s="580" t="s">
        <v>3650</v>
      </c>
      <c r="J94" s="580" t="s">
        <v>3651</v>
      </c>
      <c r="K94" s="580" t="s">
        <v>3652</v>
      </c>
      <c r="L94" s="580" t="s">
        <v>3653</v>
      </c>
      <c r="M94" s="580" t="s">
        <v>2824</v>
      </c>
      <c r="N94" s="581"/>
      <c r="O94" s="581"/>
      <c r="P94" s="580" t="s">
        <v>3654</v>
      </c>
      <c r="Q94" s="580" t="s">
        <v>3655</v>
      </c>
      <c r="R94" s="580" t="s">
        <v>3656</v>
      </c>
      <c r="S94" s="581"/>
      <c r="T94" s="581"/>
    </row>
    <row r="95">
      <c r="A95" s="578" t="s">
        <v>793</v>
      </c>
      <c r="B95" s="582"/>
      <c r="C95" s="580" t="s">
        <v>3657</v>
      </c>
      <c r="D95" s="580" t="s">
        <v>3658</v>
      </c>
      <c r="E95" s="580" t="s">
        <v>3659</v>
      </c>
      <c r="F95" s="580" t="s">
        <v>3660</v>
      </c>
      <c r="G95" s="581"/>
      <c r="H95" s="581"/>
      <c r="I95" s="581"/>
      <c r="J95" s="581"/>
      <c r="K95" s="581"/>
      <c r="L95" s="581"/>
      <c r="M95" s="580" t="s">
        <v>2824</v>
      </c>
      <c r="N95" s="581"/>
      <c r="O95" s="581"/>
      <c r="P95" s="581"/>
      <c r="Q95" s="581"/>
      <c r="R95" s="581"/>
      <c r="S95" s="581"/>
      <c r="T95" s="581"/>
    </row>
    <row r="96">
      <c r="A96" s="578" t="s">
        <v>796</v>
      </c>
      <c r="B96" s="582"/>
      <c r="C96" s="580" t="s">
        <v>3661</v>
      </c>
      <c r="D96" s="580" t="s">
        <v>3662</v>
      </c>
      <c r="E96" s="580" t="s">
        <v>3663</v>
      </c>
      <c r="F96" s="580" t="s">
        <v>3664</v>
      </c>
      <c r="G96" s="581"/>
      <c r="H96" s="581"/>
      <c r="I96" s="581"/>
      <c r="J96" s="581"/>
      <c r="K96" s="581"/>
      <c r="L96" s="581"/>
      <c r="M96" s="580" t="s">
        <v>2824</v>
      </c>
      <c r="N96" s="581"/>
      <c r="O96" s="581"/>
      <c r="P96" s="581"/>
      <c r="Q96" s="581"/>
      <c r="R96" s="581"/>
      <c r="S96" s="581"/>
      <c r="T96" s="581"/>
    </row>
    <row r="97">
      <c r="A97" s="578" t="s">
        <v>781</v>
      </c>
      <c r="B97" s="577">
        <v>5327.65050612679</v>
      </c>
      <c r="C97" s="580" t="s">
        <v>3665</v>
      </c>
      <c r="D97" s="580" t="s">
        <v>3666</v>
      </c>
      <c r="E97" s="580" t="s">
        <v>3667</v>
      </c>
      <c r="F97" s="580" t="s">
        <v>3668</v>
      </c>
      <c r="G97" s="580" t="s">
        <v>3669</v>
      </c>
      <c r="H97" s="580" t="s">
        <v>3670</v>
      </c>
      <c r="I97" s="580" t="s">
        <v>3671</v>
      </c>
      <c r="J97" s="580" t="s">
        <v>3672</v>
      </c>
      <c r="K97" s="580" t="s">
        <v>3673</v>
      </c>
      <c r="L97" s="580" t="s">
        <v>3674</v>
      </c>
      <c r="M97" s="580" t="s">
        <v>2824</v>
      </c>
      <c r="N97" s="581"/>
      <c r="O97" s="581"/>
      <c r="P97" s="581"/>
      <c r="Q97" s="581"/>
      <c r="R97" s="581"/>
      <c r="S97" s="581"/>
      <c r="T97" s="581"/>
    </row>
    <row r="98">
      <c r="A98" s="578" t="s">
        <v>784</v>
      </c>
      <c r="B98" s="577">
        <v>2926.54375182908</v>
      </c>
      <c r="C98" s="580" t="s">
        <v>3675</v>
      </c>
      <c r="D98" s="580" t="s">
        <v>3676</v>
      </c>
      <c r="E98" s="580" t="s">
        <v>3677</v>
      </c>
      <c r="F98" s="580" t="s">
        <v>3509</v>
      </c>
      <c r="G98" s="580" t="s">
        <v>3678</v>
      </c>
      <c r="H98" s="580" t="s">
        <v>3679</v>
      </c>
      <c r="I98" s="580" t="s">
        <v>3680</v>
      </c>
      <c r="J98" s="580" t="s">
        <v>3681</v>
      </c>
      <c r="K98" s="580" t="s">
        <v>3682</v>
      </c>
      <c r="L98" s="580" t="s">
        <v>3683</v>
      </c>
      <c r="M98" s="580" t="s">
        <v>2824</v>
      </c>
      <c r="N98" s="581"/>
      <c r="O98" s="581"/>
      <c r="P98" s="580" t="s">
        <v>3684</v>
      </c>
      <c r="Q98" s="581"/>
      <c r="R98" s="581"/>
      <c r="S98" s="581"/>
      <c r="T98" s="581"/>
    </row>
    <row r="99">
      <c r="A99" s="578" t="s">
        <v>795</v>
      </c>
      <c r="B99" s="577">
        <v>6635.700066357</v>
      </c>
      <c r="C99" s="580" t="s">
        <v>3685</v>
      </c>
      <c r="D99" s="580" t="s">
        <v>3686</v>
      </c>
      <c r="E99" s="580" t="s">
        <v>3687</v>
      </c>
      <c r="F99" s="580" t="s">
        <v>3688</v>
      </c>
      <c r="G99" s="580" t="s">
        <v>3689</v>
      </c>
      <c r="H99" s="580" t="s">
        <v>3690</v>
      </c>
      <c r="I99" s="580" t="s">
        <v>3691</v>
      </c>
      <c r="J99" s="580" t="s">
        <v>3094</v>
      </c>
      <c r="K99" s="580" t="s">
        <v>3692</v>
      </c>
      <c r="L99" s="580" t="s">
        <v>3693</v>
      </c>
      <c r="M99" s="580" t="s">
        <v>2824</v>
      </c>
      <c r="N99" s="581"/>
      <c r="O99" s="581"/>
      <c r="P99" s="580" t="s">
        <v>3694</v>
      </c>
      <c r="Q99" s="580" t="s">
        <v>3695</v>
      </c>
      <c r="R99" s="580" t="s">
        <v>3696</v>
      </c>
      <c r="S99" s="581"/>
      <c r="T99" s="581"/>
    </row>
    <row r="100">
      <c r="A100" s="578" t="s">
        <v>775</v>
      </c>
      <c r="B100" s="577">
        <v>2652.5198938992</v>
      </c>
      <c r="C100" s="580" t="s">
        <v>3697</v>
      </c>
      <c r="D100" s="580" t="s">
        <v>3698</v>
      </c>
      <c r="E100" s="580" t="s">
        <v>3699</v>
      </c>
      <c r="F100" s="580" t="s">
        <v>3700</v>
      </c>
      <c r="G100" s="580" t="s">
        <v>3701</v>
      </c>
      <c r="H100" s="580" t="s">
        <v>3702</v>
      </c>
      <c r="I100" s="580" t="s">
        <v>3703</v>
      </c>
      <c r="J100" s="580" t="s">
        <v>3704</v>
      </c>
      <c r="K100" s="580" t="s">
        <v>3705</v>
      </c>
      <c r="L100" s="580" t="s">
        <v>3706</v>
      </c>
      <c r="M100" s="580" t="s">
        <v>2824</v>
      </c>
      <c r="N100" s="581"/>
      <c r="O100" s="581"/>
      <c r="P100" s="581"/>
      <c r="Q100" s="581"/>
      <c r="R100" s="581"/>
      <c r="S100" s="581"/>
      <c r="T100" s="581"/>
    </row>
    <row r="101">
      <c r="A101" s="578" t="s">
        <v>791</v>
      </c>
      <c r="B101" s="577">
        <v>-19646.3654223968</v>
      </c>
      <c r="C101" s="580" t="s">
        <v>3707</v>
      </c>
      <c r="D101" s="580" t="s">
        <v>3708</v>
      </c>
      <c r="E101" s="580" t="s">
        <v>3709</v>
      </c>
      <c r="F101" s="580" t="s">
        <v>3710</v>
      </c>
      <c r="G101" s="580" t="s">
        <v>3711</v>
      </c>
      <c r="H101" s="580" t="s">
        <v>3712</v>
      </c>
      <c r="I101" s="580" t="s">
        <v>3713</v>
      </c>
      <c r="J101" s="580" t="s">
        <v>3714</v>
      </c>
      <c r="K101" s="580" t="s">
        <v>3715</v>
      </c>
      <c r="L101" s="580" t="s">
        <v>3716</v>
      </c>
      <c r="M101" s="580" t="s">
        <v>2824</v>
      </c>
      <c r="N101" s="581"/>
      <c r="O101" s="581"/>
      <c r="P101" s="581"/>
      <c r="Q101" s="581"/>
      <c r="R101" s="581"/>
      <c r="S101" s="581"/>
      <c r="T101" s="581"/>
    </row>
    <row r="102">
      <c r="A102" s="578" t="s">
        <v>778</v>
      </c>
      <c r="B102" s="577">
        <v>3827.01875239188</v>
      </c>
      <c r="C102" s="580" t="s">
        <v>3717</v>
      </c>
      <c r="D102" s="580" t="s">
        <v>3718</v>
      </c>
      <c r="E102" s="580" t="s">
        <v>3719</v>
      </c>
      <c r="F102" s="580" t="s">
        <v>3720</v>
      </c>
      <c r="G102" s="580" t="s">
        <v>3721</v>
      </c>
      <c r="H102" s="580" t="s">
        <v>3722</v>
      </c>
      <c r="I102" s="580" t="s">
        <v>3723</v>
      </c>
      <c r="J102" s="580" t="s">
        <v>3118</v>
      </c>
      <c r="K102" s="580" t="s">
        <v>3724</v>
      </c>
      <c r="L102" s="580" t="s">
        <v>3725</v>
      </c>
      <c r="M102" s="580" t="s">
        <v>2824</v>
      </c>
      <c r="N102" s="581"/>
      <c r="O102" s="581"/>
      <c r="P102" s="581"/>
      <c r="Q102" s="581"/>
      <c r="R102" s="581"/>
      <c r="S102" s="581"/>
      <c r="T102" s="581"/>
    </row>
    <row r="103">
      <c r="A103" s="578" t="s">
        <v>802</v>
      </c>
      <c r="B103" s="577">
        <v>5263.15789473684</v>
      </c>
      <c r="C103" s="580" t="s">
        <v>3726</v>
      </c>
      <c r="D103" s="580" t="s">
        <v>3727</v>
      </c>
      <c r="E103" s="580" t="s">
        <v>3728</v>
      </c>
      <c r="F103" s="580" t="s">
        <v>3729</v>
      </c>
      <c r="G103" s="580" t="s">
        <v>3730</v>
      </c>
      <c r="H103" s="580" t="s">
        <v>3269</v>
      </c>
      <c r="I103" s="580" t="s">
        <v>3731</v>
      </c>
      <c r="J103" s="580" t="s">
        <v>2843</v>
      </c>
      <c r="K103" s="580" t="s">
        <v>3732</v>
      </c>
      <c r="L103" s="580" t="s">
        <v>2843</v>
      </c>
      <c r="M103" s="580" t="s">
        <v>2824</v>
      </c>
      <c r="N103" s="581"/>
      <c r="O103" s="581"/>
      <c r="P103" s="580" t="s">
        <v>3733</v>
      </c>
      <c r="Q103" s="581"/>
      <c r="R103" s="581"/>
      <c r="S103" s="581"/>
      <c r="T103" s="581"/>
    </row>
    <row r="104">
      <c r="A104" s="578" t="s">
        <v>800</v>
      </c>
      <c r="B104" s="577">
        <v>8333.33333333333</v>
      </c>
      <c r="C104" s="580" t="s">
        <v>3734</v>
      </c>
      <c r="D104" s="580" t="s">
        <v>3735</v>
      </c>
      <c r="E104" s="580" t="s">
        <v>3736</v>
      </c>
      <c r="F104" s="580" t="s">
        <v>3737</v>
      </c>
      <c r="G104" s="580" t="s">
        <v>2857</v>
      </c>
      <c r="H104" s="580" t="s">
        <v>3738</v>
      </c>
      <c r="I104" s="580" t="s">
        <v>3739</v>
      </c>
      <c r="J104" s="580" t="s">
        <v>3740</v>
      </c>
      <c r="K104" s="580" t="s">
        <v>2843</v>
      </c>
      <c r="L104" s="580" t="s">
        <v>3741</v>
      </c>
      <c r="M104" s="580" t="s">
        <v>2824</v>
      </c>
      <c r="N104" s="581"/>
      <c r="O104" s="581"/>
      <c r="P104" s="580" t="s">
        <v>3742</v>
      </c>
      <c r="Q104" s="581"/>
      <c r="R104" s="581"/>
      <c r="S104" s="581"/>
      <c r="T104" s="581"/>
    </row>
    <row r="105">
      <c r="A105" s="578" t="s">
        <v>767</v>
      </c>
      <c r="B105" s="577">
        <v>-2515.72327044025</v>
      </c>
      <c r="C105" s="580" t="s">
        <v>3743</v>
      </c>
      <c r="D105" s="580" t="s">
        <v>3744</v>
      </c>
      <c r="E105" s="580" t="s">
        <v>3745</v>
      </c>
      <c r="F105" s="580" t="s">
        <v>3746</v>
      </c>
      <c r="G105" s="580" t="s">
        <v>3747</v>
      </c>
      <c r="H105" s="580" t="s">
        <v>3748</v>
      </c>
      <c r="I105" s="580" t="s">
        <v>3749</v>
      </c>
      <c r="J105" s="580" t="s">
        <v>3750</v>
      </c>
      <c r="K105" s="580" t="s">
        <v>3497</v>
      </c>
      <c r="L105" s="580" t="s">
        <v>3751</v>
      </c>
      <c r="M105" s="580" t="s">
        <v>2824</v>
      </c>
      <c r="N105" s="581"/>
      <c r="O105" s="581"/>
      <c r="P105" s="581"/>
      <c r="Q105" s="581"/>
      <c r="R105" s="581"/>
      <c r="S105" s="581"/>
      <c r="T105" s="581"/>
    </row>
    <row r="106">
      <c r="A106" s="578" t="s">
        <v>789</v>
      </c>
      <c r="B106" s="577">
        <v>8532.42320819112</v>
      </c>
      <c r="C106" s="580" t="s">
        <v>3752</v>
      </c>
      <c r="D106" s="580" t="s">
        <v>3258</v>
      </c>
      <c r="E106" s="580" t="s">
        <v>3753</v>
      </c>
      <c r="F106" s="580" t="s">
        <v>3754</v>
      </c>
      <c r="G106" s="580" t="s">
        <v>3755</v>
      </c>
      <c r="H106" s="580" t="s">
        <v>3756</v>
      </c>
      <c r="I106" s="580" t="s">
        <v>3757</v>
      </c>
      <c r="J106" s="580" t="s">
        <v>3461</v>
      </c>
      <c r="K106" s="580" t="s">
        <v>3758</v>
      </c>
      <c r="L106" s="580" t="s">
        <v>3588</v>
      </c>
      <c r="M106" s="580" t="s">
        <v>2824</v>
      </c>
      <c r="N106" s="581"/>
      <c r="O106" s="581"/>
      <c r="P106" s="580" t="s">
        <v>3759</v>
      </c>
      <c r="Q106" s="581"/>
      <c r="R106" s="581"/>
      <c r="S106" s="581"/>
      <c r="T106" s="581"/>
    </row>
    <row r="107">
      <c r="A107" s="578" t="s">
        <v>777</v>
      </c>
      <c r="B107" s="577">
        <v>-6501.95058517555</v>
      </c>
      <c r="C107" s="580" t="s">
        <v>3760</v>
      </c>
      <c r="D107" s="580" t="s">
        <v>3761</v>
      </c>
      <c r="E107" s="580" t="s">
        <v>3762</v>
      </c>
      <c r="F107" s="580" t="s">
        <v>3763</v>
      </c>
      <c r="G107" s="580" t="s">
        <v>3764</v>
      </c>
      <c r="H107" s="580" t="s">
        <v>2886</v>
      </c>
      <c r="I107" s="580" t="s">
        <v>3765</v>
      </c>
      <c r="J107" s="580" t="s">
        <v>3491</v>
      </c>
      <c r="K107" s="580" t="s">
        <v>3766</v>
      </c>
      <c r="L107" s="580" t="s">
        <v>3767</v>
      </c>
      <c r="M107" s="580" t="s">
        <v>2824</v>
      </c>
      <c r="N107" s="581"/>
      <c r="O107" s="581"/>
      <c r="P107" s="581"/>
      <c r="Q107" s="581"/>
      <c r="R107" s="581"/>
      <c r="S107" s="581"/>
      <c r="T107" s="581"/>
    </row>
    <row r="108">
      <c r="A108" s="578" t="s">
        <v>804</v>
      </c>
      <c r="B108" s="577">
        <v>17271.1571675302</v>
      </c>
      <c r="C108" s="580" t="s">
        <v>3768</v>
      </c>
      <c r="D108" s="580" t="s">
        <v>3122</v>
      </c>
      <c r="E108" s="580" t="s">
        <v>3769</v>
      </c>
      <c r="F108" s="580" t="s">
        <v>3770</v>
      </c>
      <c r="G108" s="580" t="s">
        <v>3771</v>
      </c>
      <c r="H108" s="580" t="s">
        <v>3772</v>
      </c>
      <c r="I108" s="580" t="s">
        <v>3773</v>
      </c>
      <c r="J108" s="580" t="s">
        <v>3774</v>
      </c>
      <c r="K108" s="580" t="s">
        <v>3775</v>
      </c>
      <c r="L108" s="580" t="s">
        <v>3074</v>
      </c>
      <c r="M108" s="580" t="s">
        <v>2824</v>
      </c>
      <c r="N108" s="581"/>
      <c r="O108" s="581"/>
      <c r="P108" s="580" t="s">
        <v>3776</v>
      </c>
      <c r="Q108" s="580" t="s">
        <v>3777</v>
      </c>
      <c r="R108" s="580" t="s">
        <v>3778</v>
      </c>
      <c r="S108" s="581"/>
      <c r="T108" s="581"/>
    </row>
    <row r="109">
      <c r="A109" s="578" t="s">
        <v>805</v>
      </c>
      <c r="B109" s="577">
        <v>5540.16620498615</v>
      </c>
      <c r="C109" s="580" t="s">
        <v>3779</v>
      </c>
      <c r="D109" s="580" t="s">
        <v>3780</v>
      </c>
      <c r="E109" s="580" t="s">
        <v>3781</v>
      </c>
      <c r="F109" s="580" t="s">
        <v>3782</v>
      </c>
      <c r="G109" s="580" t="s">
        <v>3783</v>
      </c>
      <c r="H109" s="580" t="s">
        <v>3784</v>
      </c>
      <c r="I109" s="580" t="s">
        <v>3785</v>
      </c>
      <c r="J109" s="580" t="s">
        <v>3256</v>
      </c>
      <c r="K109" s="580" t="s">
        <v>3786</v>
      </c>
      <c r="L109" s="580" t="s">
        <v>2823</v>
      </c>
      <c r="M109" s="580" t="s">
        <v>2824</v>
      </c>
      <c r="N109" s="581"/>
      <c r="O109" s="581"/>
      <c r="P109" s="580" t="s">
        <v>3787</v>
      </c>
      <c r="Q109" s="581"/>
      <c r="R109" s="581"/>
      <c r="S109" s="581"/>
      <c r="T109" s="581"/>
    </row>
    <row r="110">
      <c r="A110" s="578" t="s">
        <v>771</v>
      </c>
      <c r="B110" s="582"/>
      <c r="C110" s="580" t="s">
        <v>3788</v>
      </c>
      <c r="D110" s="580" t="s">
        <v>3789</v>
      </c>
      <c r="E110" s="580" t="s">
        <v>3790</v>
      </c>
      <c r="F110" s="580" t="s">
        <v>3791</v>
      </c>
      <c r="G110" s="581"/>
      <c r="H110" s="581"/>
      <c r="I110" s="581"/>
      <c r="J110" s="581"/>
      <c r="K110" s="581"/>
      <c r="L110" s="581"/>
      <c r="M110" s="580" t="s">
        <v>2824</v>
      </c>
      <c r="N110" s="581"/>
      <c r="O110" s="581"/>
      <c r="P110" s="581"/>
      <c r="Q110" s="581"/>
      <c r="R110" s="581"/>
      <c r="S110" s="581"/>
      <c r="T110" s="581"/>
    </row>
    <row r="111">
      <c r="A111" s="578" t="s">
        <v>773</v>
      </c>
      <c r="B111" s="577">
        <v>-1473.62216327733</v>
      </c>
      <c r="C111" s="580" t="s">
        <v>3792</v>
      </c>
      <c r="D111" s="580" t="s">
        <v>3793</v>
      </c>
      <c r="E111" s="580" t="s">
        <v>3794</v>
      </c>
      <c r="F111" s="580" t="s">
        <v>3118</v>
      </c>
      <c r="G111" s="580" t="s">
        <v>3795</v>
      </c>
      <c r="H111" s="580" t="s">
        <v>3796</v>
      </c>
      <c r="I111" s="580" t="s">
        <v>3797</v>
      </c>
      <c r="J111" s="580" t="s">
        <v>3798</v>
      </c>
      <c r="K111" s="580" t="s">
        <v>3799</v>
      </c>
      <c r="L111" s="580" t="s">
        <v>3800</v>
      </c>
      <c r="M111" s="580" t="s">
        <v>2824</v>
      </c>
      <c r="N111" s="581"/>
      <c r="O111" s="581"/>
      <c r="P111" s="581"/>
      <c r="Q111" s="581"/>
      <c r="R111" s="581"/>
      <c r="S111" s="581"/>
      <c r="T111" s="581"/>
    </row>
    <row r="112">
      <c r="A112" s="578" t="s">
        <v>798</v>
      </c>
      <c r="B112" s="577">
        <v>3361.34453781512</v>
      </c>
      <c r="C112" s="580" t="s">
        <v>3801</v>
      </c>
      <c r="D112" s="580" t="s">
        <v>3802</v>
      </c>
      <c r="E112" s="580" t="s">
        <v>3803</v>
      </c>
      <c r="F112" s="580" t="s">
        <v>3804</v>
      </c>
      <c r="G112" s="580" t="s">
        <v>3805</v>
      </c>
      <c r="H112" s="580" t="s">
        <v>3806</v>
      </c>
      <c r="I112" s="580" t="s">
        <v>3807</v>
      </c>
      <c r="J112" s="580" t="s">
        <v>3774</v>
      </c>
      <c r="K112" s="580" t="s">
        <v>3263</v>
      </c>
      <c r="L112" s="580" t="s">
        <v>3808</v>
      </c>
      <c r="M112" s="580" t="s">
        <v>2824</v>
      </c>
      <c r="N112" s="581"/>
      <c r="O112" s="581"/>
      <c r="P112" s="581"/>
      <c r="Q112" s="581"/>
      <c r="R112" s="581"/>
      <c r="S112" s="581"/>
      <c r="T112" s="581"/>
    </row>
    <row r="113">
      <c r="A113" s="578" t="s">
        <v>780</v>
      </c>
      <c r="B113" s="577">
        <v>1652.34633179114</v>
      </c>
      <c r="C113" s="580" t="s">
        <v>3809</v>
      </c>
      <c r="D113" s="580" t="s">
        <v>3810</v>
      </c>
      <c r="E113" s="580" t="s">
        <v>3811</v>
      </c>
      <c r="F113" s="580" t="s">
        <v>3812</v>
      </c>
      <c r="G113" s="580" t="s">
        <v>3813</v>
      </c>
      <c r="H113" s="580" t="s">
        <v>3018</v>
      </c>
      <c r="I113" s="580" t="s">
        <v>3692</v>
      </c>
      <c r="J113" s="580" t="s">
        <v>3814</v>
      </c>
      <c r="K113" s="580" t="s">
        <v>3815</v>
      </c>
      <c r="L113" s="580" t="s">
        <v>3816</v>
      </c>
      <c r="M113" s="580" t="s">
        <v>2824</v>
      </c>
      <c r="N113" s="581"/>
      <c r="O113" s="581"/>
      <c r="P113" s="581"/>
      <c r="Q113" s="581"/>
      <c r="R113" s="581"/>
      <c r="S113" s="581"/>
      <c r="T113" s="581"/>
    </row>
    <row r="114">
      <c r="A114" s="578" t="s">
        <v>769</v>
      </c>
      <c r="B114" s="577">
        <v>1478.85241052942</v>
      </c>
      <c r="C114" s="580" t="s">
        <v>3817</v>
      </c>
      <c r="D114" s="580" t="s">
        <v>3818</v>
      </c>
      <c r="E114" s="580" t="s">
        <v>3819</v>
      </c>
      <c r="F114" s="580" t="s">
        <v>3820</v>
      </c>
      <c r="G114" s="580" t="s">
        <v>3821</v>
      </c>
      <c r="H114" s="580" t="s">
        <v>3822</v>
      </c>
      <c r="I114" s="580" t="s">
        <v>3823</v>
      </c>
      <c r="J114" s="580" t="s">
        <v>3824</v>
      </c>
      <c r="K114" s="580" t="s">
        <v>2904</v>
      </c>
      <c r="L114" s="580" t="s">
        <v>3825</v>
      </c>
      <c r="M114" s="580" t="s">
        <v>2824</v>
      </c>
      <c r="N114" s="581"/>
      <c r="O114" s="581"/>
      <c r="P114" s="581"/>
      <c r="Q114" s="581"/>
      <c r="R114" s="581"/>
      <c r="S114" s="581"/>
      <c r="T114" s="581"/>
    </row>
    <row r="115">
      <c r="A115" s="578" t="s">
        <v>787</v>
      </c>
      <c r="B115" s="577">
        <v>326.274919246957</v>
      </c>
      <c r="C115" s="580" t="s">
        <v>3826</v>
      </c>
      <c r="D115" s="580" t="s">
        <v>3827</v>
      </c>
      <c r="E115" s="580" t="s">
        <v>3828</v>
      </c>
      <c r="F115" s="580" t="s">
        <v>3829</v>
      </c>
      <c r="G115" s="580" t="s">
        <v>3830</v>
      </c>
      <c r="H115" s="580" t="s">
        <v>3831</v>
      </c>
      <c r="I115" s="580" t="s">
        <v>3832</v>
      </c>
      <c r="J115" s="580" t="s">
        <v>3833</v>
      </c>
      <c r="K115" s="580" t="s">
        <v>3834</v>
      </c>
      <c r="L115" s="580" t="s">
        <v>3835</v>
      </c>
      <c r="M115" s="580" t="s">
        <v>2824</v>
      </c>
      <c r="N115" s="581"/>
      <c r="O115" s="581"/>
      <c r="P115" s="581"/>
      <c r="Q115" s="581"/>
      <c r="R115" s="581"/>
      <c r="S115" s="581"/>
      <c r="T115" s="581"/>
    </row>
    <row r="116">
      <c r="A116" s="578" t="s">
        <v>757</v>
      </c>
      <c r="B116" s="577">
        <v>3628.44702467343</v>
      </c>
      <c r="C116" s="580" t="s">
        <v>3836</v>
      </c>
      <c r="D116" s="580" t="s">
        <v>3837</v>
      </c>
      <c r="E116" s="580" t="s">
        <v>3838</v>
      </c>
      <c r="F116" s="580" t="s">
        <v>3839</v>
      </c>
      <c r="G116" s="580" t="s">
        <v>3840</v>
      </c>
      <c r="H116" s="580" t="s">
        <v>3841</v>
      </c>
      <c r="I116" s="580" t="s">
        <v>2917</v>
      </c>
      <c r="J116" s="580" t="s">
        <v>3472</v>
      </c>
      <c r="K116" s="580" t="s">
        <v>3842</v>
      </c>
      <c r="L116" s="580" t="s">
        <v>3843</v>
      </c>
      <c r="M116" s="580" t="s">
        <v>2824</v>
      </c>
      <c r="N116" s="581"/>
      <c r="O116" s="581"/>
      <c r="P116" s="581"/>
      <c r="Q116" s="581"/>
      <c r="R116" s="581"/>
      <c r="S116" s="581"/>
      <c r="T116" s="581"/>
    </row>
    <row r="117">
      <c r="A117" s="578" t="s">
        <v>692</v>
      </c>
      <c r="B117" s="577">
        <v>196.482955103644</v>
      </c>
      <c r="C117" s="580" t="s">
        <v>3844</v>
      </c>
      <c r="D117" s="580" t="s">
        <v>3625</v>
      </c>
      <c r="E117" s="580" t="s">
        <v>3845</v>
      </c>
      <c r="F117" s="580" t="s">
        <v>3846</v>
      </c>
      <c r="G117" s="580" t="s">
        <v>3847</v>
      </c>
      <c r="H117" s="580" t="s">
        <v>3848</v>
      </c>
      <c r="I117" s="580" t="s">
        <v>3849</v>
      </c>
      <c r="J117" s="580" t="s">
        <v>3850</v>
      </c>
      <c r="K117" s="580" t="s">
        <v>3851</v>
      </c>
      <c r="L117" s="580" t="s">
        <v>3461</v>
      </c>
      <c r="M117" s="580" t="s">
        <v>2824</v>
      </c>
      <c r="N117" s="581"/>
      <c r="O117" s="581"/>
      <c r="P117" s="580" t="s">
        <v>3852</v>
      </c>
      <c r="Q117" s="581"/>
      <c r="R117" s="581"/>
      <c r="S117" s="581"/>
      <c r="T117" s="581"/>
    </row>
    <row r="118">
      <c r="A118" s="578" t="s">
        <v>695</v>
      </c>
      <c r="B118" s="577">
        <v>186.570644974719</v>
      </c>
      <c r="C118" s="580" t="s">
        <v>3853</v>
      </c>
      <c r="D118" s="580" t="s">
        <v>3854</v>
      </c>
      <c r="E118" s="580" t="s">
        <v>3855</v>
      </c>
      <c r="F118" s="580" t="s">
        <v>3856</v>
      </c>
      <c r="G118" s="580" t="s">
        <v>3857</v>
      </c>
      <c r="H118" s="580" t="s">
        <v>3858</v>
      </c>
      <c r="I118" s="580" t="s">
        <v>3859</v>
      </c>
      <c r="J118" s="580" t="s">
        <v>3716</v>
      </c>
      <c r="K118" s="580" t="s">
        <v>3860</v>
      </c>
      <c r="L118" s="580" t="s">
        <v>3005</v>
      </c>
      <c r="M118" s="580" t="s">
        <v>2824</v>
      </c>
      <c r="N118" s="581"/>
      <c r="O118" s="581"/>
      <c r="P118" s="581"/>
      <c r="Q118" s="581"/>
      <c r="R118" s="581"/>
      <c r="S118" s="581"/>
      <c r="T118" s="581"/>
    </row>
    <row r="119">
      <c r="A119" s="578" t="s">
        <v>654</v>
      </c>
      <c r="B119" s="577">
        <v>184.90782345001</v>
      </c>
      <c r="C119" s="580" t="s">
        <v>3861</v>
      </c>
      <c r="D119" s="580" t="s">
        <v>3862</v>
      </c>
      <c r="E119" s="580" t="s">
        <v>3863</v>
      </c>
      <c r="F119" s="580" t="s">
        <v>3864</v>
      </c>
      <c r="G119" s="580" t="s">
        <v>3865</v>
      </c>
      <c r="H119" s="580" t="s">
        <v>3669</v>
      </c>
      <c r="I119" s="580" t="s">
        <v>3866</v>
      </c>
      <c r="J119" s="580" t="s">
        <v>3867</v>
      </c>
      <c r="K119" s="580" t="s">
        <v>3868</v>
      </c>
      <c r="L119" s="580" t="s">
        <v>3449</v>
      </c>
      <c r="M119" s="580" t="s">
        <v>2824</v>
      </c>
      <c r="N119" s="581"/>
      <c r="O119" s="581"/>
      <c r="P119" s="581"/>
      <c r="Q119" s="581"/>
      <c r="R119" s="581"/>
      <c r="S119" s="581"/>
      <c r="T119" s="581"/>
    </row>
    <row r="120">
      <c r="A120" s="578" t="s">
        <v>1950</v>
      </c>
      <c r="B120" s="577">
        <v>173.130193905817</v>
      </c>
      <c r="C120" s="580" t="s">
        <v>3869</v>
      </c>
      <c r="D120" s="580" t="s">
        <v>3870</v>
      </c>
      <c r="E120" s="580" t="s">
        <v>3871</v>
      </c>
      <c r="F120" s="580" t="s">
        <v>3872</v>
      </c>
      <c r="G120" s="580" t="s">
        <v>3873</v>
      </c>
      <c r="H120" s="580" t="s">
        <v>3874</v>
      </c>
      <c r="I120" s="580" t="s">
        <v>3875</v>
      </c>
      <c r="J120" s="580" t="s">
        <v>3876</v>
      </c>
      <c r="K120" s="580" t="s">
        <v>3877</v>
      </c>
      <c r="L120" s="580" t="s">
        <v>3878</v>
      </c>
      <c r="M120" s="580" t="s">
        <v>2824</v>
      </c>
      <c r="N120" s="581"/>
      <c r="O120" s="581"/>
      <c r="P120" s="581"/>
      <c r="Q120" s="581"/>
      <c r="R120" s="581"/>
      <c r="S120" s="581"/>
      <c r="T120" s="581"/>
    </row>
    <row r="121">
      <c r="A121" s="578" t="s">
        <v>322</v>
      </c>
      <c r="B121" s="577">
        <v>60.0</v>
      </c>
      <c r="C121" s="580" t="s">
        <v>3879</v>
      </c>
      <c r="D121" s="580" t="s">
        <v>2859</v>
      </c>
      <c r="E121" s="580" t="s">
        <v>3880</v>
      </c>
      <c r="F121" s="580" t="s">
        <v>3881</v>
      </c>
      <c r="G121" s="580" t="s">
        <v>3882</v>
      </c>
      <c r="H121" s="580" t="s">
        <v>3883</v>
      </c>
      <c r="I121" s="580" t="s">
        <v>3884</v>
      </c>
      <c r="J121" s="580" t="s">
        <v>3758</v>
      </c>
      <c r="K121" s="580" t="s">
        <v>3885</v>
      </c>
      <c r="L121" s="580" t="s">
        <v>3886</v>
      </c>
      <c r="M121" s="580" t="s">
        <v>2824</v>
      </c>
      <c r="N121" s="585"/>
      <c r="O121" s="585"/>
      <c r="P121" s="585"/>
      <c r="Q121" s="586"/>
      <c r="R121" s="586"/>
      <c r="S121" s="585"/>
      <c r="T121" s="585"/>
      <c r="U121" s="587"/>
      <c r="V121" s="588"/>
      <c r="W121" s="588"/>
      <c r="X121" s="587"/>
      <c r="Y121" s="587"/>
      <c r="Z121" s="588"/>
      <c r="AA121" s="588"/>
      <c r="AB121" s="588"/>
      <c r="AC121" s="584"/>
      <c r="AD121" s="584"/>
      <c r="AE121" s="584"/>
      <c r="AF121" s="584"/>
      <c r="AG121" s="584"/>
      <c r="AH121" s="584"/>
      <c r="AI121" s="584"/>
    </row>
    <row r="122">
      <c r="A122" s="578" t="s">
        <v>665</v>
      </c>
      <c r="B122" s="577">
        <v>201.853010637653</v>
      </c>
      <c r="C122" s="580" t="s">
        <v>3887</v>
      </c>
      <c r="D122" s="580" t="s">
        <v>3888</v>
      </c>
      <c r="E122" s="580" t="s">
        <v>3889</v>
      </c>
      <c r="F122" s="580" t="s">
        <v>3890</v>
      </c>
      <c r="G122" s="580" t="s">
        <v>3891</v>
      </c>
      <c r="H122" s="580" t="s">
        <v>3892</v>
      </c>
      <c r="I122" s="580" t="s">
        <v>3893</v>
      </c>
      <c r="J122" s="580" t="s">
        <v>3160</v>
      </c>
      <c r="K122" s="580" t="s">
        <v>3469</v>
      </c>
      <c r="L122" s="580" t="s">
        <v>3894</v>
      </c>
      <c r="M122" s="580" t="s">
        <v>2824</v>
      </c>
      <c r="N122" s="581"/>
      <c r="O122" s="581"/>
      <c r="P122" s="581"/>
      <c r="Q122" s="581"/>
      <c r="R122" s="581"/>
      <c r="S122" s="581"/>
      <c r="T122" s="581"/>
    </row>
    <row r="123">
      <c r="A123" s="578" t="s">
        <v>697</v>
      </c>
      <c r="B123" s="577">
        <v>193.307687846745</v>
      </c>
      <c r="C123" s="580" t="s">
        <v>3895</v>
      </c>
      <c r="D123" s="580" t="s">
        <v>3896</v>
      </c>
      <c r="E123" s="580" t="s">
        <v>3897</v>
      </c>
      <c r="F123" s="580" t="s">
        <v>3898</v>
      </c>
      <c r="G123" s="580" t="s">
        <v>3899</v>
      </c>
      <c r="H123" s="580" t="s">
        <v>3900</v>
      </c>
      <c r="I123" s="580" t="s">
        <v>3901</v>
      </c>
      <c r="J123" s="580" t="s">
        <v>3902</v>
      </c>
      <c r="K123" s="580" t="s">
        <v>3903</v>
      </c>
      <c r="L123" s="580" t="s">
        <v>3902</v>
      </c>
      <c r="M123" s="580" t="s">
        <v>2824</v>
      </c>
      <c r="N123" s="581"/>
      <c r="O123" s="581"/>
      <c r="P123" s="581"/>
      <c r="Q123" s="581"/>
      <c r="R123" s="581"/>
      <c r="S123" s="581"/>
      <c r="T123" s="581"/>
    </row>
    <row r="124">
      <c r="A124" s="578" t="s">
        <v>698</v>
      </c>
      <c r="B124" s="577">
        <v>194.23132951345</v>
      </c>
      <c r="C124" s="580" t="s">
        <v>3904</v>
      </c>
      <c r="D124" s="580" t="s">
        <v>3905</v>
      </c>
      <c r="E124" s="580" t="s">
        <v>3906</v>
      </c>
      <c r="F124" s="580" t="s">
        <v>3068</v>
      </c>
      <c r="G124" s="580" t="s">
        <v>3907</v>
      </c>
      <c r="H124" s="580" t="s">
        <v>3908</v>
      </c>
      <c r="I124" s="580" t="s">
        <v>3909</v>
      </c>
      <c r="J124" s="580" t="s">
        <v>3910</v>
      </c>
      <c r="K124" s="580" t="s">
        <v>3911</v>
      </c>
      <c r="L124" s="580" t="s">
        <v>3018</v>
      </c>
      <c r="M124" s="580" t="s">
        <v>2824</v>
      </c>
      <c r="N124" s="581"/>
      <c r="O124" s="581"/>
      <c r="P124" s="580" t="s">
        <v>3912</v>
      </c>
      <c r="Q124" s="580" t="s">
        <v>3913</v>
      </c>
      <c r="R124" s="580" t="s">
        <v>3914</v>
      </c>
      <c r="S124" s="581"/>
      <c r="T124" s="581"/>
    </row>
    <row r="125">
      <c r="A125" s="578" t="s">
        <v>675</v>
      </c>
      <c r="B125" s="577">
        <v>193.285269729593</v>
      </c>
      <c r="C125" s="580" t="s">
        <v>3915</v>
      </c>
      <c r="D125" s="580" t="s">
        <v>3916</v>
      </c>
      <c r="E125" s="580" t="s">
        <v>3917</v>
      </c>
      <c r="F125" s="580" t="s">
        <v>3918</v>
      </c>
      <c r="G125" s="580" t="s">
        <v>3919</v>
      </c>
      <c r="H125" s="580" t="s">
        <v>3920</v>
      </c>
      <c r="I125" s="580" t="s">
        <v>3921</v>
      </c>
      <c r="J125" s="580" t="s">
        <v>3007</v>
      </c>
      <c r="K125" s="580" t="s">
        <v>3922</v>
      </c>
      <c r="L125" s="580" t="s">
        <v>3923</v>
      </c>
      <c r="M125" s="580" t="s">
        <v>2824</v>
      </c>
      <c r="N125" s="581"/>
      <c r="O125" s="581"/>
      <c r="P125" s="581"/>
      <c r="Q125" s="581"/>
      <c r="R125" s="581"/>
      <c r="S125" s="581"/>
      <c r="T125" s="581"/>
    </row>
    <row r="126">
      <c r="A126" s="578" t="s">
        <v>682</v>
      </c>
      <c r="B126" s="577">
        <v>240.142164161183</v>
      </c>
      <c r="C126" s="580" t="s">
        <v>3924</v>
      </c>
      <c r="D126" s="580" t="s">
        <v>3925</v>
      </c>
      <c r="E126" s="580" t="s">
        <v>3926</v>
      </c>
      <c r="F126" s="580" t="s">
        <v>3927</v>
      </c>
      <c r="G126" s="580" t="s">
        <v>3928</v>
      </c>
      <c r="H126" s="580" t="s">
        <v>3929</v>
      </c>
      <c r="I126" s="580" t="s">
        <v>3930</v>
      </c>
      <c r="J126" s="580" t="s">
        <v>3931</v>
      </c>
      <c r="K126" s="580" t="s">
        <v>3932</v>
      </c>
      <c r="L126" s="580" t="s">
        <v>3087</v>
      </c>
      <c r="M126" s="580" t="s">
        <v>2824</v>
      </c>
      <c r="N126" s="581"/>
      <c r="O126" s="581"/>
      <c r="P126" s="581"/>
      <c r="Q126" s="581"/>
      <c r="R126" s="581"/>
      <c r="S126" s="581"/>
      <c r="T126" s="581"/>
    </row>
    <row r="127">
      <c r="A127" s="578" t="s">
        <v>685</v>
      </c>
      <c r="B127" s="577">
        <v>204.22333864314</v>
      </c>
      <c r="C127" s="580" t="s">
        <v>3933</v>
      </c>
      <c r="D127" s="580" t="s">
        <v>3027</v>
      </c>
      <c r="E127" s="580" t="s">
        <v>3934</v>
      </c>
      <c r="F127" s="580" t="s">
        <v>3935</v>
      </c>
      <c r="G127" s="580" t="s">
        <v>3936</v>
      </c>
      <c r="H127" s="580" t="s">
        <v>3937</v>
      </c>
      <c r="I127" s="580" t="s">
        <v>3938</v>
      </c>
      <c r="J127" s="580" t="s">
        <v>3939</v>
      </c>
      <c r="K127" s="580" t="s">
        <v>3940</v>
      </c>
      <c r="L127" s="580" t="s">
        <v>3941</v>
      </c>
      <c r="M127" s="580" t="s">
        <v>2824</v>
      </c>
      <c r="N127" s="581"/>
      <c r="O127" s="581"/>
      <c r="P127" s="581"/>
      <c r="Q127" s="581"/>
      <c r="R127" s="581"/>
      <c r="S127" s="581"/>
      <c r="T127" s="581"/>
    </row>
    <row r="128">
      <c r="A128" s="578" t="s">
        <v>681</v>
      </c>
      <c r="B128" s="577">
        <v>160.348919248284</v>
      </c>
      <c r="C128" s="580" t="s">
        <v>3942</v>
      </c>
      <c r="D128" s="580" t="s">
        <v>3943</v>
      </c>
      <c r="E128" s="580" t="s">
        <v>3944</v>
      </c>
      <c r="F128" s="580" t="s">
        <v>3369</v>
      </c>
      <c r="G128" s="580" t="s">
        <v>3945</v>
      </c>
      <c r="H128" s="580" t="s">
        <v>3946</v>
      </c>
      <c r="I128" s="580" t="s">
        <v>3947</v>
      </c>
      <c r="J128" s="580" t="s">
        <v>3948</v>
      </c>
      <c r="K128" s="580" t="s">
        <v>3949</v>
      </c>
      <c r="L128" s="580" t="s">
        <v>2896</v>
      </c>
      <c r="M128" s="580" t="s">
        <v>2824</v>
      </c>
      <c r="N128" s="581"/>
      <c r="O128" s="581"/>
      <c r="P128" s="581"/>
      <c r="Q128" s="581"/>
      <c r="R128" s="581"/>
      <c r="S128" s="581"/>
      <c r="T128" s="581"/>
    </row>
    <row r="129">
      <c r="A129" s="578" t="s">
        <v>222</v>
      </c>
      <c r="B129" s="577">
        <v>64.0</v>
      </c>
      <c r="C129" s="580" t="s">
        <v>3950</v>
      </c>
      <c r="D129" s="580" t="s">
        <v>3951</v>
      </c>
      <c r="E129" s="580" t="s">
        <v>3952</v>
      </c>
      <c r="F129" s="580" t="s">
        <v>3953</v>
      </c>
      <c r="G129" s="580" t="s">
        <v>3954</v>
      </c>
      <c r="H129" s="580" t="s">
        <v>3955</v>
      </c>
      <c r="I129" s="580" t="s">
        <v>3956</v>
      </c>
      <c r="J129" s="580" t="s">
        <v>3714</v>
      </c>
      <c r="K129" s="580" t="s">
        <v>3957</v>
      </c>
      <c r="L129" s="580" t="s">
        <v>3373</v>
      </c>
      <c r="M129" s="580" t="s">
        <v>2824</v>
      </c>
      <c r="N129" s="583"/>
      <c r="O129" s="583"/>
      <c r="P129" s="583"/>
      <c r="Q129" s="583"/>
      <c r="R129" s="583"/>
      <c r="S129" s="583"/>
      <c r="T129" s="583"/>
      <c r="U129" s="584"/>
      <c r="V129" s="584"/>
      <c r="W129" s="584"/>
      <c r="X129" s="584"/>
      <c r="Y129" s="584"/>
      <c r="Z129" s="584"/>
      <c r="AA129" s="584"/>
      <c r="AB129" s="584"/>
      <c r="AC129" s="584"/>
      <c r="AD129" s="584"/>
      <c r="AE129" s="584"/>
      <c r="AF129" s="584"/>
      <c r="AG129" s="584"/>
      <c r="AH129" s="584"/>
      <c r="AI129" s="584"/>
    </row>
    <row r="130">
      <c r="A130" s="578" t="s">
        <v>222</v>
      </c>
      <c r="B130" s="577">
        <v>64.4155576454825</v>
      </c>
      <c r="C130" s="580" t="s">
        <v>3950</v>
      </c>
      <c r="D130" s="580" t="s">
        <v>3951</v>
      </c>
      <c r="E130" s="580" t="s">
        <v>3952</v>
      </c>
      <c r="F130" s="580" t="s">
        <v>3953</v>
      </c>
      <c r="G130" s="580" t="s">
        <v>3954</v>
      </c>
      <c r="H130" s="580" t="s">
        <v>3955</v>
      </c>
      <c r="I130" s="580" t="s">
        <v>3956</v>
      </c>
      <c r="J130" s="580" t="s">
        <v>3714</v>
      </c>
      <c r="K130" s="580" t="s">
        <v>3957</v>
      </c>
      <c r="L130" s="580" t="s">
        <v>3373</v>
      </c>
      <c r="M130" s="580" t="s">
        <v>2824</v>
      </c>
      <c r="N130" s="581"/>
      <c r="O130" s="581"/>
      <c r="P130" s="581"/>
      <c r="Q130" s="581"/>
      <c r="R130" s="581"/>
      <c r="S130" s="581"/>
      <c r="T130" s="581"/>
    </row>
    <row r="131">
      <c r="A131" s="578" t="s">
        <v>482</v>
      </c>
      <c r="B131" s="577">
        <v>149.0</v>
      </c>
      <c r="C131" s="580" t="s">
        <v>3958</v>
      </c>
      <c r="D131" s="580" t="s">
        <v>3959</v>
      </c>
      <c r="E131" s="580" t="s">
        <v>3960</v>
      </c>
      <c r="F131" s="580" t="s">
        <v>3961</v>
      </c>
      <c r="G131" s="580" t="s">
        <v>3962</v>
      </c>
      <c r="H131" s="580" t="s">
        <v>3963</v>
      </c>
      <c r="I131" s="580" t="s">
        <v>3964</v>
      </c>
      <c r="J131" s="580" t="s">
        <v>3965</v>
      </c>
      <c r="K131" s="580" t="s">
        <v>3966</v>
      </c>
      <c r="L131" s="580" t="s">
        <v>3967</v>
      </c>
      <c r="M131" s="580" t="s">
        <v>2824</v>
      </c>
      <c r="N131" s="589"/>
      <c r="O131" s="589"/>
      <c r="P131" s="589"/>
      <c r="Q131" s="589"/>
      <c r="R131" s="589"/>
      <c r="S131" s="589"/>
      <c r="T131" s="589"/>
      <c r="U131" s="579"/>
      <c r="V131" s="579"/>
      <c r="W131" s="579"/>
      <c r="X131" s="579"/>
      <c r="Y131" s="579"/>
      <c r="Z131" s="579"/>
      <c r="AA131" s="579"/>
      <c r="AB131" s="579"/>
      <c r="AC131" s="579"/>
      <c r="AD131" s="579"/>
      <c r="AE131" s="579"/>
      <c r="AF131" s="579"/>
      <c r="AG131" s="579"/>
      <c r="AH131" s="579"/>
      <c r="AI131" s="579"/>
    </row>
    <row r="132">
      <c r="A132" s="578" t="s">
        <v>497</v>
      </c>
      <c r="B132" s="577">
        <v>152.893509670514</v>
      </c>
      <c r="C132" s="580" t="s">
        <v>3968</v>
      </c>
      <c r="D132" s="580" t="s">
        <v>3288</v>
      </c>
      <c r="E132" s="580" t="s">
        <v>3969</v>
      </c>
      <c r="F132" s="580" t="s">
        <v>3970</v>
      </c>
      <c r="G132" s="580" t="s">
        <v>3971</v>
      </c>
      <c r="H132" s="580" t="s">
        <v>3972</v>
      </c>
      <c r="I132" s="580" t="s">
        <v>3973</v>
      </c>
      <c r="J132" s="580" t="s">
        <v>3974</v>
      </c>
      <c r="K132" s="580" t="s">
        <v>3975</v>
      </c>
      <c r="L132" s="580" t="s">
        <v>3976</v>
      </c>
      <c r="M132" s="580" t="s">
        <v>2824</v>
      </c>
      <c r="N132" s="581"/>
      <c r="O132" s="581"/>
      <c r="P132" s="580" t="s">
        <v>3977</v>
      </c>
      <c r="Q132" s="580" t="s">
        <v>3978</v>
      </c>
      <c r="R132" s="580" t="s">
        <v>3979</v>
      </c>
      <c r="S132" s="581"/>
      <c r="T132" s="581"/>
    </row>
    <row r="133">
      <c r="A133" s="578" t="s">
        <v>503</v>
      </c>
      <c r="B133" s="577">
        <v>154.959478096477</v>
      </c>
      <c r="C133" s="580" t="s">
        <v>3980</v>
      </c>
      <c r="D133" s="580" t="s">
        <v>3981</v>
      </c>
      <c r="E133" s="580" t="s">
        <v>3982</v>
      </c>
      <c r="F133" s="580" t="s">
        <v>3983</v>
      </c>
      <c r="G133" s="580" t="s">
        <v>3984</v>
      </c>
      <c r="H133" s="580" t="s">
        <v>3985</v>
      </c>
      <c r="I133" s="580" t="s">
        <v>3986</v>
      </c>
      <c r="J133" s="580" t="s">
        <v>3987</v>
      </c>
      <c r="K133" s="580" t="s">
        <v>3988</v>
      </c>
      <c r="L133" s="580" t="s">
        <v>3989</v>
      </c>
      <c r="M133" s="580" t="s">
        <v>2824</v>
      </c>
      <c r="N133" s="581"/>
      <c r="O133" s="581"/>
      <c r="P133" s="581"/>
      <c r="Q133" s="581"/>
      <c r="R133" s="581"/>
      <c r="S133" s="581"/>
      <c r="T133" s="581"/>
    </row>
    <row r="134">
      <c r="A134" s="578" t="s">
        <v>343</v>
      </c>
      <c r="B134" s="577">
        <v>139.940385395821</v>
      </c>
      <c r="C134" s="580" t="s">
        <v>3990</v>
      </c>
      <c r="D134" s="580" t="s">
        <v>3991</v>
      </c>
      <c r="E134" s="580" t="s">
        <v>3992</v>
      </c>
      <c r="F134" s="580" t="s">
        <v>2922</v>
      </c>
      <c r="G134" s="580" t="s">
        <v>3993</v>
      </c>
      <c r="H134" s="580" t="s">
        <v>3994</v>
      </c>
      <c r="I134" s="580" t="s">
        <v>3995</v>
      </c>
      <c r="J134" s="580" t="s">
        <v>3996</v>
      </c>
      <c r="K134" s="580" t="s">
        <v>3997</v>
      </c>
      <c r="L134" s="580" t="s">
        <v>3998</v>
      </c>
      <c r="M134" s="580" t="s">
        <v>2824</v>
      </c>
      <c r="N134" s="581"/>
      <c r="O134" s="581"/>
      <c r="P134" s="581"/>
      <c r="Q134" s="581"/>
      <c r="R134" s="581"/>
      <c r="S134" s="581"/>
      <c r="T134" s="581"/>
    </row>
    <row r="135">
      <c r="A135" s="578" t="s">
        <v>572</v>
      </c>
      <c r="B135" s="577">
        <v>157.696371406493</v>
      </c>
      <c r="C135" s="580" t="s">
        <v>3999</v>
      </c>
      <c r="D135" s="580" t="s">
        <v>4000</v>
      </c>
      <c r="E135" s="580" t="s">
        <v>4001</v>
      </c>
      <c r="F135" s="580" t="s">
        <v>4002</v>
      </c>
      <c r="G135" s="580" t="s">
        <v>4003</v>
      </c>
      <c r="H135" s="580" t="s">
        <v>4004</v>
      </c>
      <c r="I135" s="580" t="s">
        <v>4005</v>
      </c>
      <c r="J135" s="580" t="s">
        <v>4006</v>
      </c>
      <c r="K135" s="580" t="s">
        <v>4007</v>
      </c>
      <c r="L135" s="580" t="s">
        <v>3570</v>
      </c>
      <c r="M135" s="580" t="s">
        <v>2838</v>
      </c>
      <c r="N135" s="581"/>
      <c r="O135" s="581"/>
      <c r="P135" s="580" t="s">
        <v>4008</v>
      </c>
      <c r="Q135" s="581"/>
      <c r="R135" s="581"/>
      <c r="S135" s="580" t="s">
        <v>4009</v>
      </c>
      <c r="T135" s="580" t="s">
        <v>3449</v>
      </c>
    </row>
    <row r="136">
      <c r="A136" s="578" t="s">
        <v>330</v>
      </c>
      <c r="B136" s="590"/>
      <c r="C136" s="580" t="s">
        <v>4010</v>
      </c>
      <c r="D136" s="580" t="s">
        <v>4011</v>
      </c>
      <c r="E136" s="580" t="s">
        <v>4012</v>
      </c>
      <c r="F136" s="580" t="s">
        <v>4013</v>
      </c>
      <c r="G136" s="583"/>
      <c r="H136" s="583"/>
      <c r="I136" s="583"/>
      <c r="J136" s="583"/>
      <c r="K136" s="583"/>
      <c r="L136" s="583"/>
      <c r="M136" s="580" t="s">
        <v>2824</v>
      </c>
      <c r="N136" s="583"/>
      <c r="O136" s="583"/>
      <c r="P136" s="583"/>
      <c r="Q136" s="583"/>
      <c r="R136" s="583"/>
      <c r="S136" s="583"/>
      <c r="T136" s="583"/>
      <c r="U136" s="584"/>
      <c r="V136" s="584"/>
      <c r="W136" s="584"/>
      <c r="X136" s="584"/>
      <c r="Y136" s="584"/>
      <c r="Z136" s="584"/>
      <c r="AA136" s="584"/>
      <c r="AB136" s="584"/>
      <c r="AC136" s="584"/>
      <c r="AD136" s="584"/>
      <c r="AE136" s="584"/>
      <c r="AF136" s="584"/>
      <c r="AG136" s="584"/>
      <c r="AH136" s="584"/>
      <c r="AI136" s="584"/>
    </row>
    <row r="137">
      <c r="A137" s="578" t="s">
        <v>324</v>
      </c>
      <c r="B137" s="577">
        <v>119.306115631487</v>
      </c>
      <c r="C137" s="580" t="s">
        <v>4014</v>
      </c>
      <c r="D137" s="580" t="s">
        <v>4015</v>
      </c>
      <c r="E137" s="580" t="s">
        <v>4016</v>
      </c>
      <c r="F137" s="580" t="s">
        <v>4017</v>
      </c>
      <c r="G137" s="580" t="s">
        <v>4018</v>
      </c>
      <c r="H137" s="580" t="s">
        <v>4019</v>
      </c>
      <c r="I137" s="580" t="s">
        <v>4020</v>
      </c>
      <c r="J137" s="580" t="s">
        <v>4021</v>
      </c>
      <c r="K137" s="580" t="s">
        <v>4022</v>
      </c>
      <c r="L137" s="580" t="s">
        <v>3562</v>
      </c>
      <c r="M137" s="580" t="s">
        <v>2824</v>
      </c>
      <c r="N137" s="583"/>
      <c r="O137" s="583"/>
      <c r="P137" s="583"/>
      <c r="Q137" s="583"/>
      <c r="R137" s="583"/>
      <c r="S137" s="583"/>
      <c r="T137" s="583"/>
      <c r="U137" s="584"/>
      <c r="V137" s="584"/>
      <c r="W137" s="584"/>
      <c r="X137" s="584"/>
      <c r="Y137" s="584"/>
      <c r="Z137" s="584"/>
      <c r="AA137" s="584"/>
      <c r="AB137" s="584"/>
      <c r="AC137" s="584"/>
      <c r="AD137" s="584"/>
      <c r="AE137" s="584"/>
      <c r="AF137" s="584"/>
      <c r="AG137" s="584"/>
      <c r="AH137" s="584"/>
      <c r="AI137" s="584"/>
    </row>
    <row r="138">
      <c r="A138" s="578" t="s">
        <v>495</v>
      </c>
      <c r="B138" s="577">
        <v>174.395284351511</v>
      </c>
      <c r="C138" s="580" t="s">
        <v>4023</v>
      </c>
      <c r="D138" s="580" t="s">
        <v>4024</v>
      </c>
      <c r="E138" s="580" t="s">
        <v>4025</v>
      </c>
      <c r="F138" s="580" t="s">
        <v>4026</v>
      </c>
      <c r="G138" s="580" t="s">
        <v>4027</v>
      </c>
      <c r="H138" s="580" t="s">
        <v>4028</v>
      </c>
      <c r="I138" s="580" t="s">
        <v>4029</v>
      </c>
      <c r="J138" s="580" t="s">
        <v>4030</v>
      </c>
      <c r="K138" s="580" t="s">
        <v>4031</v>
      </c>
      <c r="L138" s="580" t="s">
        <v>4032</v>
      </c>
      <c r="M138" s="580" t="s">
        <v>2824</v>
      </c>
      <c r="N138" s="581"/>
      <c r="O138" s="581"/>
      <c r="P138" s="581"/>
      <c r="Q138" s="581"/>
      <c r="R138" s="581"/>
      <c r="S138" s="581"/>
      <c r="T138" s="581"/>
    </row>
    <row r="139">
      <c r="A139" s="578" t="s">
        <v>494</v>
      </c>
      <c r="B139" s="577">
        <v>145.689768207578</v>
      </c>
      <c r="C139" s="580" t="s">
        <v>4033</v>
      </c>
      <c r="D139" s="580" t="s">
        <v>4034</v>
      </c>
      <c r="E139" s="580" t="s">
        <v>4035</v>
      </c>
      <c r="F139" s="580" t="s">
        <v>4036</v>
      </c>
      <c r="G139" s="580" t="s">
        <v>4037</v>
      </c>
      <c r="H139" s="580" t="s">
        <v>4038</v>
      </c>
      <c r="I139" s="580" t="s">
        <v>4039</v>
      </c>
      <c r="J139" s="580" t="s">
        <v>4040</v>
      </c>
      <c r="K139" s="580" t="s">
        <v>4041</v>
      </c>
      <c r="L139" s="580" t="s">
        <v>4042</v>
      </c>
      <c r="M139" s="580" t="s">
        <v>2824</v>
      </c>
      <c r="N139" s="581"/>
      <c r="O139" s="581"/>
      <c r="P139" s="581"/>
      <c r="Q139" s="581"/>
      <c r="R139" s="581"/>
      <c r="S139" s="581"/>
      <c r="T139" s="581"/>
    </row>
    <row r="140">
      <c r="A140" s="578" t="s">
        <v>480</v>
      </c>
      <c r="B140" s="577">
        <v>187.0</v>
      </c>
      <c r="C140" s="580" t="s">
        <v>4043</v>
      </c>
      <c r="D140" s="580" t="s">
        <v>4044</v>
      </c>
      <c r="E140" s="580" t="s">
        <v>4045</v>
      </c>
      <c r="F140" s="580" t="s">
        <v>4046</v>
      </c>
      <c r="G140" s="580" t="s">
        <v>4047</v>
      </c>
      <c r="H140" s="580" t="s">
        <v>4048</v>
      </c>
      <c r="I140" s="580" t="s">
        <v>4049</v>
      </c>
      <c r="J140" s="580" t="s">
        <v>4050</v>
      </c>
      <c r="K140" s="580" t="s">
        <v>4051</v>
      </c>
      <c r="L140" s="580" t="s">
        <v>4052</v>
      </c>
      <c r="M140" s="580" t="s">
        <v>2824</v>
      </c>
      <c r="N140" s="585"/>
      <c r="O140" s="585"/>
      <c r="P140" s="585"/>
      <c r="Q140" s="586"/>
      <c r="R140" s="586"/>
      <c r="S140" s="585"/>
      <c r="T140" s="585"/>
      <c r="U140" s="587"/>
      <c r="V140" s="588"/>
      <c r="W140" s="588"/>
      <c r="X140" s="587"/>
      <c r="Y140" s="587"/>
      <c r="Z140" s="588"/>
      <c r="AA140" s="588"/>
      <c r="AB140" s="588"/>
      <c r="AC140" s="584"/>
      <c r="AD140" s="584"/>
      <c r="AE140" s="584"/>
      <c r="AF140" s="584"/>
      <c r="AG140" s="584"/>
      <c r="AH140" s="584"/>
      <c r="AI140" s="584"/>
    </row>
    <row r="141">
      <c r="A141" s="578" t="s">
        <v>551</v>
      </c>
      <c r="B141" s="577">
        <v>167.706446635808</v>
      </c>
      <c r="C141" s="580" t="s">
        <v>4053</v>
      </c>
      <c r="D141" s="580" t="s">
        <v>4054</v>
      </c>
      <c r="E141" s="580" t="s">
        <v>4055</v>
      </c>
      <c r="F141" s="580" t="s">
        <v>4056</v>
      </c>
      <c r="G141" s="580" t="s">
        <v>4057</v>
      </c>
      <c r="H141" s="580" t="s">
        <v>3440</v>
      </c>
      <c r="I141" s="580" t="s">
        <v>4058</v>
      </c>
      <c r="J141" s="580" t="s">
        <v>4059</v>
      </c>
      <c r="K141" s="580" t="s">
        <v>4060</v>
      </c>
      <c r="L141" s="580" t="s">
        <v>4061</v>
      </c>
      <c r="M141" s="580" t="s">
        <v>2838</v>
      </c>
      <c r="N141" s="581"/>
      <c r="O141" s="581"/>
      <c r="P141" s="580" t="s">
        <v>4062</v>
      </c>
      <c r="Q141" s="581"/>
      <c r="R141" s="581"/>
      <c r="S141" s="581"/>
      <c r="T141" s="581"/>
    </row>
    <row r="142">
      <c r="A142" s="578" t="s">
        <v>493</v>
      </c>
      <c r="B142" s="577">
        <v>133.691626893407</v>
      </c>
      <c r="C142" s="580" t="s">
        <v>4063</v>
      </c>
      <c r="D142" s="580" t="s">
        <v>4064</v>
      </c>
      <c r="E142" s="580" t="s">
        <v>4065</v>
      </c>
      <c r="F142" s="580" t="s">
        <v>4066</v>
      </c>
      <c r="G142" s="580" t="s">
        <v>4067</v>
      </c>
      <c r="H142" s="580" t="s">
        <v>4068</v>
      </c>
      <c r="I142" s="580" t="s">
        <v>4069</v>
      </c>
      <c r="J142" s="580" t="s">
        <v>4070</v>
      </c>
      <c r="K142" s="580" t="s">
        <v>4071</v>
      </c>
      <c r="L142" s="580" t="s">
        <v>4072</v>
      </c>
      <c r="M142" s="580" t="s">
        <v>2824</v>
      </c>
      <c r="N142" s="581"/>
      <c r="O142" s="581"/>
      <c r="P142" s="581"/>
      <c r="Q142" s="581"/>
      <c r="R142" s="581"/>
      <c r="S142" s="581"/>
      <c r="T142" s="581"/>
    </row>
    <row r="143">
      <c r="A143" s="578" t="s">
        <v>488</v>
      </c>
      <c r="B143" s="577">
        <v>157.515042686576</v>
      </c>
      <c r="C143" s="580" t="s">
        <v>4073</v>
      </c>
      <c r="D143" s="580" t="s">
        <v>3918</v>
      </c>
      <c r="E143" s="580" t="s">
        <v>4074</v>
      </c>
      <c r="F143" s="580" t="s">
        <v>4075</v>
      </c>
      <c r="G143" s="580" t="s">
        <v>4076</v>
      </c>
      <c r="H143" s="580" t="s">
        <v>3951</v>
      </c>
      <c r="I143" s="580" t="s">
        <v>4077</v>
      </c>
      <c r="J143" s="580" t="s">
        <v>4078</v>
      </c>
      <c r="K143" s="580" t="s">
        <v>4079</v>
      </c>
      <c r="L143" s="580" t="s">
        <v>3469</v>
      </c>
      <c r="M143" s="580" t="s">
        <v>2824</v>
      </c>
      <c r="N143" s="581"/>
      <c r="O143" s="581"/>
      <c r="P143" s="580" t="s">
        <v>4080</v>
      </c>
      <c r="Q143" s="581"/>
      <c r="R143" s="581"/>
      <c r="S143" s="581"/>
      <c r="T143" s="581"/>
    </row>
    <row r="144">
      <c r="A144" s="578" t="s">
        <v>475</v>
      </c>
      <c r="B144" s="577">
        <v>150.0</v>
      </c>
      <c r="C144" s="580" t="s">
        <v>4081</v>
      </c>
      <c r="D144" s="580" t="s">
        <v>4082</v>
      </c>
      <c r="E144" s="580" t="s">
        <v>4083</v>
      </c>
      <c r="F144" s="580" t="s">
        <v>4084</v>
      </c>
      <c r="G144" s="580" t="s">
        <v>4085</v>
      </c>
      <c r="H144" s="580" t="s">
        <v>4086</v>
      </c>
      <c r="I144" s="580" t="s">
        <v>4087</v>
      </c>
      <c r="J144" s="580" t="s">
        <v>3941</v>
      </c>
      <c r="K144" s="580" t="s">
        <v>4088</v>
      </c>
      <c r="L144" s="580" t="s">
        <v>4089</v>
      </c>
      <c r="M144" s="580" t="s">
        <v>2824</v>
      </c>
      <c r="N144" s="589"/>
      <c r="O144" s="589"/>
      <c r="P144" s="583"/>
      <c r="Q144" s="589"/>
      <c r="R144" s="589"/>
      <c r="S144" s="589"/>
      <c r="T144" s="589"/>
      <c r="U144" s="579"/>
      <c r="V144" s="579"/>
      <c r="W144" s="579"/>
      <c r="X144" s="579"/>
      <c r="Y144" s="579"/>
      <c r="Z144" s="579"/>
      <c r="AA144" s="579"/>
      <c r="AB144" s="579"/>
      <c r="AC144" s="579"/>
      <c r="AD144" s="579"/>
      <c r="AE144" s="579"/>
      <c r="AF144" s="579"/>
      <c r="AG144" s="579"/>
      <c r="AH144" s="579"/>
      <c r="AI144" s="579"/>
    </row>
    <row r="145">
      <c r="A145" s="578" t="s">
        <v>538</v>
      </c>
      <c r="B145" s="577">
        <v>164.308834886051</v>
      </c>
      <c r="C145" s="580" t="s">
        <v>4090</v>
      </c>
      <c r="D145" s="580" t="s">
        <v>4091</v>
      </c>
      <c r="E145" s="580" t="s">
        <v>4092</v>
      </c>
      <c r="F145" s="580" t="s">
        <v>4093</v>
      </c>
      <c r="G145" s="580" t="s">
        <v>4094</v>
      </c>
      <c r="H145" s="580" t="s">
        <v>4095</v>
      </c>
      <c r="I145" s="580" t="s">
        <v>4096</v>
      </c>
      <c r="J145" s="580" t="s">
        <v>3386</v>
      </c>
      <c r="K145" s="580" t="s">
        <v>4097</v>
      </c>
      <c r="L145" s="580" t="s">
        <v>3290</v>
      </c>
      <c r="M145" s="580" t="s">
        <v>2838</v>
      </c>
      <c r="N145" s="581"/>
      <c r="O145" s="581"/>
      <c r="P145" s="580" t="s">
        <v>4098</v>
      </c>
      <c r="Q145" s="581"/>
      <c r="R145" s="581"/>
      <c r="S145" s="581"/>
      <c r="T145" s="581"/>
    </row>
    <row r="146">
      <c r="A146" s="578" t="s">
        <v>484</v>
      </c>
      <c r="B146" s="577">
        <v>2201.1886418666</v>
      </c>
      <c r="C146" s="580" t="s">
        <v>4099</v>
      </c>
      <c r="D146" s="580" t="s">
        <v>4100</v>
      </c>
      <c r="E146" s="580" t="s">
        <v>4101</v>
      </c>
      <c r="F146" s="580" t="s">
        <v>4102</v>
      </c>
      <c r="G146" s="580" t="s">
        <v>4103</v>
      </c>
      <c r="H146" s="580" t="s">
        <v>4104</v>
      </c>
      <c r="I146" s="580" t="s">
        <v>4105</v>
      </c>
      <c r="J146" s="580" t="s">
        <v>4106</v>
      </c>
      <c r="K146" s="580" t="s">
        <v>4107</v>
      </c>
      <c r="L146" s="580" t="s">
        <v>4108</v>
      </c>
      <c r="M146" s="580" t="s">
        <v>2824</v>
      </c>
      <c r="N146" s="581"/>
      <c r="O146" s="581"/>
      <c r="P146" s="581"/>
      <c r="Q146" s="581"/>
      <c r="R146" s="581"/>
      <c r="S146" s="581"/>
      <c r="T146" s="581"/>
    </row>
    <row r="147">
      <c r="A147" s="578" t="s">
        <v>505</v>
      </c>
      <c r="B147" s="577">
        <v>192.559500885773</v>
      </c>
      <c r="C147" s="580" t="s">
        <v>4109</v>
      </c>
      <c r="D147" s="580" t="s">
        <v>4110</v>
      </c>
      <c r="E147" s="580" t="s">
        <v>4111</v>
      </c>
      <c r="F147" s="580" t="s">
        <v>4112</v>
      </c>
      <c r="G147" s="580" t="s">
        <v>4113</v>
      </c>
      <c r="H147" s="580" t="s">
        <v>4114</v>
      </c>
      <c r="I147" s="580" t="s">
        <v>4115</v>
      </c>
      <c r="J147" s="580" t="s">
        <v>4116</v>
      </c>
      <c r="K147" s="580" t="s">
        <v>4117</v>
      </c>
      <c r="L147" s="580" t="s">
        <v>4118</v>
      </c>
      <c r="M147" s="580" t="s">
        <v>2824</v>
      </c>
      <c r="N147" s="581"/>
      <c r="O147" s="581"/>
      <c r="P147" s="580" t="s">
        <v>4119</v>
      </c>
      <c r="Q147" s="580" t="s">
        <v>4120</v>
      </c>
      <c r="R147" s="580" t="s">
        <v>4121</v>
      </c>
      <c r="S147" s="581"/>
      <c r="T147" s="581"/>
    </row>
    <row r="148">
      <c r="A148" s="578" t="s">
        <v>506</v>
      </c>
      <c r="B148" s="577">
        <v>164.535926419533</v>
      </c>
      <c r="C148" s="580" t="s">
        <v>4122</v>
      </c>
      <c r="D148" s="580" t="s">
        <v>4123</v>
      </c>
      <c r="E148" s="580" t="s">
        <v>4124</v>
      </c>
      <c r="F148" s="580" t="s">
        <v>4125</v>
      </c>
      <c r="G148" s="580" t="s">
        <v>4126</v>
      </c>
      <c r="H148" s="580" t="s">
        <v>4127</v>
      </c>
      <c r="I148" s="580" t="s">
        <v>4128</v>
      </c>
      <c r="J148" s="580" t="s">
        <v>3706</v>
      </c>
      <c r="K148" s="580" t="s">
        <v>4129</v>
      </c>
      <c r="L148" s="580" t="s">
        <v>3224</v>
      </c>
      <c r="M148" s="580" t="s">
        <v>2824</v>
      </c>
      <c r="N148" s="581"/>
      <c r="O148" s="581"/>
      <c r="P148" s="580" t="s">
        <v>4130</v>
      </c>
      <c r="Q148" s="581"/>
      <c r="R148" s="581"/>
      <c r="S148" s="581"/>
      <c r="T148" s="581"/>
    </row>
    <row r="149">
      <c r="A149" s="578" t="s">
        <v>1435</v>
      </c>
      <c r="B149" s="577">
        <v>142.869388804754</v>
      </c>
      <c r="C149" s="580" t="s">
        <v>4131</v>
      </c>
      <c r="D149" s="580" t="s">
        <v>4132</v>
      </c>
      <c r="E149" s="580" t="s">
        <v>4133</v>
      </c>
      <c r="F149" s="580" t="s">
        <v>4134</v>
      </c>
      <c r="G149" s="580" t="s">
        <v>4135</v>
      </c>
      <c r="H149" s="580" t="s">
        <v>4136</v>
      </c>
      <c r="I149" s="580" t="s">
        <v>4137</v>
      </c>
      <c r="J149" s="580" t="s">
        <v>4138</v>
      </c>
      <c r="K149" s="580" t="s">
        <v>4139</v>
      </c>
      <c r="L149" s="580" t="s">
        <v>4140</v>
      </c>
      <c r="M149" s="580" t="s">
        <v>2824</v>
      </c>
      <c r="N149" s="578"/>
      <c r="O149" s="578"/>
      <c r="P149" s="580" t="s">
        <v>4141</v>
      </c>
      <c r="Q149" s="580" t="s">
        <v>4142</v>
      </c>
      <c r="R149" s="580" t="s">
        <v>4143</v>
      </c>
      <c r="S149" s="578"/>
      <c r="T149" s="578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57"/>
      <c r="AG149" s="257"/>
      <c r="AH149" s="257"/>
      <c r="AI149" s="257"/>
    </row>
    <row r="150">
      <c r="A150" s="578" t="s">
        <v>1403</v>
      </c>
      <c r="B150" s="582"/>
      <c r="C150" s="580" t="s">
        <v>4144</v>
      </c>
      <c r="D150" s="580" t="s">
        <v>4145</v>
      </c>
      <c r="E150" s="580" t="s">
        <v>4146</v>
      </c>
      <c r="F150" s="580" t="s">
        <v>4147</v>
      </c>
      <c r="G150" s="581"/>
      <c r="H150" s="581"/>
      <c r="I150" s="581"/>
      <c r="J150" s="581"/>
      <c r="K150" s="581"/>
      <c r="L150" s="581"/>
      <c r="M150" s="580" t="s">
        <v>2824</v>
      </c>
      <c r="N150" s="581"/>
      <c r="O150" s="581"/>
      <c r="P150" s="581"/>
      <c r="Q150" s="581"/>
      <c r="R150" s="581"/>
      <c r="S150" s="581"/>
      <c r="T150" s="581"/>
    </row>
    <row r="151">
      <c r="A151" s="578" t="s">
        <v>1432</v>
      </c>
      <c r="B151" s="577">
        <v>142.116108860939</v>
      </c>
      <c r="C151" s="580" t="s">
        <v>4148</v>
      </c>
      <c r="D151" s="580" t="s">
        <v>4149</v>
      </c>
      <c r="E151" s="580" t="s">
        <v>4150</v>
      </c>
      <c r="F151" s="580" t="s">
        <v>4151</v>
      </c>
      <c r="G151" s="580" t="s">
        <v>4152</v>
      </c>
      <c r="H151" s="580" t="s">
        <v>4153</v>
      </c>
      <c r="I151" s="580" t="s">
        <v>4154</v>
      </c>
      <c r="J151" s="580" t="s">
        <v>4155</v>
      </c>
      <c r="K151" s="580" t="s">
        <v>4156</v>
      </c>
      <c r="L151" s="580" t="s">
        <v>4157</v>
      </c>
      <c r="M151" s="580" t="s">
        <v>2824</v>
      </c>
      <c r="N151" s="580" t="s">
        <v>4158</v>
      </c>
      <c r="O151" s="580" t="s">
        <v>4159</v>
      </c>
      <c r="P151" s="580" t="s">
        <v>4160</v>
      </c>
      <c r="Q151" s="591"/>
      <c r="R151" s="591"/>
      <c r="S151" s="580" t="s">
        <v>4161</v>
      </c>
      <c r="T151" s="580" t="s">
        <v>4162</v>
      </c>
      <c r="U151" s="592"/>
      <c r="V151" s="257"/>
      <c r="W151" s="257"/>
      <c r="X151" s="592"/>
      <c r="Y151" s="592"/>
      <c r="Z151" s="257"/>
      <c r="AA151" s="257"/>
      <c r="AB151" s="257"/>
    </row>
    <row r="152">
      <c r="A152" s="578" t="s">
        <v>1428</v>
      </c>
      <c r="B152" s="577">
        <v>134.596748142564</v>
      </c>
      <c r="C152" s="580" t="s">
        <v>4163</v>
      </c>
      <c r="D152" s="580" t="s">
        <v>4164</v>
      </c>
      <c r="E152" s="580" t="s">
        <v>4165</v>
      </c>
      <c r="F152" s="580" t="s">
        <v>4166</v>
      </c>
      <c r="G152" s="580" t="s">
        <v>4167</v>
      </c>
      <c r="H152" s="580" t="s">
        <v>4168</v>
      </c>
      <c r="I152" s="580" t="s">
        <v>4169</v>
      </c>
      <c r="J152" s="580" t="s">
        <v>3740</v>
      </c>
      <c r="K152" s="580" t="s">
        <v>4170</v>
      </c>
      <c r="L152" s="580" t="s">
        <v>4171</v>
      </c>
      <c r="M152" s="580" t="s">
        <v>2824</v>
      </c>
      <c r="N152" s="581"/>
      <c r="O152" s="581"/>
      <c r="P152" s="580" t="s">
        <v>4172</v>
      </c>
      <c r="Q152" s="580" t="s">
        <v>4173</v>
      </c>
      <c r="R152" s="580" t="s">
        <v>4174</v>
      </c>
      <c r="S152" s="580" t="s">
        <v>4175</v>
      </c>
      <c r="T152" s="580" t="s">
        <v>4176</v>
      </c>
    </row>
    <row r="153">
      <c r="A153" s="578" t="s">
        <v>1336</v>
      </c>
      <c r="B153" s="577"/>
      <c r="C153" s="580" t="s">
        <v>4177</v>
      </c>
      <c r="D153" s="580" t="s">
        <v>4178</v>
      </c>
      <c r="E153" s="580" t="s">
        <v>4179</v>
      </c>
      <c r="F153" s="580" t="s">
        <v>4180</v>
      </c>
      <c r="G153" s="578"/>
      <c r="H153" s="578"/>
      <c r="I153" s="578"/>
      <c r="J153" s="578"/>
      <c r="K153" s="578"/>
      <c r="L153" s="578"/>
      <c r="M153" s="580" t="s">
        <v>2824</v>
      </c>
      <c r="N153" s="578"/>
      <c r="O153" s="578"/>
      <c r="P153" s="578"/>
      <c r="Q153" s="591"/>
      <c r="R153" s="591"/>
      <c r="S153" s="578"/>
      <c r="T153" s="578"/>
      <c r="U153" s="592"/>
      <c r="V153" s="257"/>
      <c r="W153" s="257"/>
      <c r="X153" s="592"/>
      <c r="Y153" s="592"/>
      <c r="Z153" s="257"/>
      <c r="AA153" s="257"/>
      <c r="AB153" s="257"/>
    </row>
    <row r="154">
      <c r="A154" s="578" t="s">
        <v>1396</v>
      </c>
      <c r="B154" s="577">
        <v>135.169840905097</v>
      </c>
      <c r="C154" s="580" t="s">
        <v>4181</v>
      </c>
      <c r="D154" s="580" t="s">
        <v>4182</v>
      </c>
      <c r="E154" s="580" t="s">
        <v>4183</v>
      </c>
      <c r="F154" s="580" t="s">
        <v>4184</v>
      </c>
      <c r="G154" s="580" t="s">
        <v>4185</v>
      </c>
      <c r="H154" s="580" t="s">
        <v>4186</v>
      </c>
      <c r="I154" s="580" t="s">
        <v>4187</v>
      </c>
      <c r="J154" s="580" t="s">
        <v>3741</v>
      </c>
      <c r="K154" s="580" t="s">
        <v>4188</v>
      </c>
      <c r="L154" s="580" t="s">
        <v>4189</v>
      </c>
      <c r="M154" s="580" t="s">
        <v>2824</v>
      </c>
      <c r="N154" s="581"/>
      <c r="O154" s="581"/>
      <c r="P154" s="580" t="s">
        <v>4190</v>
      </c>
      <c r="Q154" s="580" t="s">
        <v>4191</v>
      </c>
      <c r="R154" s="580" t="s">
        <v>4192</v>
      </c>
      <c r="S154" s="581"/>
      <c r="T154" s="581"/>
    </row>
    <row r="155">
      <c r="A155" s="578" t="s">
        <v>1960</v>
      </c>
      <c r="B155" s="577">
        <v>141.681188988538</v>
      </c>
      <c r="C155" s="580" t="s">
        <v>4193</v>
      </c>
      <c r="D155" s="580" t="s">
        <v>4194</v>
      </c>
      <c r="E155" s="580" t="s">
        <v>4195</v>
      </c>
      <c r="F155" s="580" t="s">
        <v>4196</v>
      </c>
      <c r="G155" s="580" t="s">
        <v>4197</v>
      </c>
      <c r="H155" s="580" t="s">
        <v>4198</v>
      </c>
      <c r="I155" s="580" t="s">
        <v>4199</v>
      </c>
      <c r="J155" s="580" t="s">
        <v>3640</v>
      </c>
      <c r="K155" s="580" t="s">
        <v>4200</v>
      </c>
      <c r="L155" s="580" t="s">
        <v>4201</v>
      </c>
      <c r="M155" s="580" t="s">
        <v>2824</v>
      </c>
      <c r="N155" s="581"/>
      <c r="O155" s="581"/>
      <c r="P155" s="580" t="s">
        <v>4202</v>
      </c>
      <c r="Q155" s="580" t="s">
        <v>4203</v>
      </c>
      <c r="R155" s="580" t="s">
        <v>4204</v>
      </c>
      <c r="S155" s="580" t="s">
        <v>4205</v>
      </c>
      <c r="T155" s="580" t="s">
        <v>4206</v>
      </c>
    </row>
    <row r="156">
      <c r="A156" s="578" t="s">
        <v>1411</v>
      </c>
      <c r="B156" s="582"/>
      <c r="C156" s="580" t="s">
        <v>4207</v>
      </c>
      <c r="D156" s="580" t="s">
        <v>4208</v>
      </c>
      <c r="E156" s="580" t="s">
        <v>4209</v>
      </c>
      <c r="F156" s="580" t="s">
        <v>4210</v>
      </c>
      <c r="G156" s="581"/>
      <c r="H156" s="581"/>
      <c r="I156" s="581"/>
      <c r="J156" s="581"/>
      <c r="K156" s="581"/>
      <c r="L156" s="581"/>
      <c r="M156" s="580" t="s">
        <v>2824</v>
      </c>
      <c r="N156" s="581"/>
      <c r="O156" s="581"/>
      <c r="P156" s="581"/>
      <c r="Q156" s="581"/>
      <c r="R156" s="581"/>
      <c r="S156" s="581"/>
      <c r="T156" s="581"/>
    </row>
    <row r="157">
      <c r="A157" s="578" t="s">
        <v>1466</v>
      </c>
      <c r="B157" s="577">
        <v>138.178803371562</v>
      </c>
      <c r="C157" s="580" t="s">
        <v>4211</v>
      </c>
      <c r="D157" s="580" t="s">
        <v>2973</v>
      </c>
      <c r="E157" s="580" t="s">
        <v>4212</v>
      </c>
      <c r="F157" s="580" t="s">
        <v>4213</v>
      </c>
      <c r="G157" s="580" t="s">
        <v>4214</v>
      </c>
      <c r="H157" s="580" t="s">
        <v>4215</v>
      </c>
      <c r="I157" s="580" t="s">
        <v>4216</v>
      </c>
      <c r="J157" s="580" t="s">
        <v>4217</v>
      </c>
      <c r="K157" s="580" t="s">
        <v>4218</v>
      </c>
      <c r="L157" s="580" t="s">
        <v>4219</v>
      </c>
      <c r="M157" s="580" t="s">
        <v>2824</v>
      </c>
      <c r="N157" s="581"/>
      <c r="O157" s="581"/>
      <c r="P157" s="580" t="s">
        <v>4220</v>
      </c>
      <c r="Q157" s="580" t="s">
        <v>4221</v>
      </c>
      <c r="R157" s="580" t="s">
        <v>4222</v>
      </c>
      <c r="S157" s="581"/>
      <c r="T157" s="581"/>
    </row>
    <row r="158">
      <c r="A158" s="578" t="s">
        <v>1421</v>
      </c>
      <c r="B158" s="577">
        <v>134.273246055723</v>
      </c>
      <c r="C158" s="580" t="s">
        <v>4223</v>
      </c>
      <c r="D158" s="580" t="s">
        <v>4224</v>
      </c>
      <c r="E158" s="580" t="s">
        <v>4225</v>
      </c>
      <c r="F158" s="580" t="s">
        <v>4226</v>
      </c>
      <c r="G158" s="580" t="s">
        <v>4227</v>
      </c>
      <c r="H158" s="580" t="s">
        <v>4228</v>
      </c>
      <c r="I158" s="580" t="s">
        <v>4229</v>
      </c>
      <c r="J158" s="580" t="s">
        <v>3908</v>
      </c>
      <c r="K158" s="580" t="s">
        <v>4230</v>
      </c>
      <c r="L158" s="580" t="s">
        <v>4157</v>
      </c>
      <c r="M158" s="580" t="s">
        <v>2824</v>
      </c>
      <c r="N158" s="581"/>
      <c r="O158" s="581"/>
      <c r="P158" s="580" t="s">
        <v>4231</v>
      </c>
      <c r="Q158" s="581"/>
      <c r="R158" s="581"/>
      <c r="S158" s="580" t="s">
        <v>4232</v>
      </c>
      <c r="T158" s="580" t="s">
        <v>4233</v>
      </c>
    </row>
    <row r="159">
      <c r="A159" s="578" t="s">
        <v>1430</v>
      </c>
      <c r="B159" s="577">
        <v>138.421715598743</v>
      </c>
      <c r="C159" s="580" t="s">
        <v>4234</v>
      </c>
      <c r="D159" s="580" t="s">
        <v>2861</v>
      </c>
      <c r="E159" s="580" t="s">
        <v>4235</v>
      </c>
      <c r="F159" s="580" t="s">
        <v>4132</v>
      </c>
      <c r="G159" s="580" t="s">
        <v>4236</v>
      </c>
      <c r="H159" s="580" t="s">
        <v>4237</v>
      </c>
      <c r="I159" s="580" t="s">
        <v>4238</v>
      </c>
      <c r="J159" s="580" t="s">
        <v>3093</v>
      </c>
      <c r="K159" s="580" t="s">
        <v>4239</v>
      </c>
      <c r="L159" s="580" t="s">
        <v>3160</v>
      </c>
      <c r="M159" s="580" t="s">
        <v>2824</v>
      </c>
      <c r="N159" s="581"/>
      <c r="O159" s="581"/>
      <c r="P159" s="581"/>
      <c r="Q159" s="581"/>
      <c r="R159" s="581"/>
      <c r="S159" s="581"/>
      <c r="T159" s="581"/>
    </row>
    <row r="160">
      <c r="A160" s="578" t="s">
        <v>1460</v>
      </c>
      <c r="B160" s="577">
        <v>1357.40464232387</v>
      </c>
      <c r="C160" s="580" t="s">
        <v>4240</v>
      </c>
      <c r="D160" s="580" t="s">
        <v>4241</v>
      </c>
      <c r="E160" s="580" t="s">
        <v>4242</v>
      </c>
      <c r="F160" s="580" t="s">
        <v>4243</v>
      </c>
      <c r="G160" s="580" t="s">
        <v>4244</v>
      </c>
      <c r="H160" s="580" t="s">
        <v>4245</v>
      </c>
      <c r="I160" s="580" t="s">
        <v>4246</v>
      </c>
      <c r="J160" s="580" t="s">
        <v>4247</v>
      </c>
      <c r="K160" s="580" t="s">
        <v>4248</v>
      </c>
      <c r="L160" s="580" t="s">
        <v>4249</v>
      </c>
      <c r="M160" s="580" t="s">
        <v>2838</v>
      </c>
      <c r="N160" s="581"/>
      <c r="O160" s="581"/>
      <c r="P160" s="581"/>
      <c r="Q160" s="581"/>
      <c r="R160" s="581"/>
      <c r="S160" s="581"/>
      <c r="T160" s="581"/>
    </row>
    <row r="161">
      <c r="A161" s="578" t="s">
        <v>273</v>
      </c>
      <c r="B161" s="577">
        <v>137.0</v>
      </c>
      <c r="C161" s="580" t="s">
        <v>4250</v>
      </c>
      <c r="D161" s="580" t="s">
        <v>4251</v>
      </c>
      <c r="E161" s="580" t="s">
        <v>4252</v>
      </c>
      <c r="F161" s="580" t="s">
        <v>4253</v>
      </c>
      <c r="G161" s="580" t="s">
        <v>4254</v>
      </c>
      <c r="H161" s="580" t="s">
        <v>4255</v>
      </c>
      <c r="I161" s="580" t="s">
        <v>4256</v>
      </c>
      <c r="J161" s="580" t="s">
        <v>4257</v>
      </c>
      <c r="K161" s="580" t="s">
        <v>4258</v>
      </c>
      <c r="L161" s="580" t="s">
        <v>4259</v>
      </c>
      <c r="M161" s="580" t="s">
        <v>2824</v>
      </c>
      <c r="N161" s="583"/>
      <c r="O161" s="583"/>
      <c r="P161" s="583"/>
      <c r="Q161" s="583"/>
      <c r="R161" s="583"/>
      <c r="S161" s="583"/>
      <c r="T161" s="583"/>
      <c r="U161" s="584"/>
      <c r="V161" s="584"/>
      <c r="W161" s="584"/>
      <c r="X161" s="584"/>
      <c r="Y161" s="584"/>
      <c r="Z161" s="584"/>
      <c r="AA161" s="584"/>
      <c r="AB161" s="584"/>
      <c r="AC161" s="584"/>
      <c r="AD161" s="584"/>
      <c r="AE161" s="584"/>
      <c r="AF161" s="584"/>
      <c r="AG161" s="584"/>
      <c r="AH161" s="584"/>
      <c r="AI161" s="584"/>
    </row>
    <row r="162">
      <c r="A162" s="578" t="s">
        <v>273</v>
      </c>
      <c r="B162" s="577">
        <v>136.593361562628</v>
      </c>
      <c r="C162" s="580" t="s">
        <v>4250</v>
      </c>
      <c r="D162" s="580" t="s">
        <v>4251</v>
      </c>
      <c r="E162" s="580" t="s">
        <v>4252</v>
      </c>
      <c r="F162" s="580" t="s">
        <v>4253</v>
      </c>
      <c r="G162" s="580" t="s">
        <v>4254</v>
      </c>
      <c r="H162" s="580" t="s">
        <v>4255</v>
      </c>
      <c r="I162" s="580" t="s">
        <v>4256</v>
      </c>
      <c r="J162" s="580" t="s">
        <v>4257</v>
      </c>
      <c r="K162" s="580" t="s">
        <v>4258</v>
      </c>
      <c r="L162" s="580" t="s">
        <v>4259</v>
      </c>
      <c r="M162" s="580" t="s">
        <v>2824</v>
      </c>
      <c r="N162" s="581"/>
      <c r="O162" s="581"/>
      <c r="P162" s="581"/>
      <c r="Q162" s="581"/>
      <c r="R162" s="581"/>
      <c r="S162" s="581"/>
      <c r="T162" s="581"/>
    </row>
    <row r="163">
      <c r="A163" s="578" t="s">
        <v>273</v>
      </c>
      <c r="B163" s="577">
        <v>136.593361562628</v>
      </c>
      <c r="C163" s="580" t="s">
        <v>4250</v>
      </c>
      <c r="D163" s="580" t="s">
        <v>4251</v>
      </c>
      <c r="E163" s="580" t="s">
        <v>4252</v>
      </c>
      <c r="F163" s="580" t="s">
        <v>4253</v>
      </c>
      <c r="G163" s="580" t="s">
        <v>4254</v>
      </c>
      <c r="H163" s="580" t="s">
        <v>4255</v>
      </c>
      <c r="I163" s="580" t="s">
        <v>4256</v>
      </c>
      <c r="J163" s="580" t="s">
        <v>4257</v>
      </c>
      <c r="K163" s="580" t="s">
        <v>4258</v>
      </c>
      <c r="L163" s="580" t="s">
        <v>4259</v>
      </c>
      <c r="M163" s="580" t="s">
        <v>2824</v>
      </c>
      <c r="N163" s="581"/>
      <c r="O163" s="581"/>
      <c r="P163" s="581"/>
      <c r="Q163" s="581"/>
      <c r="R163" s="581"/>
      <c r="S163" s="581"/>
      <c r="T163" s="581"/>
    </row>
    <row r="164">
      <c r="A164" s="578" t="s">
        <v>273</v>
      </c>
      <c r="B164" s="577">
        <v>136.593361562628</v>
      </c>
      <c r="C164" s="580" t="s">
        <v>4250</v>
      </c>
      <c r="D164" s="580" t="s">
        <v>4251</v>
      </c>
      <c r="E164" s="580" t="s">
        <v>4252</v>
      </c>
      <c r="F164" s="580" t="s">
        <v>4253</v>
      </c>
      <c r="G164" s="580" t="s">
        <v>4254</v>
      </c>
      <c r="H164" s="580" t="s">
        <v>4255</v>
      </c>
      <c r="I164" s="580" t="s">
        <v>4256</v>
      </c>
      <c r="J164" s="580" t="s">
        <v>4257</v>
      </c>
      <c r="K164" s="580" t="s">
        <v>4258</v>
      </c>
      <c r="L164" s="580" t="s">
        <v>4259</v>
      </c>
      <c r="M164" s="580" t="s">
        <v>2824</v>
      </c>
      <c r="N164" s="581"/>
      <c r="O164" s="581"/>
      <c r="P164" s="581"/>
      <c r="Q164" s="581"/>
      <c r="R164" s="581"/>
      <c r="S164" s="581"/>
      <c r="T164" s="581"/>
    </row>
    <row r="165">
      <c r="A165" s="578" t="s">
        <v>4260</v>
      </c>
      <c r="B165" s="577">
        <v>142.0</v>
      </c>
      <c r="C165" s="580" t="s">
        <v>4261</v>
      </c>
      <c r="D165" s="580" t="s">
        <v>4262</v>
      </c>
      <c r="E165" s="580" t="s">
        <v>4263</v>
      </c>
      <c r="F165" s="580" t="s">
        <v>4264</v>
      </c>
      <c r="G165" s="580" t="s">
        <v>4265</v>
      </c>
      <c r="H165" s="580" t="s">
        <v>4266</v>
      </c>
      <c r="I165" s="580" t="s">
        <v>4267</v>
      </c>
      <c r="J165" s="580" t="s">
        <v>4268</v>
      </c>
      <c r="K165" s="580" t="s">
        <v>4269</v>
      </c>
      <c r="L165" s="580" t="s">
        <v>4270</v>
      </c>
      <c r="M165" s="580" t="s">
        <v>2824</v>
      </c>
      <c r="N165" s="585"/>
      <c r="O165" s="585"/>
      <c r="P165" s="580" t="s">
        <v>4271</v>
      </c>
      <c r="Q165" s="586"/>
      <c r="R165" s="586"/>
      <c r="S165" s="585"/>
      <c r="T165" s="585"/>
      <c r="U165" s="587"/>
      <c r="V165" s="588"/>
      <c r="W165" s="588"/>
      <c r="X165" s="587"/>
      <c r="Y165" s="587"/>
      <c r="Z165" s="588"/>
      <c r="AA165" s="588"/>
      <c r="AB165" s="588"/>
      <c r="AC165" s="584"/>
      <c r="AD165" s="584"/>
      <c r="AE165" s="584"/>
      <c r="AF165" s="584"/>
      <c r="AG165" s="584"/>
      <c r="AH165" s="584"/>
      <c r="AI165" s="584"/>
    </row>
    <row r="166">
      <c r="A166" s="578" t="s">
        <v>4260</v>
      </c>
      <c r="B166" s="577">
        <v>142.122168215798</v>
      </c>
      <c r="C166" s="580" t="s">
        <v>4261</v>
      </c>
      <c r="D166" s="580" t="s">
        <v>4262</v>
      </c>
      <c r="E166" s="580" t="s">
        <v>4263</v>
      </c>
      <c r="F166" s="580" t="s">
        <v>4264</v>
      </c>
      <c r="G166" s="580" t="s">
        <v>4265</v>
      </c>
      <c r="H166" s="580" t="s">
        <v>4266</v>
      </c>
      <c r="I166" s="580" t="s">
        <v>4267</v>
      </c>
      <c r="J166" s="580" t="s">
        <v>4268</v>
      </c>
      <c r="K166" s="580" t="s">
        <v>4269</v>
      </c>
      <c r="L166" s="580" t="s">
        <v>4270</v>
      </c>
      <c r="M166" s="580" t="s">
        <v>2824</v>
      </c>
      <c r="N166" s="581"/>
      <c r="O166" s="581"/>
      <c r="P166" s="580" t="s">
        <v>4271</v>
      </c>
      <c r="Q166" s="581"/>
      <c r="R166" s="581"/>
      <c r="S166" s="581"/>
      <c r="T166" s="581"/>
    </row>
    <row r="167">
      <c r="A167" s="578" t="s">
        <v>241</v>
      </c>
      <c r="B167" s="577">
        <v>143.0</v>
      </c>
      <c r="C167" s="580" t="s">
        <v>4272</v>
      </c>
      <c r="D167" s="580" t="s">
        <v>4273</v>
      </c>
      <c r="E167" s="580" t="s">
        <v>4274</v>
      </c>
      <c r="F167" s="580" t="s">
        <v>4275</v>
      </c>
      <c r="G167" s="580" t="s">
        <v>4276</v>
      </c>
      <c r="H167" s="580" t="s">
        <v>4277</v>
      </c>
      <c r="I167" s="580" t="s">
        <v>4278</v>
      </c>
      <c r="J167" s="580" t="s">
        <v>4279</v>
      </c>
      <c r="K167" s="580" t="s">
        <v>4280</v>
      </c>
      <c r="L167" s="580" t="s">
        <v>4281</v>
      </c>
      <c r="M167" s="580" t="s">
        <v>2824</v>
      </c>
      <c r="N167" s="585"/>
      <c r="O167" s="585"/>
      <c r="P167" s="585"/>
      <c r="Q167" s="586"/>
      <c r="R167" s="586"/>
      <c r="S167" s="585"/>
      <c r="T167" s="585"/>
      <c r="U167" s="587"/>
      <c r="V167" s="588"/>
      <c r="W167" s="588"/>
      <c r="X167" s="587"/>
      <c r="Y167" s="587"/>
      <c r="Z167" s="588"/>
      <c r="AA167" s="588"/>
      <c r="AB167" s="588"/>
      <c r="AC167" s="584"/>
      <c r="AD167" s="584"/>
      <c r="AE167" s="584"/>
      <c r="AF167" s="584"/>
      <c r="AG167" s="584"/>
      <c r="AH167" s="584"/>
      <c r="AI167" s="584"/>
    </row>
    <row r="168">
      <c r="A168" s="578" t="s">
        <v>241</v>
      </c>
      <c r="B168" s="577">
        <v>142.663528069049</v>
      </c>
      <c r="C168" s="580" t="s">
        <v>4272</v>
      </c>
      <c r="D168" s="580" t="s">
        <v>4273</v>
      </c>
      <c r="E168" s="580" t="s">
        <v>4274</v>
      </c>
      <c r="F168" s="580" t="s">
        <v>4275</v>
      </c>
      <c r="G168" s="580" t="s">
        <v>4276</v>
      </c>
      <c r="H168" s="580" t="s">
        <v>4277</v>
      </c>
      <c r="I168" s="580" t="s">
        <v>4278</v>
      </c>
      <c r="J168" s="580" t="s">
        <v>4279</v>
      </c>
      <c r="K168" s="580" t="s">
        <v>4280</v>
      </c>
      <c r="L168" s="580" t="s">
        <v>4281</v>
      </c>
      <c r="M168" s="580" t="s">
        <v>2824</v>
      </c>
      <c r="N168" s="581"/>
      <c r="O168" s="581"/>
      <c r="P168" s="581"/>
      <c r="Q168" s="581"/>
      <c r="R168" s="581"/>
      <c r="S168" s="581"/>
      <c r="T168" s="581"/>
    </row>
    <row r="169">
      <c r="A169" s="578" t="s">
        <v>241</v>
      </c>
      <c r="B169" s="577">
        <v>142.663528069049</v>
      </c>
      <c r="C169" s="580" t="s">
        <v>4272</v>
      </c>
      <c r="D169" s="580" t="s">
        <v>4273</v>
      </c>
      <c r="E169" s="580" t="s">
        <v>4274</v>
      </c>
      <c r="F169" s="580" t="s">
        <v>4275</v>
      </c>
      <c r="G169" s="580" t="s">
        <v>4276</v>
      </c>
      <c r="H169" s="580" t="s">
        <v>4277</v>
      </c>
      <c r="I169" s="580" t="s">
        <v>4278</v>
      </c>
      <c r="J169" s="580" t="s">
        <v>4279</v>
      </c>
      <c r="K169" s="580" t="s">
        <v>4280</v>
      </c>
      <c r="L169" s="580" t="s">
        <v>4281</v>
      </c>
      <c r="M169" s="580" t="s">
        <v>2824</v>
      </c>
      <c r="N169" s="581"/>
      <c r="O169" s="581"/>
      <c r="P169" s="581"/>
      <c r="Q169" s="581"/>
      <c r="R169" s="581"/>
      <c r="S169" s="581"/>
      <c r="T169" s="581"/>
    </row>
    <row r="170">
      <c r="A170" s="578" t="s">
        <v>241</v>
      </c>
      <c r="B170" s="577">
        <v>142.663528069049</v>
      </c>
      <c r="C170" s="580" t="s">
        <v>4272</v>
      </c>
      <c r="D170" s="580" t="s">
        <v>4273</v>
      </c>
      <c r="E170" s="580" t="s">
        <v>4274</v>
      </c>
      <c r="F170" s="580" t="s">
        <v>4275</v>
      </c>
      <c r="G170" s="580" t="s">
        <v>4276</v>
      </c>
      <c r="H170" s="580" t="s">
        <v>4277</v>
      </c>
      <c r="I170" s="580" t="s">
        <v>4278</v>
      </c>
      <c r="J170" s="580" t="s">
        <v>4279</v>
      </c>
      <c r="K170" s="580" t="s">
        <v>4280</v>
      </c>
      <c r="L170" s="580" t="s">
        <v>4281</v>
      </c>
      <c r="M170" s="580" t="s">
        <v>2824</v>
      </c>
      <c r="N170" s="581"/>
      <c r="O170" s="581"/>
      <c r="P170" s="581"/>
      <c r="Q170" s="581"/>
      <c r="R170" s="581"/>
      <c r="S170" s="581"/>
      <c r="T170" s="581"/>
    </row>
    <row r="171">
      <c r="A171" s="578" t="s">
        <v>4282</v>
      </c>
      <c r="B171" s="577">
        <v>138.952575485986</v>
      </c>
      <c r="C171" s="580" t="s">
        <v>4283</v>
      </c>
      <c r="D171" s="580" t="s">
        <v>4284</v>
      </c>
      <c r="E171" s="580" t="s">
        <v>4285</v>
      </c>
      <c r="F171" s="580" t="s">
        <v>4286</v>
      </c>
      <c r="G171" s="580" t="s">
        <v>4287</v>
      </c>
      <c r="H171" s="580" t="s">
        <v>4288</v>
      </c>
      <c r="I171" s="580" t="s">
        <v>4289</v>
      </c>
      <c r="J171" s="580" t="s">
        <v>4290</v>
      </c>
      <c r="K171" s="580" t="s">
        <v>4291</v>
      </c>
      <c r="L171" s="580" t="s">
        <v>4292</v>
      </c>
      <c r="M171" s="580" t="s">
        <v>2824</v>
      </c>
      <c r="N171" s="581"/>
      <c r="O171" s="581"/>
      <c r="P171" s="581"/>
      <c r="Q171" s="581"/>
      <c r="R171" s="581"/>
      <c r="S171" s="581"/>
      <c r="T171" s="581"/>
    </row>
    <row r="172">
      <c r="A172" s="578" t="s">
        <v>4293</v>
      </c>
      <c r="B172" s="577">
        <v>152.0</v>
      </c>
      <c r="C172" s="580" t="s">
        <v>4294</v>
      </c>
      <c r="D172" s="580" t="s">
        <v>4295</v>
      </c>
      <c r="E172" s="580" t="s">
        <v>4296</v>
      </c>
      <c r="F172" s="580" t="s">
        <v>4297</v>
      </c>
      <c r="G172" s="580" t="s">
        <v>4298</v>
      </c>
      <c r="H172" s="580" t="s">
        <v>4299</v>
      </c>
      <c r="I172" s="580" t="s">
        <v>4300</v>
      </c>
      <c r="J172" s="580" t="s">
        <v>4301</v>
      </c>
      <c r="K172" s="580" t="s">
        <v>4302</v>
      </c>
      <c r="L172" s="580" t="s">
        <v>2875</v>
      </c>
      <c r="M172" s="580" t="s">
        <v>2824</v>
      </c>
      <c r="N172" s="583"/>
      <c r="O172" s="583"/>
      <c r="P172" s="583"/>
      <c r="Q172" s="583"/>
      <c r="R172" s="583"/>
      <c r="S172" s="583"/>
      <c r="T172" s="583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4"/>
      <c r="AH172" s="584"/>
      <c r="AI172" s="584"/>
    </row>
    <row r="173">
      <c r="A173" s="578" t="s">
        <v>2423</v>
      </c>
      <c r="B173" s="577">
        <v>120.984816405541</v>
      </c>
      <c r="C173" s="580" t="s">
        <v>4303</v>
      </c>
      <c r="D173" s="580" t="s">
        <v>3771</v>
      </c>
      <c r="E173" s="580" t="s">
        <v>4304</v>
      </c>
      <c r="F173" s="580" t="s">
        <v>4305</v>
      </c>
      <c r="G173" s="580" t="s">
        <v>4306</v>
      </c>
      <c r="H173" s="580" t="s">
        <v>4307</v>
      </c>
      <c r="I173" s="580" t="s">
        <v>4308</v>
      </c>
      <c r="J173" s="580" t="s">
        <v>4309</v>
      </c>
      <c r="K173" s="580" t="s">
        <v>4310</v>
      </c>
      <c r="L173" s="580" t="s">
        <v>4311</v>
      </c>
      <c r="M173" s="580" t="s">
        <v>2824</v>
      </c>
      <c r="N173" s="581"/>
      <c r="O173" s="581"/>
      <c r="P173" s="580" t="s">
        <v>4312</v>
      </c>
      <c r="Q173" s="581"/>
      <c r="R173" s="581"/>
      <c r="S173" s="580" t="s">
        <v>4313</v>
      </c>
      <c r="T173" s="580" t="s">
        <v>4314</v>
      </c>
    </row>
    <row r="174">
      <c r="A174" s="578" t="s">
        <v>254</v>
      </c>
      <c r="B174" s="577">
        <v>147.544853635505</v>
      </c>
      <c r="C174" s="580" t="s">
        <v>4315</v>
      </c>
      <c r="D174" s="580" t="s">
        <v>4316</v>
      </c>
      <c r="E174" s="580" t="s">
        <v>4317</v>
      </c>
      <c r="F174" s="580" t="s">
        <v>4318</v>
      </c>
      <c r="G174" s="580" t="s">
        <v>4319</v>
      </c>
      <c r="H174" s="580" t="s">
        <v>4320</v>
      </c>
      <c r="I174" s="580" t="s">
        <v>4321</v>
      </c>
      <c r="J174" s="580" t="s">
        <v>4322</v>
      </c>
      <c r="K174" s="580" t="s">
        <v>4323</v>
      </c>
      <c r="L174" s="580" t="s">
        <v>4324</v>
      </c>
      <c r="M174" s="580" t="s">
        <v>2824</v>
      </c>
      <c r="N174" s="581"/>
      <c r="O174" s="581"/>
      <c r="P174" s="581"/>
      <c r="Q174" s="581"/>
      <c r="R174" s="581"/>
      <c r="S174" s="581"/>
      <c r="T174" s="581"/>
    </row>
    <row r="175">
      <c r="A175" s="578" t="s">
        <v>567</v>
      </c>
      <c r="B175" s="577">
        <v>151.818789093338</v>
      </c>
      <c r="C175" s="580" t="s">
        <v>4325</v>
      </c>
      <c r="D175" s="580" t="s">
        <v>4326</v>
      </c>
      <c r="E175" s="580" t="s">
        <v>4327</v>
      </c>
      <c r="F175" s="580" t="s">
        <v>4328</v>
      </c>
      <c r="G175" s="580" t="s">
        <v>4329</v>
      </c>
      <c r="H175" s="580" t="s">
        <v>4330</v>
      </c>
      <c r="I175" s="580" t="s">
        <v>4331</v>
      </c>
      <c r="J175" s="580" t="s">
        <v>4332</v>
      </c>
      <c r="K175" s="580" t="s">
        <v>4333</v>
      </c>
      <c r="L175" s="580" t="s">
        <v>4334</v>
      </c>
      <c r="M175" s="580" t="s">
        <v>2824</v>
      </c>
      <c r="N175" s="581"/>
      <c r="O175" s="581"/>
      <c r="P175" s="580" t="s">
        <v>4335</v>
      </c>
      <c r="Q175" s="580" t="s">
        <v>4336</v>
      </c>
      <c r="R175" s="580" t="s">
        <v>4337</v>
      </c>
      <c r="S175" s="580" t="s">
        <v>4338</v>
      </c>
      <c r="T175" s="580" t="s">
        <v>3979</v>
      </c>
    </row>
    <row r="176">
      <c r="A176" s="578" t="s">
        <v>567</v>
      </c>
      <c r="B176" s="577">
        <v>151.818789093338</v>
      </c>
      <c r="C176" s="580" t="s">
        <v>4325</v>
      </c>
      <c r="D176" s="580" t="s">
        <v>4326</v>
      </c>
      <c r="E176" s="580" t="s">
        <v>4327</v>
      </c>
      <c r="F176" s="580" t="s">
        <v>4328</v>
      </c>
      <c r="G176" s="580" t="s">
        <v>4329</v>
      </c>
      <c r="H176" s="580" t="s">
        <v>4330</v>
      </c>
      <c r="I176" s="580" t="s">
        <v>4331</v>
      </c>
      <c r="J176" s="580" t="s">
        <v>4332</v>
      </c>
      <c r="K176" s="580" t="s">
        <v>4333</v>
      </c>
      <c r="L176" s="580" t="s">
        <v>4334</v>
      </c>
      <c r="M176" s="580" t="s">
        <v>2824</v>
      </c>
      <c r="N176" s="581"/>
      <c r="O176" s="581"/>
      <c r="P176" s="580" t="s">
        <v>4335</v>
      </c>
      <c r="Q176" s="580" t="s">
        <v>4336</v>
      </c>
      <c r="R176" s="580" t="s">
        <v>4337</v>
      </c>
      <c r="S176" s="580" t="s">
        <v>4338</v>
      </c>
      <c r="T176" s="580" t="s">
        <v>3979</v>
      </c>
    </row>
    <row r="177">
      <c r="A177" s="578" t="s">
        <v>567</v>
      </c>
      <c r="B177" s="577">
        <v>151.818789093338</v>
      </c>
      <c r="C177" s="580" t="s">
        <v>4325</v>
      </c>
      <c r="D177" s="580" t="s">
        <v>4326</v>
      </c>
      <c r="E177" s="580" t="s">
        <v>4327</v>
      </c>
      <c r="F177" s="580" t="s">
        <v>4328</v>
      </c>
      <c r="G177" s="580" t="s">
        <v>4329</v>
      </c>
      <c r="H177" s="580" t="s">
        <v>4330</v>
      </c>
      <c r="I177" s="580" t="s">
        <v>4331</v>
      </c>
      <c r="J177" s="580" t="s">
        <v>4332</v>
      </c>
      <c r="K177" s="580" t="s">
        <v>4333</v>
      </c>
      <c r="L177" s="580" t="s">
        <v>4334</v>
      </c>
      <c r="M177" s="580" t="s">
        <v>2824</v>
      </c>
      <c r="N177" s="581"/>
      <c r="O177" s="581"/>
      <c r="P177" s="580" t="s">
        <v>4335</v>
      </c>
      <c r="Q177" s="580" t="s">
        <v>4336</v>
      </c>
      <c r="R177" s="580" t="s">
        <v>4337</v>
      </c>
      <c r="S177" s="580" t="s">
        <v>4338</v>
      </c>
      <c r="T177" s="580" t="s">
        <v>3979</v>
      </c>
    </row>
    <row r="178">
      <c r="A178" s="578" t="s">
        <v>627</v>
      </c>
      <c r="B178" s="577">
        <v>190.16106642326</v>
      </c>
      <c r="C178" s="580" t="s">
        <v>4339</v>
      </c>
      <c r="D178" s="580" t="s">
        <v>4340</v>
      </c>
      <c r="E178" s="580" t="s">
        <v>4341</v>
      </c>
      <c r="F178" s="580" t="s">
        <v>4342</v>
      </c>
      <c r="G178" s="580" t="s">
        <v>4343</v>
      </c>
      <c r="H178" s="580" t="s">
        <v>4344</v>
      </c>
      <c r="I178" s="580" t="s">
        <v>4345</v>
      </c>
      <c r="J178" s="580" t="s">
        <v>3072</v>
      </c>
      <c r="K178" s="580" t="s">
        <v>4346</v>
      </c>
      <c r="L178" s="580" t="s">
        <v>4347</v>
      </c>
      <c r="M178" s="580" t="s">
        <v>2824</v>
      </c>
      <c r="N178" s="581"/>
      <c r="O178" s="581"/>
      <c r="P178" s="581"/>
      <c r="Q178" s="581"/>
      <c r="R178" s="581"/>
      <c r="S178" s="581"/>
      <c r="T178" s="581"/>
    </row>
    <row r="179">
      <c r="A179" s="578" t="s">
        <v>666</v>
      </c>
      <c r="B179" s="577">
        <v>187.136253906469</v>
      </c>
      <c r="C179" s="580" t="s">
        <v>4348</v>
      </c>
      <c r="D179" s="580" t="s">
        <v>4349</v>
      </c>
      <c r="E179" s="580" t="s">
        <v>4350</v>
      </c>
      <c r="F179" s="580" t="s">
        <v>3981</v>
      </c>
      <c r="G179" s="580" t="s">
        <v>4351</v>
      </c>
      <c r="H179" s="580" t="s">
        <v>4352</v>
      </c>
      <c r="I179" s="580" t="s">
        <v>4353</v>
      </c>
      <c r="J179" s="580" t="s">
        <v>2959</v>
      </c>
      <c r="K179" s="580" t="s">
        <v>4354</v>
      </c>
      <c r="L179" s="580" t="s">
        <v>4217</v>
      </c>
      <c r="M179" s="580" t="s">
        <v>2824</v>
      </c>
      <c r="N179" s="581"/>
      <c r="O179" s="581"/>
      <c r="P179" s="581"/>
      <c r="Q179" s="581"/>
      <c r="R179" s="581"/>
      <c r="S179" s="581"/>
      <c r="T179" s="581"/>
    </row>
    <row r="180">
      <c r="A180" s="578" t="s">
        <v>1520</v>
      </c>
      <c r="B180" s="577">
        <v>158.71000507872</v>
      </c>
      <c r="C180" s="580" t="s">
        <v>4355</v>
      </c>
      <c r="D180" s="580" t="s">
        <v>4356</v>
      </c>
      <c r="E180" s="580" t="s">
        <v>4357</v>
      </c>
      <c r="F180" s="580" t="s">
        <v>4358</v>
      </c>
      <c r="G180" s="580" t="s">
        <v>4359</v>
      </c>
      <c r="H180" s="580" t="s">
        <v>4330</v>
      </c>
      <c r="I180" s="580" t="s">
        <v>4360</v>
      </c>
      <c r="J180" s="580" t="s">
        <v>4189</v>
      </c>
      <c r="K180" s="580" t="s">
        <v>4361</v>
      </c>
      <c r="L180" s="580" t="s">
        <v>4006</v>
      </c>
      <c r="M180" s="580" t="s">
        <v>2824</v>
      </c>
      <c r="N180" s="581"/>
      <c r="O180" s="581"/>
      <c r="P180" s="580" t="s">
        <v>4362</v>
      </c>
      <c r="Q180" s="580" t="s">
        <v>4363</v>
      </c>
      <c r="R180" s="580" t="s">
        <v>4364</v>
      </c>
      <c r="S180" s="580" t="s">
        <v>4365</v>
      </c>
      <c r="T180" s="580" t="s">
        <v>2967</v>
      </c>
    </row>
    <row r="181">
      <c r="A181" s="578" t="s">
        <v>2449</v>
      </c>
      <c r="B181" s="577">
        <v>413.018338014207</v>
      </c>
      <c r="C181" s="580" t="s">
        <v>4366</v>
      </c>
      <c r="D181" s="580" t="s">
        <v>4367</v>
      </c>
      <c r="E181" s="580" t="s">
        <v>4368</v>
      </c>
      <c r="F181" s="580" t="s">
        <v>4369</v>
      </c>
      <c r="G181" s="580" t="s">
        <v>4370</v>
      </c>
      <c r="H181" s="580" t="s">
        <v>4371</v>
      </c>
      <c r="I181" s="580" t="s">
        <v>4072</v>
      </c>
      <c r="J181" s="580" t="s">
        <v>4372</v>
      </c>
      <c r="K181" s="580" t="s">
        <v>4373</v>
      </c>
      <c r="L181" s="580" t="s">
        <v>4374</v>
      </c>
      <c r="M181" s="580" t="s">
        <v>2824</v>
      </c>
      <c r="N181" s="581"/>
      <c r="O181" s="581"/>
      <c r="P181" s="581"/>
      <c r="Q181" s="581"/>
      <c r="R181" s="581"/>
      <c r="S181" s="581"/>
      <c r="T181" s="581"/>
    </row>
    <row r="182">
      <c r="A182" s="578" t="s">
        <v>285</v>
      </c>
      <c r="B182" s="577">
        <v>321.32643552585</v>
      </c>
      <c r="C182" s="580" t="s">
        <v>4375</v>
      </c>
      <c r="D182" s="580" t="s">
        <v>4376</v>
      </c>
      <c r="E182" s="580" t="s">
        <v>4377</v>
      </c>
      <c r="F182" s="580" t="s">
        <v>4378</v>
      </c>
      <c r="G182" s="580" t="s">
        <v>4379</v>
      </c>
      <c r="H182" s="580" t="s">
        <v>4380</v>
      </c>
      <c r="I182" s="580" t="s">
        <v>4381</v>
      </c>
      <c r="J182" s="580" t="s">
        <v>4382</v>
      </c>
      <c r="K182" s="580" t="s">
        <v>4383</v>
      </c>
      <c r="L182" s="580" t="s">
        <v>4384</v>
      </c>
      <c r="M182" s="580" t="s">
        <v>2824</v>
      </c>
      <c r="N182" s="581"/>
      <c r="O182" s="581"/>
      <c r="P182" s="581"/>
      <c r="Q182" s="581"/>
      <c r="R182" s="581"/>
      <c r="S182" s="581"/>
      <c r="T182" s="581"/>
    </row>
    <row r="183">
      <c r="A183" s="578" t="s">
        <v>233</v>
      </c>
      <c r="B183" s="577">
        <v>234.94032515741</v>
      </c>
      <c r="C183" s="580" t="s">
        <v>4385</v>
      </c>
      <c r="D183" s="580" t="s">
        <v>3931</v>
      </c>
      <c r="E183" s="580" t="s">
        <v>4386</v>
      </c>
      <c r="F183" s="580" t="s">
        <v>4387</v>
      </c>
      <c r="G183" s="580" t="s">
        <v>4388</v>
      </c>
      <c r="H183" s="580" t="s">
        <v>4389</v>
      </c>
      <c r="I183" s="580" t="s">
        <v>4390</v>
      </c>
      <c r="J183" s="580" t="s">
        <v>4391</v>
      </c>
      <c r="K183" s="580" t="s">
        <v>4392</v>
      </c>
      <c r="L183" s="580" t="s">
        <v>4393</v>
      </c>
      <c r="M183" s="580" t="s">
        <v>2824</v>
      </c>
      <c r="N183" s="581"/>
      <c r="O183" s="581"/>
      <c r="P183" s="581"/>
      <c r="Q183" s="581"/>
      <c r="R183" s="581"/>
      <c r="S183" s="581"/>
      <c r="T183" s="581"/>
    </row>
    <row r="184">
      <c r="A184" s="578" t="s">
        <v>696</v>
      </c>
      <c r="B184" s="577">
        <v>248.651067956336</v>
      </c>
      <c r="C184" s="580" t="s">
        <v>4394</v>
      </c>
      <c r="D184" s="580" t="s">
        <v>4395</v>
      </c>
      <c r="E184" s="580" t="s">
        <v>4396</v>
      </c>
      <c r="F184" s="580" t="s">
        <v>4397</v>
      </c>
      <c r="G184" s="580" t="s">
        <v>4398</v>
      </c>
      <c r="H184" s="580" t="s">
        <v>4399</v>
      </c>
      <c r="I184" s="580" t="s">
        <v>4400</v>
      </c>
      <c r="J184" s="580" t="s">
        <v>4401</v>
      </c>
      <c r="K184" s="580" t="s">
        <v>4402</v>
      </c>
      <c r="L184" s="580" t="s">
        <v>4403</v>
      </c>
      <c r="M184" s="580" t="s">
        <v>2824</v>
      </c>
      <c r="N184" s="581"/>
      <c r="O184" s="581"/>
      <c r="P184" s="581"/>
      <c r="Q184" s="581"/>
      <c r="R184" s="581"/>
      <c r="S184" s="581"/>
      <c r="T184" s="581"/>
    </row>
    <row r="185">
      <c r="A185" s="578" t="s">
        <v>263</v>
      </c>
      <c r="B185" s="582"/>
      <c r="C185" s="580" t="s">
        <v>4404</v>
      </c>
      <c r="D185" s="580" t="s">
        <v>4405</v>
      </c>
      <c r="E185" s="580" t="s">
        <v>4406</v>
      </c>
      <c r="F185" s="580" t="s">
        <v>4407</v>
      </c>
      <c r="G185" s="581"/>
      <c r="H185" s="581"/>
      <c r="I185" s="581"/>
      <c r="J185" s="581"/>
      <c r="K185" s="581"/>
      <c r="L185" s="581"/>
      <c r="M185" s="580" t="s">
        <v>2824</v>
      </c>
      <c r="N185" s="581"/>
      <c r="O185" s="581"/>
      <c r="P185" s="581"/>
      <c r="Q185" s="581"/>
      <c r="R185" s="581"/>
      <c r="S185" s="581"/>
      <c r="T185" s="581"/>
    </row>
    <row r="186">
      <c r="A186" s="578" t="s">
        <v>263</v>
      </c>
      <c r="B186" s="577"/>
      <c r="C186" s="580" t="s">
        <v>4404</v>
      </c>
      <c r="D186" s="580" t="s">
        <v>4405</v>
      </c>
      <c r="E186" s="580" t="s">
        <v>4406</v>
      </c>
      <c r="F186" s="580" t="s">
        <v>4407</v>
      </c>
      <c r="G186" s="578"/>
      <c r="H186" s="578"/>
      <c r="I186" s="578"/>
      <c r="J186" s="578"/>
      <c r="K186" s="578"/>
      <c r="L186" s="578"/>
      <c r="M186" s="580" t="s">
        <v>2824</v>
      </c>
      <c r="N186" s="578"/>
      <c r="O186" s="578"/>
      <c r="P186" s="578"/>
      <c r="Q186" s="578"/>
      <c r="R186" s="578"/>
      <c r="S186" s="578"/>
      <c r="T186" s="578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</row>
    <row r="187">
      <c r="A187" s="578" t="s">
        <v>246</v>
      </c>
      <c r="B187" s="577">
        <v>417.955362367299</v>
      </c>
      <c r="C187" s="580" t="s">
        <v>4408</v>
      </c>
      <c r="D187" s="580" t="s">
        <v>4409</v>
      </c>
      <c r="E187" s="580" t="s">
        <v>4410</v>
      </c>
      <c r="F187" s="580" t="s">
        <v>4411</v>
      </c>
      <c r="G187" s="580" t="s">
        <v>4412</v>
      </c>
      <c r="H187" s="580" t="s">
        <v>4413</v>
      </c>
      <c r="I187" s="580" t="s">
        <v>4414</v>
      </c>
      <c r="J187" s="580" t="s">
        <v>4415</v>
      </c>
      <c r="K187" s="580" t="s">
        <v>4416</v>
      </c>
      <c r="L187" s="580" t="s">
        <v>4417</v>
      </c>
      <c r="M187" s="580" t="s">
        <v>2824</v>
      </c>
      <c r="N187" s="581"/>
      <c r="O187" s="581"/>
      <c r="P187" s="581"/>
      <c r="Q187" s="581"/>
      <c r="R187" s="581"/>
      <c r="S187" s="581"/>
      <c r="T187" s="581"/>
    </row>
    <row r="188">
      <c r="A188" s="578" t="s">
        <v>246</v>
      </c>
      <c r="B188" s="577">
        <v>417.955362367299</v>
      </c>
      <c r="C188" s="580" t="s">
        <v>4408</v>
      </c>
      <c r="D188" s="580" t="s">
        <v>4409</v>
      </c>
      <c r="E188" s="580" t="s">
        <v>4410</v>
      </c>
      <c r="F188" s="580" t="s">
        <v>4411</v>
      </c>
      <c r="G188" s="580" t="s">
        <v>4412</v>
      </c>
      <c r="H188" s="580" t="s">
        <v>4413</v>
      </c>
      <c r="I188" s="580" t="s">
        <v>4414</v>
      </c>
      <c r="J188" s="580" t="s">
        <v>4415</v>
      </c>
      <c r="K188" s="580" t="s">
        <v>4416</v>
      </c>
      <c r="L188" s="580" t="s">
        <v>4417</v>
      </c>
      <c r="M188" s="580" t="s">
        <v>2824</v>
      </c>
      <c r="N188" s="581"/>
      <c r="O188" s="581"/>
      <c r="P188" s="581"/>
      <c r="Q188" s="581"/>
      <c r="R188" s="581"/>
      <c r="S188" s="581"/>
      <c r="T188" s="581"/>
    </row>
    <row r="189">
      <c r="A189" s="578" t="s">
        <v>1566</v>
      </c>
      <c r="B189" s="577">
        <v>193.240449090803</v>
      </c>
      <c r="C189" s="580" t="s">
        <v>4418</v>
      </c>
      <c r="D189" s="580" t="s">
        <v>4419</v>
      </c>
      <c r="E189" s="580" t="s">
        <v>4420</v>
      </c>
      <c r="F189" s="580" t="s">
        <v>4419</v>
      </c>
      <c r="G189" s="580" t="s">
        <v>4421</v>
      </c>
      <c r="H189" s="580" t="s">
        <v>4422</v>
      </c>
      <c r="I189" s="580" t="s">
        <v>4423</v>
      </c>
      <c r="J189" s="580" t="s">
        <v>4424</v>
      </c>
      <c r="K189" s="580" t="s">
        <v>4425</v>
      </c>
      <c r="L189" s="580" t="s">
        <v>3572</v>
      </c>
      <c r="M189" s="580" t="s">
        <v>2824</v>
      </c>
      <c r="N189" s="581"/>
      <c r="O189" s="581"/>
      <c r="P189" s="580" t="s">
        <v>4426</v>
      </c>
      <c r="Q189" s="581"/>
      <c r="R189" s="581"/>
      <c r="S189" s="580" t="s">
        <v>4427</v>
      </c>
      <c r="T189" s="580" t="s">
        <v>3628</v>
      </c>
    </row>
    <row r="190">
      <c r="A190" s="578" t="s">
        <v>435</v>
      </c>
      <c r="B190" s="577">
        <v>128.880926911626</v>
      </c>
      <c r="C190" s="580" t="s">
        <v>4428</v>
      </c>
      <c r="D190" s="580" t="s">
        <v>4429</v>
      </c>
      <c r="E190" s="580" t="s">
        <v>4430</v>
      </c>
      <c r="F190" s="580" t="s">
        <v>4431</v>
      </c>
      <c r="G190" s="580" t="s">
        <v>4432</v>
      </c>
      <c r="H190" s="580" t="s">
        <v>4433</v>
      </c>
      <c r="I190" s="580" t="s">
        <v>4434</v>
      </c>
      <c r="J190" s="580" t="s">
        <v>4061</v>
      </c>
      <c r="K190" s="580" t="s">
        <v>4435</v>
      </c>
      <c r="L190" s="580" t="s">
        <v>4006</v>
      </c>
      <c r="M190" s="580" t="s">
        <v>2838</v>
      </c>
      <c r="N190" s="581"/>
      <c r="O190" s="581"/>
      <c r="P190" s="580" t="s">
        <v>4436</v>
      </c>
      <c r="Q190" s="581"/>
      <c r="R190" s="581"/>
      <c r="S190" s="580" t="s">
        <v>4437</v>
      </c>
      <c r="T190" s="580" t="s">
        <v>4438</v>
      </c>
    </row>
    <row r="191">
      <c r="A191" s="578" t="s">
        <v>412</v>
      </c>
      <c r="B191" s="577">
        <v>127.369064601589</v>
      </c>
      <c r="C191" s="580" t="s">
        <v>4439</v>
      </c>
      <c r="D191" s="580" t="s">
        <v>4440</v>
      </c>
      <c r="E191" s="580" t="s">
        <v>4441</v>
      </c>
      <c r="F191" s="580" t="s">
        <v>4442</v>
      </c>
      <c r="G191" s="580" t="s">
        <v>4443</v>
      </c>
      <c r="H191" s="580" t="s">
        <v>4444</v>
      </c>
      <c r="I191" s="580" t="s">
        <v>4445</v>
      </c>
      <c r="J191" s="580" t="s">
        <v>4446</v>
      </c>
      <c r="K191" s="580" t="s">
        <v>4447</v>
      </c>
      <c r="L191" s="580" t="s">
        <v>4171</v>
      </c>
      <c r="M191" s="580" t="s">
        <v>2838</v>
      </c>
      <c r="N191" s="581"/>
      <c r="O191" s="581"/>
      <c r="P191" s="580" t="s">
        <v>4448</v>
      </c>
      <c r="Q191" s="580" t="s">
        <v>4449</v>
      </c>
      <c r="R191" s="580" t="s">
        <v>4450</v>
      </c>
      <c r="S191" s="580" t="s">
        <v>4451</v>
      </c>
      <c r="T191" s="580" t="s">
        <v>4452</v>
      </c>
    </row>
    <row r="192">
      <c r="A192" s="578" t="s">
        <v>230</v>
      </c>
      <c r="B192" s="577">
        <v>137.0</v>
      </c>
      <c r="C192" s="580" t="s">
        <v>4453</v>
      </c>
      <c r="D192" s="580" t="s">
        <v>3384</v>
      </c>
      <c r="E192" s="580" t="s">
        <v>4454</v>
      </c>
      <c r="F192" s="580" t="s">
        <v>3010</v>
      </c>
      <c r="G192" s="580" t="s">
        <v>4455</v>
      </c>
      <c r="H192" s="580" t="s">
        <v>4456</v>
      </c>
      <c r="I192" s="580" t="s">
        <v>4457</v>
      </c>
      <c r="J192" s="580" t="s">
        <v>4458</v>
      </c>
      <c r="K192" s="580" t="s">
        <v>4459</v>
      </c>
      <c r="L192" s="580" t="s">
        <v>4460</v>
      </c>
      <c r="M192" s="580" t="s">
        <v>2824</v>
      </c>
      <c r="N192" s="585"/>
      <c r="O192" s="585"/>
      <c r="P192" s="585"/>
      <c r="Q192" s="586"/>
      <c r="R192" s="586"/>
      <c r="S192" s="585"/>
      <c r="T192" s="585"/>
      <c r="U192" s="587"/>
      <c r="V192" s="588"/>
      <c r="W192" s="588"/>
      <c r="X192" s="587"/>
      <c r="Y192" s="587"/>
      <c r="Z192" s="588"/>
      <c r="AA192" s="588"/>
      <c r="AB192" s="588"/>
      <c r="AC192" s="584"/>
      <c r="AD192" s="584"/>
      <c r="AE192" s="588"/>
      <c r="AF192" s="584"/>
      <c r="AG192" s="584"/>
      <c r="AH192" s="584"/>
      <c r="AI192" s="584"/>
    </row>
    <row r="193">
      <c r="A193" s="578" t="s">
        <v>230</v>
      </c>
      <c r="B193" s="577">
        <v>137.149753816191</v>
      </c>
      <c r="C193" s="580" t="s">
        <v>4453</v>
      </c>
      <c r="D193" s="580" t="s">
        <v>3384</v>
      </c>
      <c r="E193" s="580" t="s">
        <v>4454</v>
      </c>
      <c r="F193" s="580" t="s">
        <v>3010</v>
      </c>
      <c r="G193" s="580" t="s">
        <v>4455</v>
      </c>
      <c r="H193" s="580" t="s">
        <v>4456</v>
      </c>
      <c r="I193" s="580" t="s">
        <v>4457</v>
      </c>
      <c r="J193" s="580" t="s">
        <v>4458</v>
      </c>
      <c r="K193" s="580" t="s">
        <v>4459</v>
      </c>
      <c r="L193" s="580" t="s">
        <v>4460</v>
      </c>
      <c r="M193" s="580" t="s">
        <v>2824</v>
      </c>
      <c r="N193" s="581"/>
      <c r="O193" s="581"/>
      <c r="P193" s="581"/>
      <c r="Q193" s="581"/>
      <c r="R193" s="581"/>
      <c r="S193" s="581"/>
      <c r="T193" s="581"/>
    </row>
    <row r="194">
      <c r="A194" s="578" t="s">
        <v>418</v>
      </c>
      <c r="B194" s="577">
        <v>124.354908910029</v>
      </c>
      <c r="C194" s="580" t="s">
        <v>4461</v>
      </c>
      <c r="D194" s="580" t="s">
        <v>4462</v>
      </c>
      <c r="E194" s="580" t="s">
        <v>4463</v>
      </c>
      <c r="F194" s="580" t="s">
        <v>4464</v>
      </c>
      <c r="G194" s="580" t="s">
        <v>4465</v>
      </c>
      <c r="H194" s="580" t="s">
        <v>4466</v>
      </c>
      <c r="I194" s="580" t="s">
        <v>4467</v>
      </c>
      <c r="J194" s="580" t="s">
        <v>4468</v>
      </c>
      <c r="K194" s="580" t="s">
        <v>4469</v>
      </c>
      <c r="L194" s="580" t="s">
        <v>4470</v>
      </c>
      <c r="M194" s="580" t="s">
        <v>2824</v>
      </c>
      <c r="N194" s="581"/>
      <c r="O194" s="581"/>
      <c r="P194" s="580" t="s">
        <v>4471</v>
      </c>
      <c r="Q194" s="581"/>
      <c r="R194" s="581"/>
      <c r="S194" s="580" t="s">
        <v>4472</v>
      </c>
      <c r="T194" s="580" t="s">
        <v>4473</v>
      </c>
    </row>
    <row r="195">
      <c r="A195" s="578" t="s">
        <v>436</v>
      </c>
      <c r="B195" s="577">
        <v>128.518185323223</v>
      </c>
      <c r="C195" s="580" t="s">
        <v>4474</v>
      </c>
      <c r="D195" s="580" t="s">
        <v>3388</v>
      </c>
      <c r="E195" s="580" t="s">
        <v>4475</v>
      </c>
      <c r="F195" s="580" t="s">
        <v>4476</v>
      </c>
      <c r="G195" s="580" t="s">
        <v>4477</v>
      </c>
      <c r="H195" s="580" t="s">
        <v>4228</v>
      </c>
      <c r="I195" s="580" t="s">
        <v>4478</v>
      </c>
      <c r="J195" s="580" t="s">
        <v>4479</v>
      </c>
      <c r="K195" s="580" t="s">
        <v>4480</v>
      </c>
      <c r="L195" s="580" t="s">
        <v>4481</v>
      </c>
      <c r="M195" s="580" t="s">
        <v>2824</v>
      </c>
      <c r="N195" s="581"/>
      <c r="O195" s="581"/>
      <c r="P195" s="580" t="s">
        <v>4482</v>
      </c>
      <c r="Q195" s="581"/>
      <c r="R195" s="581"/>
      <c r="S195" s="580" t="s">
        <v>2852</v>
      </c>
      <c r="T195" s="580" t="s">
        <v>3007</v>
      </c>
    </row>
    <row r="196">
      <c r="A196" s="578" t="s">
        <v>431</v>
      </c>
      <c r="B196" s="577">
        <v>128.219922811606</v>
      </c>
      <c r="C196" s="580" t="s">
        <v>4483</v>
      </c>
      <c r="D196" s="580" t="s">
        <v>4484</v>
      </c>
      <c r="E196" s="580" t="s">
        <v>4485</v>
      </c>
      <c r="F196" s="580" t="s">
        <v>4486</v>
      </c>
      <c r="G196" s="580" t="s">
        <v>4487</v>
      </c>
      <c r="H196" s="580" t="s">
        <v>4134</v>
      </c>
      <c r="I196" s="580" t="s">
        <v>4488</v>
      </c>
      <c r="J196" s="580" t="s">
        <v>4489</v>
      </c>
      <c r="K196" s="580" t="s">
        <v>4490</v>
      </c>
      <c r="L196" s="580" t="s">
        <v>4491</v>
      </c>
      <c r="M196" s="580" t="s">
        <v>2824</v>
      </c>
      <c r="N196" s="581"/>
      <c r="O196" s="581"/>
      <c r="P196" s="580" t="s">
        <v>4492</v>
      </c>
      <c r="Q196" s="580" t="s">
        <v>4493</v>
      </c>
      <c r="R196" s="580" t="s">
        <v>4494</v>
      </c>
      <c r="S196" s="580" t="s">
        <v>4495</v>
      </c>
      <c r="T196" s="580" t="s">
        <v>4496</v>
      </c>
    </row>
    <row r="197">
      <c r="A197" s="578" t="s">
        <v>426</v>
      </c>
      <c r="B197" s="577">
        <v>139.380592646279</v>
      </c>
      <c r="C197" s="580" t="s">
        <v>4497</v>
      </c>
      <c r="D197" s="580" t="s">
        <v>4498</v>
      </c>
      <c r="E197" s="580" t="s">
        <v>4499</v>
      </c>
      <c r="F197" s="580" t="s">
        <v>4500</v>
      </c>
      <c r="G197" s="580" t="s">
        <v>4501</v>
      </c>
      <c r="H197" s="580" t="s">
        <v>4502</v>
      </c>
      <c r="I197" s="580" t="s">
        <v>4503</v>
      </c>
      <c r="J197" s="580" t="s">
        <v>4262</v>
      </c>
      <c r="K197" s="580" t="s">
        <v>4504</v>
      </c>
      <c r="L197" s="580" t="s">
        <v>4505</v>
      </c>
      <c r="M197" s="580" t="s">
        <v>2824</v>
      </c>
      <c r="N197" s="581"/>
      <c r="O197" s="581"/>
      <c r="P197" s="580" t="s">
        <v>4506</v>
      </c>
      <c r="Q197" s="581"/>
      <c r="R197" s="581"/>
      <c r="S197" s="580" t="s">
        <v>4507</v>
      </c>
      <c r="T197" s="580" t="s">
        <v>4508</v>
      </c>
    </row>
    <row r="198">
      <c r="A198" s="578" t="s">
        <v>437</v>
      </c>
      <c r="B198" s="577">
        <v>197.448959443983</v>
      </c>
      <c r="C198" s="580" t="s">
        <v>4509</v>
      </c>
      <c r="D198" s="580" t="s">
        <v>3771</v>
      </c>
      <c r="E198" s="580" t="s">
        <v>4510</v>
      </c>
      <c r="F198" s="580" t="s">
        <v>4511</v>
      </c>
      <c r="G198" s="580" t="s">
        <v>4512</v>
      </c>
      <c r="H198" s="580" t="s">
        <v>4513</v>
      </c>
      <c r="I198" s="580" t="s">
        <v>4514</v>
      </c>
      <c r="J198" s="580" t="s">
        <v>4515</v>
      </c>
      <c r="K198" s="580" t="s">
        <v>4516</v>
      </c>
      <c r="L198" s="580" t="s">
        <v>4517</v>
      </c>
      <c r="M198" s="580" t="s">
        <v>2838</v>
      </c>
      <c r="N198" s="581"/>
      <c r="O198" s="581"/>
      <c r="P198" s="580" t="s">
        <v>4518</v>
      </c>
      <c r="Q198" s="580" t="s">
        <v>4519</v>
      </c>
      <c r="R198" s="580" t="s">
        <v>4520</v>
      </c>
      <c r="S198" s="580" t="s">
        <v>3496</v>
      </c>
      <c r="T198" s="580" t="s">
        <v>4521</v>
      </c>
    </row>
    <row r="199">
      <c r="A199" s="578" t="s">
        <v>462</v>
      </c>
      <c r="B199" s="577">
        <v>159.071025212757</v>
      </c>
      <c r="C199" s="580" t="s">
        <v>4522</v>
      </c>
      <c r="D199" s="580" t="s">
        <v>4523</v>
      </c>
      <c r="E199" s="580" t="s">
        <v>4524</v>
      </c>
      <c r="F199" s="580" t="s">
        <v>4525</v>
      </c>
      <c r="G199" s="580" t="s">
        <v>4526</v>
      </c>
      <c r="H199" s="580" t="s">
        <v>4527</v>
      </c>
      <c r="I199" s="580" t="s">
        <v>4528</v>
      </c>
      <c r="J199" s="580" t="s">
        <v>3258</v>
      </c>
      <c r="K199" s="580" t="s">
        <v>4529</v>
      </c>
      <c r="L199" s="580" t="s">
        <v>4530</v>
      </c>
      <c r="M199" s="580" t="s">
        <v>2824</v>
      </c>
      <c r="N199" s="581"/>
      <c r="O199" s="581"/>
      <c r="P199" s="580" t="s">
        <v>4531</v>
      </c>
      <c r="Q199" s="581"/>
      <c r="R199" s="581"/>
      <c r="S199" s="580" t="s">
        <v>4532</v>
      </c>
      <c r="T199" s="580" t="s">
        <v>4533</v>
      </c>
    </row>
    <row r="200">
      <c r="A200" s="578" t="s">
        <v>4534</v>
      </c>
      <c r="B200" s="577">
        <v>114.424331189784</v>
      </c>
      <c r="C200" s="580" t="s">
        <v>4535</v>
      </c>
      <c r="D200" s="580" t="s">
        <v>4017</v>
      </c>
      <c r="E200" s="580" t="s">
        <v>4536</v>
      </c>
      <c r="F200" s="580" t="s">
        <v>2977</v>
      </c>
      <c r="G200" s="580" t="s">
        <v>4537</v>
      </c>
      <c r="H200" s="580" t="s">
        <v>4538</v>
      </c>
      <c r="I200" s="580" t="s">
        <v>4539</v>
      </c>
      <c r="J200" s="580" t="s">
        <v>4540</v>
      </c>
      <c r="K200" s="580" t="s">
        <v>4541</v>
      </c>
      <c r="L200" s="580" t="s">
        <v>3996</v>
      </c>
      <c r="M200" s="580" t="s">
        <v>2824</v>
      </c>
      <c r="N200" s="581"/>
      <c r="O200" s="581"/>
      <c r="P200" s="580" t="s">
        <v>4542</v>
      </c>
      <c r="Q200" s="581"/>
      <c r="R200" s="581"/>
      <c r="S200" s="581"/>
      <c r="T200" s="581"/>
    </row>
    <row r="201">
      <c r="A201" s="578" t="s">
        <v>4534</v>
      </c>
      <c r="B201" s="577">
        <v>114.424331189784</v>
      </c>
      <c r="C201" s="580" t="s">
        <v>4535</v>
      </c>
      <c r="D201" s="580" t="s">
        <v>4017</v>
      </c>
      <c r="E201" s="580" t="s">
        <v>4536</v>
      </c>
      <c r="F201" s="580" t="s">
        <v>2977</v>
      </c>
      <c r="G201" s="580" t="s">
        <v>4537</v>
      </c>
      <c r="H201" s="580" t="s">
        <v>4538</v>
      </c>
      <c r="I201" s="580" t="s">
        <v>4539</v>
      </c>
      <c r="J201" s="580" t="s">
        <v>4540</v>
      </c>
      <c r="K201" s="580" t="s">
        <v>4541</v>
      </c>
      <c r="L201" s="580" t="s">
        <v>3996</v>
      </c>
      <c r="M201" s="580" t="s">
        <v>2824</v>
      </c>
      <c r="N201" s="581"/>
      <c r="O201" s="581"/>
      <c r="P201" s="580" t="s">
        <v>4542</v>
      </c>
      <c r="Q201" s="581"/>
      <c r="R201" s="581"/>
      <c r="S201" s="581"/>
      <c r="T201" s="581"/>
    </row>
    <row r="202">
      <c r="A202" s="578" t="s">
        <v>1719</v>
      </c>
      <c r="B202" s="577">
        <v>370.713623725671</v>
      </c>
      <c r="C202" s="580" t="s">
        <v>4543</v>
      </c>
      <c r="D202" s="580" t="s">
        <v>4544</v>
      </c>
      <c r="E202" s="580" t="s">
        <v>4545</v>
      </c>
      <c r="F202" s="580" t="s">
        <v>4546</v>
      </c>
      <c r="G202" s="580" t="s">
        <v>4547</v>
      </c>
      <c r="H202" s="580" t="s">
        <v>4548</v>
      </c>
      <c r="I202" s="580" t="s">
        <v>4549</v>
      </c>
      <c r="J202" s="580" t="s">
        <v>3138</v>
      </c>
      <c r="K202" s="580" t="s">
        <v>4550</v>
      </c>
      <c r="L202" s="580" t="s">
        <v>4551</v>
      </c>
      <c r="M202" s="580" t="s">
        <v>2824</v>
      </c>
      <c r="N202" s="581"/>
      <c r="O202" s="581"/>
      <c r="P202" s="580" t="s">
        <v>4552</v>
      </c>
      <c r="Q202" s="581"/>
      <c r="R202" s="581"/>
      <c r="S202" s="581"/>
      <c r="T202" s="581"/>
    </row>
    <row r="203">
      <c r="A203" s="578" t="s">
        <v>4553</v>
      </c>
      <c r="B203" s="577">
        <v>108.837614279494</v>
      </c>
      <c r="C203" s="580" t="s">
        <v>4554</v>
      </c>
      <c r="D203" s="580" t="s">
        <v>4555</v>
      </c>
      <c r="E203" s="580" t="s">
        <v>4556</v>
      </c>
      <c r="F203" s="580" t="s">
        <v>4557</v>
      </c>
      <c r="G203" s="580" t="s">
        <v>4558</v>
      </c>
      <c r="H203" s="580" t="s">
        <v>3715</v>
      </c>
      <c r="I203" s="580" t="s">
        <v>4559</v>
      </c>
      <c r="J203" s="580" t="s">
        <v>3606</v>
      </c>
      <c r="K203" s="580" t="s">
        <v>4560</v>
      </c>
      <c r="L203" s="580" t="s">
        <v>3272</v>
      </c>
      <c r="M203" s="580" t="s">
        <v>2824</v>
      </c>
      <c r="N203" s="580" t="s">
        <v>4561</v>
      </c>
      <c r="O203" s="580" t="s">
        <v>4562</v>
      </c>
      <c r="P203" s="580" t="s">
        <v>4563</v>
      </c>
      <c r="Q203" s="580" t="s">
        <v>4564</v>
      </c>
      <c r="R203" s="580" t="s">
        <v>4565</v>
      </c>
      <c r="S203" s="580" t="s">
        <v>4314</v>
      </c>
      <c r="T203" s="580" t="s">
        <v>3222</v>
      </c>
    </row>
    <row r="204">
      <c r="A204" s="578" t="s">
        <v>4553</v>
      </c>
      <c r="B204" s="577">
        <v>108.837614279494</v>
      </c>
      <c r="C204" s="580" t="s">
        <v>4554</v>
      </c>
      <c r="D204" s="580" t="s">
        <v>4555</v>
      </c>
      <c r="E204" s="580" t="s">
        <v>4556</v>
      </c>
      <c r="F204" s="580" t="s">
        <v>4557</v>
      </c>
      <c r="G204" s="580" t="s">
        <v>4558</v>
      </c>
      <c r="H204" s="580" t="s">
        <v>3715</v>
      </c>
      <c r="I204" s="580" t="s">
        <v>4559</v>
      </c>
      <c r="J204" s="580" t="s">
        <v>3606</v>
      </c>
      <c r="K204" s="580" t="s">
        <v>4560</v>
      </c>
      <c r="L204" s="580" t="s">
        <v>3272</v>
      </c>
      <c r="M204" s="580" t="s">
        <v>2824</v>
      </c>
      <c r="N204" s="580" t="s">
        <v>4561</v>
      </c>
      <c r="O204" s="580" t="s">
        <v>4562</v>
      </c>
      <c r="P204" s="580" t="s">
        <v>4563</v>
      </c>
      <c r="Q204" s="580" t="s">
        <v>4564</v>
      </c>
      <c r="R204" s="580" t="s">
        <v>4565</v>
      </c>
      <c r="S204" s="580" t="s">
        <v>4314</v>
      </c>
      <c r="T204" s="580" t="s">
        <v>3222</v>
      </c>
    </row>
    <row r="205">
      <c r="A205" s="578" t="s">
        <v>1725</v>
      </c>
      <c r="B205" s="582"/>
      <c r="C205" s="580" t="s">
        <v>4566</v>
      </c>
      <c r="D205" s="580" t="s">
        <v>4567</v>
      </c>
      <c r="E205" s="580" t="s">
        <v>4568</v>
      </c>
      <c r="F205" s="580" t="s">
        <v>4569</v>
      </c>
      <c r="G205" s="581"/>
      <c r="H205" s="581"/>
      <c r="I205" s="581"/>
      <c r="J205" s="581"/>
      <c r="K205" s="581"/>
      <c r="L205" s="581"/>
      <c r="M205" s="580" t="s">
        <v>2838</v>
      </c>
      <c r="N205" s="581"/>
      <c r="O205" s="581"/>
      <c r="P205" s="580" t="s">
        <v>4570</v>
      </c>
      <c r="Q205" s="581"/>
      <c r="R205" s="581"/>
      <c r="S205" s="581"/>
      <c r="T205" s="581"/>
    </row>
    <row r="206">
      <c r="A206" s="578" t="s">
        <v>1749</v>
      </c>
      <c r="B206" s="577">
        <v>380.734818199124</v>
      </c>
      <c r="C206" s="580" t="s">
        <v>4571</v>
      </c>
      <c r="D206" s="580" t="s">
        <v>4572</v>
      </c>
      <c r="E206" s="580" t="s">
        <v>4573</v>
      </c>
      <c r="F206" s="580" t="s">
        <v>4574</v>
      </c>
      <c r="G206" s="580" t="s">
        <v>4575</v>
      </c>
      <c r="H206" s="580" t="s">
        <v>4576</v>
      </c>
      <c r="I206" s="580" t="s">
        <v>4577</v>
      </c>
      <c r="J206" s="580" t="s">
        <v>4517</v>
      </c>
      <c r="K206" s="580" t="s">
        <v>4346</v>
      </c>
      <c r="L206" s="580" t="s">
        <v>4578</v>
      </c>
      <c r="M206" s="580" t="s">
        <v>2824</v>
      </c>
      <c r="N206" s="581"/>
      <c r="O206" s="581"/>
      <c r="P206" s="580" t="s">
        <v>4579</v>
      </c>
      <c r="Q206" s="581"/>
      <c r="R206" s="581"/>
      <c r="S206" s="580" t="s">
        <v>4580</v>
      </c>
      <c r="T206" s="580" t="s">
        <v>2918</v>
      </c>
    </row>
    <row r="207">
      <c r="A207" s="578" t="s">
        <v>1733</v>
      </c>
      <c r="B207" s="577">
        <v>420.433046037418</v>
      </c>
      <c r="C207" s="580" t="s">
        <v>4581</v>
      </c>
      <c r="D207" s="580" t="s">
        <v>4582</v>
      </c>
      <c r="E207" s="580" t="s">
        <v>4583</v>
      </c>
      <c r="F207" s="580" t="s">
        <v>4584</v>
      </c>
      <c r="G207" s="580" t="s">
        <v>4585</v>
      </c>
      <c r="H207" s="580" t="s">
        <v>3782</v>
      </c>
      <c r="I207" s="580" t="s">
        <v>2968</v>
      </c>
      <c r="J207" s="580" t="s">
        <v>4586</v>
      </c>
      <c r="K207" s="580" t="s">
        <v>4587</v>
      </c>
      <c r="L207" s="580" t="s">
        <v>3688</v>
      </c>
      <c r="M207" s="580" t="s">
        <v>2824</v>
      </c>
      <c r="N207" s="581"/>
      <c r="O207" s="581"/>
      <c r="P207" s="580" t="s">
        <v>4588</v>
      </c>
      <c r="Q207" s="580" t="s">
        <v>4589</v>
      </c>
      <c r="R207" s="580" t="s">
        <v>4590</v>
      </c>
      <c r="S207" s="580" t="s">
        <v>4591</v>
      </c>
      <c r="T207" s="580" t="s">
        <v>4592</v>
      </c>
    </row>
    <row r="208">
      <c r="A208" s="578" t="s">
        <v>1721</v>
      </c>
      <c r="B208" s="577">
        <v>396.039603960396</v>
      </c>
      <c r="C208" s="580" t="s">
        <v>4593</v>
      </c>
      <c r="D208" s="580" t="s">
        <v>4594</v>
      </c>
      <c r="E208" s="580" t="s">
        <v>4595</v>
      </c>
      <c r="F208" s="580" t="s">
        <v>4307</v>
      </c>
      <c r="G208" s="580" t="s">
        <v>4596</v>
      </c>
      <c r="H208" s="580" t="s">
        <v>4597</v>
      </c>
      <c r="I208" s="580" t="s">
        <v>4598</v>
      </c>
      <c r="J208" s="580" t="s">
        <v>4599</v>
      </c>
      <c r="K208" s="580" t="s">
        <v>4600</v>
      </c>
      <c r="L208" s="580" t="s">
        <v>3608</v>
      </c>
      <c r="M208" s="580" t="s">
        <v>2824</v>
      </c>
      <c r="N208" s="581"/>
      <c r="O208" s="581"/>
      <c r="P208" s="580" t="s">
        <v>4601</v>
      </c>
      <c r="Q208" s="581"/>
      <c r="R208" s="581"/>
      <c r="S208" s="580" t="s">
        <v>4602</v>
      </c>
      <c r="T208" s="580" t="s">
        <v>3465</v>
      </c>
    </row>
    <row r="209">
      <c r="A209" s="578" t="s">
        <v>714</v>
      </c>
      <c r="B209" s="577">
        <v>400.914084111774</v>
      </c>
      <c r="C209" s="580" t="s">
        <v>4603</v>
      </c>
      <c r="D209" s="580" t="s">
        <v>4604</v>
      </c>
      <c r="E209" s="580" t="s">
        <v>4605</v>
      </c>
      <c r="F209" s="580" t="s">
        <v>4606</v>
      </c>
      <c r="G209" s="580" t="s">
        <v>4607</v>
      </c>
      <c r="H209" s="580" t="s">
        <v>4608</v>
      </c>
      <c r="I209" s="580" t="s">
        <v>4609</v>
      </c>
      <c r="J209" s="580" t="s">
        <v>4578</v>
      </c>
      <c r="K209" s="580" t="s">
        <v>4610</v>
      </c>
      <c r="L209" s="580" t="s">
        <v>3390</v>
      </c>
      <c r="M209" s="580" t="s">
        <v>2824</v>
      </c>
      <c r="N209" s="581"/>
      <c r="O209" s="581"/>
      <c r="P209" s="580" t="s">
        <v>4611</v>
      </c>
      <c r="Q209" s="581"/>
      <c r="R209" s="581"/>
      <c r="S209" s="580" t="s">
        <v>3045</v>
      </c>
      <c r="T209" s="580" t="s">
        <v>4612</v>
      </c>
    </row>
    <row r="210">
      <c r="A210" s="578" t="s">
        <v>1742</v>
      </c>
      <c r="B210" s="577">
        <v>410.694484373074</v>
      </c>
      <c r="C210" s="580" t="s">
        <v>4613</v>
      </c>
      <c r="D210" s="580" t="s">
        <v>3568</v>
      </c>
      <c r="E210" s="580" t="s">
        <v>4614</v>
      </c>
      <c r="F210" s="580" t="s">
        <v>4615</v>
      </c>
      <c r="G210" s="580" t="s">
        <v>4616</v>
      </c>
      <c r="H210" s="580" t="s">
        <v>4617</v>
      </c>
      <c r="I210" s="580" t="s">
        <v>4618</v>
      </c>
      <c r="J210" s="580" t="s">
        <v>4619</v>
      </c>
      <c r="K210" s="580" t="s">
        <v>4620</v>
      </c>
      <c r="L210" s="580" t="s">
        <v>3492</v>
      </c>
      <c r="M210" s="580" t="s">
        <v>2824</v>
      </c>
      <c r="N210" s="581"/>
      <c r="O210" s="581"/>
      <c r="P210" s="580" t="s">
        <v>4621</v>
      </c>
      <c r="Q210" s="581"/>
      <c r="R210" s="581"/>
      <c r="S210" s="580" t="s">
        <v>4622</v>
      </c>
      <c r="T210" s="580" t="s">
        <v>4623</v>
      </c>
    </row>
    <row r="211">
      <c r="A211" s="578" t="s">
        <v>1746</v>
      </c>
      <c r="B211" s="577">
        <v>402.252614641995</v>
      </c>
      <c r="C211" s="580" t="s">
        <v>4624</v>
      </c>
      <c r="D211" s="580" t="s">
        <v>4625</v>
      </c>
      <c r="E211" s="580" t="s">
        <v>4626</v>
      </c>
      <c r="F211" s="580" t="s">
        <v>3550</v>
      </c>
      <c r="G211" s="580" t="s">
        <v>4627</v>
      </c>
      <c r="H211" s="580" t="s">
        <v>4628</v>
      </c>
      <c r="I211" s="580" t="s">
        <v>4629</v>
      </c>
      <c r="J211" s="580" t="s">
        <v>4309</v>
      </c>
      <c r="K211" s="580" t="s">
        <v>4630</v>
      </c>
      <c r="L211" s="580" t="s">
        <v>4006</v>
      </c>
      <c r="M211" s="580" t="s">
        <v>2824</v>
      </c>
      <c r="N211" s="581"/>
      <c r="O211" s="581"/>
      <c r="P211" s="580" t="s">
        <v>4631</v>
      </c>
      <c r="Q211" s="580" t="s">
        <v>4632</v>
      </c>
      <c r="R211" s="580" t="s">
        <v>3695</v>
      </c>
      <c r="S211" s="580" t="s">
        <v>4175</v>
      </c>
      <c r="T211" s="580" t="s">
        <v>4633</v>
      </c>
    </row>
    <row r="212">
      <c r="A212" s="578" t="s">
        <v>416</v>
      </c>
      <c r="B212" s="577">
        <v>387.672029463074</v>
      </c>
      <c r="C212" s="580" t="s">
        <v>4634</v>
      </c>
      <c r="D212" s="580" t="s">
        <v>4635</v>
      </c>
      <c r="E212" s="580" t="s">
        <v>4636</v>
      </c>
      <c r="F212" s="580" t="s">
        <v>4637</v>
      </c>
      <c r="G212" s="580" t="s">
        <v>4638</v>
      </c>
      <c r="H212" s="580" t="s">
        <v>4639</v>
      </c>
      <c r="I212" s="580" t="s">
        <v>4640</v>
      </c>
      <c r="J212" s="580" t="s">
        <v>4309</v>
      </c>
      <c r="K212" s="580" t="s">
        <v>4641</v>
      </c>
      <c r="L212" s="580" t="s">
        <v>4061</v>
      </c>
      <c r="M212" s="580" t="s">
        <v>2824</v>
      </c>
      <c r="N212" s="581"/>
      <c r="O212" s="581"/>
      <c r="P212" s="580" t="s">
        <v>4642</v>
      </c>
      <c r="Q212" s="581"/>
      <c r="R212" s="581"/>
      <c r="S212" s="580" t="s">
        <v>4437</v>
      </c>
      <c r="T212" s="580" t="s">
        <v>3693</v>
      </c>
    </row>
    <row r="213">
      <c r="A213" s="578" t="s">
        <v>1739</v>
      </c>
      <c r="B213" s="577">
        <v>406.752084604433</v>
      </c>
      <c r="C213" s="580" t="s">
        <v>4643</v>
      </c>
      <c r="D213" s="580" t="s">
        <v>4644</v>
      </c>
      <c r="E213" s="580" t="s">
        <v>4645</v>
      </c>
      <c r="F213" s="580" t="s">
        <v>4646</v>
      </c>
      <c r="G213" s="580" t="s">
        <v>4647</v>
      </c>
      <c r="H213" s="580" t="s">
        <v>3568</v>
      </c>
      <c r="I213" s="580" t="s">
        <v>4648</v>
      </c>
      <c r="J213" s="580" t="s">
        <v>4578</v>
      </c>
      <c r="K213" s="580" t="s">
        <v>4649</v>
      </c>
      <c r="L213" s="580" t="s">
        <v>3390</v>
      </c>
      <c r="M213" s="580" t="s">
        <v>2824</v>
      </c>
      <c r="N213" s="581"/>
      <c r="O213" s="581"/>
      <c r="P213" s="580" t="s">
        <v>4650</v>
      </c>
      <c r="Q213" s="581"/>
      <c r="R213" s="581"/>
      <c r="S213" s="580" t="s">
        <v>3561</v>
      </c>
      <c r="T213" s="580" t="s">
        <v>4651</v>
      </c>
    </row>
    <row r="214">
      <c r="A214" s="578" t="s">
        <v>1705</v>
      </c>
      <c r="B214" s="577">
        <v>372.661548781396</v>
      </c>
      <c r="C214" s="580" t="s">
        <v>4652</v>
      </c>
      <c r="D214" s="580" t="s">
        <v>4444</v>
      </c>
      <c r="E214" s="580" t="s">
        <v>4653</v>
      </c>
      <c r="F214" s="580" t="s">
        <v>4654</v>
      </c>
      <c r="G214" s="580" t="s">
        <v>4655</v>
      </c>
      <c r="H214" s="580" t="s">
        <v>4656</v>
      </c>
      <c r="I214" s="580" t="s">
        <v>4657</v>
      </c>
      <c r="J214" s="580" t="s">
        <v>4262</v>
      </c>
      <c r="K214" s="580" t="s">
        <v>4658</v>
      </c>
      <c r="L214" s="580" t="s">
        <v>4155</v>
      </c>
      <c r="M214" s="580" t="s">
        <v>2824</v>
      </c>
      <c r="N214" s="581"/>
      <c r="O214" s="581"/>
      <c r="P214" s="580" t="s">
        <v>4659</v>
      </c>
      <c r="Q214" s="581"/>
      <c r="R214" s="581"/>
      <c r="S214" s="580" t="s">
        <v>4660</v>
      </c>
      <c r="T214" s="580" t="s">
        <v>3411</v>
      </c>
    </row>
    <row r="215">
      <c r="A215" s="578" t="s">
        <v>2001</v>
      </c>
      <c r="B215" s="577">
        <v>414.593698175787</v>
      </c>
      <c r="C215" s="580" t="s">
        <v>4661</v>
      </c>
      <c r="D215" s="580" t="s">
        <v>4644</v>
      </c>
      <c r="E215" s="580" t="s">
        <v>4662</v>
      </c>
      <c r="F215" s="580" t="s">
        <v>4056</v>
      </c>
      <c r="G215" s="580" t="s">
        <v>4663</v>
      </c>
      <c r="H215" s="580" t="s">
        <v>4664</v>
      </c>
      <c r="I215" s="580" t="s">
        <v>4665</v>
      </c>
      <c r="J215" s="580" t="s">
        <v>4424</v>
      </c>
      <c r="K215" s="580" t="s">
        <v>4666</v>
      </c>
      <c r="L215" s="580" t="s">
        <v>4667</v>
      </c>
      <c r="M215" s="580" t="s">
        <v>2824</v>
      </c>
      <c r="N215" s="581"/>
      <c r="O215" s="581"/>
      <c r="P215" s="580" t="s">
        <v>4668</v>
      </c>
      <c r="Q215" s="580" t="s">
        <v>4669</v>
      </c>
      <c r="R215" s="580" t="s">
        <v>4670</v>
      </c>
      <c r="S215" s="580" t="s">
        <v>4507</v>
      </c>
      <c r="T215" s="580" t="s">
        <v>4671</v>
      </c>
    </row>
    <row r="216">
      <c r="A216" s="578" t="s">
        <v>372</v>
      </c>
      <c r="B216" s="577">
        <v>171.16839546746</v>
      </c>
      <c r="C216" s="580" t="s">
        <v>4672</v>
      </c>
      <c r="D216" s="580" t="s">
        <v>4673</v>
      </c>
      <c r="E216" s="580" t="s">
        <v>4674</v>
      </c>
      <c r="F216" s="580" t="s">
        <v>4675</v>
      </c>
      <c r="G216" s="580" t="s">
        <v>4676</v>
      </c>
      <c r="H216" s="580" t="s">
        <v>2990</v>
      </c>
      <c r="I216" s="580" t="s">
        <v>4677</v>
      </c>
      <c r="J216" s="580" t="s">
        <v>4678</v>
      </c>
      <c r="K216" s="580" t="s">
        <v>4679</v>
      </c>
      <c r="L216" s="580" t="s">
        <v>4680</v>
      </c>
      <c r="M216" s="580" t="s">
        <v>2824</v>
      </c>
      <c r="N216" s="581"/>
      <c r="O216" s="581"/>
      <c r="P216" s="580" t="s">
        <v>4681</v>
      </c>
      <c r="Q216" s="581"/>
      <c r="R216" s="581"/>
      <c r="S216" s="580" t="s">
        <v>4682</v>
      </c>
      <c r="T216" s="580" t="s">
        <v>4683</v>
      </c>
    </row>
    <row r="217">
      <c r="A217" s="578" t="s">
        <v>444</v>
      </c>
      <c r="B217" s="577">
        <v>130.573872168179</v>
      </c>
      <c r="C217" s="580" t="s">
        <v>4684</v>
      </c>
      <c r="D217" s="580" t="s">
        <v>4685</v>
      </c>
      <c r="E217" s="580" t="s">
        <v>4686</v>
      </c>
      <c r="F217" s="580" t="s">
        <v>4687</v>
      </c>
      <c r="G217" s="580" t="s">
        <v>4688</v>
      </c>
      <c r="H217" s="580" t="s">
        <v>4689</v>
      </c>
      <c r="I217" s="580" t="s">
        <v>4690</v>
      </c>
      <c r="J217" s="580" t="s">
        <v>4691</v>
      </c>
      <c r="K217" s="580" t="s">
        <v>4692</v>
      </c>
      <c r="L217" s="580" t="s">
        <v>3258</v>
      </c>
      <c r="M217" s="580" t="s">
        <v>2824</v>
      </c>
      <c r="N217" s="578"/>
      <c r="O217" s="578"/>
      <c r="P217" s="580" t="s">
        <v>4693</v>
      </c>
      <c r="Q217" s="578"/>
      <c r="R217" s="578"/>
      <c r="S217" s="580" t="s">
        <v>3413</v>
      </c>
      <c r="T217" s="580" t="s">
        <v>3786</v>
      </c>
      <c r="U217" s="257"/>
      <c r="V217" s="257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57"/>
      <c r="AG217" s="257"/>
      <c r="AH217" s="257"/>
      <c r="AI217" s="257"/>
    </row>
    <row r="218">
      <c r="A218" s="578" t="s">
        <v>1394</v>
      </c>
      <c r="B218" s="577">
        <v>143.696742394849</v>
      </c>
      <c r="C218" s="580" t="s">
        <v>4694</v>
      </c>
      <c r="D218" s="580" t="s">
        <v>4695</v>
      </c>
      <c r="E218" s="580" t="s">
        <v>4696</v>
      </c>
      <c r="F218" s="580" t="s">
        <v>4697</v>
      </c>
      <c r="G218" s="580" t="s">
        <v>4698</v>
      </c>
      <c r="H218" s="580" t="s">
        <v>4017</v>
      </c>
      <c r="I218" s="580" t="s">
        <v>4699</v>
      </c>
      <c r="J218" s="580" t="s">
        <v>3044</v>
      </c>
      <c r="K218" s="580" t="s">
        <v>4700</v>
      </c>
      <c r="L218" s="580" t="s">
        <v>4701</v>
      </c>
      <c r="M218" s="580" t="s">
        <v>2824</v>
      </c>
      <c r="N218" s="578"/>
      <c r="O218" s="578"/>
      <c r="P218" s="578"/>
      <c r="Q218" s="591"/>
      <c r="R218" s="591"/>
      <c r="S218" s="578"/>
      <c r="T218" s="578"/>
      <c r="U218" s="592"/>
      <c r="V218" s="257"/>
      <c r="W218" s="257"/>
      <c r="X218" s="592"/>
      <c r="Y218" s="592"/>
      <c r="Z218" s="257"/>
      <c r="AA218" s="257"/>
      <c r="AB218" s="257"/>
    </row>
    <row r="219">
      <c r="A219" s="578" t="s">
        <v>636</v>
      </c>
      <c r="B219" s="577">
        <v>151.258470474346</v>
      </c>
      <c r="C219" s="580" t="s">
        <v>4702</v>
      </c>
      <c r="D219" s="580" t="s">
        <v>4703</v>
      </c>
      <c r="E219" s="580" t="s">
        <v>4704</v>
      </c>
      <c r="F219" s="580" t="s">
        <v>4599</v>
      </c>
      <c r="G219" s="580" t="s">
        <v>4705</v>
      </c>
      <c r="H219" s="580" t="s">
        <v>4706</v>
      </c>
      <c r="I219" s="580" t="s">
        <v>4707</v>
      </c>
      <c r="J219" s="580" t="s">
        <v>4708</v>
      </c>
      <c r="K219" s="580" t="s">
        <v>4709</v>
      </c>
      <c r="L219" s="580" t="s">
        <v>4710</v>
      </c>
      <c r="M219" s="580" t="s">
        <v>2824</v>
      </c>
      <c r="N219" s="581"/>
      <c r="O219" s="581"/>
      <c r="P219" s="581"/>
      <c r="Q219" s="581"/>
      <c r="R219" s="581"/>
      <c r="S219" s="581"/>
      <c r="T219" s="581"/>
    </row>
    <row r="220">
      <c r="A220" s="578" t="s">
        <v>636</v>
      </c>
      <c r="B220" s="577">
        <v>151.258470474346</v>
      </c>
      <c r="C220" s="580" t="s">
        <v>4702</v>
      </c>
      <c r="D220" s="580" t="s">
        <v>4703</v>
      </c>
      <c r="E220" s="580" t="s">
        <v>4704</v>
      </c>
      <c r="F220" s="580" t="s">
        <v>4599</v>
      </c>
      <c r="G220" s="580" t="s">
        <v>4705</v>
      </c>
      <c r="H220" s="580" t="s">
        <v>4706</v>
      </c>
      <c r="I220" s="580" t="s">
        <v>4707</v>
      </c>
      <c r="J220" s="580" t="s">
        <v>4708</v>
      </c>
      <c r="K220" s="580" t="s">
        <v>4709</v>
      </c>
      <c r="L220" s="580" t="s">
        <v>4710</v>
      </c>
      <c r="M220" s="580" t="s">
        <v>2824</v>
      </c>
      <c r="N220" s="581"/>
      <c r="O220" s="581"/>
      <c r="P220" s="581"/>
      <c r="Q220" s="581"/>
      <c r="R220" s="581"/>
      <c r="S220" s="581"/>
      <c r="T220" s="581"/>
    </row>
    <row r="221">
      <c r="A221" s="578" t="s">
        <v>636</v>
      </c>
      <c r="B221" s="577">
        <v>151.258470474346</v>
      </c>
      <c r="C221" s="580" t="s">
        <v>4702</v>
      </c>
      <c r="D221" s="580" t="s">
        <v>4703</v>
      </c>
      <c r="E221" s="580" t="s">
        <v>4704</v>
      </c>
      <c r="F221" s="580" t="s">
        <v>4599</v>
      </c>
      <c r="G221" s="580" t="s">
        <v>4705</v>
      </c>
      <c r="H221" s="580" t="s">
        <v>4706</v>
      </c>
      <c r="I221" s="580" t="s">
        <v>4707</v>
      </c>
      <c r="J221" s="580" t="s">
        <v>4708</v>
      </c>
      <c r="K221" s="580" t="s">
        <v>4709</v>
      </c>
      <c r="L221" s="580" t="s">
        <v>4710</v>
      </c>
      <c r="M221" s="580" t="s">
        <v>2824</v>
      </c>
      <c r="N221" s="581"/>
      <c r="O221" s="581"/>
      <c r="P221" s="581"/>
      <c r="Q221" s="581"/>
      <c r="R221" s="581"/>
      <c r="S221" s="581"/>
      <c r="T221" s="581"/>
    </row>
    <row r="222">
      <c r="A222" s="578" t="s">
        <v>636</v>
      </c>
      <c r="B222" s="577">
        <v>151.258470474346</v>
      </c>
      <c r="C222" s="580" t="s">
        <v>4702</v>
      </c>
      <c r="D222" s="580" t="s">
        <v>4703</v>
      </c>
      <c r="E222" s="580" t="s">
        <v>4704</v>
      </c>
      <c r="F222" s="580" t="s">
        <v>4599</v>
      </c>
      <c r="G222" s="580" t="s">
        <v>4705</v>
      </c>
      <c r="H222" s="580" t="s">
        <v>4706</v>
      </c>
      <c r="I222" s="580" t="s">
        <v>4707</v>
      </c>
      <c r="J222" s="580" t="s">
        <v>4708</v>
      </c>
      <c r="K222" s="580" t="s">
        <v>4709</v>
      </c>
      <c r="L222" s="580" t="s">
        <v>4710</v>
      </c>
      <c r="M222" s="580" t="s">
        <v>2824</v>
      </c>
      <c r="N222" s="581"/>
      <c r="O222" s="581"/>
      <c r="P222" s="581"/>
      <c r="Q222" s="581"/>
      <c r="R222" s="581"/>
      <c r="S222" s="581"/>
      <c r="T222" s="581"/>
    </row>
    <row r="223">
      <c r="A223" s="578" t="s">
        <v>1475</v>
      </c>
      <c r="B223" s="577">
        <v>137.858777468361</v>
      </c>
      <c r="C223" s="580" t="s">
        <v>4711</v>
      </c>
      <c r="D223" s="580" t="s">
        <v>4712</v>
      </c>
      <c r="E223" s="580" t="s">
        <v>4713</v>
      </c>
      <c r="F223" s="580" t="s">
        <v>3729</v>
      </c>
      <c r="G223" s="580" t="s">
        <v>4714</v>
      </c>
      <c r="H223" s="580" t="s">
        <v>3141</v>
      </c>
      <c r="I223" s="580" t="s">
        <v>4715</v>
      </c>
      <c r="J223" s="580" t="s">
        <v>4716</v>
      </c>
      <c r="K223" s="580" t="s">
        <v>4717</v>
      </c>
      <c r="L223" s="580" t="s">
        <v>4262</v>
      </c>
      <c r="M223" s="580" t="s">
        <v>2824</v>
      </c>
      <c r="N223" s="580" t="s">
        <v>4718</v>
      </c>
      <c r="O223" s="580" t="s">
        <v>4338</v>
      </c>
      <c r="P223" s="580" t="s">
        <v>4719</v>
      </c>
      <c r="Q223" s="581"/>
      <c r="R223" s="581"/>
      <c r="S223" s="580" t="s">
        <v>4562</v>
      </c>
      <c r="T223" s="580" t="s">
        <v>3461</v>
      </c>
    </row>
    <row r="224">
      <c r="A224" s="578" t="s">
        <v>1425</v>
      </c>
      <c r="B224" s="577">
        <v>138.463881696459</v>
      </c>
      <c r="C224" s="580" t="s">
        <v>4720</v>
      </c>
      <c r="D224" s="580" t="s">
        <v>2867</v>
      </c>
      <c r="E224" s="580" t="s">
        <v>4721</v>
      </c>
      <c r="F224" s="580" t="s">
        <v>4722</v>
      </c>
      <c r="G224" s="580" t="s">
        <v>4723</v>
      </c>
      <c r="H224" s="580" t="s">
        <v>4724</v>
      </c>
      <c r="I224" s="580" t="s">
        <v>4725</v>
      </c>
      <c r="J224" s="580" t="s">
        <v>2871</v>
      </c>
      <c r="K224" s="580" t="s">
        <v>4726</v>
      </c>
      <c r="L224" s="580" t="s">
        <v>3542</v>
      </c>
      <c r="M224" s="580" t="s">
        <v>2838</v>
      </c>
      <c r="N224" s="580" t="s">
        <v>4727</v>
      </c>
      <c r="O224" s="580" t="s">
        <v>4728</v>
      </c>
      <c r="P224" s="580" t="s">
        <v>4729</v>
      </c>
      <c r="Q224" s="580" t="s">
        <v>4730</v>
      </c>
      <c r="R224" s="580" t="s">
        <v>4731</v>
      </c>
      <c r="S224" s="580" t="s">
        <v>3562</v>
      </c>
      <c r="T224" s="580" t="s">
        <v>3672</v>
      </c>
    </row>
    <row r="225">
      <c r="A225" s="578" t="s">
        <v>1478</v>
      </c>
      <c r="B225" s="577">
        <v>137.868280644672</v>
      </c>
      <c r="C225" s="580" t="s">
        <v>4732</v>
      </c>
      <c r="D225" s="580" t="s">
        <v>3689</v>
      </c>
      <c r="E225" s="580" t="s">
        <v>4733</v>
      </c>
      <c r="F225" s="580" t="s">
        <v>4734</v>
      </c>
      <c r="G225" s="580" t="s">
        <v>4735</v>
      </c>
      <c r="H225" s="580" t="s">
        <v>4736</v>
      </c>
      <c r="I225" s="580" t="s">
        <v>4737</v>
      </c>
      <c r="J225" s="580" t="s">
        <v>3160</v>
      </c>
      <c r="K225" s="580" t="s">
        <v>4738</v>
      </c>
      <c r="L225" s="580" t="s">
        <v>2949</v>
      </c>
      <c r="M225" s="580" t="s">
        <v>2824</v>
      </c>
      <c r="N225" s="581"/>
      <c r="O225" s="581"/>
      <c r="P225" s="580" t="s">
        <v>4739</v>
      </c>
      <c r="Q225" s="580" t="s">
        <v>4740</v>
      </c>
      <c r="R225" s="580" t="s">
        <v>4741</v>
      </c>
      <c r="S225" s="581"/>
      <c r="T225" s="581"/>
    </row>
    <row r="226">
      <c r="A226" s="578" t="s">
        <v>1463</v>
      </c>
      <c r="B226" s="577">
        <v>136.223078914029</v>
      </c>
      <c r="C226" s="580" t="s">
        <v>4742</v>
      </c>
      <c r="D226" s="580" t="s">
        <v>4743</v>
      </c>
      <c r="E226" s="580" t="s">
        <v>4744</v>
      </c>
      <c r="F226" s="580" t="s">
        <v>4745</v>
      </c>
      <c r="G226" s="580" t="s">
        <v>4746</v>
      </c>
      <c r="H226" s="580" t="s">
        <v>3411</v>
      </c>
      <c r="I226" s="580" t="s">
        <v>4747</v>
      </c>
      <c r="J226" s="580" t="s">
        <v>4748</v>
      </c>
      <c r="K226" s="580" t="s">
        <v>4749</v>
      </c>
      <c r="L226" s="580" t="s">
        <v>3469</v>
      </c>
      <c r="M226" s="580" t="s">
        <v>2824</v>
      </c>
      <c r="N226" s="581"/>
      <c r="O226" s="581"/>
      <c r="P226" s="580" t="s">
        <v>4750</v>
      </c>
      <c r="Q226" s="581"/>
      <c r="R226" s="581"/>
      <c r="S226" s="581"/>
      <c r="T226" s="581"/>
    </row>
    <row r="227">
      <c r="A227" s="578" t="s">
        <v>1364</v>
      </c>
      <c r="B227" s="577">
        <v>136.109976861303</v>
      </c>
      <c r="C227" s="580" t="s">
        <v>4751</v>
      </c>
      <c r="D227" s="580" t="s">
        <v>4752</v>
      </c>
      <c r="E227" s="580" t="s">
        <v>4753</v>
      </c>
      <c r="F227" s="580" t="s">
        <v>4754</v>
      </c>
      <c r="G227" s="580" t="s">
        <v>4755</v>
      </c>
      <c r="H227" s="580" t="s">
        <v>4756</v>
      </c>
      <c r="I227" s="580" t="s">
        <v>4757</v>
      </c>
      <c r="J227" s="580" t="s">
        <v>4758</v>
      </c>
      <c r="K227" s="580" t="s">
        <v>4759</v>
      </c>
      <c r="L227" s="580" t="s">
        <v>3716</v>
      </c>
      <c r="M227" s="580" t="s">
        <v>2824</v>
      </c>
      <c r="N227" s="581"/>
      <c r="O227" s="581"/>
      <c r="P227" s="581"/>
      <c r="Q227" s="581"/>
      <c r="R227" s="581"/>
      <c r="S227" s="581"/>
      <c r="T227" s="581"/>
    </row>
    <row r="228">
      <c r="A228" s="578" t="s">
        <v>1374</v>
      </c>
      <c r="B228" s="577">
        <v>167.72332360538</v>
      </c>
      <c r="C228" s="580" t="s">
        <v>4760</v>
      </c>
      <c r="D228" s="580" t="s">
        <v>4761</v>
      </c>
      <c r="E228" s="580" t="s">
        <v>4762</v>
      </c>
      <c r="F228" s="580" t="s">
        <v>4763</v>
      </c>
      <c r="G228" s="580" t="s">
        <v>4764</v>
      </c>
      <c r="H228" s="580" t="s">
        <v>4765</v>
      </c>
      <c r="I228" s="580" t="s">
        <v>4766</v>
      </c>
      <c r="J228" s="580" t="s">
        <v>4767</v>
      </c>
      <c r="K228" s="580" t="s">
        <v>4768</v>
      </c>
      <c r="L228" s="580" t="s">
        <v>4633</v>
      </c>
      <c r="M228" s="580" t="s">
        <v>2824</v>
      </c>
      <c r="N228" s="581"/>
      <c r="O228" s="581"/>
      <c r="P228" s="580" t="s">
        <v>4769</v>
      </c>
      <c r="Q228" s="581"/>
      <c r="R228" s="581"/>
      <c r="S228" s="581"/>
      <c r="T228" s="581"/>
    </row>
    <row r="229">
      <c r="A229" s="578" t="s">
        <v>1464</v>
      </c>
      <c r="B229" s="577">
        <v>131.126904618289</v>
      </c>
      <c r="C229" s="580" t="s">
        <v>4770</v>
      </c>
      <c r="D229" s="580" t="s">
        <v>4771</v>
      </c>
      <c r="E229" s="580" t="s">
        <v>4772</v>
      </c>
      <c r="F229" s="580" t="s">
        <v>3981</v>
      </c>
      <c r="G229" s="580" t="s">
        <v>4773</v>
      </c>
      <c r="H229" s="580" t="s">
        <v>4774</v>
      </c>
      <c r="I229" s="580" t="s">
        <v>4775</v>
      </c>
      <c r="J229" s="580" t="s">
        <v>4776</v>
      </c>
      <c r="K229" s="580" t="s">
        <v>4777</v>
      </c>
      <c r="L229" s="580" t="s">
        <v>4778</v>
      </c>
      <c r="M229" s="580" t="s">
        <v>2824</v>
      </c>
      <c r="N229" s="581"/>
      <c r="O229" s="581"/>
      <c r="P229" s="581"/>
      <c r="Q229" s="581"/>
      <c r="R229" s="581"/>
      <c r="S229" s="581"/>
      <c r="T229" s="581"/>
    </row>
    <row r="230">
      <c r="A230" s="578" t="s">
        <v>1418</v>
      </c>
      <c r="B230" s="577">
        <v>150.679564837416</v>
      </c>
      <c r="C230" s="580" t="s">
        <v>4779</v>
      </c>
      <c r="D230" s="580" t="s">
        <v>4780</v>
      </c>
      <c r="E230" s="580" t="s">
        <v>4781</v>
      </c>
      <c r="F230" s="580" t="s">
        <v>4782</v>
      </c>
      <c r="G230" s="580" t="s">
        <v>4783</v>
      </c>
      <c r="H230" s="580" t="s">
        <v>4784</v>
      </c>
      <c r="I230" s="580" t="s">
        <v>4785</v>
      </c>
      <c r="J230" s="580" t="s">
        <v>4786</v>
      </c>
      <c r="K230" s="580" t="s">
        <v>4787</v>
      </c>
      <c r="L230" s="580" t="s">
        <v>4788</v>
      </c>
      <c r="M230" s="580" t="s">
        <v>2824</v>
      </c>
      <c r="N230" s="581"/>
      <c r="O230" s="581"/>
      <c r="P230" s="581"/>
      <c r="Q230" s="581"/>
      <c r="R230" s="581"/>
      <c r="S230" s="581"/>
      <c r="T230" s="581"/>
    </row>
    <row r="231">
      <c r="A231" s="578" t="s">
        <v>1371</v>
      </c>
      <c r="B231" s="577">
        <v>140.118820760004</v>
      </c>
      <c r="C231" s="580" t="s">
        <v>4789</v>
      </c>
      <c r="D231" s="580" t="s">
        <v>4790</v>
      </c>
      <c r="E231" s="580" t="s">
        <v>4791</v>
      </c>
      <c r="F231" s="580" t="s">
        <v>3265</v>
      </c>
      <c r="G231" s="580" t="s">
        <v>4792</v>
      </c>
      <c r="H231" s="580" t="s">
        <v>4793</v>
      </c>
      <c r="I231" s="580" t="s">
        <v>4794</v>
      </c>
      <c r="J231" s="580" t="s">
        <v>3286</v>
      </c>
      <c r="K231" s="580" t="s">
        <v>4795</v>
      </c>
      <c r="L231" s="580" t="s">
        <v>2823</v>
      </c>
      <c r="M231" s="580" t="s">
        <v>2838</v>
      </c>
      <c r="N231" s="581"/>
      <c r="O231" s="581"/>
      <c r="P231" s="580" t="s">
        <v>4796</v>
      </c>
      <c r="Q231" s="580" t="s">
        <v>4797</v>
      </c>
      <c r="R231" s="580" t="s">
        <v>4798</v>
      </c>
      <c r="S231" s="580" t="s">
        <v>3289</v>
      </c>
      <c r="T231" s="580" t="s">
        <v>3039</v>
      </c>
    </row>
    <row r="232">
      <c r="A232" s="578" t="s">
        <v>1424</v>
      </c>
      <c r="B232" s="577">
        <v>115.877540615077</v>
      </c>
      <c r="C232" s="580" t="s">
        <v>4799</v>
      </c>
      <c r="D232" s="580" t="s">
        <v>3922</v>
      </c>
      <c r="E232" s="580" t="s">
        <v>4800</v>
      </c>
      <c r="F232" s="580" t="s">
        <v>4801</v>
      </c>
      <c r="G232" s="580" t="s">
        <v>4802</v>
      </c>
      <c r="H232" s="580" t="s">
        <v>4803</v>
      </c>
      <c r="I232" s="580" t="s">
        <v>4804</v>
      </c>
      <c r="J232" s="580" t="s">
        <v>4805</v>
      </c>
      <c r="K232" s="580" t="s">
        <v>4806</v>
      </c>
      <c r="L232" s="580" t="s">
        <v>4807</v>
      </c>
      <c r="M232" s="580" t="s">
        <v>2824</v>
      </c>
      <c r="N232" s="581"/>
      <c r="O232" s="581"/>
      <c r="P232" s="581"/>
      <c r="Q232" s="581"/>
      <c r="R232" s="581"/>
      <c r="S232" s="581"/>
      <c r="T232" s="581"/>
    </row>
    <row r="233">
      <c r="A233" s="578" t="s">
        <v>1347</v>
      </c>
      <c r="B233" s="577">
        <v>145.623998835008</v>
      </c>
      <c r="C233" s="580" t="s">
        <v>4808</v>
      </c>
      <c r="D233" s="580" t="s">
        <v>2945</v>
      </c>
      <c r="E233" s="580" t="s">
        <v>4809</v>
      </c>
      <c r="F233" s="580" t="s">
        <v>4810</v>
      </c>
      <c r="G233" s="580" t="s">
        <v>4811</v>
      </c>
      <c r="H233" s="580" t="s">
        <v>4812</v>
      </c>
      <c r="I233" s="580" t="s">
        <v>4813</v>
      </c>
      <c r="J233" s="580" t="s">
        <v>3505</v>
      </c>
      <c r="K233" s="580" t="s">
        <v>4814</v>
      </c>
      <c r="L233" s="580" t="s">
        <v>4815</v>
      </c>
      <c r="M233" s="580" t="s">
        <v>2824</v>
      </c>
      <c r="N233" s="581"/>
      <c r="O233" s="581"/>
      <c r="P233" s="580" t="s">
        <v>3194</v>
      </c>
      <c r="Q233" s="580" t="s">
        <v>4816</v>
      </c>
      <c r="R233" s="580" t="s">
        <v>4817</v>
      </c>
      <c r="S233" s="581"/>
      <c r="T233" s="581"/>
    </row>
    <row r="234">
      <c r="A234" s="578" t="s">
        <v>1351</v>
      </c>
      <c r="B234" s="577">
        <v>132.569731678863</v>
      </c>
      <c r="C234" s="580" t="s">
        <v>4818</v>
      </c>
      <c r="D234" s="580" t="s">
        <v>4819</v>
      </c>
      <c r="E234" s="580" t="s">
        <v>4820</v>
      </c>
      <c r="F234" s="580" t="s">
        <v>4821</v>
      </c>
      <c r="G234" s="580" t="s">
        <v>4822</v>
      </c>
      <c r="H234" s="580" t="s">
        <v>3940</v>
      </c>
      <c r="I234" s="580" t="s">
        <v>4823</v>
      </c>
      <c r="J234" s="580" t="s">
        <v>4824</v>
      </c>
      <c r="K234" s="580" t="s">
        <v>4825</v>
      </c>
      <c r="L234" s="580" t="s">
        <v>4826</v>
      </c>
      <c r="M234" s="580" t="s">
        <v>2824</v>
      </c>
      <c r="N234" s="581"/>
      <c r="O234" s="581"/>
      <c r="P234" s="581"/>
      <c r="Q234" s="581"/>
      <c r="R234" s="581"/>
      <c r="S234" s="581"/>
      <c r="T234" s="581"/>
    </row>
    <row r="235">
      <c r="A235" s="578" t="s">
        <v>1465</v>
      </c>
      <c r="B235" s="582"/>
      <c r="C235" s="580" t="s">
        <v>4827</v>
      </c>
      <c r="D235" s="580" t="s">
        <v>4828</v>
      </c>
      <c r="E235" s="580" t="s">
        <v>4829</v>
      </c>
      <c r="F235" s="580" t="s">
        <v>4830</v>
      </c>
      <c r="G235" s="581"/>
      <c r="H235" s="581"/>
      <c r="I235" s="581"/>
      <c r="J235" s="581"/>
      <c r="K235" s="581"/>
      <c r="L235" s="581"/>
      <c r="M235" s="580" t="s">
        <v>2838</v>
      </c>
      <c r="N235" s="581"/>
      <c r="O235" s="581"/>
      <c r="P235" s="581"/>
      <c r="Q235" s="581"/>
      <c r="R235" s="581"/>
      <c r="S235" s="581"/>
      <c r="T235" s="581"/>
    </row>
    <row r="236">
      <c r="A236" s="578" t="s">
        <v>1968</v>
      </c>
      <c r="B236" s="582"/>
      <c r="C236" s="580" t="s">
        <v>4831</v>
      </c>
      <c r="D236" s="580" t="s">
        <v>4832</v>
      </c>
      <c r="E236" s="580" t="s">
        <v>4833</v>
      </c>
      <c r="F236" s="580" t="s">
        <v>4834</v>
      </c>
      <c r="G236" s="581"/>
      <c r="H236" s="581"/>
      <c r="I236" s="581"/>
      <c r="J236" s="581"/>
      <c r="K236" s="581"/>
      <c r="L236" s="581"/>
      <c r="M236" s="580" t="s">
        <v>2824</v>
      </c>
      <c r="N236" s="581"/>
      <c r="O236" s="581"/>
      <c r="P236" s="581"/>
      <c r="Q236" s="581"/>
      <c r="R236" s="581"/>
      <c r="S236" s="581"/>
      <c r="T236" s="581"/>
    </row>
    <row r="237">
      <c r="A237" s="578" t="s">
        <v>1407</v>
      </c>
      <c r="B237" s="577">
        <v>133.895695253397</v>
      </c>
      <c r="C237" s="580" t="s">
        <v>4835</v>
      </c>
      <c r="D237" s="580" t="s">
        <v>4836</v>
      </c>
      <c r="E237" s="580" t="s">
        <v>4837</v>
      </c>
      <c r="F237" s="580" t="s">
        <v>4790</v>
      </c>
      <c r="G237" s="580" t="s">
        <v>4838</v>
      </c>
      <c r="H237" s="580" t="s">
        <v>4839</v>
      </c>
      <c r="I237" s="580" t="s">
        <v>4840</v>
      </c>
      <c r="J237" s="580" t="s">
        <v>4841</v>
      </c>
      <c r="K237" s="580" t="s">
        <v>4842</v>
      </c>
      <c r="L237" s="580" t="s">
        <v>4843</v>
      </c>
      <c r="M237" s="580" t="s">
        <v>2824</v>
      </c>
      <c r="N237" s="581"/>
      <c r="O237" s="581"/>
      <c r="P237" s="581"/>
      <c r="Q237" s="581"/>
      <c r="R237" s="581"/>
      <c r="S237" s="581"/>
      <c r="T237" s="581"/>
    </row>
    <row r="238">
      <c r="A238" s="578" t="s">
        <v>659</v>
      </c>
      <c r="B238" s="577">
        <v>142.122168215798</v>
      </c>
      <c r="C238" s="580" t="s">
        <v>4261</v>
      </c>
      <c r="D238" s="580" t="s">
        <v>4262</v>
      </c>
      <c r="E238" s="580" t="s">
        <v>4263</v>
      </c>
      <c r="F238" s="580" t="s">
        <v>4264</v>
      </c>
      <c r="G238" s="580" t="s">
        <v>4265</v>
      </c>
      <c r="H238" s="580" t="s">
        <v>4266</v>
      </c>
      <c r="I238" s="580" t="s">
        <v>4267</v>
      </c>
      <c r="J238" s="580" t="s">
        <v>4268</v>
      </c>
      <c r="K238" s="580" t="s">
        <v>4269</v>
      </c>
      <c r="L238" s="580" t="s">
        <v>4270</v>
      </c>
      <c r="M238" s="580" t="s">
        <v>2824</v>
      </c>
      <c r="N238" s="581"/>
      <c r="O238" s="581"/>
      <c r="P238" s="580" t="s">
        <v>4271</v>
      </c>
      <c r="Q238" s="581"/>
      <c r="R238" s="581"/>
      <c r="S238" s="581"/>
      <c r="T238" s="581"/>
    </row>
    <row r="239">
      <c r="A239" s="578" t="s">
        <v>1400</v>
      </c>
      <c r="B239" s="577">
        <v>130.698452530322</v>
      </c>
      <c r="C239" s="580" t="s">
        <v>4844</v>
      </c>
      <c r="D239" s="580" t="s">
        <v>3814</v>
      </c>
      <c r="E239" s="580" t="s">
        <v>4845</v>
      </c>
      <c r="F239" s="580" t="s">
        <v>4846</v>
      </c>
      <c r="G239" s="580" t="s">
        <v>4847</v>
      </c>
      <c r="H239" s="580" t="s">
        <v>4848</v>
      </c>
      <c r="I239" s="580" t="s">
        <v>4849</v>
      </c>
      <c r="J239" s="580" t="s">
        <v>4850</v>
      </c>
      <c r="K239" s="580" t="s">
        <v>4851</v>
      </c>
      <c r="L239" s="580" t="s">
        <v>4852</v>
      </c>
      <c r="M239" s="580" t="s">
        <v>2824</v>
      </c>
      <c r="N239" s="581"/>
      <c r="O239" s="581"/>
      <c r="P239" s="581"/>
      <c r="Q239" s="581"/>
      <c r="R239" s="581"/>
      <c r="S239" s="581"/>
      <c r="T239" s="581"/>
    </row>
    <row r="240">
      <c r="A240" s="578" t="s">
        <v>1373</v>
      </c>
      <c r="B240" s="577">
        <v>141.268877053696</v>
      </c>
      <c r="C240" s="580" t="s">
        <v>4853</v>
      </c>
      <c r="D240" s="580" t="s">
        <v>4854</v>
      </c>
      <c r="E240" s="580" t="s">
        <v>4855</v>
      </c>
      <c r="F240" s="580" t="s">
        <v>4856</v>
      </c>
      <c r="G240" s="580" t="s">
        <v>4857</v>
      </c>
      <c r="H240" s="580" t="s">
        <v>4858</v>
      </c>
      <c r="I240" s="580" t="s">
        <v>4859</v>
      </c>
      <c r="J240" s="580" t="s">
        <v>4860</v>
      </c>
      <c r="K240" s="580" t="s">
        <v>4861</v>
      </c>
      <c r="L240" s="580" t="s">
        <v>3174</v>
      </c>
      <c r="M240" s="580" t="s">
        <v>2824</v>
      </c>
      <c r="N240" s="581"/>
      <c r="O240" s="581"/>
      <c r="P240" s="581"/>
      <c r="Q240" s="581"/>
      <c r="R240" s="581"/>
      <c r="S240" s="581"/>
      <c r="T240" s="581"/>
    </row>
    <row r="241">
      <c r="A241" s="578" t="s">
        <v>1468</v>
      </c>
      <c r="B241" s="577">
        <v>138.400642178979</v>
      </c>
      <c r="C241" s="580" t="s">
        <v>4862</v>
      </c>
      <c r="D241" s="580" t="s">
        <v>4863</v>
      </c>
      <c r="E241" s="580" t="s">
        <v>4864</v>
      </c>
      <c r="F241" s="580" t="s">
        <v>4865</v>
      </c>
      <c r="G241" s="580" t="s">
        <v>4866</v>
      </c>
      <c r="H241" s="580" t="s">
        <v>4867</v>
      </c>
      <c r="I241" s="580" t="s">
        <v>4868</v>
      </c>
      <c r="J241" s="580" t="s">
        <v>4869</v>
      </c>
      <c r="K241" s="580" t="s">
        <v>4870</v>
      </c>
      <c r="L241" s="580" t="s">
        <v>4871</v>
      </c>
      <c r="M241" s="580" t="s">
        <v>2838</v>
      </c>
      <c r="N241" s="580" t="s">
        <v>4872</v>
      </c>
      <c r="O241" s="580" t="s">
        <v>4873</v>
      </c>
      <c r="P241" s="580" t="s">
        <v>4874</v>
      </c>
      <c r="Q241" s="581"/>
      <c r="R241" s="581"/>
      <c r="S241" s="580" t="s">
        <v>2826</v>
      </c>
      <c r="T241" s="580" t="s">
        <v>3386</v>
      </c>
    </row>
    <row r="242">
      <c r="A242" s="578" t="s">
        <v>1426</v>
      </c>
      <c r="B242" s="577">
        <v>136.59149581347</v>
      </c>
      <c r="C242" s="580" t="s">
        <v>4875</v>
      </c>
      <c r="D242" s="580" t="s">
        <v>4876</v>
      </c>
      <c r="E242" s="580" t="s">
        <v>4877</v>
      </c>
      <c r="F242" s="580" t="s">
        <v>4878</v>
      </c>
      <c r="G242" s="580" t="s">
        <v>4879</v>
      </c>
      <c r="H242" s="580" t="s">
        <v>4880</v>
      </c>
      <c r="I242" s="580" t="s">
        <v>4881</v>
      </c>
      <c r="J242" s="580" t="s">
        <v>4882</v>
      </c>
      <c r="K242" s="580" t="s">
        <v>4883</v>
      </c>
      <c r="L242" s="580" t="s">
        <v>4884</v>
      </c>
      <c r="M242" s="580" t="s">
        <v>2824</v>
      </c>
      <c r="N242" s="581"/>
      <c r="O242" s="581"/>
      <c r="P242" s="581"/>
      <c r="Q242" s="581"/>
      <c r="R242" s="581"/>
      <c r="S242" s="581"/>
      <c r="T242" s="581"/>
    </row>
    <row r="243">
      <c r="A243" s="578" t="s">
        <v>1372</v>
      </c>
      <c r="B243" s="577">
        <v>145.450314172678</v>
      </c>
      <c r="C243" s="580" t="s">
        <v>4885</v>
      </c>
      <c r="D243" s="580" t="s">
        <v>4886</v>
      </c>
      <c r="E243" s="580" t="s">
        <v>4887</v>
      </c>
      <c r="F243" s="580" t="s">
        <v>4888</v>
      </c>
      <c r="G243" s="580" t="s">
        <v>4889</v>
      </c>
      <c r="H243" s="580" t="s">
        <v>4104</v>
      </c>
      <c r="I243" s="580" t="s">
        <v>4890</v>
      </c>
      <c r="J243" s="580" t="s">
        <v>4891</v>
      </c>
      <c r="K243" s="580" t="s">
        <v>4892</v>
      </c>
      <c r="L243" s="580" t="s">
        <v>3490</v>
      </c>
      <c r="M243" s="580" t="s">
        <v>2824</v>
      </c>
      <c r="N243" s="581"/>
      <c r="O243" s="581"/>
      <c r="P243" s="581"/>
      <c r="Q243" s="581"/>
      <c r="R243" s="581"/>
      <c r="S243" s="581"/>
      <c r="T243" s="581"/>
    </row>
    <row r="244">
      <c r="A244" s="578" t="s">
        <v>1331</v>
      </c>
      <c r="B244" s="577">
        <v>136.584033326504</v>
      </c>
      <c r="C244" s="580" t="s">
        <v>4893</v>
      </c>
      <c r="D244" s="580" t="s">
        <v>4894</v>
      </c>
      <c r="E244" s="580" t="s">
        <v>4895</v>
      </c>
      <c r="F244" s="580" t="s">
        <v>4896</v>
      </c>
      <c r="G244" s="580" t="s">
        <v>4897</v>
      </c>
      <c r="H244" s="580" t="s">
        <v>4898</v>
      </c>
      <c r="I244" s="580" t="s">
        <v>4899</v>
      </c>
      <c r="J244" s="580" t="s">
        <v>4900</v>
      </c>
      <c r="K244" s="580" t="s">
        <v>4901</v>
      </c>
      <c r="L244" s="580" t="s">
        <v>3923</v>
      </c>
      <c r="M244" s="580" t="s">
        <v>2824</v>
      </c>
      <c r="N244" s="581"/>
      <c r="O244" s="581"/>
      <c r="P244" s="581"/>
      <c r="Q244" s="581"/>
      <c r="R244" s="581"/>
      <c r="S244" s="581"/>
      <c r="T244" s="581"/>
    </row>
    <row r="245">
      <c r="A245" s="578" t="s">
        <v>1988</v>
      </c>
      <c r="B245" s="577">
        <v>165.639700523421</v>
      </c>
      <c r="C245" s="580" t="s">
        <v>4902</v>
      </c>
      <c r="D245" s="580" t="s">
        <v>4903</v>
      </c>
      <c r="E245" s="580" t="s">
        <v>4904</v>
      </c>
      <c r="F245" s="580" t="s">
        <v>4905</v>
      </c>
      <c r="G245" s="580" t="s">
        <v>4906</v>
      </c>
      <c r="H245" s="580" t="s">
        <v>4907</v>
      </c>
      <c r="I245" s="580" t="s">
        <v>4908</v>
      </c>
      <c r="J245" s="580" t="s">
        <v>4909</v>
      </c>
      <c r="K245" s="580" t="s">
        <v>4910</v>
      </c>
      <c r="L245" s="580" t="s">
        <v>4911</v>
      </c>
      <c r="M245" s="580" t="s">
        <v>2824</v>
      </c>
      <c r="N245" s="581"/>
      <c r="O245" s="581"/>
      <c r="P245" s="581"/>
      <c r="Q245" s="581"/>
      <c r="R245" s="581"/>
      <c r="S245" s="581"/>
      <c r="T245" s="581"/>
    </row>
    <row r="246">
      <c r="A246" s="578" t="s">
        <v>1406</v>
      </c>
      <c r="B246" s="577">
        <v>183.577185027444</v>
      </c>
      <c r="C246" s="580" t="s">
        <v>4912</v>
      </c>
      <c r="D246" s="580" t="s">
        <v>4913</v>
      </c>
      <c r="E246" s="580" t="s">
        <v>4914</v>
      </c>
      <c r="F246" s="580" t="s">
        <v>4915</v>
      </c>
      <c r="G246" s="580" t="s">
        <v>4916</v>
      </c>
      <c r="H246" s="580" t="s">
        <v>4917</v>
      </c>
      <c r="I246" s="580" t="s">
        <v>4918</v>
      </c>
      <c r="J246" s="580" t="s">
        <v>4919</v>
      </c>
      <c r="K246" s="580" t="s">
        <v>4920</v>
      </c>
      <c r="L246" s="580" t="s">
        <v>4921</v>
      </c>
      <c r="M246" s="580" t="s">
        <v>2824</v>
      </c>
      <c r="N246" s="581"/>
      <c r="O246" s="581"/>
      <c r="P246" s="581"/>
      <c r="Q246" s="581"/>
      <c r="R246" s="581"/>
      <c r="S246" s="581"/>
      <c r="T246" s="581"/>
    </row>
    <row r="247">
      <c r="A247" s="578" t="s">
        <v>1386</v>
      </c>
      <c r="B247" s="577">
        <v>146.610368285245</v>
      </c>
      <c r="C247" s="580" t="s">
        <v>4922</v>
      </c>
      <c r="D247" s="580" t="s">
        <v>4923</v>
      </c>
      <c r="E247" s="580" t="s">
        <v>4924</v>
      </c>
      <c r="F247" s="580" t="s">
        <v>4925</v>
      </c>
      <c r="G247" s="580" t="s">
        <v>4926</v>
      </c>
      <c r="H247" s="580" t="s">
        <v>4927</v>
      </c>
      <c r="I247" s="580" t="s">
        <v>4928</v>
      </c>
      <c r="J247" s="580" t="s">
        <v>4929</v>
      </c>
      <c r="K247" s="580" t="s">
        <v>4930</v>
      </c>
      <c r="L247" s="580" t="s">
        <v>4931</v>
      </c>
      <c r="M247" s="580" t="s">
        <v>2824</v>
      </c>
      <c r="N247" s="581"/>
      <c r="O247" s="581"/>
      <c r="P247" s="581"/>
      <c r="Q247" s="581"/>
      <c r="R247" s="581"/>
      <c r="S247" s="581"/>
      <c r="T247" s="581"/>
    </row>
    <row r="248">
      <c r="A248" s="578" t="s">
        <v>1377</v>
      </c>
      <c r="B248" s="577">
        <v>140.940354042169</v>
      </c>
      <c r="C248" s="580" t="s">
        <v>4932</v>
      </c>
      <c r="D248" s="580" t="s">
        <v>4933</v>
      </c>
      <c r="E248" s="580" t="s">
        <v>4934</v>
      </c>
      <c r="F248" s="580" t="s">
        <v>4935</v>
      </c>
      <c r="G248" s="580" t="s">
        <v>4936</v>
      </c>
      <c r="H248" s="580" t="s">
        <v>4937</v>
      </c>
      <c r="I248" s="580" t="s">
        <v>4938</v>
      </c>
      <c r="J248" s="580" t="s">
        <v>4939</v>
      </c>
      <c r="K248" s="580" t="s">
        <v>4940</v>
      </c>
      <c r="L248" s="580" t="s">
        <v>4941</v>
      </c>
      <c r="M248" s="580" t="s">
        <v>2824</v>
      </c>
      <c r="N248" s="581"/>
      <c r="O248" s="581"/>
      <c r="P248" s="581"/>
      <c r="Q248" s="581"/>
      <c r="R248" s="581"/>
      <c r="S248" s="581"/>
      <c r="T248" s="581"/>
    </row>
    <row r="249">
      <c r="A249" s="578" t="s">
        <v>1462</v>
      </c>
      <c r="B249" s="577">
        <v>137.854976564653</v>
      </c>
      <c r="C249" s="580" t="s">
        <v>4942</v>
      </c>
      <c r="D249" s="580" t="s">
        <v>4943</v>
      </c>
      <c r="E249" s="580" t="s">
        <v>4944</v>
      </c>
      <c r="F249" s="580" t="s">
        <v>4945</v>
      </c>
      <c r="G249" s="580" t="s">
        <v>4946</v>
      </c>
      <c r="H249" s="580" t="s">
        <v>2924</v>
      </c>
      <c r="I249" s="580" t="s">
        <v>4947</v>
      </c>
      <c r="J249" s="580" t="s">
        <v>4948</v>
      </c>
      <c r="K249" s="580" t="s">
        <v>4949</v>
      </c>
      <c r="L249" s="580" t="s">
        <v>4950</v>
      </c>
      <c r="M249" s="580" t="s">
        <v>2824</v>
      </c>
      <c r="N249" s="581"/>
      <c r="O249" s="581"/>
      <c r="P249" s="581"/>
      <c r="Q249" s="581"/>
      <c r="R249" s="581"/>
      <c r="S249" s="581"/>
      <c r="T249" s="581"/>
    </row>
    <row r="250">
      <c r="A250" s="578" t="s">
        <v>1362</v>
      </c>
      <c r="B250" s="577">
        <v>143.905597927759</v>
      </c>
      <c r="C250" s="580" t="s">
        <v>4951</v>
      </c>
      <c r="D250" s="580" t="s">
        <v>4952</v>
      </c>
      <c r="E250" s="580" t="s">
        <v>4953</v>
      </c>
      <c r="F250" s="580" t="s">
        <v>4954</v>
      </c>
      <c r="G250" s="580" t="s">
        <v>4955</v>
      </c>
      <c r="H250" s="580" t="s">
        <v>3478</v>
      </c>
      <c r="I250" s="580" t="s">
        <v>4956</v>
      </c>
      <c r="J250" s="580" t="s">
        <v>3533</v>
      </c>
      <c r="K250" s="580" t="s">
        <v>4957</v>
      </c>
      <c r="L250" s="580" t="s">
        <v>4958</v>
      </c>
      <c r="M250" s="580" t="s">
        <v>2824</v>
      </c>
      <c r="N250" s="581"/>
      <c r="O250" s="581"/>
      <c r="P250" s="580" t="s">
        <v>3194</v>
      </c>
      <c r="Q250" s="581"/>
      <c r="R250" s="581"/>
      <c r="S250" s="581"/>
      <c r="T250" s="581"/>
    </row>
    <row r="251">
      <c r="A251" s="578" t="s">
        <v>167</v>
      </c>
      <c r="B251" s="577">
        <v>143.270580818934</v>
      </c>
      <c r="C251" s="580" t="s">
        <v>4959</v>
      </c>
      <c r="D251" s="580" t="s">
        <v>4960</v>
      </c>
      <c r="E251" s="580" t="s">
        <v>4961</v>
      </c>
      <c r="F251" s="580" t="s">
        <v>4871</v>
      </c>
      <c r="G251" s="580" t="s">
        <v>4962</v>
      </c>
      <c r="H251" s="580" t="s">
        <v>4963</v>
      </c>
      <c r="I251" s="580" t="s">
        <v>4964</v>
      </c>
      <c r="J251" s="580" t="s">
        <v>4671</v>
      </c>
      <c r="K251" s="580" t="s">
        <v>4965</v>
      </c>
      <c r="L251" s="580" t="s">
        <v>3072</v>
      </c>
      <c r="M251" s="580" t="s">
        <v>2824</v>
      </c>
      <c r="N251" s="581"/>
      <c r="O251" s="581"/>
      <c r="P251" s="581"/>
      <c r="Q251" s="581"/>
      <c r="R251" s="581"/>
      <c r="S251" s="581"/>
      <c r="T251" s="581"/>
    </row>
    <row r="252">
      <c r="A252" s="578" t="s">
        <v>1329</v>
      </c>
      <c r="B252" s="577">
        <v>95.8276635299078</v>
      </c>
      <c r="C252" s="580" t="s">
        <v>4966</v>
      </c>
      <c r="D252" s="580" t="s">
        <v>4967</v>
      </c>
      <c r="E252" s="580" t="s">
        <v>4968</v>
      </c>
      <c r="F252" s="580" t="s">
        <v>4969</v>
      </c>
      <c r="G252" s="580" t="s">
        <v>4970</v>
      </c>
      <c r="H252" s="580" t="s">
        <v>3572</v>
      </c>
      <c r="I252" s="580" t="s">
        <v>4971</v>
      </c>
      <c r="J252" s="580" t="s">
        <v>4972</v>
      </c>
      <c r="K252" s="580" t="s">
        <v>4973</v>
      </c>
      <c r="L252" s="580" t="s">
        <v>4334</v>
      </c>
      <c r="M252" s="580" t="s">
        <v>2824</v>
      </c>
      <c r="N252" s="581"/>
      <c r="O252" s="581"/>
      <c r="P252" s="580" t="s">
        <v>4974</v>
      </c>
      <c r="Q252" s="580" t="s">
        <v>4975</v>
      </c>
      <c r="R252" s="580" t="s">
        <v>4976</v>
      </c>
      <c r="S252" s="581"/>
      <c r="T252" s="581"/>
    </row>
    <row r="253">
      <c r="A253" s="578" t="s">
        <v>1320</v>
      </c>
      <c r="B253" s="577">
        <v>143.0</v>
      </c>
      <c r="C253" s="580" t="s">
        <v>4977</v>
      </c>
      <c r="D253" s="580" t="s">
        <v>4978</v>
      </c>
      <c r="E253" s="580" t="s">
        <v>4979</v>
      </c>
      <c r="F253" s="580" t="s">
        <v>4980</v>
      </c>
      <c r="G253" s="580" t="s">
        <v>4981</v>
      </c>
      <c r="H253" s="580" t="s">
        <v>4982</v>
      </c>
      <c r="I253" s="580" t="s">
        <v>4983</v>
      </c>
      <c r="J253" s="580" t="s">
        <v>3201</v>
      </c>
      <c r="K253" s="580" t="s">
        <v>4984</v>
      </c>
      <c r="L253" s="580" t="s">
        <v>4985</v>
      </c>
      <c r="M253" s="580" t="s">
        <v>2838</v>
      </c>
      <c r="N253" s="583"/>
      <c r="O253" s="583"/>
      <c r="P253" s="583"/>
      <c r="Q253" s="583"/>
      <c r="R253" s="583"/>
      <c r="S253" s="583"/>
      <c r="T253" s="583"/>
      <c r="U253" s="584"/>
      <c r="V253" s="584"/>
      <c r="W253" s="584"/>
      <c r="X253" s="584"/>
      <c r="Y253" s="584"/>
      <c r="Z253" s="584"/>
      <c r="AA253" s="584"/>
      <c r="AB253" s="584"/>
      <c r="AC253" s="584"/>
      <c r="AD253" s="584"/>
      <c r="AE253" s="584"/>
      <c r="AF253" s="584"/>
      <c r="AG253" s="584"/>
      <c r="AH253" s="584"/>
      <c r="AI253" s="584"/>
    </row>
    <row r="254">
      <c r="A254" s="578" t="s">
        <v>1320</v>
      </c>
      <c r="B254" s="577">
        <v>142.696100115583</v>
      </c>
      <c r="C254" s="580" t="s">
        <v>4977</v>
      </c>
      <c r="D254" s="580" t="s">
        <v>4978</v>
      </c>
      <c r="E254" s="580" t="s">
        <v>4979</v>
      </c>
      <c r="F254" s="580" t="s">
        <v>4980</v>
      </c>
      <c r="G254" s="580" t="s">
        <v>4981</v>
      </c>
      <c r="H254" s="580" t="s">
        <v>4982</v>
      </c>
      <c r="I254" s="580" t="s">
        <v>4983</v>
      </c>
      <c r="J254" s="580" t="s">
        <v>3201</v>
      </c>
      <c r="K254" s="580" t="s">
        <v>4984</v>
      </c>
      <c r="L254" s="580" t="s">
        <v>4985</v>
      </c>
      <c r="M254" s="580" t="s">
        <v>2838</v>
      </c>
      <c r="N254" s="581"/>
      <c r="O254" s="581"/>
      <c r="P254" s="581"/>
      <c r="Q254" s="581"/>
      <c r="R254" s="581"/>
      <c r="S254" s="581"/>
      <c r="T254" s="581"/>
    </row>
    <row r="255">
      <c r="A255" s="578" t="s">
        <v>1320</v>
      </c>
      <c r="B255" s="577">
        <v>142.696100115583</v>
      </c>
      <c r="C255" s="580" t="s">
        <v>4977</v>
      </c>
      <c r="D255" s="580" t="s">
        <v>4978</v>
      </c>
      <c r="E255" s="580" t="s">
        <v>4979</v>
      </c>
      <c r="F255" s="580" t="s">
        <v>4980</v>
      </c>
      <c r="G255" s="580" t="s">
        <v>4981</v>
      </c>
      <c r="H255" s="580" t="s">
        <v>4982</v>
      </c>
      <c r="I255" s="580" t="s">
        <v>4983</v>
      </c>
      <c r="J255" s="580" t="s">
        <v>3201</v>
      </c>
      <c r="K255" s="580" t="s">
        <v>4984</v>
      </c>
      <c r="L255" s="580" t="s">
        <v>4985</v>
      </c>
      <c r="M255" s="580" t="s">
        <v>2838</v>
      </c>
      <c r="N255" s="581"/>
      <c r="O255" s="581"/>
      <c r="P255" s="581"/>
      <c r="Q255" s="581"/>
      <c r="R255" s="581"/>
      <c r="S255" s="581"/>
      <c r="T255" s="581"/>
    </row>
    <row r="256">
      <c r="A256" s="578" t="s">
        <v>1440</v>
      </c>
      <c r="B256" s="577">
        <v>134.575012111751</v>
      </c>
      <c r="C256" s="580" t="s">
        <v>4986</v>
      </c>
      <c r="D256" s="580" t="s">
        <v>4987</v>
      </c>
      <c r="E256" s="580" t="s">
        <v>4988</v>
      </c>
      <c r="F256" s="580" t="s">
        <v>4989</v>
      </c>
      <c r="G256" s="580" t="s">
        <v>4990</v>
      </c>
      <c r="H256" s="580" t="s">
        <v>2821</v>
      </c>
      <c r="I256" s="580" t="s">
        <v>4991</v>
      </c>
      <c r="J256" s="580" t="s">
        <v>4992</v>
      </c>
      <c r="K256" s="580" t="s">
        <v>4993</v>
      </c>
      <c r="L256" s="580" t="s">
        <v>3976</v>
      </c>
      <c r="M256" s="580" t="s">
        <v>2824</v>
      </c>
      <c r="N256" s="581"/>
      <c r="O256" s="581"/>
      <c r="P256" s="581"/>
      <c r="Q256" s="581"/>
      <c r="R256" s="581"/>
      <c r="S256" s="581"/>
      <c r="T256" s="581"/>
    </row>
    <row r="257">
      <c r="A257" s="578" t="s">
        <v>1438</v>
      </c>
      <c r="B257" s="577">
        <v>137.018209720071</v>
      </c>
      <c r="C257" s="580" t="s">
        <v>4994</v>
      </c>
      <c r="D257" s="580" t="s">
        <v>4995</v>
      </c>
      <c r="E257" s="580" t="s">
        <v>4996</v>
      </c>
      <c r="F257" s="580" t="s">
        <v>3218</v>
      </c>
      <c r="G257" s="580" t="s">
        <v>4997</v>
      </c>
      <c r="H257" s="580" t="s">
        <v>4998</v>
      </c>
      <c r="I257" s="580" t="s">
        <v>4999</v>
      </c>
      <c r="J257" s="580" t="s">
        <v>3128</v>
      </c>
      <c r="K257" s="580" t="s">
        <v>5000</v>
      </c>
      <c r="L257" s="580" t="s">
        <v>3373</v>
      </c>
      <c r="M257" s="580" t="s">
        <v>2824</v>
      </c>
      <c r="N257" s="581"/>
      <c r="O257" s="581"/>
      <c r="P257" s="580" t="s">
        <v>5001</v>
      </c>
      <c r="Q257" s="580" t="s">
        <v>5002</v>
      </c>
      <c r="R257" s="580" t="s">
        <v>5003</v>
      </c>
      <c r="S257" s="581"/>
      <c r="T257" s="581"/>
    </row>
    <row r="258">
      <c r="A258" s="578" t="s">
        <v>1442</v>
      </c>
      <c r="B258" s="577">
        <v>130.456336264252</v>
      </c>
      <c r="C258" s="580" t="s">
        <v>5004</v>
      </c>
      <c r="D258" s="580" t="s">
        <v>3354</v>
      </c>
      <c r="E258" s="580" t="s">
        <v>5005</v>
      </c>
      <c r="F258" s="580" t="s">
        <v>5006</v>
      </c>
      <c r="G258" s="580" t="s">
        <v>5007</v>
      </c>
      <c r="H258" s="580" t="s">
        <v>5008</v>
      </c>
      <c r="I258" s="580" t="s">
        <v>5009</v>
      </c>
      <c r="J258" s="580" t="s">
        <v>5010</v>
      </c>
      <c r="K258" s="580" t="s">
        <v>5011</v>
      </c>
      <c r="L258" s="580" t="s">
        <v>5012</v>
      </c>
      <c r="M258" s="580" t="s">
        <v>2824</v>
      </c>
      <c r="N258" s="581"/>
      <c r="O258" s="581"/>
      <c r="P258" s="580" t="s">
        <v>5013</v>
      </c>
      <c r="Q258" s="581"/>
      <c r="R258" s="581"/>
      <c r="S258" s="580" t="s">
        <v>5014</v>
      </c>
      <c r="T258" s="580" t="s">
        <v>5015</v>
      </c>
    </row>
    <row r="259">
      <c r="A259" s="578" t="s">
        <v>1369</v>
      </c>
      <c r="B259" s="577">
        <v>151.505969335191</v>
      </c>
      <c r="C259" s="580" t="s">
        <v>5016</v>
      </c>
      <c r="D259" s="580" t="s">
        <v>5017</v>
      </c>
      <c r="E259" s="580" t="s">
        <v>5018</v>
      </c>
      <c r="F259" s="580" t="s">
        <v>5019</v>
      </c>
      <c r="G259" s="580" t="s">
        <v>5020</v>
      </c>
      <c r="H259" s="580" t="s">
        <v>5021</v>
      </c>
      <c r="I259" s="580" t="s">
        <v>5022</v>
      </c>
      <c r="J259" s="580" t="s">
        <v>5023</v>
      </c>
      <c r="K259" s="580" t="s">
        <v>5024</v>
      </c>
      <c r="L259" s="580" t="s">
        <v>5025</v>
      </c>
      <c r="M259" s="580" t="s">
        <v>2824</v>
      </c>
      <c r="N259" s="581"/>
      <c r="O259" s="581"/>
      <c r="P259" s="581"/>
      <c r="Q259" s="581"/>
      <c r="R259" s="581"/>
      <c r="S259" s="581"/>
      <c r="T259" s="581"/>
    </row>
    <row r="260">
      <c r="A260" s="578" t="s">
        <v>1321</v>
      </c>
      <c r="B260" s="577">
        <v>138.952575485986</v>
      </c>
      <c r="C260" s="580" t="s">
        <v>4283</v>
      </c>
      <c r="D260" s="580" t="s">
        <v>4284</v>
      </c>
      <c r="E260" s="580" t="s">
        <v>4285</v>
      </c>
      <c r="F260" s="580" t="s">
        <v>4286</v>
      </c>
      <c r="G260" s="580" t="s">
        <v>4287</v>
      </c>
      <c r="H260" s="580" t="s">
        <v>4288</v>
      </c>
      <c r="I260" s="580" t="s">
        <v>4289</v>
      </c>
      <c r="J260" s="580" t="s">
        <v>4290</v>
      </c>
      <c r="K260" s="580" t="s">
        <v>4291</v>
      </c>
      <c r="L260" s="580" t="s">
        <v>4292</v>
      </c>
      <c r="M260" s="580" t="s">
        <v>2824</v>
      </c>
      <c r="N260" s="581"/>
      <c r="O260" s="581"/>
      <c r="P260" s="581"/>
      <c r="Q260" s="581"/>
      <c r="R260" s="581"/>
      <c r="S260" s="581"/>
      <c r="T260" s="581"/>
    </row>
    <row r="261">
      <c r="A261" s="578" t="s">
        <v>1361</v>
      </c>
      <c r="B261" s="577">
        <v>206.011413032282</v>
      </c>
      <c r="C261" s="580" t="s">
        <v>5026</v>
      </c>
      <c r="D261" s="580" t="s">
        <v>3102</v>
      </c>
      <c r="E261" s="580" t="s">
        <v>5027</v>
      </c>
      <c r="F261" s="580" t="s">
        <v>5028</v>
      </c>
      <c r="G261" s="580" t="s">
        <v>5029</v>
      </c>
      <c r="H261" s="580" t="s">
        <v>5030</v>
      </c>
      <c r="I261" s="580" t="s">
        <v>5031</v>
      </c>
      <c r="J261" s="580" t="s">
        <v>5032</v>
      </c>
      <c r="K261" s="580" t="s">
        <v>5033</v>
      </c>
      <c r="L261" s="580" t="s">
        <v>5034</v>
      </c>
      <c r="M261" s="580" t="s">
        <v>2838</v>
      </c>
      <c r="N261" s="581"/>
      <c r="O261" s="581"/>
      <c r="P261" s="581"/>
      <c r="Q261" s="581"/>
      <c r="R261" s="581"/>
      <c r="S261" s="581"/>
      <c r="T261" s="581"/>
    </row>
    <row r="262">
      <c r="A262" s="578" t="s">
        <v>171</v>
      </c>
      <c r="B262" s="577">
        <v>127.326899080699</v>
      </c>
      <c r="C262" s="580" t="s">
        <v>5035</v>
      </c>
      <c r="D262" s="580" t="s">
        <v>5036</v>
      </c>
      <c r="E262" s="580" t="s">
        <v>5037</v>
      </c>
      <c r="F262" s="580" t="s">
        <v>5038</v>
      </c>
      <c r="G262" s="580" t="s">
        <v>5039</v>
      </c>
      <c r="H262" s="580" t="s">
        <v>5040</v>
      </c>
      <c r="I262" s="580" t="s">
        <v>5041</v>
      </c>
      <c r="J262" s="580" t="s">
        <v>5042</v>
      </c>
      <c r="K262" s="580" t="s">
        <v>5043</v>
      </c>
      <c r="L262" s="580" t="s">
        <v>5044</v>
      </c>
      <c r="M262" s="580" t="s">
        <v>2824</v>
      </c>
      <c r="N262" s="581"/>
      <c r="O262" s="581"/>
      <c r="P262" s="581"/>
      <c r="Q262" s="581"/>
      <c r="R262" s="581"/>
      <c r="S262" s="581"/>
      <c r="T262" s="581"/>
    </row>
    <row r="263">
      <c r="A263" s="578" t="s">
        <v>1993</v>
      </c>
      <c r="B263" s="577">
        <v>141.997046461433</v>
      </c>
      <c r="C263" s="580" t="s">
        <v>5045</v>
      </c>
      <c r="D263" s="580" t="s">
        <v>5046</v>
      </c>
      <c r="E263" s="580" t="s">
        <v>5047</v>
      </c>
      <c r="F263" s="580" t="s">
        <v>5048</v>
      </c>
      <c r="G263" s="580" t="s">
        <v>5049</v>
      </c>
      <c r="H263" s="580" t="s">
        <v>5050</v>
      </c>
      <c r="I263" s="580" t="s">
        <v>5051</v>
      </c>
      <c r="J263" s="580" t="s">
        <v>2853</v>
      </c>
      <c r="K263" s="580" t="s">
        <v>5052</v>
      </c>
      <c r="L263" s="580" t="s">
        <v>4972</v>
      </c>
      <c r="M263" s="580" t="s">
        <v>2824</v>
      </c>
      <c r="N263" s="581"/>
      <c r="O263" s="581"/>
      <c r="P263" s="580" t="s">
        <v>5053</v>
      </c>
      <c r="Q263" s="581"/>
      <c r="R263" s="581"/>
      <c r="S263" s="581"/>
      <c r="T263" s="581"/>
    </row>
    <row r="264">
      <c r="A264" s="578" t="s">
        <v>1995</v>
      </c>
      <c r="B264" s="577">
        <v>496.968492197594</v>
      </c>
      <c r="C264" s="580" t="s">
        <v>5054</v>
      </c>
      <c r="D264" s="580" t="s">
        <v>5055</v>
      </c>
      <c r="E264" s="580" t="s">
        <v>5056</v>
      </c>
      <c r="F264" s="580" t="s">
        <v>5057</v>
      </c>
      <c r="G264" s="580" t="s">
        <v>5058</v>
      </c>
      <c r="H264" s="580" t="s">
        <v>5059</v>
      </c>
      <c r="I264" s="580" t="s">
        <v>5060</v>
      </c>
      <c r="J264" s="580" t="s">
        <v>5061</v>
      </c>
      <c r="K264" s="580" t="s">
        <v>3158</v>
      </c>
      <c r="L264" s="580" t="s">
        <v>5062</v>
      </c>
      <c r="M264" s="580" t="s">
        <v>2824</v>
      </c>
      <c r="N264" s="581"/>
      <c r="O264" s="581"/>
      <c r="P264" s="581"/>
      <c r="Q264" s="581"/>
      <c r="R264" s="581"/>
      <c r="S264" s="581"/>
      <c r="T264" s="581"/>
    </row>
    <row r="265">
      <c r="A265" s="578" t="s">
        <v>1395</v>
      </c>
      <c r="B265" s="582"/>
      <c r="C265" s="580" t="s">
        <v>5063</v>
      </c>
      <c r="D265" s="580" t="s">
        <v>5064</v>
      </c>
      <c r="E265" s="580" t="s">
        <v>5065</v>
      </c>
      <c r="F265" s="580" t="s">
        <v>5066</v>
      </c>
      <c r="G265" s="581"/>
      <c r="H265" s="581"/>
      <c r="I265" s="581"/>
      <c r="J265" s="581"/>
      <c r="K265" s="581"/>
      <c r="L265" s="581"/>
      <c r="M265" s="580" t="s">
        <v>2824</v>
      </c>
      <c r="N265" s="581"/>
      <c r="O265" s="581"/>
      <c r="P265" s="581"/>
      <c r="Q265" s="581"/>
      <c r="R265" s="581"/>
      <c r="S265" s="581"/>
      <c r="T265" s="581"/>
    </row>
    <row r="266">
      <c r="A266" s="578" t="s">
        <v>1342</v>
      </c>
      <c r="B266" s="577">
        <v>164.573836051544</v>
      </c>
      <c r="C266" s="580" t="s">
        <v>5067</v>
      </c>
      <c r="D266" s="580" t="s">
        <v>5068</v>
      </c>
      <c r="E266" s="580" t="s">
        <v>5069</v>
      </c>
      <c r="F266" s="580" t="s">
        <v>5070</v>
      </c>
      <c r="G266" s="580" t="s">
        <v>5071</v>
      </c>
      <c r="H266" s="580" t="s">
        <v>5072</v>
      </c>
      <c r="I266" s="580" t="s">
        <v>5073</v>
      </c>
      <c r="J266" s="580" t="s">
        <v>5074</v>
      </c>
      <c r="K266" s="580" t="s">
        <v>5075</v>
      </c>
      <c r="L266" s="580" t="s">
        <v>4403</v>
      </c>
      <c r="M266" s="580" t="s">
        <v>2824</v>
      </c>
      <c r="N266" s="581"/>
      <c r="O266" s="581"/>
      <c r="P266" s="581"/>
      <c r="Q266" s="581"/>
      <c r="R266" s="581"/>
      <c r="S266" s="581"/>
      <c r="T266" s="581"/>
    </row>
    <row r="267">
      <c r="A267" s="578" t="s">
        <v>1375</v>
      </c>
      <c r="B267" s="577">
        <v>133.115024692837</v>
      </c>
      <c r="C267" s="580" t="s">
        <v>5076</v>
      </c>
      <c r="D267" s="580" t="s">
        <v>5077</v>
      </c>
      <c r="E267" s="580" t="s">
        <v>5078</v>
      </c>
      <c r="F267" s="580" t="s">
        <v>4557</v>
      </c>
      <c r="G267" s="580" t="s">
        <v>5079</v>
      </c>
      <c r="H267" s="580" t="s">
        <v>5008</v>
      </c>
      <c r="I267" s="580" t="s">
        <v>5080</v>
      </c>
      <c r="J267" s="580" t="s">
        <v>3396</v>
      </c>
      <c r="K267" s="580" t="s">
        <v>5081</v>
      </c>
      <c r="L267" s="580" t="s">
        <v>4334</v>
      </c>
      <c r="M267" s="580" t="s">
        <v>2824</v>
      </c>
      <c r="N267" s="581"/>
      <c r="O267" s="581"/>
      <c r="P267" s="580" t="s">
        <v>5082</v>
      </c>
      <c r="Q267" s="581"/>
      <c r="R267" s="581"/>
      <c r="S267" s="580" t="s">
        <v>5083</v>
      </c>
      <c r="T267" s="580" t="s">
        <v>3651</v>
      </c>
    </row>
    <row r="268">
      <c r="A268" s="578" t="s">
        <v>1324</v>
      </c>
      <c r="B268" s="577">
        <v>151.742765663647</v>
      </c>
      <c r="C268" s="580" t="s">
        <v>4294</v>
      </c>
      <c r="D268" s="580" t="s">
        <v>4295</v>
      </c>
      <c r="E268" s="580" t="s">
        <v>4296</v>
      </c>
      <c r="F268" s="580" t="s">
        <v>4297</v>
      </c>
      <c r="G268" s="580" t="s">
        <v>4298</v>
      </c>
      <c r="H268" s="580" t="s">
        <v>4299</v>
      </c>
      <c r="I268" s="580" t="s">
        <v>4300</v>
      </c>
      <c r="J268" s="580" t="s">
        <v>4301</v>
      </c>
      <c r="K268" s="580" t="s">
        <v>4302</v>
      </c>
      <c r="L268" s="580" t="s">
        <v>2875</v>
      </c>
      <c r="M268" s="580" t="s">
        <v>2824</v>
      </c>
      <c r="N268" s="581"/>
      <c r="O268" s="581"/>
      <c r="P268" s="581"/>
      <c r="Q268" s="581"/>
      <c r="R268" s="581"/>
      <c r="S268" s="581"/>
      <c r="T268" s="581"/>
    </row>
    <row r="269">
      <c r="A269" s="578" t="s">
        <v>1359</v>
      </c>
      <c r="B269" s="577">
        <v>142.126208072768</v>
      </c>
      <c r="C269" s="580" t="s">
        <v>5084</v>
      </c>
      <c r="D269" s="580" t="s">
        <v>5085</v>
      </c>
      <c r="E269" s="580" t="s">
        <v>5086</v>
      </c>
      <c r="F269" s="580" t="s">
        <v>5087</v>
      </c>
      <c r="G269" s="580" t="s">
        <v>5088</v>
      </c>
      <c r="H269" s="580" t="s">
        <v>5089</v>
      </c>
      <c r="I269" s="580" t="s">
        <v>5090</v>
      </c>
      <c r="J269" s="580" t="s">
        <v>5091</v>
      </c>
      <c r="K269" s="580" t="s">
        <v>5092</v>
      </c>
      <c r="L269" s="580" t="s">
        <v>4268</v>
      </c>
      <c r="M269" s="580" t="s">
        <v>2824</v>
      </c>
      <c r="N269" s="581"/>
      <c r="O269" s="581"/>
      <c r="P269" s="581"/>
      <c r="Q269" s="581"/>
      <c r="R269" s="581"/>
      <c r="S269" s="581"/>
      <c r="T269" s="581"/>
    </row>
    <row r="270">
      <c r="A270" s="578" t="s">
        <v>1409</v>
      </c>
      <c r="B270" s="577">
        <v>138.494564088359</v>
      </c>
      <c r="C270" s="580" t="s">
        <v>5093</v>
      </c>
      <c r="D270" s="580" t="s">
        <v>4871</v>
      </c>
      <c r="E270" s="580" t="s">
        <v>5094</v>
      </c>
      <c r="F270" s="580" t="s">
        <v>3265</v>
      </c>
      <c r="G270" s="580" t="s">
        <v>5095</v>
      </c>
      <c r="H270" s="580" t="s">
        <v>4691</v>
      </c>
      <c r="I270" s="580" t="s">
        <v>5096</v>
      </c>
      <c r="J270" s="580" t="s">
        <v>4716</v>
      </c>
      <c r="K270" s="580" t="s">
        <v>5097</v>
      </c>
      <c r="L270" s="580" t="s">
        <v>3094</v>
      </c>
      <c r="M270" s="580" t="s">
        <v>2824</v>
      </c>
      <c r="N270" s="581"/>
      <c r="O270" s="581"/>
      <c r="P270" s="580" t="s">
        <v>5098</v>
      </c>
      <c r="Q270" s="581"/>
      <c r="R270" s="581"/>
      <c r="S270" s="581"/>
      <c r="T270" s="581"/>
    </row>
    <row r="271">
      <c r="A271" s="578" t="s">
        <v>1367</v>
      </c>
      <c r="B271" s="577">
        <v>137.083950211109</v>
      </c>
      <c r="C271" s="580" t="s">
        <v>5099</v>
      </c>
      <c r="D271" s="580" t="s">
        <v>5100</v>
      </c>
      <c r="E271" s="580" t="s">
        <v>5101</v>
      </c>
      <c r="F271" s="580" t="s">
        <v>3604</v>
      </c>
      <c r="G271" s="580" t="s">
        <v>5102</v>
      </c>
      <c r="H271" s="580" t="s">
        <v>5103</v>
      </c>
      <c r="I271" s="580" t="s">
        <v>5104</v>
      </c>
      <c r="J271" s="580" t="s">
        <v>5105</v>
      </c>
      <c r="K271" s="580" t="s">
        <v>5106</v>
      </c>
      <c r="L271" s="580" t="s">
        <v>3240</v>
      </c>
      <c r="M271" s="580" t="s">
        <v>2824</v>
      </c>
      <c r="N271" s="581"/>
      <c r="O271" s="581"/>
      <c r="P271" s="580" t="s">
        <v>5107</v>
      </c>
      <c r="Q271" s="580" t="s">
        <v>5108</v>
      </c>
      <c r="R271" s="580" t="s">
        <v>5109</v>
      </c>
      <c r="S271" s="581"/>
      <c r="T271" s="581"/>
    </row>
    <row r="272">
      <c r="A272" s="578" t="s">
        <v>1476</v>
      </c>
      <c r="B272" s="577">
        <v>136.004460946319</v>
      </c>
      <c r="C272" s="580" t="s">
        <v>5110</v>
      </c>
      <c r="D272" s="580" t="s">
        <v>5111</v>
      </c>
      <c r="E272" s="580" t="s">
        <v>5112</v>
      </c>
      <c r="F272" s="580" t="s">
        <v>5113</v>
      </c>
      <c r="G272" s="580" t="s">
        <v>5114</v>
      </c>
      <c r="H272" s="580" t="s">
        <v>3054</v>
      </c>
      <c r="I272" s="580" t="s">
        <v>5115</v>
      </c>
      <c r="J272" s="580" t="s">
        <v>3911</v>
      </c>
      <c r="K272" s="580" t="s">
        <v>5116</v>
      </c>
      <c r="L272" s="580" t="s">
        <v>3396</v>
      </c>
      <c r="M272" s="580" t="s">
        <v>2824</v>
      </c>
      <c r="N272" s="581"/>
      <c r="O272" s="581"/>
      <c r="P272" s="580" t="s">
        <v>5117</v>
      </c>
      <c r="Q272" s="581"/>
      <c r="R272" s="581"/>
      <c r="S272" s="580" t="s">
        <v>5118</v>
      </c>
      <c r="T272" s="580" t="s">
        <v>3138</v>
      </c>
    </row>
    <row r="273">
      <c r="A273" s="578" t="s">
        <v>1416</v>
      </c>
      <c r="B273" s="577">
        <v>81.9934241273849</v>
      </c>
      <c r="C273" s="580" t="s">
        <v>5119</v>
      </c>
      <c r="D273" s="580" t="s">
        <v>5120</v>
      </c>
      <c r="E273" s="580" t="s">
        <v>5121</v>
      </c>
      <c r="F273" s="580" t="s">
        <v>5122</v>
      </c>
      <c r="G273" s="580" t="s">
        <v>5123</v>
      </c>
      <c r="H273" s="580" t="s">
        <v>5124</v>
      </c>
      <c r="I273" s="580" t="s">
        <v>5125</v>
      </c>
      <c r="J273" s="580" t="s">
        <v>5126</v>
      </c>
      <c r="K273" s="580" t="s">
        <v>5127</v>
      </c>
      <c r="L273" s="580" t="s">
        <v>5128</v>
      </c>
      <c r="M273" s="580" t="s">
        <v>2824</v>
      </c>
      <c r="N273" s="581"/>
      <c r="O273" s="581"/>
      <c r="P273" s="580" t="s">
        <v>5129</v>
      </c>
      <c r="Q273" s="581"/>
      <c r="R273" s="581"/>
      <c r="S273" s="580" t="s">
        <v>5130</v>
      </c>
      <c r="T273" s="580" t="s">
        <v>4958</v>
      </c>
    </row>
    <row r="274">
      <c r="A274" s="578" t="s">
        <v>1735</v>
      </c>
      <c r="B274" s="577">
        <v>424.826883045159</v>
      </c>
      <c r="C274" s="580" t="s">
        <v>5131</v>
      </c>
      <c r="D274" s="580" t="s">
        <v>4196</v>
      </c>
      <c r="E274" s="580" t="s">
        <v>5132</v>
      </c>
      <c r="F274" s="580" t="s">
        <v>5133</v>
      </c>
      <c r="G274" s="580" t="s">
        <v>5134</v>
      </c>
      <c r="H274" s="580" t="s">
        <v>5135</v>
      </c>
      <c r="I274" s="580" t="s">
        <v>5136</v>
      </c>
      <c r="J274" s="580" t="s">
        <v>5012</v>
      </c>
      <c r="K274" s="580" t="s">
        <v>5137</v>
      </c>
      <c r="L274" s="580" t="s">
        <v>5012</v>
      </c>
      <c r="M274" s="580" t="s">
        <v>2824</v>
      </c>
      <c r="N274" s="581"/>
      <c r="O274" s="581"/>
      <c r="P274" s="580" t="s">
        <v>5138</v>
      </c>
      <c r="Q274" s="581"/>
      <c r="R274" s="581"/>
      <c r="S274" s="580" t="s">
        <v>4507</v>
      </c>
      <c r="T274" s="580" t="s">
        <v>4950</v>
      </c>
    </row>
    <row r="275">
      <c r="A275" s="578" t="s">
        <v>1709</v>
      </c>
      <c r="B275" s="577">
        <v>403.437285673942</v>
      </c>
      <c r="C275" s="580" t="s">
        <v>5139</v>
      </c>
      <c r="D275" s="580" t="s">
        <v>5140</v>
      </c>
      <c r="E275" s="580" t="s">
        <v>5141</v>
      </c>
      <c r="F275" s="580" t="s">
        <v>5142</v>
      </c>
      <c r="G275" s="580" t="s">
        <v>5143</v>
      </c>
      <c r="H275" s="580" t="s">
        <v>5144</v>
      </c>
      <c r="I275" s="580" t="s">
        <v>5145</v>
      </c>
      <c r="J275" s="580" t="s">
        <v>4201</v>
      </c>
      <c r="K275" s="580" t="s">
        <v>5146</v>
      </c>
      <c r="L275" s="580" t="s">
        <v>4061</v>
      </c>
      <c r="M275" s="580" t="s">
        <v>2824</v>
      </c>
      <c r="N275" s="581"/>
      <c r="O275" s="581"/>
      <c r="P275" s="580" t="s">
        <v>5147</v>
      </c>
      <c r="Q275" s="581"/>
      <c r="R275" s="581"/>
      <c r="S275" s="580" t="s">
        <v>4562</v>
      </c>
      <c r="T275" s="580" t="s">
        <v>4262</v>
      </c>
    </row>
    <row r="276">
      <c r="A276" s="578" t="s">
        <v>1648</v>
      </c>
      <c r="B276" s="577">
        <v>434.763705925829</v>
      </c>
      <c r="C276" s="580" t="s">
        <v>5148</v>
      </c>
      <c r="D276" s="580" t="s">
        <v>5149</v>
      </c>
      <c r="E276" s="580" t="s">
        <v>5150</v>
      </c>
      <c r="F276" s="580" t="s">
        <v>5151</v>
      </c>
      <c r="G276" s="580" t="s">
        <v>5152</v>
      </c>
      <c r="H276" s="580" t="s">
        <v>5153</v>
      </c>
      <c r="I276" s="580" t="s">
        <v>5154</v>
      </c>
      <c r="J276" s="580" t="s">
        <v>2835</v>
      </c>
      <c r="K276" s="580" t="s">
        <v>5155</v>
      </c>
      <c r="L276" s="580" t="s">
        <v>5156</v>
      </c>
      <c r="M276" s="580" t="s">
        <v>2824</v>
      </c>
      <c r="N276" s="581"/>
      <c r="O276" s="581"/>
      <c r="P276" s="581"/>
      <c r="Q276" s="581"/>
      <c r="R276" s="581"/>
      <c r="S276" s="581"/>
      <c r="T276" s="581"/>
    </row>
    <row r="277">
      <c r="A277" s="578" t="s">
        <v>1637</v>
      </c>
      <c r="B277" s="582"/>
      <c r="C277" s="580" t="s">
        <v>5157</v>
      </c>
      <c r="D277" s="580" t="s">
        <v>5158</v>
      </c>
      <c r="E277" s="580" t="s">
        <v>5159</v>
      </c>
      <c r="F277" s="580" t="s">
        <v>5160</v>
      </c>
      <c r="G277" s="581"/>
      <c r="H277" s="581"/>
      <c r="I277" s="581"/>
      <c r="J277" s="581"/>
      <c r="K277" s="581"/>
      <c r="L277" s="581"/>
      <c r="M277" s="580" t="s">
        <v>2824</v>
      </c>
      <c r="N277" s="581"/>
      <c r="O277" s="581"/>
      <c r="P277" s="581"/>
      <c r="Q277" s="581"/>
      <c r="R277" s="581"/>
      <c r="S277" s="581"/>
      <c r="T277" s="581"/>
    </row>
    <row r="278">
      <c r="A278" s="578" t="s">
        <v>260</v>
      </c>
      <c r="B278" s="577">
        <v>144.62152546785</v>
      </c>
      <c r="C278" s="580" t="s">
        <v>3215</v>
      </c>
      <c r="D278" s="580" t="s">
        <v>3216</v>
      </c>
      <c r="E278" s="580" t="s">
        <v>3217</v>
      </c>
      <c r="F278" s="580" t="s">
        <v>3218</v>
      </c>
      <c r="G278" s="580" t="s">
        <v>3219</v>
      </c>
      <c r="H278" s="580" t="s">
        <v>3220</v>
      </c>
      <c r="I278" s="580" t="s">
        <v>3221</v>
      </c>
      <c r="J278" s="580" t="s">
        <v>3222</v>
      </c>
      <c r="K278" s="580" t="s">
        <v>3223</v>
      </c>
      <c r="L278" s="580" t="s">
        <v>3224</v>
      </c>
      <c r="M278" s="580" t="s">
        <v>2824</v>
      </c>
      <c r="N278" s="581"/>
      <c r="O278" s="581"/>
      <c r="P278" s="580" t="s">
        <v>3225</v>
      </c>
      <c r="Q278" s="580" t="s">
        <v>3226</v>
      </c>
      <c r="R278" s="580" t="s">
        <v>3227</v>
      </c>
      <c r="S278" s="581"/>
      <c r="T278" s="581"/>
    </row>
    <row r="279">
      <c r="A279" s="578" t="s">
        <v>392</v>
      </c>
      <c r="B279" s="577">
        <v>141.918453656528</v>
      </c>
      <c r="C279" s="580" t="s">
        <v>5161</v>
      </c>
      <c r="D279" s="580" t="s">
        <v>5162</v>
      </c>
      <c r="E279" s="580" t="s">
        <v>5163</v>
      </c>
      <c r="F279" s="580" t="s">
        <v>4429</v>
      </c>
      <c r="G279" s="580" t="s">
        <v>5164</v>
      </c>
      <c r="H279" s="580" t="s">
        <v>4544</v>
      </c>
      <c r="I279" s="580" t="s">
        <v>5165</v>
      </c>
      <c r="J279" s="580" t="s">
        <v>3976</v>
      </c>
      <c r="K279" s="580" t="s">
        <v>5166</v>
      </c>
      <c r="L279" s="580" t="s">
        <v>5167</v>
      </c>
      <c r="M279" s="580" t="s">
        <v>2824</v>
      </c>
      <c r="N279" s="581"/>
      <c r="O279" s="581"/>
      <c r="P279" s="580" t="s">
        <v>5168</v>
      </c>
      <c r="Q279" s="581"/>
      <c r="R279" s="581"/>
      <c r="S279" s="581"/>
      <c r="T279" s="581"/>
    </row>
    <row r="280">
      <c r="A280" s="578" t="s">
        <v>583</v>
      </c>
      <c r="B280" s="577">
        <v>156.585190172713</v>
      </c>
      <c r="C280" s="580" t="s">
        <v>5169</v>
      </c>
      <c r="D280" s="580" t="s">
        <v>5008</v>
      </c>
      <c r="E280" s="580" t="s">
        <v>5170</v>
      </c>
      <c r="F280" s="580" t="s">
        <v>4557</v>
      </c>
      <c r="G280" s="580" t="s">
        <v>5171</v>
      </c>
      <c r="H280" s="580" t="s">
        <v>5172</v>
      </c>
      <c r="I280" s="580" t="s">
        <v>5173</v>
      </c>
      <c r="J280" s="580" t="s">
        <v>2876</v>
      </c>
      <c r="K280" s="580" t="s">
        <v>5174</v>
      </c>
      <c r="L280" s="580" t="s">
        <v>3554</v>
      </c>
      <c r="M280" s="580" t="s">
        <v>2824</v>
      </c>
      <c r="N280" s="580" t="s">
        <v>5175</v>
      </c>
      <c r="O280" s="580" t="s">
        <v>5176</v>
      </c>
      <c r="P280" s="580" t="s">
        <v>5177</v>
      </c>
      <c r="Q280" s="580" t="s">
        <v>5178</v>
      </c>
      <c r="R280" s="580" t="s">
        <v>5179</v>
      </c>
      <c r="S280" s="580" t="s">
        <v>5180</v>
      </c>
      <c r="T280" s="580" t="s">
        <v>5181</v>
      </c>
    </row>
    <row r="281">
      <c r="A281" s="589" t="s">
        <v>524</v>
      </c>
      <c r="B281" s="593">
        <v>168.918919</v>
      </c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</row>
    <row r="282">
      <c r="A282" s="589" t="s">
        <v>535</v>
      </c>
      <c r="B282" s="593">
        <v>159.744409</v>
      </c>
      <c r="C282" s="581"/>
      <c r="D282" s="581"/>
      <c r="E282" s="581"/>
      <c r="F282" s="581"/>
      <c r="G282" s="581"/>
      <c r="H282" s="581"/>
      <c r="I282" s="581"/>
      <c r="J282" s="581"/>
      <c r="K282" s="581"/>
      <c r="L282" s="581"/>
      <c r="M282" s="581"/>
      <c r="N282" s="581"/>
      <c r="O282" s="581"/>
      <c r="P282" s="581"/>
      <c r="Q282" s="581"/>
      <c r="R282" s="581"/>
      <c r="S282" s="581"/>
      <c r="T282" s="581"/>
    </row>
    <row r="283">
      <c r="A283" s="589" t="s">
        <v>509</v>
      </c>
      <c r="B283" s="593">
        <v>160.0</v>
      </c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1"/>
      <c r="P283" s="581"/>
      <c r="Q283" s="581"/>
      <c r="R283" s="581"/>
      <c r="S283" s="581"/>
      <c r="T283" s="581"/>
    </row>
    <row r="284">
      <c r="A284" s="589" t="s">
        <v>553</v>
      </c>
      <c r="B284" s="593">
        <v>1492.53731</v>
      </c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1"/>
      <c r="P284" s="581"/>
      <c r="Q284" s="581"/>
      <c r="R284" s="581"/>
      <c r="S284" s="581"/>
      <c r="T284" s="581"/>
    </row>
    <row r="285">
      <c r="A285" s="578" t="s">
        <v>2656</v>
      </c>
      <c r="B285" s="577">
        <v>136.0</v>
      </c>
      <c r="C285" s="580" t="s">
        <v>5182</v>
      </c>
      <c r="D285" s="580" t="s">
        <v>4462</v>
      </c>
      <c r="E285" s="580" t="s">
        <v>5183</v>
      </c>
      <c r="F285" s="580" t="s">
        <v>5184</v>
      </c>
      <c r="G285" s="580" t="s">
        <v>5185</v>
      </c>
      <c r="H285" s="580" t="s">
        <v>5186</v>
      </c>
      <c r="I285" s="580" t="s">
        <v>5187</v>
      </c>
      <c r="J285" s="580" t="s">
        <v>5188</v>
      </c>
      <c r="K285" s="580" t="s">
        <v>5189</v>
      </c>
      <c r="L285" s="580" t="s">
        <v>4176</v>
      </c>
      <c r="M285" s="580" t="s">
        <v>2824</v>
      </c>
      <c r="N285" s="583"/>
      <c r="O285" s="583"/>
      <c r="P285" s="583"/>
      <c r="Q285" s="583"/>
      <c r="R285" s="583"/>
      <c r="S285" s="583"/>
      <c r="T285" s="583"/>
      <c r="U285" s="584"/>
      <c r="V285" s="584"/>
      <c r="W285" s="584"/>
      <c r="X285" s="584"/>
      <c r="Y285" s="584"/>
      <c r="Z285" s="584"/>
      <c r="AA285" s="584"/>
      <c r="AB285" s="584"/>
      <c r="AC285" s="584"/>
      <c r="AD285" s="584"/>
      <c r="AE285" s="584"/>
      <c r="AF285" s="584"/>
      <c r="AG285" s="584"/>
      <c r="AH285" s="584"/>
      <c r="AI285" s="584"/>
    </row>
    <row r="286">
      <c r="A286" s="578" t="s">
        <v>2659</v>
      </c>
      <c r="B286" s="577">
        <v>136.0</v>
      </c>
      <c r="C286" s="580" t="s">
        <v>5182</v>
      </c>
      <c r="D286" s="580" t="s">
        <v>4462</v>
      </c>
      <c r="E286" s="580" t="s">
        <v>5183</v>
      </c>
      <c r="F286" s="580" t="s">
        <v>5184</v>
      </c>
      <c r="G286" s="580" t="s">
        <v>5185</v>
      </c>
      <c r="H286" s="580" t="s">
        <v>5186</v>
      </c>
      <c r="I286" s="580" t="s">
        <v>5187</v>
      </c>
      <c r="J286" s="580" t="s">
        <v>5188</v>
      </c>
      <c r="K286" s="580" t="s">
        <v>5189</v>
      </c>
      <c r="L286" s="580" t="s">
        <v>4176</v>
      </c>
      <c r="M286" s="580" t="s">
        <v>2824</v>
      </c>
      <c r="N286" s="583"/>
      <c r="O286" s="583"/>
      <c r="P286" s="583"/>
      <c r="Q286" s="583"/>
      <c r="R286" s="583"/>
      <c r="S286" s="583"/>
      <c r="T286" s="583"/>
      <c r="U286" s="584"/>
      <c r="V286" s="584"/>
      <c r="W286" s="584"/>
      <c r="X286" s="584"/>
      <c r="Y286" s="584"/>
      <c r="Z286" s="584"/>
      <c r="AA286" s="584"/>
      <c r="AB286" s="584"/>
      <c r="AC286" s="584"/>
      <c r="AD286" s="584"/>
      <c r="AE286" s="584"/>
      <c r="AF286" s="584"/>
      <c r="AG286" s="584"/>
      <c r="AH286" s="584"/>
      <c r="AI286" s="584"/>
    </row>
    <row r="287">
      <c r="A287" s="578" t="s">
        <v>560</v>
      </c>
      <c r="B287" s="577">
        <v>158.010333875835</v>
      </c>
      <c r="C287" s="580" t="s">
        <v>5190</v>
      </c>
      <c r="D287" s="580" t="s">
        <v>4358</v>
      </c>
      <c r="E287" s="580" t="s">
        <v>5191</v>
      </c>
      <c r="F287" s="580" t="s">
        <v>5192</v>
      </c>
      <c r="G287" s="580" t="s">
        <v>5193</v>
      </c>
      <c r="H287" s="580" t="s">
        <v>5194</v>
      </c>
      <c r="I287" s="580" t="s">
        <v>5195</v>
      </c>
      <c r="J287" s="580" t="s">
        <v>4162</v>
      </c>
      <c r="K287" s="580" t="s">
        <v>5196</v>
      </c>
      <c r="L287" s="580" t="s">
        <v>4424</v>
      </c>
      <c r="M287" s="580" t="s">
        <v>2824</v>
      </c>
      <c r="N287" s="581"/>
      <c r="O287" s="581"/>
      <c r="P287" s="580" t="s">
        <v>5197</v>
      </c>
      <c r="Q287" s="581"/>
      <c r="R287" s="581"/>
      <c r="S287" s="580" t="s">
        <v>2852</v>
      </c>
      <c r="T287" s="580" t="s">
        <v>5198</v>
      </c>
    </row>
    <row r="288">
      <c r="A288" s="578" t="s">
        <v>588</v>
      </c>
      <c r="B288" s="577">
        <v>159.09886403411</v>
      </c>
      <c r="C288" s="580" t="s">
        <v>5199</v>
      </c>
      <c r="D288" s="580" t="s">
        <v>4586</v>
      </c>
      <c r="E288" s="580" t="s">
        <v>5200</v>
      </c>
      <c r="F288" s="580" t="s">
        <v>3252</v>
      </c>
      <c r="G288" s="580" t="s">
        <v>5201</v>
      </c>
      <c r="H288" s="580" t="s">
        <v>5202</v>
      </c>
      <c r="I288" s="580" t="s">
        <v>5203</v>
      </c>
      <c r="J288" s="580" t="s">
        <v>2873</v>
      </c>
      <c r="K288" s="580" t="s">
        <v>5204</v>
      </c>
      <c r="L288" s="580" t="s">
        <v>5205</v>
      </c>
      <c r="M288" s="580" t="s">
        <v>2824</v>
      </c>
      <c r="N288" s="581"/>
      <c r="O288" s="581"/>
      <c r="P288" s="580" t="s">
        <v>5206</v>
      </c>
      <c r="Q288" s="580" t="s">
        <v>5207</v>
      </c>
      <c r="R288" s="580" t="s">
        <v>5208</v>
      </c>
      <c r="S288" s="580" t="s">
        <v>5209</v>
      </c>
      <c r="T288" s="580" t="s">
        <v>5210</v>
      </c>
    </row>
    <row r="289">
      <c r="A289" s="578" t="s">
        <v>487</v>
      </c>
      <c r="B289" s="577">
        <v>151.765795025117</v>
      </c>
      <c r="C289" s="580" t="s">
        <v>5211</v>
      </c>
      <c r="D289" s="580" t="s">
        <v>5212</v>
      </c>
      <c r="E289" s="580" t="s">
        <v>5213</v>
      </c>
      <c r="F289" s="580" t="s">
        <v>4253</v>
      </c>
      <c r="G289" s="580" t="s">
        <v>5214</v>
      </c>
      <c r="H289" s="580" t="s">
        <v>5215</v>
      </c>
      <c r="I289" s="580" t="s">
        <v>5216</v>
      </c>
      <c r="J289" s="580" t="s">
        <v>4217</v>
      </c>
      <c r="K289" s="580" t="s">
        <v>5217</v>
      </c>
      <c r="L289" s="580" t="s">
        <v>4815</v>
      </c>
      <c r="M289" s="580" t="s">
        <v>2824</v>
      </c>
      <c r="N289" s="581"/>
      <c r="O289" s="581"/>
      <c r="P289" s="580" t="s">
        <v>3019</v>
      </c>
      <c r="Q289" s="580" t="s">
        <v>5218</v>
      </c>
      <c r="R289" s="580" t="s">
        <v>5219</v>
      </c>
      <c r="S289" s="581"/>
      <c r="T289" s="581"/>
    </row>
    <row r="290">
      <c r="A290" s="578" t="s">
        <v>499</v>
      </c>
      <c r="B290" s="577">
        <v>147.219032476518</v>
      </c>
      <c r="C290" s="580" t="s">
        <v>5220</v>
      </c>
      <c r="D290" s="580" t="s">
        <v>4995</v>
      </c>
      <c r="E290" s="580" t="s">
        <v>5221</v>
      </c>
      <c r="F290" s="580" t="s">
        <v>5222</v>
      </c>
      <c r="G290" s="580" t="s">
        <v>5223</v>
      </c>
      <c r="H290" s="580" t="s">
        <v>5224</v>
      </c>
      <c r="I290" s="580" t="s">
        <v>5225</v>
      </c>
      <c r="J290" s="580" t="s">
        <v>5226</v>
      </c>
      <c r="K290" s="580" t="s">
        <v>5227</v>
      </c>
      <c r="L290" s="580" t="s">
        <v>5228</v>
      </c>
      <c r="M290" s="580" t="s">
        <v>2824</v>
      </c>
      <c r="N290" s="581"/>
      <c r="O290" s="581"/>
      <c r="P290" s="580" t="s">
        <v>5229</v>
      </c>
      <c r="Q290" s="581"/>
      <c r="R290" s="581"/>
      <c r="S290" s="581"/>
      <c r="T290" s="581"/>
    </row>
    <row r="291">
      <c r="A291" s="578" t="s">
        <v>522</v>
      </c>
      <c r="B291" s="577">
        <v>161.204520174745</v>
      </c>
      <c r="C291" s="580" t="s">
        <v>5230</v>
      </c>
      <c r="D291" s="580" t="s">
        <v>5140</v>
      </c>
      <c r="E291" s="580" t="s">
        <v>5231</v>
      </c>
      <c r="F291" s="580" t="s">
        <v>5232</v>
      </c>
      <c r="G291" s="580" t="s">
        <v>5233</v>
      </c>
      <c r="H291" s="580" t="s">
        <v>5234</v>
      </c>
      <c r="I291" s="580" t="s">
        <v>5235</v>
      </c>
      <c r="J291" s="580" t="s">
        <v>3149</v>
      </c>
      <c r="K291" s="580" t="s">
        <v>5236</v>
      </c>
      <c r="L291" s="580" t="s">
        <v>4332</v>
      </c>
      <c r="M291" s="580" t="s">
        <v>2838</v>
      </c>
      <c r="N291" s="581"/>
      <c r="O291" s="581"/>
      <c r="P291" s="580" t="s">
        <v>5237</v>
      </c>
      <c r="Q291" s="581"/>
      <c r="R291" s="581"/>
      <c r="S291" s="581"/>
      <c r="T291" s="581"/>
    </row>
    <row r="292">
      <c r="A292" s="578" t="s">
        <v>537</v>
      </c>
      <c r="B292" s="577">
        <v>164.171263462043</v>
      </c>
      <c r="C292" s="580" t="s">
        <v>5238</v>
      </c>
      <c r="D292" s="580" t="s">
        <v>5050</v>
      </c>
      <c r="E292" s="580" t="s">
        <v>5239</v>
      </c>
      <c r="F292" s="580" t="s">
        <v>4511</v>
      </c>
      <c r="G292" s="580" t="s">
        <v>5240</v>
      </c>
      <c r="H292" s="580" t="s">
        <v>5241</v>
      </c>
      <c r="I292" s="580" t="s">
        <v>5242</v>
      </c>
      <c r="J292" s="580" t="s">
        <v>4140</v>
      </c>
      <c r="K292" s="580" t="s">
        <v>5243</v>
      </c>
      <c r="L292" s="580" t="s">
        <v>4189</v>
      </c>
      <c r="M292" s="580" t="s">
        <v>2838</v>
      </c>
      <c r="N292" s="581"/>
      <c r="O292" s="581"/>
      <c r="P292" s="580" t="s">
        <v>5244</v>
      </c>
      <c r="Q292" s="581"/>
      <c r="R292" s="581"/>
      <c r="S292" s="581"/>
      <c r="T292" s="581"/>
    </row>
    <row r="293">
      <c r="A293" s="578" t="s">
        <v>502</v>
      </c>
      <c r="B293" s="577">
        <v>164.333136133569</v>
      </c>
      <c r="C293" s="580" t="s">
        <v>5245</v>
      </c>
      <c r="D293" s="580" t="s">
        <v>4989</v>
      </c>
      <c r="E293" s="580" t="s">
        <v>5246</v>
      </c>
      <c r="F293" s="580" t="s">
        <v>4168</v>
      </c>
      <c r="G293" s="580" t="s">
        <v>5247</v>
      </c>
      <c r="H293" s="580" t="s">
        <v>5248</v>
      </c>
      <c r="I293" s="580" t="s">
        <v>5249</v>
      </c>
      <c r="J293" s="580" t="s">
        <v>5250</v>
      </c>
      <c r="K293" s="580" t="s">
        <v>5251</v>
      </c>
      <c r="L293" s="580" t="s">
        <v>4683</v>
      </c>
      <c r="M293" s="580" t="s">
        <v>2824</v>
      </c>
      <c r="N293" s="581"/>
      <c r="O293" s="581"/>
      <c r="P293" s="580" t="s">
        <v>5252</v>
      </c>
      <c r="Q293" s="581"/>
      <c r="R293" s="581"/>
      <c r="S293" s="580" t="s">
        <v>4161</v>
      </c>
      <c r="T293" s="580" t="s">
        <v>5253</v>
      </c>
    </row>
    <row r="294">
      <c r="A294" s="578" t="s">
        <v>514</v>
      </c>
      <c r="B294" s="582"/>
      <c r="C294" s="580" t="s">
        <v>5254</v>
      </c>
      <c r="D294" s="580" t="s">
        <v>4564</v>
      </c>
      <c r="E294" s="580" t="s">
        <v>5255</v>
      </c>
      <c r="F294" s="580" t="s">
        <v>5256</v>
      </c>
      <c r="G294" s="581"/>
      <c r="H294" s="581"/>
      <c r="I294" s="581"/>
      <c r="J294" s="581"/>
      <c r="K294" s="581"/>
      <c r="L294" s="581"/>
      <c r="M294" s="580" t="s">
        <v>2824</v>
      </c>
      <c r="N294" s="581"/>
      <c r="O294" s="581"/>
      <c r="P294" s="581"/>
      <c r="Q294" s="581"/>
      <c r="R294" s="581"/>
      <c r="S294" s="581"/>
      <c r="T294" s="581"/>
    </row>
    <row r="295">
      <c r="A295" s="578" t="s">
        <v>590</v>
      </c>
      <c r="B295" s="577">
        <v>156.11583795176</v>
      </c>
      <c r="C295" s="580" t="s">
        <v>5257</v>
      </c>
      <c r="D295" s="580" t="s">
        <v>4625</v>
      </c>
      <c r="E295" s="580" t="s">
        <v>5258</v>
      </c>
      <c r="F295" s="580" t="s">
        <v>5259</v>
      </c>
      <c r="G295" s="580" t="s">
        <v>5260</v>
      </c>
      <c r="H295" s="580" t="s">
        <v>5261</v>
      </c>
      <c r="I295" s="580" t="s">
        <v>5262</v>
      </c>
      <c r="J295" s="580" t="s">
        <v>4171</v>
      </c>
      <c r="K295" s="580" t="s">
        <v>5263</v>
      </c>
      <c r="L295" s="580" t="s">
        <v>3570</v>
      </c>
      <c r="M295" s="580" t="s">
        <v>2824</v>
      </c>
      <c r="N295" s="581"/>
      <c r="O295" s="581"/>
      <c r="P295" s="580" t="s">
        <v>5264</v>
      </c>
      <c r="Q295" s="580" t="s">
        <v>5265</v>
      </c>
      <c r="R295" s="580" t="s">
        <v>5266</v>
      </c>
      <c r="S295" s="580" t="s">
        <v>5267</v>
      </c>
      <c r="T295" s="580" t="s">
        <v>5268</v>
      </c>
    </row>
    <row r="296">
      <c r="A296" s="578" t="s">
        <v>564</v>
      </c>
      <c r="B296" s="577">
        <v>153.642872507144</v>
      </c>
      <c r="C296" s="580" t="s">
        <v>5269</v>
      </c>
      <c r="D296" s="580" t="s">
        <v>5261</v>
      </c>
      <c r="E296" s="580" t="s">
        <v>5270</v>
      </c>
      <c r="F296" s="580" t="s">
        <v>5271</v>
      </c>
      <c r="G296" s="580" t="s">
        <v>5272</v>
      </c>
      <c r="H296" s="580" t="s">
        <v>5273</v>
      </c>
      <c r="I296" s="580" t="s">
        <v>5274</v>
      </c>
      <c r="J296" s="580" t="s">
        <v>5010</v>
      </c>
      <c r="K296" s="580" t="s">
        <v>5275</v>
      </c>
      <c r="L296" s="580" t="s">
        <v>3492</v>
      </c>
      <c r="M296" s="580" t="s">
        <v>2838</v>
      </c>
      <c r="N296" s="580" t="s">
        <v>5276</v>
      </c>
      <c r="O296" s="580" t="s">
        <v>5277</v>
      </c>
      <c r="P296" s="580" t="s">
        <v>5278</v>
      </c>
      <c r="Q296" s="580" t="s">
        <v>5279</v>
      </c>
      <c r="R296" s="580" t="s">
        <v>5280</v>
      </c>
      <c r="S296" s="580" t="s">
        <v>4009</v>
      </c>
      <c r="T296" s="580" t="s">
        <v>5281</v>
      </c>
    </row>
    <row r="297">
      <c r="A297" s="578" t="s">
        <v>527</v>
      </c>
      <c r="B297" s="577">
        <v>159.354931238347</v>
      </c>
      <c r="C297" s="580" t="s">
        <v>5282</v>
      </c>
      <c r="D297" s="580" t="s">
        <v>5283</v>
      </c>
      <c r="E297" s="580" t="s">
        <v>5284</v>
      </c>
      <c r="F297" s="580" t="s">
        <v>5285</v>
      </c>
      <c r="G297" s="580" t="s">
        <v>5286</v>
      </c>
      <c r="H297" s="580" t="s">
        <v>5287</v>
      </c>
      <c r="I297" s="580" t="s">
        <v>5288</v>
      </c>
      <c r="J297" s="580" t="s">
        <v>5289</v>
      </c>
      <c r="K297" s="580" t="s">
        <v>5290</v>
      </c>
      <c r="L297" s="580" t="s">
        <v>4599</v>
      </c>
      <c r="M297" s="580" t="s">
        <v>2824</v>
      </c>
      <c r="N297" s="581"/>
      <c r="O297" s="581"/>
      <c r="P297" s="580" t="s">
        <v>5291</v>
      </c>
      <c r="Q297" s="581"/>
      <c r="R297" s="581"/>
      <c r="S297" s="581"/>
      <c r="T297" s="581"/>
    </row>
    <row r="298">
      <c r="A298" s="578" t="s">
        <v>508</v>
      </c>
      <c r="B298" s="577">
        <v>158.800736835418</v>
      </c>
      <c r="C298" s="580" t="s">
        <v>5292</v>
      </c>
      <c r="D298" s="580" t="s">
        <v>4790</v>
      </c>
      <c r="E298" s="580" t="s">
        <v>5293</v>
      </c>
      <c r="F298" s="580" t="s">
        <v>4615</v>
      </c>
      <c r="G298" s="580" t="s">
        <v>5294</v>
      </c>
      <c r="H298" s="580" t="s">
        <v>5295</v>
      </c>
      <c r="I298" s="580" t="s">
        <v>5296</v>
      </c>
      <c r="J298" s="580" t="s">
        <v>3483</v>
      </c>
      <c r="K298" s="580" t="s">
        <v>5297</v>
      </c>
      <c r="L298" s="580" t="s">
        <v>4515</v>
      </c>
      <c r="M298" s="580" t="s">
        <v>2838</v>
      </c>
      <c r="N298" s="581"/>
      <c r="O298" s="581"/>
      <c r="P298" s="580" t="s">
        <v>5298</v>
      </c>
      <c r="Q298" s="581"/>
      <c r="R298" s="581"/>
      <c r="S298" s="581"/>
      <c r="T298" s="581"/>
    </row>
    <row r="299">
      <c r="A299" s="578" t="s">
        <v>489</v>
      </c>
      <c r="B299" s="577">
        <v>158.576616292161</v>
      </c>
      <c r="C299" s="580" t="s">
        <v>5299</v>
      </c>
      <c r="D299" s="580" t="s">
        <v>3094</v>
      </c>
      <c r="E299" s="580" t="s">
        <v>5300</v>
      </c>
      <c r="F299" s="580" t="s">
        <v>5301</v>
      </c>
      <c r="G299" s="580" t="s">
        <v>5302</v>
      </c>
      <c r="H299" s="580" t="s">
        <v>5303</v>
      </c>
      <c r="I299" s="580" t="s">
        <v>5304</v>
      </c>
      <c r="J299" s="580" t="s">
        <v>4843</v>
      </c>
      <c r="K299" s="580" t="s">
        <v>5305</v>
      </c>
      <c r="L299" s="580" t="s">
        <v>3774</v>
      </c>
      <c r="M299" s="580" t="s">
        <v>2824</v>
      </c>
      <c r="N299" s="581"/>
      <c r="O299" s="581"/>
      <c r="P299" s="581"/>
      <c r="Q299" s="581"/>
      <c r="R299" s="581"/>
      <c r="S299" s="581"/>
      <c r="T299" s="581"/>
    </row>
    <row r="300">
      <c r="A300" s="578" t="s">
        <v>532</v>
      </c>
      <c r="B300" s="577">
        <v>163.233325715778</v>
      </c>
      <c r="C300" s="580" t="s">
        <v>5306</v>
      </c>
      <c r="D300" s="580" t="s">
        <v>5202</v>
      </c>
      <c r="E300" s="580" t="s">
        <v>5307</v>
      </c>
      <c r="F300" s="580" t="s">
        <v>5308</v>
      </c>
      <c r="G300" s="580" t="s">
        <v>5309</v>
      </c>
      <c r="H300" s="580" t="s">
        <v>5310</v>
      </c>
      <c r="I300" s="580" t="s">
        <v>5311</v>
      </c>
      <c r="J300" s="580" t="s">
        <v>4551</v>
      </c>
      <c r="K300" s="580" t="s">
        <v>5312</v>
      </c>
      <c r="L300" s="580" t="s">
        <v>3608</v>
      </c>
      <c r="M300" s="580" t="s">
        <v>2824</v>
      </c>
      <c r="N300" s="581"/>
      <c r="O300" s="581"/>
      <c r="P300" s="580" t="s">
        <v>5313</v>
      </c>
      <c r="Q300" s="581"/>
      <c r="R300" s="581"/>
      <c r="S300" s="581"/>
      <c r="T300" s="581"/>
    </row>
    <row r="301">
      <c r="A301" s="578" t="s">
        <v>565</v>
      </c>
      <c r="B301" s="577">
        <v>159.813338021191</v>
      </c>
      <c r="C301" s="580" t="s">
        <v>5314</v>
      </c>
      <c r="D301" s="580" t="s">
        <v>4689</v>
      </c>
      <c r="E301" s="580" t="s">
        <v>5315</v>
      </c>
      <c r="F301" s="580" t="s">
        <v>5316</v>
      </c>
      <c r="G301" s="580" t="s">
        <v>5317</v>
      </c>
      <c r="H301" s="580" t="s">
        <v>5318</v>
      </c>
      <c r="I301" s="580" t="s">
        <v>5319</v>
      </c>
      <c r="J301" s="580" t="s">
        <v>2876</v>
      </c>
      <c r="K301" s="580" t="s">
        <v>5320</v>
      </c>
      <c r="L301" s="580" t="s">
        <v>3688</v>
      </c>
      <c r="M301" s="580" t="s">
        <v>2824</v>
      </c>
      <c r="N301" s="581"/>
      <c r="O301" s="581"/>
      <c r="P301" s="580" t="s">
        <v>5321</v>
      </c>
      <c r="Q301" s="581"/>
      <c r="R301" s="581"/>
      <c r="S301" s="580" t="s">
        <v>5322</v>
      </c>
      <c r="T301" s="580" t="s">
        <v>4059</v>
      </c>
    </row>
    <row r="302">
      <c r="A302" s="578" t="s">
        <v>513</v>
      </c>
      <c r="B302" s="577">
        <v>160.0</v>
      </c>
      <c r="C302" s="580" t="s">
        <v>5323</v>
      </c>
      <c r="D302" s="580" t="s">
        <v>3258</v>
      </c>
      <c r="E302" s="580" t="s">
        <v>5324</v>
      </c>
      <c r="F302" s="580" t="s">
        <v>5325</v>
      </c>
      <c r="G302" s="580" t="s">
        <v>5326</v>
      </c>
      <c r="H302" s="580" t="s">
        <v>5327</v>
      </c>
      <c r="I302" s="580" t="s">
        <v>5328</v>
      </c>
      <c r="J302" s="580" t="s">
        <v>3850</v>
      </c>
      <c r="K302" s="580" t="s">
        <v>5329</v>
      </c>
      <c r="L302" s="580" t="s">
        <v>4189</v>
      </c>
      <c r="M302" s="580" t="s">
        <v>2824</v>
      </c>
      <c r="N302" s="581"/>
      <c r="O302" s="581"/>
      <c r="P302" s="580" t="s">
        <v>5330</v>
      </c>
      <c r="Q302" s="580" t="s">
        <v>5331</v>
      </c>
      <c r="R302" s="580" t="s">
        <v>3941</v>
      </c>
      <c r="S302" s="581"/>
      <c r="T302" s="581"/>
    </row>
    <row r="303">
      <c r="A303" s="578" t="s">
        <v>518</v>
      </c>
      <c r="B303" s="577">
        <v>136.939404313591</v>
      </c>
      <c r="C303" s="580" t="s">
        <v>5332</v>
      </c>
      <c r="D303" s="580" t="s">
        <v>5333</v>
      </c>
      <c r="E303" s="580" t="s">
        <v>5334</v>
      </c>
      <c r="F303" s="580" t="s">
        <v>4026</v>
      </c>
      <c r="G303" s="580" t="s">
        <v>5335</v>
      </c>
      <c r="H303" s="580" t="s">
        <v>5336</v>
      </c>
      <c r="I303" s="580" t="s">
        <v>5337</v>
      </c>
      <c r="J303" s="580" t="s">
        <v>5338</v>
      </c>
      <c r="K303" s="580" t="s">
        <v>5339</v>
      </c>
      <c r="L303" s="580" t="s">
        <v>5340</v>
      </c>
      <c r="M303" s="580" t="s">
        <v>2824</v>
      </c>
      <c r="N303" s="581"/>
      <c r="O303" s="581"/>
      <c r="P303" s="580" t="s">
        <v>5341</v>
      </c>
      <c r="Q303" s="580" t="s">
        <v>5342</v>
      </c>
      <c r="R303" s="580" t="s">
        <v>5343</v>
      </c>
      <c r="S303" s="581"/>
      <c r="T303" s="581"/>
    </row>
    <row r="304">
      <c r="A304" s="578" t="s">
        <v>543</v>
      </c>
      <c r="B304" s="577">
        <v>159.499808600229</v>
      </c>
      <c r="C304" s="580" t="s">
        <v>5344</v>
      </c>
      <c r="D304" s="580" t="s">
        <v>5345</v>
      </c>
      <c r="E304" s="580" t="s">
        <v>5346</v>
      </c>
      <c r="F304" s="580" t="s">
        <v>5347</v>
      </c>
      <c r="G304" s="580" t="s">
        <v>5348</v>
      </c>
      <c r="H304" s="580" t="s">
        <v>5349</v>
      </c>
      <c r="I304" s="580" t="s">
        <v>5350</v>
      </c>
      <c r="J304" s="580" t="s">
        <v>3653</v>
      </c>
      <c r="K304" s="580" t="s">
        <v>5351</v>
      </c>
      <c r="L304" s="580" t="s">
        <v>3608</v>
      </c>
      <c r="M304" s="580" t="s">
        <v>2824</v>
      </c>
      <c r="N304" s="581"/>
      <c r="O304" s="581"/>
      <c r="P304" s="580" t="s">
        <v>5352</v>
      </c>
      <c r="Q304" s="580" t="s">
        <v>5353</v>
      </c>
      <c r="R304" s="580" t="s">
        <v>5354</v>
      </c>
      <c r="S304" s="581"/>
      <c r="T304" s="581"/>
    </row>
    <row r="305">
      <c r="A305" s="578" t="s">
        <v>520</v>
      </c>
      <c r="B305" s="577">
        <v>165.461555007693</v>
      </c>
      <c r="C305" s="580" t="s">
        <v>5355</v>
      </c>
      <c r="D305" s="580" t="s">
        <v>5356</v>
      </c>
      <c r="E305" s="580" t="s">
        <v>5357</v>
      </c>
      <c r="F305" s="580" t="s">
        <v>4358</v>
      </c>
      <c r="G305" s="580" t="s">
        <v>5358</v>
      </c>
      <c r="H305" s="580" t="s">
        <v>5359</v>
      </c>
      <c r="I305" s="580" t="s">
        <v>5360</v>
      </c>
      <c r="J305" s="580" t="s">
        <v>3651</v>
      </c>
      <c r="K305" s="580" t="s">
        <v>5361</v>
      </c>
      <c r="L305" s="580" t="s">
        <v>5362</v>
      </c>
      <c r="M305" s="580" t="s">
        <v>2824</v>
      </c>
      <c r="N305" s="581"/>
      <c r="O305" s="581"/>
      <c r="P305" s="580" t="s">
        <v>5363</v>
      </c>
      <c r="Q305" s="581"/>
      <c r="R305" s="581"/>
      <c r="S305" s="581"/>
      <c r="T305" s="581"/>
    </row>
    <row r="306">
      <c r="A306" s="578" t="s">
        <v>570</v>
      </c>
      <c r="B306" s="577">
        <v>161.668418074529</v>
      </c>
      <c r="C306" s="580" t="s">
        <v>5364</v>
      </c>
      <c r="D306" s="580" t="s">
        <v>3390</v>
      </c>
      <c r="E306" s="580" t="s">
        <v>5365</v>
      </c>
      <c r="F306" s="580" t="s">
        <v>5366</v>
      </c>
      <c r="G306" s="580" t="s">
        <v>5367</v>
      </c>
      <c r="H306" s="580" t="s">
        <v>3771</v>
      </c>
      <c r="I306" s="580" t="s">
        <v>5368</v>
      </c>
      <c r="J306" s="580" t="s">
        <v>2876</v>
      </c>
      <c r="K306" s="580" t="s">
        <v>5369</v>
      </c>
      <c r="L306" s="580" t="s">
        <v>4619</v>
      </c>
      <c r="M306" s="580" t="s">
        <v>2824</v>
      </c>
      <c r="N306" s="581"/>
      <c r="O306" s="581"/>
      <c r="P306" s="580" t="s">
        <v>5370</v>
      </c>
      <c r="Q306" s="581"/>
      <c r="R306" s="581"/>
      <c r="S306" s="580" t="s">
        <v>3451</v>
      </c>
      <c r="T306" s="580" t="s">
        <v>5371</v>
      </c>
    </row>
    <row r="307">
      <c r="A307" s="578" t="s">
        <v>5372</v>
      </c>
      <c r="B307" s="577">
        <v>151.334009291908</v>
      </c>
      <c r="C307" s="580" t="s">
        <v>5373</v>
      </c>
      <c r="D307" s="580" t="s">
        <v>5135</v>
      </c>
      <c r="E307" s="580" t="s">
        <v>5374</v>
      </c>
      <c r="F307" s="580" t="s">
        <v>5375</v>
      </c>
      <c r="G307" s="580" t="s">
        <v>5376</v>
      </c>
      <c r="H307" s="580" t="s">
        <v>5377</v>
      </c>
      <c r="I307" s="580" t="s">
        <v>5378</v>
      </c>
      <c r="J307" s="580" t="s">
        <v>2876</v>
      </c>
      <c r="K307" s="580" t="s">
        <v>5379</v>
      </c>
      <c r="L307" s="580" t="s">
        <v>3054</v>
      </c>
      <c r="M307" s="580" t="s">
        <v>2838</v>
      </c>
      <c r="N307" s="580" t="s">
        <v>5380</v>
      </c>
      <c r="O307" s="580" t="s">
        <v>5034</v>
      </c>
      <c r="P307" s="580" t="s">
        <v>5381</v>
      </c>
      <c r="Q307" s="580" t="s">
        <v>5382</v>
      </c>
      <c r="R307" s="580" t="s">
        <v>5383</v>
      </c>
      <c r="S307" s="580" t="s">
        <v>5384</v>
      </c>
      <c r="T307" s="580" t="s">
        <v>5385</v>
      </c>
    </row>
    <row r="308">
      <c r="A308" s="578" t="s">
        <v>544</v>
      </c>
      <c r="B308" s="577">
        <v>159.507441022123</v>
      </c>
      <c r="C308" s="580" t="s">
        <v>5386</v>
      </c>
      <c r="D308" s="580" t="s">
        <v>3487</v>
      </c>
      <c r="E308" s="580" t="s">
        <v>5387</v>
      </c>
      <c r="F308" s="580" t="s">
        <v>5388</v>
      </c>
      <c r="G308" s="580" t="s">
        <v>5389</v>
      </c>
      <c r="H308" s="580" t="s">
        <v>3552</v>
      </c>
      <c r="I308" s="580" t="s">
        <v>5390</v>
      </c>
      <c r="J308" s="580" t="s">
        <v>4491</v>
      </c>
      <c r="K308" s="580" t="s">
        <v>5391</v>
      </c>
      <c r="L308" s="580" t="s">
        <v>3570</v>
      </c>
      <c r="M308" s="580" t="s">
        <v>2824</v>
      </c>
      <c r="N308" s="581"/>
      <c r="O308" s="581"/>
      <c r="P308" s="580" t="s">
        <v>5392</v>
      </c>
      <c r="Q308" s="581"/>
      <c r="R308" s="581"/>
      <c r="S308" s="580" t="s">
        <v>5034</v>
      </c>
      <c r="T308" s="580" t="s">
        <v>3911</v>
      </c>
    </row>
    <row r="309">
      <c r="A309" s="578" t="s">
        <v>561</v>
      </c>
      <c r="B309" s="577">
        <v>158.330562548488</v>
      </c>
      <c r="C309" s="580" t="s">
        <v>5393</v>
      </c>
      <c r="D309" s="580" t="s">
        <v>5394</v>
      </c>
      <c r="E309" s="580" t="s">
        <v>5395</v>
      </c>
      <c r="F309" s="580" t="s">
        <v>5396</v>
      </c>
      <c r="G309" s="580" t="s">
        <v>5397</v>
      </c>
      <c r="H309" s="580" t="s">
        <v>5308</v>
      </c>
      <c r="I309" s="580" t="s">
        <v>5398</v>
      </c>
      <c r="J309" s="580" t="s">
        <v>5371</v>
      </c>
      <c r="K309" s="580" t="s">
        <v>5399</v>
      </c>
      <c r="L309" s="580" t="s">
        <v>3039</v>
      </c>
      <c r="M309" s="580" t="s">
        <v>2824</v>
      </c>
      <c r="N309" s="581"/>
      <c r="O309" s="581"/>
      <c r="P309" s="580" t="s">
        <v>5400</v>
      </c>
      <c r="Q309" s="580" t="s">
        <v>5401</v>
      </c>
      <c r="R309" s="580" t="s">
        <v>5402</v>
      </c>
      <c r="S309" s="580" t="s">
        <v>5403</v>
      </c>
      <c r="T309" s="580" t="s">
        <v>5404</v>
      </c>
    </row>
    <row r="310">
      <c r="A310" s="578" t="s">
        <v>526</v>
      </c>
      <c r="B310" s="577">
        <v>160.274389755261</v>
      </c>
      <c r="C310" s="580" t="s">
        <v>5405</v>
      </c>
      <c r="D310" s="580" t="s">
        <v>3737</v>
      </c>
      <c r="E310" s="580" t="s">
        <v>5406</v>
      </c>
      <c r="F310" s="580" t="s">
        <v>5407</v>
      </c>
      <c r="G310" s="580" t="s">
        <v>5408</v>
      </c>
      <c r="H310" s="580" t="s">
        <v>5409</v>
      </c>
      <c r="I310" s="580" t="s">
        <v>5410</v>
      </c>
      <c r="J310" s="580" t="s">
        <v>5411</v>
      </c>
      <c r="K310" s="580" t="s">
        <v>5412</v>
      </c>
      <c r="L310" s="580" t="s">
        <v>3396</v>
      </c>
      <c r="M310" s="580" t="s">
        <v>2838</v>
      </c>
      <c r="N310" s="581"/>
      <c r="O310" s="581"/>
      <c r="P310" s="580" t="s">
        <v>5413</v>
      </c>
      <c r="Q310" s="580" t="s">
        <v>5414</v>
      </c>
      <c r="R310" s="580" t="s">
        <v>5415</v>
      </c>
      <c r="S310" s="581"/>
      <c r="T310" s="581"/>
    </row>
    <row r="311">
      <c r="A311" s="578" t="s">
        <v>523</v>
      </c>
      <c r="B311" s="577">
        <v>163.235990271134</v>
      </c>
      <c r="C311" s="580" t="s">
        <v>5416</v>
      </c>
      <c r="D311" s="580" t="s">
        <v>4264</v>
      </c>
      <c r="E311" s="580" t="s">
        <v>5417</v>
      </c>
      <c r="F311" s="580" t="s">
        <v>5418</v>
      </c>
      <c r="G311" s="580" t="s">
        <v>5419</v>
      </c>
      <c r="H311" s="580" t="s">
        <v>5409</v>
      </c>
      <c r="I311" s="580" t="s">
        <v>5420</v>
      </c>
      <c r="J311" s="580" t="s">
        <v>3681</v>
      </c>
      <c r="K311" s="580" t="s">
        <v>5421</v>
      </c>
      <c r="L311" s="580" t="s">
        <v>4505</v>
      </c>
      <c r="M311" s="580" t="s">
        <v>2824</v>
      </c>
      <c r="N311" s="581"/>
      <c r="O311" s="581"/>
      <c r="P311" s="580" t="s">
        <v>5422</v>
      </c>
      <c r="Q311" s="581"/>
      <c r="R311" s="581"/>
      <c r="S311" s="581"/>
      <c r="T311" s="581"/>
    </row>
    <row r="312">
      <c r="A312" s="578" t="s">
        <v>533</v>
      </c>
      <c r="B312" s="577">
        <v>162.250742297146</v>
      </c>
      <c r="C312" s="580" t="s">
        <v>5423</v>
      </c>
      <c r="D312" s="580" t="s">
        <v>3552</v>
      </c>
      <c r="E312" s="580" t="s">
        <v>5424</v>
      </c>
      <c r="F312" s="580" t="s">
        <v>5425</v>
      </c>
      <c r="G312" s="580" t="s">
        <v>5426</v>
      </c>
      <c r="H312" s="580" t="s">
        <v>5427</v>
      </c>
      <c r="I312" s="580" t="s">
        <v>5428</v>
      </c>
      <c r="J312" s="580" t="s">
        <v>2876</v>
      </c>
      <c r="K312" s="580" t="s">
        <v>5429</v>
      </c>
      <c r="L312" s="580" t="s">
        <v>3054</v>
      </c>
      <c r="M312" s="580" t="s">
        <v>2824</v>
      </c>
      <c r="N312" s="581"/>
      <c r="O312" s="581"/>
      <c r="P312" s="580" t="s">
        <v>5430</v>
      </c>
      <c r="Q312" s="581"/>
      <c r="R312" s="581"/>
      <c r="S312" s="580" t="s">
        <v>5431</v>
      </c>
      <c r="T312" s="580" t="s">
        <v>3908</v>
      </c>
    </row>
    <row r="313">
      <c r="A313" s="578" t="s">
        <v>530</v>
      </c>
      <c r="B313" s="577">
        <v>157.90554090543</v>
      </c>
      <c r="C313" s="580" t="s">
        <v>5432</v>
      </c>
      <c r="D313" s="580" t="s">
        <v>4639</v>
      </c>
      <c r="E313" s="580" t="s">
        <v>5433</v>
      </c>
      <c r="F313" s="580" t="s">
        <v>5434</v>
      </c>
      <c r="G313" s="580" t="s">
        <v>5435</v>
      </c>
      <c r="H313" s="580" t="s">
        <v>3290</v>
      </c>
      <c r="I313" s="580" t="s">
        <v>5436</v>
      </c>
      <c r="J313" s="580" t="s">
        <v>2853</v>
      </c>
      <c r="K313" s="580" t="s">
        <v>5437</v>
      </c>
      <c r="L313" s="580" t="s">
        <v>4505</v>
      </c>
      <c r="M313" s="580" t="s">
        <v>2824</v>
      </c>
      <c r="N313" s="581"/>
      <c r="O313" s="581"/>
      <c r="P313" s="580" t="s">
        <v>5237</v>
      </c>
      <c r="Q313" s="580" t="s">
        <v>5438</v>
      </c>
      <c r="R313" s="580" t="s">
        <v>5439</v>
      </c>
      <c r="S313" s="581"/>
      <c r="T313" s="581"/>
    </row>
    <row r="314">
      <c r="A314" s="578" t="s">
        <v>548</v>
      </c>
      <c r="B314" s="577">
        <v>158.561529801639</v>
      </c>
      <c r="C314" s="580" t="s">
        <v>5440</v>
      </c>
      <c r="D314" s="580" t="s">
        <v>5441</v>
      </c>
      <c r="E314" s="580" t="s">
        <v>5442</v>
      </c>
      <c r="F314" s="580" t="s">
        <v>5443</v>
      </c>
      <c r="G314" s="580" t="s">
        <v>5444</v>
      </c>
      <c r="H314" s="580" t="s">
        <v>5445</v>
      </c>
      <c r="I314" s="580" t="s">
        <v>5446</v>
      </c>
      <c r="J314" s="580" t="s">
        <v>3394</v>
      </c>
      <c r="K314" s="580" t="s">
        <v>3359</v>
      </c>
      <c r="L314" s="580" t="s">
        <v>4586</v>
      </c>
      <c r="M314" s="580" t="s">
        <v>2824</v>
      </c>
      <c r="N314" s="581"/>
      <c r="O314" s="581"/>
      <c r="P314" s="580" t="s">
        <v>5447</v>
      </c>
      <c r="Q314" s="581"/>
      <c r="R314" s="581"/>
      <c r="S314" s="580" t="s">
        <v>5448</v>
      </c>
      <c r="T314" s="580" t="s">
        <v>2853</v>
      </c>
    </row>
    <row r="315">
      <c r="A315" s="578" t="s">
        <v>585</v>
      </c>
      <c r="B315" s="577">
        <v>163.904869613676</v>
      </c>
      <c r="C315" s="580" t="s">
        <v>5449</v>
      </c>
      <c r="D315" s="580" t="s">
        <v>5450</v>
      </c>
      <c r="E315" s="580" t="s">
        <v>5451</v>
      </c>
      <c r="F315" s="580" t="s">
        <v>5452</v>
      </c>
      <c r="G315" s="580" t="s">
        <v>5453</v>
      </c>
      <c r="H315" s="580" t="s">
        <v>5454</v>
      </c>
      <c r="I315" s="580" t="s">
        <v>5455</v>
      </c>
      <c r="J315" s="580" t="s">
        <v>4871</v>
      </c>
      <c r="K315" s="580" t="s">
        <v>5456</v>
      </c>
      <c r="L315" s="580" t="s">
        <v>3688</v>
      </c>
      <c r="M315" s="580" t="s">
        <v>2824</v>
      </c>
      <c r="N315" s="581"/>
      <c r="O315" s="581"/>
      <c r="P315" s="580" t="s">
        <v>5457</v>
      </c>
      <c r="Q315" s="581"/>
      <c r="R315" s="581"/>
      <c r="S315" s="580" t="s">
        <v>5458</v>
      </c>
      <c r="T315" s="580" t="s">
        <v>3619</v>
      </c>
    </row>
    <row r="316">
      <c r="A316" s="578" t="s">
        <v>581</v>
      </c>
      <c r="B316" s="577">
        <v>161.681487469684</v>
      </c>
      <c r="C316" s="580" t="s">
        <v>5459</v>
      </c>
      <c r="D316" s="580" t="s">
        <v>5460</v>
      </c>
      <c r="E316" s="580" t="s">
        <v>5461</v>
      </c>
      <c r="F316" s="580" t="s">
        <v>5462</v>
      </c>
      <c r="G316" s="580" t="s">
        <v>5463</v>
      </c>
      <c r="H316" s="580" t="s">
        <v>5464</v>
      </c>
      <c r="I316" s="580" t="s">
        <v>5465</v>
      </c>
      <c r="J316" s="580" t="s">
        <v>3465</v>
      </c>
      <c r="K316" s="580" t="s">
        <v>5466</v>
      </c>
      <c r="L316" s="580" t="s">
        <v>5467</v>
      </c>
      <c r="M316" s="580" t="s">
        <v>2824</v>
      </c>
      <c r="N316" s="581"/>
      <c r="O316" s="581"/>
      <c r="P316" s="580" t="s">
        <v>5468</v>
      </c>
      <c r="Q316" s="581"/>
      <c r="R316" s="581"/>
      <c r="S316" s="580" t="s">
        <v>4532</v>
      </c>
      <c r="T316" s="580" t="s">
        <v>3191</v>
      </c>
    </row>
    <row r="317">
      <c r="A317" s="578" t="s">
        <v>555</v>
      </c>
      <c r="B317" s="577">
        <v>160.269252343937</v>
      </c>
      <c r="C317" s="580" t="s">
        <v>5469</v>
      </c>
      <c r="D317" s="580" t="s">
        <v>5470</v>
      </c>
      <c r="E317" s="580" t="s">
        <v>5471</v>
      </c>
      <c r="F317" s="580" t="s">
        <v>5472</v>
      </c>
      <c r="G317" s="580" t="s">
        <v>5473</v>
      </c>
      <c r="H317" s="580" t="s">
        <v>5474</v>
      </c>
      <c r="I317" s="580" t="s">
        <v>5475</v>
      </c>
      <c r="J317" s="580" t="s">
        <v>4171</v>
      </c>
      <c r="K317" s="580" t="s">
        <v>5476</v>
      </c>
      <c r="L317" s="580" t="s">
        <v>4586</v>
      </c>
      <c r="M317" s="580" t="s">
        <v>2824</v>
      </c>
      <c r="N317" s="581"/>
      <c r="O317" s="581"/>
      <c r="P317" s="580" t="s">
        <v>5477</v>
      </c>
      <c r="Q317" s="581"/>
      <c r="R317" s="581"/>
      <c r="S317" s="580" t="s">
        <v>4562</v>
      </c>
      <c r="T317" s="580" t="s">
        <v>4489</v>
      </c>
    </row>
    <row r="318">
      <c r="A318" s="578" t="s">
        <v>549</v>
      </c>
      <c r="B318" s="577">
        <v>160.30779095864</v>
      </c>
      <c r="C318" s="580" t="s">
        <v>5478</v>
      </c>
      <c r="D318" s="580" t="s">
        <v>4527</v>
      </c>
      <c r="E318" s="580" t="s">
        <v>5479</v>
      </c>
      <c r="F318" s="580" t="s">
        <v>4525</v>
      </c>
      <c r="G318" s="580" t="s">
        <v>5480</v>
      </c>
      <c r="H318" s="580" t="s">
        <v>5481</v>
      </c>
      <c r="I318" s="580" t="s">
        <v>5482</v>
      </c>
      <c r="J318" s="580" t="s">
        <v>4691</v>
      </c>
      <c r="K318" s="580" t="s">
        <v>5483</v>
      </c>
      <c r="L318" s="580" t="s">
        <v>5012</v>
      </c>
      <c r="M318" s="580" t="s">
        <v>2824</v>
      </c>
      <c r="N318" s="581"/>
      <c r="O318" s="581"/>
      <c r="P318" s="580" t="s">
        <v>5484</v>
      </c>
      <c r="Q318" s="581"/>
      <c r="R318" s="581"/>
      <c r="S318" s="581"/>
      <c r="T318" s="581"/>
    </row>
    <row r="319">
      <c r="A319" s="578" t="s">
        <v>578</v>
      </c>
      <c r="B319" s="577">
        <v>155.293971488026</v>
      </c>
      <c r="C319" s="580" t="s">
        <v>5485</v>
      </c>
      <c r="D319" s="580" t="s">
        <v>3550</v>
      </c>
      <c r="E319" s="580" t="s">
        <v>5486</v>
      </c>
      <c r="F319" s="580" t="s">
        <v>5487</v>
      </c>
      <c r="G319" s="580" t="s">
        <v>5488</v>
      </c>
      <c r="H319" s="580" t="s">
        <v>5489</v>
      </c>
      <c r="I319" s="580" t="s">
        <v>5490</v>
      </c>
      <c r="J319" s="580" t="s">
        <v>2857</v>
      </c>
      <c r="K319" s="580" t="s">
        <v>5491</v>
      </c>
      <c r="L319" s="580" t="s">
        <v>3554</v>
      </c>
      <c r="M319" s="580" t="s">
        <v>2824</v>
      </c>
      <c r="N319" s="580" t="s">
        <v>5492</v>
      </c>
      <c r="O319" s="580" t="s">
        <v>5493</v>
      </c>
      <c r="P319" s="580" t="s">
        <v>5484</v>
      </c>
      <c r="Q319" s="581"/>
      <c r="R319" s="581"/>
      <c r="S319" s="580" t="s">
        <v>4313</v>
      </c>
      <c r="T319" s="580" t="s">
        <v>5494</v>
      </c>
    </row>
    <row r="320">
      <c r="A320" s="578" t="s">
        <v>550</v>
      </c>
      <c r="B320" s="577">
        <v>157.339081454442</v>
      </c>
      <c r="C320" s="580" t="s">
        <v>5495</v>
      </c>
      <c r="D320" s="580" t="s">
        <v>3342</v>
      </c>
      <c r="E320" s="580" t="s">
        <v>5496</v>
      </c>
      <c r="F320" s="580" t="s">
        <v>5497</v>
      </c>
      <c r="G320" s="580" t="s">
        <v>5498</v>
      </c>
      <c r="H320" s="580" t="s">
        <v>5499</v>
      </c>
      <c r="I320" s="580" t="s">
        <v>5500</v>
      </c>
      <c r="J320" s="580" t="s">
        <v>4270</v>
      </c>
      <c r="K320" s="580" t="s">
        <v>5501</v>
      </c>
      <c r="L320" s="580" t="s">
        <v>4201</v>
      </c>
      <c r="M320" s="580" t="s">
        <v>2824</v>
      </c>
      <c r="N320" s="581"/>
      <c r="O320" s="581"/>
      <c r="P320" s="580" t="s">
        <v>5502</v>
      </c>
      <c r="Q320" s="581"/>
      <c r="R320" s="581"/>
      <c r="S320" s="581"/>
      <c r="T320" s="581"/>
    </row>
    <row r="321">
      <c r="A321" s="578" t="s">
        <v>591</v>
      </c>
      <c r="B321" s="577">
        <v>154.194871478574</v>
      </c>
      <c r="C321" s="580" t="s">
        <v>5503</v>
      </c>
      <c r="D321" s="580" t="s">
        <v>4502</v>
      </c>
      <c r="E321" s="580" t="s">
        <v>5504</v>
      </c>
      <c r="F321" s="580" t="s">
        <v>5505</v>
      </c>
      <c r="G321" s="580" t="s">
        <v>5506</v>
      </c>
      <c r="H321" s="580" t="s">
        <v>5507</v>
      </c>
      <c r="I321" s="580" t="s">
        <v>5508</v>
      </c>
      <c r="J321" s="580" t="s">
        <v>2846</v>
      </c>
      <c r="K321" s="580" t="s">
        <v>5509</v>
      </c>
      <c r="L321" s="580" t="s">
        <v>5510</v>
      </c>
      <c r="M321" s="580" t="s">
        <v>2824</v>
      </c>
      <c r="N321" s="581"/>
      <c r="O321" s="581"/>
      <c r="P321" s="580" t="s">
        <v>5511</v>
      </c>
      <c r="Q321" s="581"/>
      <c r="R321" s="581"/>
      <c r="S321" s="580" t="s">
        <v>5512</v>
      </c>
      <c r="T321" s="580" t="s">
        <v>5513</v>
      </c>
    </row>
    <row r="322">
      <c r="A322" s="578" t="s">
        <v>521</v>
      </c>
      <c r="B322" s="577">
        <v>154.547562012209</v>
      </c>
      <c r="C322" s="580" t="s">
        <v>5514</v>
      </c>
      <c r="D322" s="580" t="s">
        <v>5515</v>
      </c>
      <c r="E322" s="580" t="s">
        <v>5516</v>
      </c>
      <c r="F322" s="580" t="s">
        <v>5517</v>
      </c>
      <c r="G322" s="580" t="s">
        <v>5518</v>
      </c>
      <c r="H322" s="580" t="s">
        <v>5519</v>
      </c>
      <c r="I322" s="580" t="s">
        <v>5520</v>
      </c>
      <c r="J322" s="580" t="s">
        <v>5521</v>
      </c>
      <c r="K322" s="580" t="s">
        <v>5522</v>
      </c>
      <c r="L322" s="580" t="s">
        <v>4599</v>
      </c>
      <c r="M322" s="580" t="s">
        <v>2824</v>
      </c>
      <c r="N322" s="581"/>
      <c r="O322" s="581"/>
      <c r="P322" s="580" t="s">
        <v>5523</v>
      </c>
      <c r="Q322" s="581"/>
      <c r="R322" s="581"/>
      <c r="S322" s="581"/>
      <c r="T322" s="581"/>
    </row>
    <row r="323">
      <c r="A323" s="578" t="s">
        <v>557</v>
      </c>
      <c r="B323" s="577">
        <v>155.891935710165</v>
      </c>
      <c r="C323" s="580" t="s">
        <v>5524</v>
      </c>
      <c r="D323" s="580" t="s">
        <v>5525</v>
      </c>
      <c r="E323" s="580" t="s">
        <v>5526</v>
      </c>
      <c r="F323" s="580" t="s">
        <v>5527</v>
      </c>
      <c r="G323" s="580" t="s">
        <v>5528</v>
      </c>
      <c r="H323" s="580" t="s">
        <v>5529</v>
      </c>
      <c r="I323" s="580" t="s">
        <v>5530</v>
      </c>
      <c r="J323" s="580" t="s">
        <v>4479</v>
      </c>
      <c r="K323" s="580" t="s">
        <v>5531</v>
      </c>
      <c r="L323" s="580" t="s">
        <v>4311</v>
      </c>
      <c r="M323" s="580" t="s">
        <v>2824</v>
      </c>
      <c r="N323" s="581"/>
      <c r="O323" s="581"/>
      <c r="P323" s="580" t="s">
        <v>5532</v>
      </c>
      <c r="Q323" s="580" t="s">
        <v>5533</v>
      </c>
      <c r="R323" s="580" t="s">
        <v>5534</v>
      </c>
      <c r="S323" s="580" t="s">
        <v>4682</v>
      </c>
      <c r="T323" s="580" t="s">
        <v>3923</v>
      </c>
    </row>
    <row r="324">
      <c r="A324" s="578" t="s">
        <v>556</v>
      </c>
      <c r="B324" s="577">
        <v>155.889505518488</v>
      </c>
      <c r="C324" s="580" t="s">
        <v>5535</v>
      </c>
      <c r="D324" s="580" t="s">
        <v>4617</v>
      </c>
      <c r="E324" s="580" t="s">
        <v>5536</v>
      </c>
      <c r="F324" s="580" t="s">
        <v>5537</v>
      </c>
      <c r="G324" s="580" t="s">
        <v>5538</v>
      </c>
      <c r="H324" s="580" t="s">
        <v>4722</v>
      </c>
      <c r="I324" s="580" t="s">
        <v>5539</v>
      </c>
      <c r="J324" s="580" t="s">
        <v>4332</v>
      </c>
      <c r="K324" s="580" t="s">
        <v>5540</v>
      </c>
      <c r="L324" s="580" t="s">
        <v>2827</v>
      </c>
      <c r="M324" s="580" t="s">
        <v>2824</v>
      </c>
      <c r="N324" s="581"/>
      <c r="O324" s="581"/>
      <c r="P324" s="580" t="s">
        <v>5541</v>
      </c>
      <c r="Q324" s="581"/>
      <c r="R324" s="581"/>
      <c r="S324" s="580" t="s">
        <v>5542</v>
      </c>
      <c r="T324" s="580" t="s">
        <v>3588</v>
      </c>
    </row>
    <row r="325">
      <c r="A325" s="578" t="s">
        <v>582</v>
      </c>
      <c r="B325" s="577">
        <v>156.779129562272</v>
      </c>
      <c r="C325" s="580" t="s">
        <v>5543</v>
      </c>
      <c r="D325" s="580" t="s">
        <v>5544</v>
      </c>
      <c r="E325" s="580" t="s">
        <v>5545</v>
      </c>
      <c r="F325" s="580" t="s">
        <v>4226</v>
      </c>
      <c r="G325" s="580" t="s">
        <v>5546</v>
      </c>
      <c r="H325" s="580" t="s">
        <v>5547</v>
      </c>
      <c r="I325" s="580" t="s">
        <v>5548</v>
      </c>
      <c r="J325" s="580" t="s">
        <v>3514</v>
      </c>
      <c r="K325" s="580" t="s">
        <v>5549</v>
      </c>
      <c r="L325" s="580" t="s">
        <v>4162</v>
      </c>
      <c r="M325" s="580" t="s">
        <v>2824</v>
      </c>
      <c r="N325" s="581"/>
      <c r="O325" s="581"/>
      <c r="P325" s="580" t="s">
        <v>3526</v>
      </c>
      <c r="Q325" s="581"/>
      <c r="R325" s="581"/>
      <c r="S325" s="581"/>
      <c r="T325" s="581"/>
    </row>
    <row r="326">
      <c r="A326" s="578" t="s">
        <v>547</v>
      </c>
      <c r="B326" s="582"/>
      <c r="C326" s="580" t="s">
        <v>5550</v>
      </c>
      <c r="D326" s="580" t="s">
        <v>3978</v>
      </c>
      <c r="E326" s="580" t="s">
        <v>5551</v>
      </c>
      <c r="F326" s="580" t="s">
        <v>5552</v>
      </c>
      <c r="G326" s="581"/>
      <c r="H326" s="581"/>
      <c r="I326" s="581"/>
      <c r="J326" s="581"/>
      <c r="K326" s="581"/>
      <c r="L326" s="581"/>
      <c r="M326" s="580" t="s">
        <v>2838</v>
      </c>
      <c r="N326" s="581"/>
      <c r="O326" s="581"/>
      <c r="P326" s="580" t="s">
        <v>3443</v>
      </c>
      <c r="Q326" s="581"/>
      <c r="R326" s="581"/>
      <c r="S326" s="581"/>
      <c r="T326" s="581"/>
    </row>
    <row r="327">
      <c r="A327" s="578" t="s">
        <v>540</v>
      </c>
      <c r="B327" s="577">
        <v>159.537978015666</v>
      </c>
      <c r="C327" s="580" t="s">
        <v>5553</v>
      </c>
      <c r="D327" s="580" t="s">
        <v>4168</v>
      </c>
      <c r="E327" s="580" t="s">
        <v>5554</v>
      </c>
      <c r="F327" s="580" t="s">
        <v>5505</v>
      </c>
      <c r="G327" s="580" t="s">
        <v>5555</v>
      </c>
      <c r="H327" s="580" t="s">
        <v>5556</v>
      </c>
      <c r="I327" s="580" t="s">
        <v>5557</v>
      </c>
      <c r="J327" s="580" t="s">
        <v>4691</v>
      </c>
      <c r="K327" s="580" t="s">
        <v>5558</v>
      </c>
      <c r="L327" s="580" t="s">
        <v>3673</v>
      </c>
      <c r="M327" s="580" t="s">
        <v>2824</v>
      </c>
      <c r="N327" s="581"/>
      <c r="O327" s="581"/>
      <c r="P327" s="580" t="s">
        <v>5559</v>
      </c>
      <c r="Q327" s="581"/>
      <c r="R327" s="581"/>
      <c r="S327" s="580" t="s">
        <v>5431</v>
      </c>
      <c r="T327" s="580" t="s">
        <v>3911</v>
      </c>
    </row>
    <row r="328">
      <c r="A328" s="578" t="s">
        <v>579</v>
      </c>
      <c r="B328" s="577">
        <v>154.822727976466</v>
      </c>
      <c r="C328" s="580" t="s">
        <v>5560</v>
      </c>
      <c r="D328" s="580" t="s">
        <v>4967</v>
      </c>
      <c r="E328" s="580" t="s">
        <v>5561</v>
      </c>
      <c r="F328" s="580" t="s">
        <v>4328</v>
      </c>
      <c r="G328" s="580" t="s">
        <v>5562</v>
      </c>
      <c r="H328" s="580" t="s">
        <v>5563</v>
      </c>
      <c r="I328" s="580" t="s">
        <v>5564</v>
      </c>
      <c r="J328" s="580" t="s">
        <v>3396</v>
      </c>
      <c r="K328" s="580" t="s">
        <v>5565</v>
      </c>
      <c r="L328" s="580" t="s">
        <v>5371</v>
      </c>
      <c r="M328" s="580" t="s">
        <v>2824</v>
      </c>
      <c r="N328" s="580" t="s">
        <v>5566</v>
      </c>
      <c r="O328" s="580" t="s">
        <v>5567</v>
      </c>
      <c r="P328" s="580" t="s">
        <v>5568</v>
      </c>
      <c r="Q328" s="580" t="s">
        <v>5569</v>
      </c>
      <c r="R328" s="580" t="s">
        <v>5570</v>
      </c>
      <c r="S328" s="580" t="s">
        <v>5571</v>
      </c>
      <c r="T328" s="580" t="s">
        <v>5572</v>
      </c>
    </row>
    <row r="329">
      <c r="A329" s="578" t="s">
        <v>577</v>
      </c>
      <c r="B329" s="577">
        <v>159.573619289259</v>
      </c>
      <c r="C329" s="580" t="s">
        <v>5573</v>
      </c>
      <c r="D329" s="580" t="s">
        <v>4484</v>
      </c>
      <c r="E329" s="580" t="s">
        <v>5574</v>
      </c>
      <c r="F329" s="580" t="s">
        <v>5048</v>
      </c>
      <c r="G329" s="580" t="s">
        <v>5575</v>
      </c>
      <c r="H329" s="580" t="s">
        <v>5576</v>
      </c>
      <c r="I329" s="580" t="s">
        <v>5577</v>
      </c>
      <c r="J329" s="580" t="s">
        <v>2823</v>
      </c>
      <c r="K329" s="580" t="s">
        <v>5578</v>
      </c>
      <c r="L329" s="580" t="s">
        <v>3465</v>
      </c>
      <c r="M329" s="580" t="s">
        <v>2824</v>
      </c>
      <c r="N329" s="581"/>
      <c r="O329" s="581"/>
      <c r="P329" s="580" t="s">
        <v>5579</v>
      </c>
      <c r="Q329" s="581"/>
      <c r="R329" s="581"/>
      <c r="S329" s="580" t="s">
        <v>5580</v>
      </c>
      <c r="T329" s="580" t="s">
        <v>5581</v>
      </c>
    </row>
    <row r="330">
      <c r="A330" s="578" t="s">
        <v>516</v>
      </c>
      <c r="B330" s="577">
        <v>152.643790450604</v>
      </c>
      <c r="C330" s="580" t="s">
        <v>5582</v>
      </c>
      <c r="D330" s="580" t="s">
        <v>3756</v>
      </c>
      <c r="E330" s="580" t="s">
        <v>5583</v>
      </c>
      <c r="F330" s="580" t="s">
        <v>5584</v>
      </c>
      <c r="G330" s="580" t="s">
        <v>5585</v>
      </c>
      <c r="H330" s="580" t="s">
        <v>3581</v>
      </c>
      <c r="I330" s="580" t="s">
        <v>5586</v>
      </c>
      <c r="J330" s="580" t="s">
        <v>3286</v>
      </c>
      <c r="K330" s="580" t="s">
        <v>5587</v>
      </c>
      <c r="L330" s="580" t="s">
        <v>4515</v>
      </c>
      <c r="M330" s="580" t="s">
        <v>2824</v>
      </c>
      <c r="N330" s="581"/>
      <c r="O330" s="581"/>
      <c r="P330" s="580" t="s">
        <v>5588</v>
      </c>
      <c r="Q330" s="580" t="s">
        <v>5589</v>
      </c>
      <c r="R330" s="580" t="s">
        <v>5590</v>
      </c>
      <c r="S330" s="581"/>
      <c r="T330" s="581"/>
    </row>
    <row r="331">
      <c r="A331" s="578" t="s">
        <v>580</v>
      </c>
      <c r="B331" s="577">
        <v>160.400359296804</v>
      </c>
      <c r="C331" s="580" t="s">
        <v>5591</v>
      </c>
      <c r="D331" s="580" t="s">
        <v>3548</v>
      </c>
      <c r="E331" s="580" t="s">
        <v>5592</v>
      </c>
      <c r="F331" s="580" t="s">
        <v>5593</v>
      </c>
      <c r="G331" s="580" t="s">
        <v>5594</v>
      </c>
      <c r="H331" s="580" t="s">
        <v>3572</v>
      </c>
      <c r="I331" s="580" t="s">
        <v>5595</v>
      </c>
      <c r="J331" s="580" t="s">
        <v>3514</v>
      </c>
      <c r="K331" s="580" t="s">
        <v>5596</v>
      </c>
      <c r="L331" s="580" t="s">
        <v>5371</v>
      </c>
      <c r="M331" s="580" t="s">
        <v>2824</v>
      </c>
      <c r="N331" s="581"/>
      <c r="O331" s="581"/>
      <c r="P331" s="580" t="s">
        <v>5597</v>
      </c>
      <c r="Q331" s="581"/>
      <c r="R331" s="581"/>
      <c r="S331" s="580" t="s">
        <v>4919</v>
      </c>
      <c r="T331" s="580" t="s">
        <v>4059</v>
      </c>
    </row>
    <row r="332">
      <c r="A332" s="578" t="s">
        <v>566</v>
      </c>
      <c r="B332" s="577">
        <v>159.060904420302</v>
      </c>
      <c r="C332" s="580" t="s">
        <v>5598</v>
      </c>
      <c r="D332" s="580" t="s">
        <v>4134</v>
      </c>
      <c r="E332" s="580" t="s">
        <v>5599</v>
      </c>
      <c r="F332" s="580" t="s">
        <v>5600</v>
      </c>
      <c r="G332" s="580" t="s">
        <v>5601</v>
      </c>
      <c r="H332" s="580" t="s">
        <v>5602</v>
      </c>
      <c r="I332" s="580" t="s">
        <v>5603</v>
      </c>
      <c r="J332" s="580" t="s">
        <v>3630</v>
      </c>
      <c r="K332" s="580" t="s">
        <v>5604</v>
      </c>
      <c r="L332" s="580" t="s">
        <v>3258</v>
      </c>
      <c r="M332" s="580" t="s">
        <v>2824</v>
      </c>
      <c r="N332" s="581"/>
      <c r="O332" s="581"/>
      <c r="P332" s="580" t="s">
        <v>5605</v>
      </c>
      <c r="Q332" s="581"/>
      <c r="R332" s="581"/>
      <c r="S332" s="580" t="s">
        <v>4176</v>
      </c>
      <c r="T332" s="580" t="s">
        <v>5371</v>
      </c>
    </row>
    <row r="333">
      <c r="A333" s="578" t="s">
        <v>552</v>
      </c>
      <c r="B333" s="577">
        <v>158.17278795356</v>
      </c>
      <c r="C333" s="580" t="s">
        <v>5606</v>
      </c>
      <c r="D333" s="580" t="s">
        <v>5607</v>
      </c>
      <c r="E333" s="580" t="s">
        <v>5608</v>
      </c>
      <c r="F333" s="580" t="s">
        <v>5609</v>
      </c>
      <c r="G333" s="580" t="s">
        <v>5610</v>
      </c>
      <c r="H333" s="580" t="s">
        <v>4597</v>
      </c>
      <c r="I333" s="580" t="s">
        <v>5611</v>
      </c>
      <c r="J333" s="580" t="s">
        <v>4683</v>
      </c>
      <c r="K333" s="580" t="s">
        <v>5612</v>
      </c>
      <c r="L333" s="580" t="s">
        <v>4006</v>
      </c>
      <c r="M333" s="580" t="s">
        <v>2824</v>
      </c>
      <c r="N333" s="581"/>
      <c r="O333" s="581"/>
      <c r="P333" s="580" t="s">
        <v>5613</v>
      </c>
      <c r="Q333" s="581"/>
      <c r="R333" s="581"/>
      <c r="S333" s="580" t="s">
        <v>3093</v>
      </c>
      <c r="T333" s="580" t="s">
        <v>4171</v>
      </c>
    </row>
    <row r="334">
      <c r="A334" s="578" t="s">
        <v>559</v>
      </c>
      <c r="B334" s="577">
        <v>156.550871205598</v>
      </c>
      <c r="C334" s="580" t="s">
        <v>5614</v>
      </c>
      <c r="D334" s="580" t="s">
        <v>5615</v>
      </c>
      <c r="E334" s="580" t="s">
        <v>5616</v>
      </c>
      <c r="F334" s="580" t="s">
        <v>5617</v>
      </c>
      <c r="G334" s="580" t="s">
        <v>5618</v>
      </c>
      <c r="H334" s="580" t="s">
        <v>3784</v>
      </c>
      <c r="I334" s="580" t="s">
        <v>4005</v>
      </c>
      <c r="J334" s="580" t="s">
        <v>3846</v>
      </c>
      <c r="K334" s="580" t="s">
        <v>5619</v>
      </c>
      <c r="L334" s="580" t="s">
        <v>3056</v>
      </c>
      <c r="M334" s="580" t="s">
        <v>2838</v>
      </c>
      <c r="N334" s="581"/>
      <c r="O334" s="581"/>
      <c r="P334" s="580" t="s">
        <v>5620</v>
      </c>
      <c r="Q334" s="581"/>
      <c r="R334" s="581"/>
      <c r="S334" s="580" t="s">
        <v>5621</v>
      </c>
      <c r="T334" s="580" t="s">
        <v>5622</v>
      </c>
    </row>
    <row r="335">
      <c r="A335" s="578" t="s">
        <v>541</v>
      </c>
      <c r="B335" s="577">
        <v>157.753588894147</v>
      </c>
      <c r="C335" s="580" t="s">
        <v>5623</v>
      </c>
      <c r="D335" s="580" t="s">
        <v>3602</v>
      </c>
      <c r="E335" s="580" t="s">
        <v>5624</v>
      </c>
      <c r="F335" s="580" t="s">
        <v>4431</v>
      </c>
      <c r="G335" s="580" t="s">
        <v>5625</v>
      </c>
      <c r="H335" s="580" t="s">
        <v>5626</v>
      </c>
      <c r="I335" s="580" t="s">
        <v>5627</v>
      </c>
      <c r="J335" s="580" t="s">
        <v>4680</v>
      </c>
      <c r="K335" s="580" t="s">
        <v>5628</v>
      </c>
      <c r="L335" s="580" t="s">
        <v>3554</v>
      </c>
      <c r="M335" s="580" t="s">
        <v>2824</v>
      </c>
      <c r="N335" s="581"/>
      <c r="O335" s="581"/>
      <c r="P335" s="580" t="s">
        <v>5629</v>
      </c>
      <c r="Q335" s="581"/>
      <c r="R335" s="581"/>
      <c r="S335" s="581"/>
      <c r="T335" s="581"/>
    </row>
    <row r="336">
      <c r="A336" s="578" t="s">
        <v>576</v>
      </c>
      <c r="B336" s="577">
        <v>156.218268164279</v>
      </c>
      <c r="C336" s="580" t="s">
        <v>5630</v>
      </c>
      <c r="D336" s="580" t="s">
        <v>4433</v>
      </c>
      <c r="E336" s="580" t="s">
        <v>5631</v>
      </c>
      <c r="F336" s="580" t="s">
        <v>5593</v>
      </c>
      <c r="G336" s="580" t="s">
        <v>5632</v>
      </c>
      <c r="H336" s="580" t="s">
        <v>5633</v>
      </c>
      <c r="I336" s="580" t="s">
        <v>5634</v>
      </c>
      <c r="J336" s="580" t="s">
        <v>5205</v>
      </c>
      <c r="K336" s="580" t="s">
        <v>5635</v>
      </c>
      <c r="L336" s="580" t="s">
        <v>3688</v>
      </c>
      <c r="M336" s="580" t="s">
        <v>2838</v>
      </c>
      <c r="N336" s="581"/>
      <c r="O336" s="581"/>
      <c r="P336" s="580" t="s">
        <v>5636</v>
      </c>
      <c r="Q336" s="581"/>
      <c r="R336" s="581"/>
      <c r="S336" s="580" t="s">
        <v>5542</v>
      </c>
      <c r="T336" s="580" t="s">
        <v>5637</v>
      </c>
    </row>
    <row r="337">
      <c r="A337" s="578" t="s">
        <v>531</v>
      </c>
      <c r="B337" s="577">
        <v>159.03054976861</v>
      </c>
      <c r="C337" s="580" t="s">
        <v>5638</v>
      </c>
      <c r="D337" s="580" t="s">
        <v>5639</v>
      </c>
      <c r="E337" s="580" t="s">
        <v>5640</v>
      </c>
      <c r="F337" s="580" t="s">
        <v>5394</v>
      </c>
      <c r="G337" s="580" t="s">
        <v>5641</v>
      </c>
      <c r="H337" s="580" t="s">
        <v>3141</v>
      </c>
      <c r="I337" s="580" t="s">
        <v>5642</v>
      </c>
      <c r="J337" s="580" t="s">
        <v>3681</v>
      </c>
      <c r="K337" s="580" t="s">
        <v>5643</v>
      </c>
      <c r="L337" s="580" t="s">
        <v>3396</v>
      </c>
      <c r="M337" s="580" t="s">
        <v>2824</v>
      </c>
      <c r="N337" s="581"/>
      <c r="O337" s="581"/>
      <c r="P337" s="580" t="s">
        <v>5644</v>
      </c>
      <c r="Q337" s="581"/>
      <c r="R337" s="581"/>
      <c r="S337" s="581"/>
      <c r="T337" s="581"/>
    </row>
    <row r="338">
      <c r="A338" s="578" t="s">
        <v>5645</v>
      </c>
      <c r="B338" s="577">
        <v>159.861879336253</v>
      </c>
      <c r="C338" s="580" t="s">
        <v>5646</v>
      </c>
      <c r="D338" s="580" t="s">
        <v>5647</v>
      </c>
      <c r="E338" s="580" t="s">
        <v>5648</v>
      </c>
      <c r="F338" s="580" t="s">
        <v>5649</v>
      </c>
      <c r="G338" s="580" t="s">
        <v>5650</v>
      </c>
      <c r="H338" s="580" t="s">
        <v>4896</v>
      </c>
      <c r="I338" s="580" t="s">
        <v>5651</v>
      </c>
      <c r="J338" s="580" t="s">
        <v>4515</v>
      </c>
      <c r="K338" s="580" t="s">
        <v>5652</v>
      </c>
      <c r="L338" s="580" t="s">
        <v>3732</v>
      </c>
      <c r="M338" s="580" t="s">
        <v>2824</v>
      </c>
      <c r="N338" s="581"/>
      <c r="O338" s="581"/>
      <c r="P338" s="580" t="s">
        <v>5653</v>
      </c>
      <c r="Q338" s="581"/>
      <c r="R338" s="581"/>
      <c r="S338" s="580" t="s">
        <v>3093</v>
      </c>
      <c r="T338" s="580" t="s">
        <v>3846</v>
      </c>
    </row>
    <row r="339">
      <c r="A339" s="578" t="s">
        <v>586</v>
      </c>
      <c r="B339" s="577">
        <v>158.445962004658</v>
      </c>
      <c r="C339" s="580" t="s">
        <v>5654</v>
      </c>
      <c r="D339" s="580" t="s">
        <v>4424</v>
      </c>
      <c r="E339" s="580" t="s">
        <v>5655</v>
      </c>
      <c r="F339" s="580" t="s">
        <v>5656</v>
      </c>
      <c r="G339" s="580" t="s">
        <v>5657</v>
      </c>
      <c r="H339" s="580" t="s">
        <v>5658</v>
      </c>
      <c r="I339" s="580" t="s">
        <v>5659</v>
      </c>
      <c r="J339" s="580" t="s">
        <v>2857</v>
      </c>
      <c r="K339" s="580" t="s">
        <v>5660</v>
      </c>
      <c r="L339" s="580" t="s">
        <v>5012</v>
      </c>
      <c r="M339" s="580" t="s">
        <v>2824</v>
      </c>
      <c r="N339" s="581"/>
      <c r="O339" s="581"/>
      <c r="P339" s="580" t="s">
        <v>5661</v>
      </c>
      <c r="Q339" s="581"/>
      <c r="R339" s="581"/>
      <c r="S339" s="580" t="s">
        <v>5662</v>
      </c>
      <c r="T339" s="580" t="s">
        <v>5663</v>
      </c>
    </row>
    <row r="340">
      <c r="A340" s="578" t="s">
        <v>511</v>
      </c>
      <c r="B340" s="577">
        <v>162.250742297146</v>
      </c>
      <c r="C340" s="580" t="s">
        <v>5423</v>
      </c>
      <c r="D340" s="580" t="s">
        <v>3552</v>
      </c>
      <c r="E340" s="580" t="s">
        <v>5424</v>
      </c>
      <c r="F340" s="580" t="s">
        <v>5425</v>
      </c>
      <c r="G340" s="580" t="s">
        <v>5426</v>
      </c>
      <c r="H340" s="580" t="s">
        <v>5427</v>
      </c>
      <c r="I340" s="580" t="s">
        <v>5428</v>
      </c>
      <c r="J340" s="580" t="s">
        <v>2876</v>
      </c>
      <c r="K340" s="580" t="s">
        <v>5429</v>
      </c>
      <c r="L340" s="580" t="s">
        <v>3054</v>
      </c>
      <c r="M340" s="580" t="s">
        <v>2824</v>
      </c>
      <c r="N340" s="581"/>
      <c r="O340" s="581"/>
      <c r="P340" s="580" t="s">
        <v>5430</v>
      </c>
      <c r="Q340" s="581"/>
      <c r="R340" s="581"/>
      <c r="S340" s="580" t="s">
        <v>5431</v>
      </c>
      <c r="T340" s="580" t="s">
        <v>3908</v>
      </c>
    </row>
    <row r="341">
      <c r="A341" s="578" t="s">
        <v>562</v>
      </c>
      <c r="B341" s="577">
        <v>162.81606668946</v>
      </c>
      <c r="C341" s="580" t="s">
        <v>5664</v>
      </c>
      <c r="D341" s="580" t="s">
        <v>5665</v>
      </c>
      <c r="E341" s="580" t="s">
        <v>5666</v>
      </c>
      <c r="F341" s="580" t="s">
        <v>5667</v>
      </c>
      <c r="G341" s="580" t="s">
        <v>5668</v>
      </c>
      <c r="H341" s="580" t="s">
        <v>5669</v>
      </c>
      <c r="I341" s="580" t="s">
        <v>5670</v>
      </c>
      <c r="J341" s="580" t="s">
        <v>4972</v>
      </c>
      <c r="K341" s="580" t="s">
        <v>5421</v>
      </c>
      <c r="L341" s="580" t="s">
        <v>3054</v>
      </c>
      <c r="M341" s="580" t="s">
        <v>2824</v>
      </c>
      <c r="N341" s="581"/>
      <c r="O341" s="581"/>
      <c r="P341" s="580" t="s">
        <v>5671</v>
      </c>
      <c r="Q341" s="581"/>
      <c r="R341" s="581"/>
      <c r="S341" s="580" t="s">
        <v>5672</v>
      </c>
      <c r="T341" s="580" t="s">
        <v>3554</v>
      </c>
    </row>
    <row r="342">
      <c r="A342" s="578" t="s">
        <v>455</v>
      </c>
      <c r="B342" s="577">
        <v>60.0860432138822</v>
      </c>
      <c r="C342" s="580" t="s">
        <v>5673</v>
      </c>
      <c r="D342" s="580" t="s">
        <v>5674</v>
      </c>
      <c r="E342" s="580" t="s">
        <v>5675</v>
      </c>
      <c r="F342" s="580" t="s">
        <v>5676</v>
      </c>
      <c r="G342" s="580" t="s">
        <v>5677</v>
      </c>
      <c r="H342" s="580" t="s">
        <v>4429</v>
      </c>
      <c r="I342" s="580" t="s">
        <v>5678</v>
      </c>
      <c r="J342" s="580" t="s">
        <v>5679</v>
      </c>
      <c r="K342" s="580" t="s">
        <v>5680</v>
      </c>
      <c r="L342" s="580" t="s">
        <v>4619</v>
      </c>
      <c r="M342" s="580" t="s">
        <v>2824</v>
      </c>
      <c r="N342" s="581"/>
      <c r="O342" s="581"/>
      <c r="P342" s="580" t="s">
        <v>5681</v>
      </c>
      <c r="Q342" s="581"/>
      <c r="R342" s="581"/>
      <c r="S342" s="580" t="s">
        <v>5458</v>
      </c>
      <c r="T342" s="580" t="s">
        <v>2947</v>
      </c>
    </row>
    <row r="343">
      <c r="A343" s="578" t="s">
        <v>5682</v>
      </c>
      <c r="B343" s="577">
        <v>36.6222560774634</v>
      </c>
      <c r="C343" s="580" t="s">
        <v>5683</v>
      </c>
      <c r="D343" s="580" t="s">
        <v>5684</v>
      </c>
      <c r="E343" s="580" t="s">
        <v>5685</v>
      </c>
      <c r="F343" s="580" t="s">
        <v>5686</v>
      </c>
      <c r="G343" s="580" t="s">
        <v>5687</v>
      </c>
      <c r="H343" s="580" t="s">
        <v>5688</v>
      </c>
      <c r="I343" s="580" t="s">
        <v>5689</v>
      </c>
      <c r="J343" s="580" t="s">
        <v>3094</v>
      </c>
      <c r="K343" s="580" t="s">
        <v>5690</v>
      </c>
      <c r="L343" s="580" t="s">
        <v>5411</v>
      </c>
      <c r="M343" s="580" t="s">
        <v>2824</v>
      </c>
      <c r="N343" s="581"/>
      <c r="O343" s="581"/>
      <c r="P343" s="580" t="s">
        <v>5691</v>
      </c>
      <c r="Q343" s="581"/>
      <c r="R343" s="581"/>
      <c r="S343" s="580" t="s">
        <v>4161</v>
      </c>
      <c r="T343" s="580" t="s">
        <v>3492</v>
      </c>
    </row>
    <row r="344">
      <c r="A344" s="578" t="s">
        <v>5682</v>
      </c>
      <c r="B344" s="577">
        <v>36.6222560774634</v>
      </c>
      <c r="C344" s="580" t="s">
        <v>5683</v>
      </c>
      <c r="D344" s="580" t="s">
        <v>5684</v>
      </c>
      <c r="E344" s="580" t="s">
        <v>5685</v>
      </c>
      <c r="F344" s="580" t="s">
        <v>5686</v>
      </c>
      <c r="G344" s="580" t="s">
        <v>5687</v>
      </c>
      <c r="H344" s="580" t="s">
        <v>5688</v>
      </c>
      <c r="I344" s="580" t="s">
        <v>5689</v>
      </c>
      <c r="J344" s="580" t="s">
        <v>3094</v>
      </c>
      <c r="K344" s="580" t="s">
        <v>5690</v>
      </c>
      <c r="L344" s="580" t="s">
        <v>5411</v>
      </c>
      <c r="M344" s="580" t="s">
        <v>2824</v>
      </c>
      <c r="N344" s="581"/>
      <c r="O344" s="581"/>
      <c r="P344" s="580" t="s">
        <v>5691</v>
      </c>
      <c r="Q344" s="581"/>
      <c r="R344" s="581"/>
      <c r="S344" s="580" t="s">
        <v>4161</v>
      </c>
      <c r="T344" s="580" t="s">
        <v>3492</v>
      </c>
    </row>
    <row r="345">
      <c r="A345" s="578" t="s">
        <v>356</v>
      </c>
      <c r="B345" s="577">
        <v>162.292873719914</v>
      </c>
      <c r="C345" s="580" t="s">
        <v>5692</v>
      </c>
      <c r="D345" s="580" t="s">
        <v>5693</v>
      </c>
      <c r="E345" s="580" t="s">
        <v>5694</v>
      </c>
      <c r="F345" s="580" t="s">
        <v>5695</v>
      </c>
      <c r="G345" s="580" t="s">
        <v>5696</v>
      </c>
      <c r="H345" s="580" t="s">
        <v>5697</v>
      </c>
      <c r="I345" s="580" t="s">
        <v>5698</v>
      </c>
      <c r="J345" s="580" t="s">
        <v>5699</v>
      </c>
      <c r="K345" s="580" t="s">
        <v>5700</v>
      </c>
      <c r="L345" s="580" t="s">
        <v>5701</v>
      </c>
      <c r="M345" s="580" t="s">
        <v>2824</v>
      </c>
      <c r="N345" s="581"/>
      <c r="O345" s="581"/>
      <c r="P345" s="581"/>
      <c r="Q345" s="581"/>
      <c r="R345" s="581"/>
      <c r="S345" s="581"/>
      <c r="T345" s="581"/>
    </row>
    <row r="346">
      <c r="A346" s="578" t="s">
        <v>447</v>
      </c>
      <c r="B346" s="577">
        <v>137.196795082866</v>
      </c>
      <c r="C346" s="580" t="s">
        <v>5702</v>
      </c>
      <c r="D346" s="580" t="s">
        <v>2859</v>
      </c>
      <c r="E346" s="580" t="s">
        <v>5703</v>
      </c>
      <c r="F346" s="580" t="s">
        <v>5704</v>
      </c>
      <c r="G346" s="580" t="s">
        <v>5705</v>
      </c>
      <c r="H346" s="580" t="s">
        <v>5706</v>
      </c>
      <c r="I346" s="580" t="s">
        <v>5707</v>
      </c>
      <c r="J346" s="580" t="s">
        <v>5708</v>
      </c>
      <c r="K346" s="580" t="s">
        <v>5709</v>
      </c>
      <c r="L346" s="580" t="s">
        <v>5710</v>
      </c>
      <c r="M346" s="580" t="s">
        <v>2824</v>
      </c>
      <c r="N346" s="581"/>
      <c r="O346" s="581"/>
      <c r="P346" s="580" t="s">
        <v>5291</v>
      </c>
      <c r="Q346" s="581"/>
      <c r="R346" s="581"/>
      <c r="S346" s="581"/>
      <c r="T346" s="581"/>
    </row>
    <row r="347">
      <c r="A347" s="578" t="s">
        <v>1585</v>
      </c>
      <c r="B347" s="577">
        <v>162.8664495114</v>
      </c>
      <c r="C347" s="580" t="s">
        <v>5711</v>
      </c>
      <c r="D347" s="580" t="s">
        <v>5712</v>
      </c>
      <c r="E347" s="580" t="s">
        <v>5713</v>
      </c>
      <c r="F347" s="580" t="s">
        <v>5517</v>
      </c>
      <c r="G347" s="580" t="s">
        <v>5714</v>
      </c>
      <c r="H347" s="580" t="s">
        <v>4628</v>
      </c>
      <c r="I347" s="580" t="s">
        <v>5715</v>
      </c>
      <c r="J347" s="580" t="s">
        <v>4332</v>
      </c>
      <c r="K347" s="580" t="s">
        <v>5716</v>
      </c>
      <c r="L347" s="580" t="s">
        <v>3611</v>
      </c>
      <c r="M347" s="580" t="s">
        <v>2838</v>
      </c>
      <c r="N347" s="581"/>
      <c r="O347" s="581"/>
      <c r="P347" s="580" t="s">
        <v>5717</v>
      </c>
      <c r="Q347" s="581"/>
      <c r="R347" s="581"/>
      <c r="S347" s="581"/>
      <c r="T347" s="581"/>
    </row>
    <row r="348">
      <c r="A348" s="578" t="s">
        <v>1568</v>
      </c>
      <c r="B348" s="577">
        <v>389.074780172749</v>
      </c>
      <c r="C348" s="580" t="s">
        <v>5718</v>
      </c>
      <c r="D348" s="580" t="s">
        <v>5517</v>
      </c>
      <c r="E348" s="580" t="s">
        <v>5719</v>
      </c>
      <c r="F348" s="580" t="s">
        <v>4967</v>
      </c>
      <c r="G348" s="580" t="s">
        <v>5720</v>
      </c>
      <c r="H348" s="580" t="s">
        <v>4502</v>
      </c>
      <c r="I348" s="580" t="s">
        <v>4562</v>
      </c>
      <c r="J348" s="580" t="s">
        <v>5010</v>
      </c>
      <c r="K348" s="580" t="s">
        <v>2957</v>
      </c>
      <c r="L348" s="580" t="s">
        <v>3608</v>
      </c>
      <c r="M348" s="580" t="s">
        <v>2838</v>
      </c>
      <c r="N348" s="581"/>
      <c r="O348" s="581"/>
      <c r="P348" s="580" t="s">
        <v>5721</v>
      </c>
      <c r="Q348" s="580" t="s">
        <v>5722</v>
      </c>
      <c r="R348" s="580" t="s">
        <v>5723</v>
      </c>
      <c r="S348" s="580" t="s">
        <v>5724</v>
      </c>
      <c r="T348" s="580" t="s">
        <v>5725</v>
      </c>
    </row>
    <row r="349">
      <c r="A349" s="578" t="s">
        <v>442</v>
      </c>
      <c r="B349" s="577">
        <v>129.075560833311</v>
      </c>
      <c r="C349" s="580" t="s">
        <v>5726</v>
      </c>
      <c r="D349" s="580" t="s">
        <v>5727</v>
      </c>
      <c r="E349" s="580" t="s">
        <v>5728</v>
      </c>
      <c r="F349" s="580" t="s">
        <v>4644</v>
      </c>
      <c r="G349" s="580" t="s">
        <v>5729</v>
      </c>
      <c r="H349" s="580" t="s">
        <v>5730</v>
      </c>
      <c r="I349" s="580" t="s">
        <v>5731</v>
      </c>
      <c r="J349" s="580" t="s">
        <v>3683</v>
      </c>
      <c r="K349" s="580" t="s">
        <v>5732</v>
      </c>
      <c r="L349" s="580" t="s">
        <v>3394</v>
      </c>
      <c r="M349" s="580" t="s">
        <v>2824</v>
      </c>
      <c r="N349" s="581"/>
      <c r="O349" s="581"/>
      <c r="P349" s="580" t="s">
        <v>5733</v>
      </c>
      <c r="Q349" s="581"/>
      <c r="R349" s="581"/>
      <c r="S349" s="580" t="s">
        <v>3496</v>
      </c>
      <c r="T349" s="580" t="s">
        <v>5734</v>
      </c>
    </row>
    <row r="350">
      <c r="A350" s="578" t="s">
        <v>5735</v>
      </c>
      <c r="B350" s="577">
        <v>158.430900362806</v>
      </c>
      <c r="C350" s="580" t="s">
        <v>5736</v>
      </c>
      <c r="D350" s="580" t="s">
        <v>5737</v>
      </c>
      <c r="E350" s="580" t="s">
        <v>5738</v>
      </c>
      <c r="F350" s="580" t="s">
        <v>5739</v>
      </c>
      <c r="G350" s="580" t="s">
        <v>5740</v>
      </c>
      <c r="H350" s="580" t="s">
        <v>5741</v>
      </c>
      <c r="I350" s="580" t="s">
        <v>5742</v>
      </c>
      <c r="J350" s="580" t="s">
        <v>4061</v>
      </c>
      <c r="K350" s="580" t="s">
        <v>5743</v>
      </c>
      <c r="L350" s="580" t="s">
        <v>5744</v>
      </c>
      <c r="M350" s="580" t="s">
        <v>2838</v>
      </c>
      <c r="N350" s="581"/>
      <c r="O350" s="581"/>
      <c r="P350" s="580" t="s">
        <v>5745</v>
      </c>
      <c r="Q350" s="581"/>
      <c r="R350" s="581"/>
      <c r="S350" s="580" t="s">
        <v>5746</v>
      </c>
      <c r="T350" s="580" t="s">
        <v>3716</v>
      </c>
    </row>
    <row r="351">
      <c r="A351" s="589" t="s">
        <v>574</v>
      </c>
      <c r="B351" s="593">
        <v>158.478605</v>
      </c>
      <c r="C351" s="581"/>
      <c r="D351" s="581"/>
      <c r="E351" s="581"/>
      <c r="F351" s="581"/>
      <c r="G351" s="581"/>
      <c r="H351" s="581"/>
      <c r="I351" s="581"/>
      <c r="J351" s="581"/>
      <c r="K351" s="581"/>
      <c r="L351" s="581"/>
      <c r="M351" s="581"/>
      <c r="N351" s="581"/>
      <c r="O351" s="581"/>
      <c r="P351" s="581"/>
      <c r="Q351" s="581"/>
      <c r="R351" s="581"/>
      <c r="S351" s="581"/>
      <c r="T351" s="581"/>
    </row>
    <row r="352">
      <c r="A352" s="589" t="s">
        <v>528</v>
      </c>
      <c r="B352" s="593">
        <v>158.982512</v>
      </c>
      <c r="C352" s="581"/>
      <c r="D352" s="581"/>
      <c r="E352" s="581"/>
      <c r="F352" s="581"/>
      <c r="G352" s="581"/>
      <c r="H352" s="581"/>
      <c r="I352" s="581"/>
      <c r="J352" s="581"/>
      <c r="K352" s="581"/>
      <c r="L352" s="581"/>
      <c r="M352" s="581"/>
      <c r="N352" s="581"/>
      <c r="O352" s="581"/>
      <c r="P352" s="581"/>
      <c r="Q352" s="581"/>
      <c r="R352" s="581"/>
      <c r="S352" s="581"/>
      <c r="T352" s="581"/>
    </row>
    <row r="353">
      <c r="A353" s="578" t="s">
        <v>1752</v>
      </c>
      <c r="B353" s="577">
        <v>404.710834109029</v>
      </c>
      <c r="C353" s="580" t="s">
        <v>5747</v>
      </c>
      <c r="D353" s="580" t="s">
        <v>4056</v>
      </c>
      <c r="E353" s="580" t="s">
        <v>5748</v>
      </c>
      <c r="F353" s="580" t="s">
        <v>5749</v>
      </c>
      <c r="G353" s="580" t="s">
        <v>5750</v>
      </c>
      <c r="H353" s="580" t="s">
        <v>5751</v>
      </c>
      <c r="I353" s="580" t="s">
        <v>5752</v>
      </c>
      <c r="J353" s="580" t="s">
        <v>3054</v>
      </c>
      <c r="K353" s="580" t="s">
        <v>5753</v>
      </c>
      <c r="L353" s="580" t="s">
        <v>3570</v>
      </c>
      <c r="M353" s="580" t="s">
        <v>2824</v>
      </c>
      <c r="N353" s="581"/>
      <c r="O353" s="581"/>
      <c r="P353" s="580" t="s">
        <v>5754</v>
      </c>
      <c r="Q353" s="580" t="s">
        <v>5755</v>
      </c>
      <c r="R353" s="580" t="s">
        <v>3979</v>
      </c>
      <c r="S353" s="580" t="s">
        <v>5756</v>
      </c>
      <c r="T353" s="580" t="s">
        <v>5757</v>
      </c>
    </row>
    <row r="354">
      <c r="A354" s="578" t="s">
        <v>2017</v>
      </c>
      <c r="B354" s="577">
        <v>397.883261051207</v>
      </c>
      <c r="C354" s="580" t="s">
        <v>5758</v>
      </c>
      <c r="D354" s="580" t="s">
        <v>5759</v>
      </c>
      <c r="E354" s="580" t="s">
        <v>5760</v>
      </c>
      <c r="F354" s="580" t="s">
        <v>5761</v>
      </c>
      <c r="G354" s="580" t="s">
        <v>5762</v>
      </c>
      <c r="H354" s="580" t="s">
        <v>5418</v>
      </c>
      <c r="I354" s="580" t="s">
        <v>5763</v>
      </c>
      <c r="J354" s="580" t="s">
        <v>4530</v>
      </c>
      <c r="K354" s="580" t="s">
        <v>5764</v>
      </c>
      <c r="L354" s="580" t="s">
        <v>5765</v>
      </c>
      <c r="M354" s="580" t="s">
        <v>2824</v>
      </c>
      <c r="N354" s="581"/>
      <c r="O354" s="581"/>
      <c r="P354" s="580" t="s">
        <v>5766</v>
      </c>
      <c r="Q354" s="580" t="s">
        <v>5767</v>
      </c>
      <c r="R354" s="580" t="s">
        <v>5768</v>
      </c>
      <c r="S354" s="580" t="s">
        <v>5621</v>
      </c>
      <c r="T354" s="580" t="s">
        <v>3158</v>
      </c>
    </row>
    <row r="355">
      <c r="A355" s="578" t="s">
        <v>1957</v>
      </c>
      <c r="B355" s="577">
        <v>185.082361650934</v>
      </c>
      <c r="C355" s="580" t="s">
        <v>5769</v>
      </c>
      <c r="D355" s="580" t="s">
        <v>5770</v>
      </c>
      <c r="E355" s="580" t="s">
        <v>5771</v>
      </c>
      <c r="F355" s="580" t="s">
        <v>5434</v>
      </c>
      <c r="G355" s="580" t="s">
        <v>5772</v>
      </c>
      <c r="H355" s="580" t="s">
        <v>5773</v>
      </c>
      <c r="I355" s="580" t="s">
        <v>5774</v>
      </c>
      <c r="J355" s="580" t="s">
        <v>4619</v>
      </c>
      <c r="K355" s="580" t="s">
        <v>5775</v>
      </c>
      <c r="L355" s="580" t="s">
        <v>3688</v>
      </c>
      <c r="M355" s="580" t="s">
        <v>2824</v>
      </c>
      <c r="N355" s="581"/>
      <c r="O355" s="581"/>
      <c r="P355" s="580" t="s">
        <v>5776</v>
      </c>
      <c r="Q355" s="581"/>
      <c r="R355" s="581"/>
      <c r="S355" s="580" t="s">
        <v>5777</v>
      </c>
      <c r="T355" s="580" t="s">
        <v>4171</v>
      </c>
    </row>
    <row r="356">
      <c r="A356" s="578" t="s">
        <v>2003</v>
      </c>
      <c r="B356" s="577">
        <v>571.886080292805</v>
      </c>
      <c r="C356" s="580" t="s">
        <v>5778</v>
      </c>
      <c r="D356" s="580" t="s">
        <v>5779</v>
      </c>
      <c r="E356" s="580" t="s">
        <v>5780</v>
      </c>
      <c r="F356" s="580" t="s">
        <v>5781</v>
      </c>
      <c r="G356" s="580" t="s">
        <v>5782</v>
      </c>
      <c r="H356" s="580" t="s">
        <v>5783</v>
      </c>
      <c r="I356" s="580" t="s">
        <v>5784</v>
      </c>
      <c r="J356" s="580" t="s">
        <v>5785</v>
      </c>
      <c r="K356" s="580" t="s">
        <v>5786</v>
      </c>
      <c r="L356" s="580" t="s">
        <v>3987</v>
      </c>
      <c r="M356" s="580" t="s">
        <v>2824</v>
      </c>
      <c r="N356" s="581"/>
      <c r="O356" s="581"/>
      <c r="P356" s="580" t="s">
        <v>5787</v>
      </c>
      <c r="Q356" s="581"/>
      <c r="R356" s="581"/>
      <c r="S356" s="580" t="s">
        <v>5788</v>
      </c>
      <c r="T356" s="580" t="s">
        <v>5789</v>
      </c>
    </row>
    <row r="357">
      <c r="A357" s="578" t="s">
        <v>706</v>
      </c>
      <c r="B357" s="577">
        <v>411.353352529823</v>
      </c>
      <c r="C357" s="580" t="s">
        <v>5790</v>
      </c>
      <c r="D357" s="580" t="s">
        <v>5737</v>
      </c>
      <c r="E357" s="580" t="s">
        <v>5791</v>
      </c>
      <c r="F357" s="580" t="s">
        <v>4125</v>
      </c>
      <c r="G357" s="580" t="s">
        <v>5792</v>
      </c>
      <c r="H357" s="580" t="s">
        <v>5793</v>
      </c>
      <c r="I357" s="580" t="s">
        <v>5794</v>
      </c>
      <c r="J357" s="580" t="s">
        <v>4481</v>
      </c>
      <c r="K357" s="580" t="s">
        <v>5795</v>
      </c>
      <c r="L357" s="580" t="s">
        <v>3554</v>
      </c>
      <c r="M357" s="580" t="s">
        <v>2824</v>
      </c>
      <c r="N357" s="581"/>
      <c r="O357" s="581"/>
      <c r="P357" s="580" t="s">
        <v>5796</v>
      </c>
      <c r="Q357" s="581"/>
      <c r="R357" s="581"/>
      <c r="S357" s="580" t="s">
        <v>3638</v>
      </c>
      <c r="T357" s="580" t="s">
        <v>5797</v>
      </c>
    </row>
    <row r="358">
      <c r="A358" s="578" t="s">
        <v>432</v>
      </c>
      <c r="B358" s="577">
        <v>155.608116519357</v>
      </c>
      <c r="C358" s="580" t="s">
        <v>5798</v>
      </c>
      <c r="D358" s="580" t="s">
        <v>5799</v>
      </c>
      <c r="E358" s="580" t="s">
        <v>5800</v>
      </c>
      <c r="F358" s="580" t="s">
        <v>4476</v>
      </c>
      <c r="G358" s="580" t="s">
        <v>5801</v>
      </c>
      <c r="H358" s="580" t="s">
        <v>5802</v>
      </c>
      <c r="I358" s="580" t="s">
        <v>5803</v>
      </c>
      <c r="J358" s="580" t="s">
        <v>4201</v>
      </c>
      <c r="K358" s="580" t="s">
        <v>5804</v>
      </c>
      <c r="L358" s="580" t="s">
        <v>3492</v>
      </c>
      <c r="M358" s="580" t="s">
        <v>2824</v>
      </c>
      <c r="N358" s="581"/>
      <c r="O358" s="581"/>
      <c r="P358" s="580" t="s">
        <v>5805</v>
      </c>
      <c r="Q358" s="580" t="s">
        <v>5806</v>
      </c>
      <c r="R358" s="580" t="s">
        <v>5807</v>
      </c>
      <c r="S358" s="580" t="s">
        <v>4365</v>
      </c>
      <c r="T358" s="580" t="s">
        <v>5808</v>
      </c>
    </row>
    <row r="359">
      <c r="A359" s="578" t="s">
        <v>1954</v>
      </c>
      <c r="B359" s="577">
        <v>190.338421713807</v>
      </c>
      <c r="C359" s="580" t="s">
        <v>5809</v>
      </c>
      <c r="D359" s="580" t="s">
        <v>5563</v>
      </c>
      <c r="E359" s="580" t="s">
        <v>5810</v>
      </c>
      <c r="F359" s="580" t="s">
        <v>5811</v>
      </c>
      <c r="G359" s="580" t="s">
        <v>5812</v>
      </c>
      <c r="H359" s="580" t="s">
        <v>4635</v>
      </c>
      <c r="I359" s="580" t="s">
        <v>5813</v>
      </c>
      <c r="J359" s="580" t="s">
        <v>4332</v>
      </c>
      <c r="K359" s="580" t="s">
        <v>5814</v>
      </c>
      <c r="L359" s="580" t="s">
        <v>4332</v>
      </c>
      <c r="M359" s="580" t="s">
        <v>2824</v>
      </c>
      <c r="N359" s="581"/>
      <c r="O359" s="581"/>
      <c r="P359" s="580" t="s">
        <v>5815</v>
      </c>
      <c r="Q359" s="581"/>
      <c r="R359" s="581"/>
      <c r="S359" s="580" t="s">
        <v>4602</v>
      </c>
      <c r="T359" s="580" t="s">
        <v>4332</v>
      </c>
    </row>
    <row r="360">
      <c r="A360" s="578" t="s">
        <v>1703</v>
      </c>
      <c r="B360" s="577">
        <v>377.700558996827</v>
      </c>
      <c r="C360" s="580" t="s">
        <v>5816</v>
      </c>
      <c r="D360" s="580" t="s">
        <v>5817</v>
      </c>
      <c r="E360" s="580" t="s">
        <v>5818</v>
      </c>
      <c r="F360" s="580" t="s">
        <v>5819</v>
      </c>
      <c r="G360" s="580" t="s">
        <v>5820</v>
      </c>
      <c r="H360" s="580" t="s">
        <v>3333</v>
      </c>
      <c r="I360" s="580" t="s">
        <v>5821</v>
      </c>
      <c r="J360" s="580" t="s">
        <v>4118</v>
      </c>
      <c r="K360" s="580" t="s">
        <v>5155</v>
      </c>
      <c r="L360" s="580" t="s">
        <v>5226</v>
      </c>
      <c r="M360" s="580" t="s">
        <v>2824</v>
      </c>
      <c r="N360" s="581"/>
      <c r="O360" s="581"/>
      <c r="P360" s="580" t="s">
        <v>5822</v>
      </c>
      <c r="Q360" s="581"/>
      <c r="R360" s="581"/>
      <c r="S360" s="581"/>
      <c r="T360" s="581"/>
    </row>
    <row r="361">
      <c r="A361" s="578" t="s">
        <v>377</v>
      </c>
      <c r="B361" s="582"/>
      <c r="C361" s="580" t="s">
        <v>5823</v>
      </c>
      <c r="D361" s="580" t="s">
        <v>5824</v>
      </c>
      <c r="E361" s="580" t="s">
        <v>5825</v>
      </c>
      <c r="F361" s="580" t="s">
        <v>5826</v>
      </c>
      <c r="G361" s="581"/>
      <c r="H361" s="581"/>
      <c r="I361" s="581"/>
      <c r="J361" s="581"/>
      <c r="K361" s="581"/>
      <c r="L361" s="581"/>
      <c r="M361" s="580" t="s">
        <v>2824</v>
      </c>
      <c r="N361" s="581"/>
      <c r="O361" s="581"/>
      <c r="P361" s="580" t="s">
        <v>3977</v>
      </c>
      <c r="Q361" s="581"/>
      <c r="R361" s="581"/>
      <c r="S361" s="581"/>
      <c r="T361" s="581"/>
    </row>
    <row r="362">
      <c r="A362" s="578" t="s">
        <v>348</v>
      </c>
      <c r="B362" s="577">
        <v>338.90263327346</v>
      </c>
      <c r="C362" s="580" t="s">
        <v>5827</v>
      </c>
      <c r="D362" s="580" t="s">
        <v>5828</v>
      </c>
      <c r="E362" s="580" t="s">
        <v>5829</v>
      </c>
      <c r="F362" s="580" t="s">
        <v>5830</v>
      </c>
      <c r="G362" s="580" t="s">
        <v>5831</v>
      </c>
      <c r="H362" s="580" t="s">
        <v>5832</v>
      </c>
      <c r="I362" s="580" t="s">
        <v>5833</v>
      </c>
      <c r="J362" s="580" t="s">
        <v>5834</v>
      </c>
      <c r="K362" s="580" t="s">
        <v>5835</v>
      </c>
      <c r="L362" s="580" t="s">
        <v>3053</v>
      </c>
      <c r="M362" s="580" t="s">
        <v>2824</v>
      </c>
      <c r="N362" s="581"/>
      <c r="O362" s="581"/>
      <c r="P362" s="581"/>
      <c r="Q362" s="581"/>
      <c r="R362" s="581"/>
      <c r="S362" s="581"/>
      <c r="T362" s="581"/>
    </row>
    <row r="363">
      <c r="A363" s="578" t="s">
        <v>1644</v>
      </c>
      <c r="B363" s="577">
        <v>411.742907728414</v>
      </c>
      <c r="C363" s="580" t="s">
        <v>5836</v>
      </c>
      <c r="D363" s="580" t="s">
        <v>5837</v>
      </c>
      <c r="E363" s="580" t="s">
        <v>5838</v>
      </c>
      <c r="F363" s="580" t="s">
        <v>5839</v>
      </c>
      <c r="G363" s="580" t="s">
        <v>5840</v>
      </c>
      <c r="H363" s="580" t="s">
        <v>5841</v>
      </c>
      <c r="I363" s="580" t="s">
        <v>5842</v>
      </c>
      <c r="J363" s="580" t="s">
        <v>5843</v>
      </c>
      <c r="K363" s="580" t="s">
        <v>5844</v>
      </c>
      <c r="L363" s="580" t="s">
        <v>2928</v>
      </c>
      <c r="M363" s="580" t="s">
        <v>2824</v>
      </c>
      <c r="N363" s="581"/>
      <c r="O363" s="581"/>
      <c r="P363" s="581"/>
      <c r="Q363" s="581"/>
      <c r="R363" s="581"/>
      <c r="S363" s="581"/>
      <c r="T363" s="581"/>
    </row>
    <row r="364">
      <c r="A364" s="578" t="s">
        <v>1997</v>
      </c>
      <c r="B364" s="577">
        <v>397.393101255762</v>
      </c>
      <c r="C364" s="580" t="s">
        <v>5845</v>
      </c>
      <c r="D364" s="580" t="s">
        <v>3485</v>
      </c>
      <c r="E364" s="580" t="s">
        <v>5846</v>
      </c>
      <c r="F364" s="580" t="s">
        <v>3252</v>
      </c>
      <c r="G364" s="580" t="s">
        <v>5847</v>
      </c>
      <c r="H364" s="580" t="s">
        <v>5848</v>
      </c>
      <c r="I364" s="580" t="s">
        <v>5849</v>
      </c>
      <c r="J364" s="580" t="s">
        <v>2827</v>
      </c>
      <c r="K364" s="580" t="s">
        <v>5850</v>
      </c>
      <c r="L364" s="580" t="s">
        <v>5371</v>
      </c>
      <c r="M364" s="580" t="s">
        <v>2824</v>
      </c>
      <c r="N364" s="581"/>
      <c r="O364" s="581"/>
      <c r="P364" s="580" t="s">
        <v>5851</v>
      </c>
      <c r="Q364" s="581"/>
      <c r="R364" s="581"/>
      <c r="S364" s="580" t="s">
        <v>5852</v>
      </c>
      <c r="T364" s="580" t="s">
        <v>5853</v>
      </c>
    </row>
    <row r="365">
      <c r="A365" s="578" t="s">
        <v>5854</v>
      </c>
      <c r="B365" s="577">
        <v>212.345783874461</v>
      </c>
      <c r="C365" s="580" t="s">
        <v>5855</v>
      </c>
      <c r="D365" s="580" t="s">
        <v>5856</v>
      </c>
      <c r="E365" s="580" t="s">
        <v>5857</v>
      </c>
      <c r="F365" s="580" t="s">
        <v>5858</v>
      </c>
      <c r="G365" s="580" t="s">
        <v>5859</v>
      </c>
      <c r="H365" s="580" t="s">
        <v>5860</v>
      </c>
      <c r="I365" s="580" t="s">
        <v>5861</v>
      </c>
      <c r="J365" s="580" t="s">
        <v>3701</v>
      </c>
      <c r="K365" s="580" t="s">
        <v>5862</v>
      </c>
      <c r="L365" s="580" t="s">
        <v>3497</v>
      </c>
      <c r="M365" s="580" t="s">
        <v>2824</v>
      </c>
      <c r="N365" s="581"/>
      <c r="O365" s="581"/>
      <c r="P365" s="580" t="s">
        <v>5863</v>
      </c>
      <c r="Q365" s="581"/>
      <c r="R365" s="581"/>
      <c r="S365" s="580" t="s">
        <v>5864</v>
      </c>
      <c r="T365" s="580" t="s">
        <v>3554</v>
      </c>
    </row>
    <row r="366">
      <c r="A366" s="578" t="s">
        <v>1729</v>
      </c>
      <c r="B366" s="577">
        <v>402.965828497743</v>
      </c>
      <c r="C366" s="580" t="s">
        <v>5865</v>
      </c>
      <c r="D366" s="580" t="s">
        <v>5866</v>
      </c>
      <c r="E366" s="580" t="s">
        <v>5867</v>
      </c>
      <c r="F366" s="580" t="s">
        <v>5868</v>
      </c>
      <c r="G366" s="580" t="s">
        <v>5869</v>
      </c>
      <c r="H366" s="580" t="s">
        <v>5133</v>
      </c>
      <c r="I366" s="580" t="s">
        <v>5870</v>
      </c>
      <c r="J366" s="580" t="s">
        <v>5744</v>
      </c>
      <c r="K366" s="580" t="s">
        <v>5871</v>
      </c>
      <c r="L366" s="580" t="s">
        <v>3688</v>
      </c>
      <c r="M366" s="580" t="s">
        <v>2824</v>
      </c>
      <c r="N366" s="581"/>
      <c r="O366" s="581"/>
      <c r="P366" s="580" t="s">
        <v>5872</v>
      </c>
      <c r="Q366" s="581"/>
      <c r="R366" s="581"/>
      <c r="S366" s="580" t="s">
        <v>5873</v>
      </c>
      <c r="T366" s="580" t="s">
        <v>4521</v>
      </c>
    </row>
    <row r="367">
      <c r="A367" s="578" t="s">
        <v>5874</v>
      </c>
      <c r="B367" s="577">
        <v>127.92631444288</v>
      </c>
      <c r="C367" s="580" t="s">
        <v>5875</v>
      </c>
      <c r="D367" s="580" t="s">
        <v>5359</v>
      </c>
      <c r="E367" s="580" t="s">
        <v>5876</v>
      </c>
      <c r="F367" s="580" t="s">
        <v>3388</v>
      </c>
      <c r="G367" s="580" t="s">
        <v>5877</v>
      </c>
      <c r="H367" s="580" t="s">
        <v>5878</v>
      </c>
      <c r="I367" s="580" t="s">
        <v>5879</v>
      </c>
      <c r="J367" s="580" t="s">
        <v>3923</v>
      </c>
      <c r="K367" s="580" t="s">
        <v>5880</v>
      </c>
      <c r="L367" s="580" t="s">
        <v>2859</v>
      </c>
      <c r="M367" s="580" t="s">
        <v>2824</v>
      </c>
      <c r="N367" s="581"/>
      <c r="O367" s="581"/>
      <c r="P367" s="580" t="s">
        <v>5881</v>
      </c>
      <c r="Q367" s="581"/>
      <c r="R367" s="581"/>
      <c r="S367" s="581"/>
      <c r="T367" s="581"/>
    </row>
    <row r="368">
      <c r="A368" s="578" t="s">
        <v>5874</v>
      </c>
      <c r="B368" s="577">
        <v>127.92631444288</v>
      </c>
      <c r="C368" s="580" t="s">
        <v>5875</v>
      </c>
      <c r="D368" s="580" t="s">
        <v>5359</v>
      </c>
      <c r="E368" s="580" t="s">
        <v>5876</v>
      </c>
      <c r="F368" s="580" t="s">
        <v>3388</v>
      </c>
      <c r="G368" s="580" t="s">
        <v>5877</v>
      </c>
      <c r="H368" s="580" t="s">
        <v>5878</v>
      </c>
      <c r="I368" s="580" t="s">
        <v>5879</v>
      </c>
      <c r="J368" s="580" t="s">
        <v>3923</v>
      </c>
      <c r="K368" s="580" t="s">
        <v>5880</v>
      </c>
      <c r="L368" s="580" t="s">
        <v>2859</v>
      </c>
      <c r="M368" s="580" t="s">
        <v>2824</v>
      </c>
      <c r="N368" s="581"/>
      <c r="O368" s="581"/>
      <c r="P368" s="580" t="s">
        <v>5881</v>
      </c>
      <c r="Q368" s="581"/>
      <c r="R368" s="581"/>
      <c r="S368" s="581"/>
      <c r="T368" s="581"/>
    </row>
    <row r="369">
      <c r="A369" s="578" t="s">
        <v>5882</v>
      </c>
      <c r="B369" s="577">
        <v>132.569731678863</v>
      </c>
      <c r="C369" s="580" t="s">
        <v>4818</v>
      </c>
      <c r="D369" s="580" t="s">
        <v>4819</v>
      </c>
      <c r="E369" s="580" t="s">
        <v>4820</v>
      </c>
      <c r="F369" s="580" t="s">
        <v>4821</v>
      </c>
      <c r="G369" s="580" t="s">
        <v>4822</v>
      </c>
      <c r="H369" s="580" t="s">
        <v>3940</v>
      </c>
      <c r="I369" s="580" t="s">
        <v>4823</v>
      </c>
      <c r="J369" s="580" t="s">
        <v>4824</v>
      </c>
      <c r="K369" s="580" t="s">
        <v>4825</v>
      </c>
      <c r="L369" s="580" t="s">
        <v>4826</v>
      </c>
      <c r="M369" s="580" t="s">
        <v>2824</v>
      </c>
      <c r="N369" s="581"/>
      <c r="O369" s="581"/>
      <c r="P369" s="581"/>
      <c r="Q369" s="581"/>
      <c r="R369" s="581"/>
      <c r="S369" s="581"/>
      <c r="T369" s="581"/>
    </row>
    <row r="370">
      <c r="A370" s="578" t="s">
        <v>1451</v>
      </c>
      <c r="B370" s="577">
        <v>109.536223629154</v>
      </c>
      <c r="C370" s="580" t="s">
        <v>5883</v>
      </c>
      <c r="D370" s="580" t="s">
        <v>5884</v>
      </c>
      <c r="E370" s="580" t="s">
        <v>5885</v>
      </c>
      <c r="F370" s="580" t="s">
        <v>5886</v>
      </c>
      <c r="G370" s="580" t="s">
        <v>5887</v>
      </c>
      <c r="H370" s="580" t="s">
        <v>5888</v>
      </c>
      <c r="I370" s="580" t="s">
        <v>5889</v>
      </c>
      <c r="J370" s="580" t="s">
        <v>3495</v>
      </c>
      <c r="K370" s="580" t="s">
        <v>5890</v>
      </c>
      <c r="L370" s="580" t="s">
        <v>5891</v>
      </c>
      <c r="M370" s="580" t="s">
        <v>2838</v>
      </c>
      <c r="N370" s="581"/>
      <c r="O370" s="581"/>
      <c r="P370" s="580" t="s">
        <v>5892</v>
      </c>
      <c r="Q370" s="581"/>
      <c r="R370" s="581"/>
      <c r="S370" s="581"/>
      <c r="T370" s="581"/>
    </row>
    <row r="371">
      <c r="B371" s="594"/>
    </row>
    <row r="372">
      <c r="B372" s="594"/>
    </row>
    <row r="373">
      <c r="B373" s="594"/>
    </row>
    <row r="374">
      <c r="B374" s="594"/>
    </row>
    <row r="375">
      <c r="B375" s="594"/>
    </row>
    <row r="376">
      <c r="B376" s="594"/>
    </row>
    <row r="377">
      <c r="B377" s="594"/>
    </row>
    <row r="378">
      <c r="B378" s="594"/>
    </row>
    <row r="379">
      <c r="B379" s="594"/>
    </row>
    <row r="380">
      <c r="B380" s="594"/>
    </row>
    <row r="381">
      <c r="B381" s="594"/>
    </row>
    <row r="382">
      <c r="B382" s="594"/>
    </row>
    <row r="383">
      <c r="B383" s="594"/>
    </row>
    <row r="384">
      <c r="B384" s="594"/>
    </row>
    <row r="385">
      <c r="B385" s="594"/>
    </row>
    <row r="386">
      <c r="B386" s="594"/>
    </row>
    <row r="387">
      <c r="B387" s="594"/>
    </row>
    <row r="388">
      <c r="B388" s="594"/>
    </row>
    <row r="389">
      <c r="B389" s="594"/>
    </row>
    <row r="390">
      <c r="B390" s="594"/>
    </row>
    <row r="391">
      <c r="B391" s="594"/>
    </row>
    <row r="392">
      <c r="B392" s="594"/>
    </row>
    <row r="393">
      <c r="B393" s="594"/>
    </row>
    <row r="394">
      <c r="B394" s="594"/>
    </row>
    <row r="395">
      <c r="B395" s="594"/>
    </row>
    <row r="396">
      <c r="B396" s="594"/>
    </row>
    <row r="397">
      <c r="B397" s="594"/>
    </row>
    <row r="398">
      <c r="B398" s="594"/>
    </row>
    <row r="399">
      <c r="B399" s="594"/>
    </row>
    <row r="400">
      <c r="B400" s="594"/>
    </row>
    <row r="401">
      <c r="B401" s="594"/>
    </row>
    <row r="402">
      <c r="B402" s="594"/>
    </row>
    <row r="403">
      <c r="B403" s="594"/>
    </row>
    <row r="404">
      <c r="B404" s="594"/>
    </row>
    <row r="405">
      <c r="B405" s="594"/>
    </row>
    <row r="406">
      <c r="B406" s="594"/>
    </row>
    <row r="407">
      <c r="B407" s="594"/>
    </row>
    <row r="408">
      <c r="B408" s="594"/>
    </row>
    <row r="409">
      <c r="B409" s="594"/>
    </row>
    <row r="410">
      <c r="B410" s="594"/>
    </row>
    <row r="411">
      <c r="B411" s="594"/>
    </row>
    <row r="412">
      <c r="B412" s="594"/>
    </row>
    <row r="413">
      <c r="B413" s="594"/>
    </row>
    <row r="414">
      <c r="B414" s="594"/>
    </row>
    <row r="415">
      <c r="B415" s="594"/>
    </row>
    <row r="416">
      <c r="B416" s="594"/>
    </row>
    <row r="417">
      <c r="B417" s="594"/>
    </row>
    <row r="418">
      <c r="B418" s="594"/>
    </row>
    <row r="419">
      <c r="B419" s="594"/>
    </row>
    <row r="420">
      <c r="B420" s="594"/>
    </row>
    <row r="421">
      <c r="B421" s="594"/>
    </row>
    <row r="422">
      <c r="B422" s="594"/>
    </row>
    <row r="423">
      <c r="B423" s="594"/>
    </row>
    <row r="424">
      <c r="B424" s="594"/>
    </row>
    <row r="425">
      <c r="B425" s="594"/>
    </row>
    <row r="426">
      <c r="B426" s="594"/>
    </row>
    <row r="427">
      <c r="B427" s="594"/>
    </row>
    <row r="428">
      <c r="B428" s="594"/>
    </row>
    <row r="429">
      <c r="B429" s="594"/>
    </row>
    <row r="430">
      <c r="B430" s="594"/>
    </row>
    <row r="431">
      <c r="B431" s="594"/>
    </row>
    <row r="432">
      <c r="B432" s="594"/>
    </row>
    <row r="433">
      <c r="B433" s="594"/>
    </row>
    <row r="434">
      <c r="B434" s="594"/>
    </row>
    <row r="435">
      <c r="B435" s="594"/>
    </row>
    <row r="436">
      <c r="B436" s="594"/>
    </row>
    <row r="437">
      <c r="B437" s="594"/>
    </row>
    <row r="438">
      <c r="B438" s="594"/>
    </row>
    <row r="439">
      <c r="B439" s="594"/>
    </row>
    <row r="440">
      <c r="B440" s="594"/>
    </row>
    <row r="441">
      <c r="B441" s="594"/>
    </row>
    <row r="442">
      <c r="B442" s="594"/>
    </row>
    <row r="443">
      <c r="B443" s="594"/>
    </row>
    <row r="444">
      <c r="B444" s="594"/>
    </row>
    <row r="445">
      <c r="B445" s="594"/>
    </row>
    <row r="446">
      <c r="B446" s="594"/>
    </row>
    <row r="447">
      <c r="B447" s="594"/>
    </row>
    <row r="448">
      <c r="B448" s="594"/>
    </row>
    <row r="449">
      <c r="B449" s="594"/>
    </row>
    <row r="450">
      <c r="B450" s="594"/>
    </row>
    <row r="451">
      <c r="B451" s="594"/>
    </row>
    <row r="452">
      <c r="B452" s="594"/>
    </row>
    <row r="453">
      <c r="B453" s="594"/>
    </row>
    <row r="454">
      <c r="B454" s="594"/>
    </row>
    <row r="455">
      <c r="B455" s="594"/>
    </row>
    <row r="456">
      <c r="B456" s="594"/>
    </row>
    <row r="457">
      <c r="B457" s="594"/>
    </row>
    <row r="458">
      <c r="B458" s="594"/>
    </row>
    <row r="459">
      <c r="B459" s="594"/>
    </row>
    <row r="460">
      <c r="B460" s="594"/>
    </row>
    <row r="461">
      <c r="B461" s="594"/>
    </row>
    <row r="462">
      <c r="B462" s="594"/>
    </row>
    <row r="463">
      <c r="B463" s="594"/>
    </row>
    <row r="464">
      <c r="B464" s="594"/>
    </row>
    <row r="465">
      <c r="B465" s="594"/>
    </row>
    <row r="466">
      <c r="B466" s="594"/>
    </row>
    <row r="467">
      <c r="B467" s="594"/>
    </row>
    <row r="468">
      <c r="B468" s="594"/>
    </row>
    <row r="469">
      <c r="B469" s="594"/>
    </row>
    <row r="470">
      <c r="B470" s="594"/>
    </row>
    <row r="471">
      <c r="B471" s="594"/>
    </row>
    <row r="472">
      <c r="B472" s="594"/>
    </row>
    <row r="473">
      <c r="B473" s="594"/>
    </row>
    <row r="474">
      <c r="B474" s="594"/>
    </row>
    <row r="475">
      <c r="B475" s="594"/>
    </row>
    <row r="476">
      <c r="B476" s="594"/>
    </row>
    <row r="477">
      <c r="B477" s="594"/>
    </row>
    <row r="478">
      <c r="B478" s="594"/>
    </row>
    <row r="479">
      <c r="B479" s="594"/>
    </row>
    <row r="480">
      <c r="B480" s="594"/>
    </row>
    <row r="481">
      <c r="B481" s="594"/>
    </row>
    <row r="482">
      <c r="B482" s="594"/>
    </row>
    <row r="483">
      <c r="B483" s="594"/>
    </row>
    <row r="484">
      <c r="B484" s="594"/>
    </row>
    <row r="485">
      <c r="B485" s="594"/>
    </row>
    <row r="486">
      <c r="B486" s="594"/>
    </row>
    <row r="487">
      <c r="B487" s="594"/>
    </row>
    <row r="488">
      <c r="B488" s="594"/>
    </row>
    <row r="489">
      <c r="B489" s="594"/>
    </row>
    <row r="490">
      <c r="B490" s="594"/>
    </row>
    <row r="491">
      <c r="B491" s="594"/>
    </row>
    <row r="492">
      <c r="B492" s="594"/>
    </row>
    <row r="493">
      <c r="B493" s="594"/>
    </row>
    <row r="494">
      <c r="B494" s="594"/>
    </row>
    <row r="495">
      <c r="B495" s="594"/>
    </row>
    <row r="496">
      <c r="B496" s="594"/>
    </row>
    <row r="497">
      <c r="B497" s="594"/>
    </row>
    <row r="498">
      <c r="B498" s="594"/>
    </row>
    <row r="499">
      <c r="B499" s="594"/>
    </row>
    <row r="500">
      <c r="B500" s="594"/>
    </row>
    <row r="501">
      <c r="B501" s="594"/>
    </row>
    <row r="502">
      <c r="B502" s="594"/>
    </row>
    <row r="503">
      <c r="B503" s="594"/>
    </row>
    <row r="504">
      <c r="B504" s="594"/>
    </row>
    <row r="505">
      <c r="B505" s="594"/>
    </row>
    <row r="506">
      <c r="B506" s="594"/>
    </row>
    <row r="507">
      <c r="B507" s="594"/>
    </row>
    <row r="508">
      <c r="B508" s="594"/>
    </row>
    <row r="509">
      <c r="B509" s="594"/>
    </row>
    <row r="510">
      <c r="B510" s="594"/>
    </row>
    <row r="511">
      <c r="B511" s="594"/>
    </row>
    <row r="512">
      <c r="B512" s="594"/>
    </row>
    <row r="513">
      <c r="B513" s="594"/>
    </row>
    <row r="514">
      <c r="B514" s="594"/>
    </row>
    <row r="515">
      <c r="B515" s="594"/>
    </row>
    <row r="516">
      <c r="B516" s="594"/>
    </row>
    <row r="517">
      <c r="B517" s="594"/>
    </row>
    <row r="518">
      <c r="B518" s="594"/>
    </row>
    <row r="519">
      <c r="B519" s="594"/>
    </row>
    <row r="520">
      <c r="B520" s="594"/>
    </row>
    <row r="521">
      <c r="B521" s="594"/>
    </row>
    <row r="522">
      <c r="B522" s="594"/>
    </row>
    <row r="523">
      <c r="B523" s="594"/>
    </row>
    <row r="524">
      <c r="B524" s="594"/>
    </row>
    <row r="525">
      <c r="B525" s="594"/>
    </row>
    <row r="526">
      <c r="B526" s="594"/>
    </row>
    <row r="527">
      <c r="B527" s="594"/>
    </row>
    <row r="528">
      <c r="B528" s="594"/>
    </row>
    <row r="529">
      <c r="B529" s="594"/>
    </row>
    <row r="530">
      <c r="B530" s="594"/>
    </row>
    <row r="531">
      <c r="B531" s="594"/>
    </row>
    <row r="532">
      <c r="B532" s="594"/>
    </row>
    <row r="533">
      <c r="B533" s="594"/>
    </row>
    <row r="534">
      <c r="B534" s="594"/>
    </row>
    <row r="535">
      <c r="B535" s="594"/>
    </row>
    <row r="536">
      <c r="B536" s="594"/>
    </row>
    <row r="537">
      <c r="B537" s="594"/>
    </row>
    <row r="538">
      <c r="B538" s="594"/>
    </row>
    <row r="539">
      <c r="B539" s="594"/>
    </row>
    <row r="540">
      <c r="B540" s="594"/>
    </row>
    <row r="541">
      <c r="B541" s="594"/>
    </row>
    <row r="542">
      <c r="B542" s="594"/>
    </row>
    <row r="543">
      <c r="B543" s="594"/>
    </row>
    <row r="544">
      <c r="B544" s="594"/>
    </row>
    <row r="545">
      <c r="B545" s="594"/>
    </row>
    <row r="546">
      <c r="B546" s="594"/>
    </row>
    <row r="547">
      <c r="B547" s="594"/>
    </row>
    <row r="548">
      <c r="B548" s="594"/>
    </row>
    <row r="549">
      <c r="B549" s="594"/>
    </row>
    <row r="550">
      <c r="B550" s="594"/>
    </row>
    <row r="551">
      <c r="B551" s="594"/>
    </row>
    <row r="552">
      <c r="B552" s="594"/>
    </row>
    <row r="553">
      <c r="B553" s="594"/>
    </row>
    <row r="554">
      <c r="B554" s="594"/>
    </row>
    <row r="555">
      <c r="B555" s="594"/>
    </row>
    <row r="556">
      <c r="B556" s="594"/>
    </row>
    <row r="557">
      <c r="B557" s="594"/>
    </row>
    <row r="558">
      <c r="B558" s="594"/>
    </row>
    <row r="559">
      <c r="B559" s="594"/>
    </row>
    <row r="560">
      <c r="B560" s="594"/>
    </row>
    <row r="561">
      <c r="B561" s="594"/>
    </row>
    <row r="562">
      <c r="B562" s="594"/>
    </row>
    <row r="563">
      <c r="B563" s="594"/>
    </row>
    <row r="564">
      <c r="B564" s="594"/>
    </row>
    <row r="565">
      <c r="B565" s="594"/>
    </row>
    <row r="566">
      <c r="B566" s="594"/>
    </row>
    <row r="567">
      <c r="B567" s="594"/>
    </row>
    <row r="568">
      <c r="B568" s="594"/>
    </row>
    <row r="569">
      <c r="B569" s="594"/>
    </row>
    <row r="570">
      <c r="B570" s="594"/>
    </row>
    <row r="571">
      <c r="B571" s="594"/>
    </row>
    <row r="572">
      <c r="B572" s="594"/>
    </row>
    <row r="573">
      <c r="B573" s="594"/>
    </row>
    <row r="574">
      <c r="B574" s="594"/>
    </row>
    <row r="575">
      <c r="B575" s="594"/>
    </row>
    <row r="576">
      <c r="B576" s="594"/>
    </row>
    <row r="577">
      <c r="B577" s="594"/>
    </row>
    <row r="578">
      <c r="B578" s="594"/>
    </row>
    <row r="579">
      <c r="B579" s="594"/>
    </row>
    <row r="580">
      <c r="B580" s="594"/>
    </row>
    <row r="581">
      <c r="B581" s="594"/>
    </row>
    <row r="582">
      <c r="B582" s="594"/>
    </row>
    <row r="583">
      <c r="B583" s="594"/>
    </row>
    <row r="584">
      <c r="B584" s="594"/>
    </row>
    <row r="585">
      <c r="B585" s="594"/>
    </row>
    <row r="586">
      <c r="B586" s="594"/>
    </row>
    <row r="587">
      <c r="B587" s="594"/>
    </row>
    <row r="588">
      <c r="B588" s="594"/>
    </row>
    <row r="589">
      <c r="B589" s="594"/>
    </row>
    <row r="590">
      <c r="B590" s="594"/>
    </row>
    <row r="591">
      <c r="B591" s="594"/>
    </row>
    <row r="592">
      <c r="B592" s="594"/>
    </row>
    <row r="593">
      <c r="B593" s="594"/>
    </row>
    <row r="594">
      <c r="B594" s="594"/>
    </row>
    <row r="595">
      <c r="B595" s="594"/>
    </row>
    <row r="596">
      <c r="B596" s="594"/>
    </row>
    <row r="597">
      <c r="B597" s="594"/>
    </row>
    <row r="598">
      <c r="B598" s="594"/>
    </row>
    <row r="599">
      <c r="B599" s="594"/>
    </row>
    <row r="600">
      <c r="B600" s="594"/>
    </row>
    <row r="601">
      <c r="B601" s="594"/>
    </row>
    <row r="602">
      <c r="B602" s="594"/>
    </row>
    <row r="603">
      <c r="B603" s="594"/>
    </row>
    <row r="604">
      <c r="B604" s="594"/>
    </row>
    <row r="605">
      <c r="B605" s="594"/>
    </row>
    <row r="606">
      <c r="B606" s="594"/>
    </row>
    <row r="607">
      <c r="B607" s="594"/>
    </row>
    <row r="608">
      <c r="B608" s="594"/>
    </row>
    <row r="609">
      <c r="B609" s="594"/>
    </row>
    <row r="610">
      <c r="B610" s="594"/>
    </row>
    <row r="611">
      <c r="B611" s="594"/>
    </row>
    <row r="612">
      <c r="B612" s="594"/>
    </row>
    <row r="613">
      <c r="B613" s="594"/>
    </row>
    <row r="614">
      <c r="B614" s="594"/>
    </row>
    <row r="615">
      <c r="B615" s="594"/>
    </row>
    <row r="616">
      <c r="B616" s="594"/>
    </row>
    <row r="617">
      <c r="B617" s="594"/>
    </row>
    <row r="618">
      <c r="B618" s="594"/>
    </row>
    <row r="619">
      <c r="B619" s="594"/>
    </row>
    <row r="620">
      <c r="B620" s="594"/>
    </row>
    <row r="621">
      <c r="B621" s="594"/>
    </row>
    <row r="622">
      <c r="B622" s="594"/>
    </row>
    <row r="623">
      <c r="B623" s="594"/>
    </row>
    <row r="624">
      <c r="B624" s="594"/>
    </row>
    <row r="625">
      <c r="B625" s="594"/>
    </row>
    <row r="626">
      <c r="B626" s="594"/>
    </row>
    <row r="627">
      <c r="B627" s="594"/>
    </row>
    <row r="628">
      <c r="B628" s="594"/>
    </row>
    <row r="629">
      <c r="B629" s="594"/>
    </row>
    <row r="630">
      <c r="B630" s="594"/>
    </row>
    <row r="631">
      <c r="B631" s="594"/>
    </row>
    <row r="632">
      <c r="B632" s="594"/>
    </row>
    <row r="633">
      <c r="B633" s="594"/>
    </row>
    <row r="634">
      <c r="B634" s="594"/>
    </row>
    <row r="635">
      <c r="B635" s="594"/>
    </row>
    <row r="636">
      <c r="B636" s="594"/>
    </row>
    <row r="637">
      <c r="B637" s="594"/>
    </row>
    <row r="638">
      <c r="B638" s="594"/>
    </row>
    <row r="639">
      <c r="B639" s="594"/>
    </row>
    <row r="640">
      <c r="B640" s="594"/>
    </row>
    <row r="641">
      <c r="B641" s="594"/>
    </row>
    <row r="642">
      <c r="B642" s="594"/>
    </row>
    <row r="643">
      <c r="B643" s="594"/>
    </row>
    <row r="644">
      <c r="B644" s="594"/>
    </row>
    <row r="645">
      <c r="B645" s="594"/>
    </row>
    <row r="646">
      <c r="B646" s="594"/>
    </row>
    <row r="647">
      <c r="B647" s="594"/>
    </row>
    <row r="648">
      <c r="B648" s="594"/>
    </row>
    <row r="649">
      <c r="B649" s="594"/>
    </row>
    <row r="650">
      <c r="B650" s="594"/>
    </row>
    <row r="651">
      <c r="B651" s="594"/>
    </row>
    <row r="652">
      <c r="B652" s="594"/>
    </row>
    <row r="653">
      <c r="B653" s="594"/>
    </row>
    <row r="654">
      <c r="B654" s="594"/>
    </row>
    <row r="655">
      <c r="B655" s="594"/>
    </row>
    <row r="656">
      <c r="B656" s="594"/>
    </row>
    <row r="657">
      <c r="B657" s="594"/>
    </row>
    <row r="658">
      <c r="B658" s="594"/>
    </row>
    <row r="659">
      <c r="B659" s="594"/>
    </row>
    <row r="660">
      <c r="B660" s="594"/>
    </row>
    <row r="661">
      <c r="B661" s="594"/>
    </row>
    <row r="662">
      <c r="B662" s="594"/>
    </row>
    <row r="663">
      <c r="B663" s="594"/>
    </row>
    <row r="664">
      <c r="B664" s="594"/>
    </row>
    <row r="665">
      <c r="B665" s="594"/>
    </row>
    <row r="666">
      <c r="B666" s="594"/>
    </row>
    <row r="667">
      <c r="B667" s="594"/>
    </row>
    <row r="668">
      <c r="B668" s="594"/>
    </row>
    <row r="669">
      <c r="B669" s="594"/>
    </row>
    <row r="670">
      <c r="B670" s="594"/>
    </row>
    <row r="671">
      <c r="B671" s="594"/>
    </row>
    <row r="672">
      <c r="B672" s="594"/>
    </row>
    <row r="673">
      <c r="B673" s="594"/>
    </row>
    <row r="674">
      <c r="B674" s="594"/>
    </row>
    <row r="675">
      <c r="B675" s="594"/>
    </row>
    <row r="676">
      <c r="B676" s="594"/>
    </row>
    <row r="677">
      <c r="B677" s="594"/>
    </row>
    <row r="678">
      <c r="B678" s="594"/>
    </row>
    <row r="679">
      <c r="B679" s="594"/>
    </row>
    <row r="680">
      <c r="B680" s="594"/>
    </row>
    <row r="681">
      <c r="B681" s="594"/>
    </row>
    <row r="682">
      <c r="B682" s="594"/>
    </row>
    <row r="683">
      <c r="B683" s="594"/>
    </row>
    <row r="684">
      <c r="B684" s="594"/>
    </row>
    <row r="685">
      <c r="B685" s="594"/>
    </row>
    <row r="686">
      <c r="B686" s="594"/>
    </row>
    <row r="687">
      <c r="B687" s="594"/>
    </row>
    <row r="688">
      <c r="B688" s="594"/>
    </row>
    <row r="689">
      <c r="B689" s="594"/>
    </row>
    <row r="690">
      <c r="B690" s="594"/>
    </row>
    <row r="691">
      <c r="B691" s="594"/>
    </row>
    <row r="692">
      <c r="B692" s="594"/>
    </row>
    <row r="693">
      <c r="B693" s="594"/>
    </row>
    <row r="694">
      <c r="B694" s="594"/>
    </row>
    <row r="695">
      <c r="B695" s="594"/>
    </row>
    <row r="696">
      <c r="B696" s="594"/>
    </row>
    <row r="697">
      <c r="B697" s="594"/>
    </row>
    <row r="698">
      <c r="B698" s="594"/>
    </row>
    <row r="699">
      <c r="B699" s="594"/>
    </row>
    <row r="700">
      <c r="B700" s="594"/>
    </row>
    <row r="701">
      <c r="B701" s="594"/>
    </row>
    <row r="702">
      <c r="B702" s="594"/>
    </row>
    <row r="703">
      <c r="B703" s="594"/>
    </row>
    <row r="704">
      <c r="B704" s="594"/>
    </row>
    <row r="705">
      <c r="B705" s="594"/>
    </row>
    <row r="706">
      <c r="B706" s="594"/>
    </row>
    <row r="707">
      <c r="B707" s="594"/>
    </row>
    <row r="708">
      <c r="B708" s="594"/>
    </row>
    <row r="709">
      <c r="B709" s="594"/>
    </row>
    <row r="710">
      <c r="B710" s="594"/>
    </row>
    <row r="711">
      <c r="B711" s="594"/>
    </row>
    <row r="712">
      <c r="B712" s="594"/>
    </row>
    <row r="713">
      <c r="B713" s="594"/>
    </row>
    <row r="714">
      <c r="B714" s="594"/>
    </row>
    <row r="715">
      <c r="B715" s="594"/>
    </row>
    <row r="716">
      <c r="B716" s="594"/>
    </row>
    <row r="717">
      <c r="B717" s="594"/>
    </row>
    <row r="718">
      <c r="B718" s="594"/>
    </row>
    <row r="719">
      <c r="B719" s="594"/>
    </row>
    <row r="720">
      <c r="B720" s="594"/>
    </row>
    <row r="721">
      <c r="B721" s="594"/>
    </row>
    <row r="722">
      <c r="B722" s="594"/>
    </row>
    <row r="723">
      <c r="B723" s="594"/>
    </row>
    <row r="724">
      <c r="B724" s="594"/>
    </row>
    <row r="725">
      <c r="B725" s="594"/>
    </row>
    <row r="726">
      <c r="B726" s="594"/>
    </row>
    <row r="727">
      <c r="B727" s="594"/>
    </row>
    <row r="728">
      <c r="B728" s="594"/>
    </row>
    <row r="729">
      <c r="B729" s="594"/>
    </row>
    <row r="730">
      <c r="B730" s="594"/>
    </row>
    <row r="731">
      <c r="B731" s="594"/>
    </row>
    <row r="732">
      <c r="B732" s="594"/>
    </row>
    <row r="733">
      <c r="B733" s="594"/>
    </row>
    <row r="734">
      <c r="B734" s="594"/>
    </row>
    <row r="735">
      <c r="B735" s="594"/>
    </row>
    <row r="736">
      <c r="B736" s="594"/>
    </row>
    <row r="737">
      <c r="B737" s="594"/>
    </row>
    <row r="738">
      <c r="B738" s="594"/>
    </row>
    <row r="739">
      <c r="B739" s="594"/>
    </row>
    <row r="740">
      <c r="B740" s="594"/>
    </row>
    <row r="741">
      <c r="B741" s="594"/>
    </row>
    <row r="742">
      <c r="B742" s="594"/>
    </row>
    <row r="743">
      <c r="B743" s="594"/>
    </row>
    <row r="744">
      <c r="B744" s="594"/>
    </row>
    <row r="745">
      <c r="B745" s="594"/>
    </row>
    <row r="746">
      <c r="B746" s="594"/>
    </row>
    <row r="747">
      <c r="B747" s="594"/>
    </row>
    <row r="748">
      <c r="B748" s="594"/>
    </row>
    <row r="749">
      <c r="B749" s="594"/>
    </row>
    <row r="750">
      <c r="B750" s="594"/>
    </row>
    <row r="751">
      <c r="B751" s="594"/>
    </row>
    <row r="752">
      <c r="B752" s="594"/>
    </row>
    <row r="753">
      <c r="B753" s="594"/>
    </row>
    <row r="754">
      <c r="B754" s="594"/>
    </row>
    <row r="755">
      <c r="B755" s="594"/>
    </row>
    <row r="756">
      <c r="B756" s="594"/>
    </row>
    <row r="757">
      <c r="B757" s="594"/>
    </row>
    <row r="758">
      <c r="B758" s="594"/>
    </row>
    <row r="759">
      <c r="B759" s="594"/>
    </row>
    <row r="760">
      <c r="B760" s="594"/>
    </row>
    <row r="761">
      <c r="B761" s="594"/>
    </row>
    <row r="762">
      <c r="B762" s="594"/>
    </row>
    <row r="763">
      <c r="B763" s="594"/>
    </row>
    <row r="764">
      <c r="B764" s="594"/>
    </row>
    <row r="765">
      <c r="B765" s="594"/>
    </row>
    <row r="766">
      <c r="B766" s="594"/>
    </row>
    <row r="767">
      <c r="B767" s="594"/>
    </row>
    <row r="768">
      <c r="B768" s="594"/>
    </row>
    <row r="769">
      <c r="B769" s="594"/>
    </row>
    <row r="770">
      <c r="B770" s="594"/>
    </row>
    <row r="771">
      <c r="B771" s="594"/>
    </row>
    <row r="772">
      <c r="B772" s="594"/>
    </row>
    <row r="773">
      <c r="B773" s="594"/>
    </row>
    <row r="774">
      <c r="B774" s="594"/>
    </row>
    <row r="775">
      <c r="B775" s="594"/>
    </row>
    <row r="776">
      <c r="B776" s="594"/>
    </row>
    <row r="777">
      <c r="B777" s="594"/>
    </row>
    <row r="778">
      <c r="B778" s="594"/>
    </row>
    <row r="779">
      <c r="B779" s="594"/>
    </row>
    <row r="780">
      <c r="B780" s="594"/>
    </row>
    <row r="781">
      <c r="B781" s="594"/>
    </row>
    <row r="782">
      <c r="B782" s="594"/>
    </row>
    <row r="783">
      <c r="B783" s="594"/>
    </row>
    <row r="784">
      <c r="B784" s="594"/>
    </row>
    <row r="785">
      <c r="B785" s="594"/>
    </row>
    <row r="786">
      <c r="B786" s="594"/>
    </row>
    <row r="787">
      <c r="B787" s="594"/>
    </row>
    <row r="788">
      <c r="B788" s="594"/>
    </row>
    <row r="789">
      <c r="B789" s="594"/>
    </row>
    <row r="790">
      <c r="B790" s="594"/>
    </row>
    <row r="791">
      <c r="B791" s="594"/>
    </row>
    <row r="792">
      <c r="B792" s="594"/>
    </row>
    <row r="793">
      <c r="B793" s="594"/>
    </row>
    <row r="794">
      <c r="B794" s="594"/>
    </row>
    <row r="795">
      <c r="B795" s="594"/>
    </row>
    <row r="796">
      <c r="B796" s="594"/>
    </row>
    <row r="797">
      <c r="B797" s="594"/>
    </row>
    <row r="798">
      <c r="B798" s="594"/>
    </row>
    <row r="799">
      <c r="B799" s="594"/>
    </row>
    <row r="800">
      <c r="B800" s="594"/>
    </row>
    <row r="801">
      <c r="B801" s="594"/>
    </row>
    <row r="802">
      <c r="B802" s="594"/>
    </row>
    <row r="803">
      <c r="B803" s="594"/>
    </row>
    <row r="804">
      <c r="B804" s="594"/>
    </row>
    <row r="805">
      <c r="B805" s="594"/>
    </row>
    <row r="806">
      <c r="B806" s="594"/>
    </row>
    <row r="807">
      <c r="B807" s="594"/>
    </row>
    <row r="808">
      <c r="B808" s="594"/>
    </row>
    <row r="809">
      <c r="B809" s="594"/>
    </row>
    <row r="810">
      <c r="B810" s="594"/>
    </row>
    <row r="811">
      <c r="B811" s="594"/>
    </row>
    <row r="812">
      <c r="B812" s="594"/>
    </row>
    <row r="813">
      <c r="B813" s="594"/>
    </row>
    <row r="814">
      <c r="B814" s="594"/>
    </row>
    <row r="815">
      <c r="B815" s="594"/>
    </row>
    <row r="816">
      <c r="B816" s="594"/>
    </row>
    <row r="817">
      <c r="B817" s="594"/>
    </row>
    <row r="818">
      <c r="B818" s="594"/>
    </row>
    <row r="819">
      <c r="B819" s="594"/>
    </row>
    <row r="820">
      <c r="B820" s="594"/>
    </row>
    <row r="821">
      <c r="B821" s="594"/>
    </row>
    <row r="822">
      <c r="B822" s="594"/>
    </row>
    <row r="823">
      <c r="B823" s="594"/>
    </row>
    <row r="824">
      <c r="B824" s="594"/>
    </row>
    <row r="825">
      <c r="B825" s="594"/>
    </row>
    <row r="826">
      <c r="B826" s="594"/>
    </row>
    <row r="827">
      <c r="B827" s="594"/>
    </row>
    <row r="828">
      <c r="B828" s="594"/>
    </row>
    <row r="829">
      <c r="B829" s="594"/>
    </row>
    <row r="830">
      <c r="B830" s="594"/>
    </row>
    <row r="831">
      <c r="B831" s="594"/>
    </row>
    <row r="832">
      <c r="B832" s="594"/>
    </row>
    <row r="833">
      <c r="B833" s="594"/>
    </row>
    <row r="834">
      <c r="B834" s="594"/>
    </row>
    <row r="835">
      <c r="B835" s="594"/>
    </row>
    <row r="836">
      <c r="B836" s="594"/>
    </row>
    <row r="837">
      <c r="B837" s="594"/>
    </row>
    <row r="838">
      <c r="B838" s="594"/>
    </row>
    <row r="839">
      <c r="B839" s="594"/>
    </row>
    <row r="840">
      <c r="B840" s="594"/>
    </row>
    <row r="841">
      <c r="B841" s="594"/>
    </row>
    <row r="842">
      <c r="B842" s="594"/>
    </row>
    <row r="843">
      <c r="B843" s="594"/>
    </row>
    <row r="844">
      <c r="B844" s="594"/>
    </row>
    <row r="845">
      <c r="B845" s="594"/>
    </row>
    <row r="846">
      <c r="B846" s="594"/>
    </row>
    <row r="847">
      <c r="B847" s="594"/>
    </row>
    <row r="848">
      <c r="B848" s="594"/>
    </row>
    <row r="849">
      <c r="B849" s="594"/>
    </row>
    <row r="850">
      <c r="B850" s="594"/>
    </row>
    <row r="851">
      <c r="B851" s="594"/>
    </row>
    <row r="852">
      <c r="B852" s="594"/>
    </row>
    <row r="853">
      <c r="B853" s="594"/>
    </row>
    <row r="854">
      <c r="B854" s="594"/>
    </row>
    <row r="855">
      <c r="B855" s="594"/>
    </row>
    <row r="856">
      <c r="B856" s="594"/>
    </row>
    <row r="857">
      <c r="B857" s="594"/>
    </row>
    <row r="858">
      <c r="B858" s="594"/>
    </row>
    <row r="859">
      <c r="B859" s="594"/>
    </row>
    <row r="860">
      <c r="B860" s="594"/>
    </row>
    <row r="861">
      <c r="B861" s="594"/>
    </row>
    <row r="862">
      <c r="B862" s="594"/>
    </row>
    <row r="863">
      <c r="B863" s="594"/>
    </row>
    <row r="864">
      <c r="B864" s="594"/>
    </row>
    <row r="865">
      <c r="B865" s="594"/>
    </row>
    <row r="866">
      <c r="B866" s="594"/>
    </row>
    <row r="867">
      <c r="B867" s="594"/>
    </row>
    <row r="868">
      <c r="B868" s="594"/>
    </row>
    <row r="869">
      <c r="B869" s="594"/>
    </row>
    <row r="870">
      <c r="B870" s="594"/>
    </row>
    <row r="871">
      <c r="B871" s="594"/>
    </row>
    <row r="872">
      <c r="B872" s="594"/>
    </row>
    <row r="873">
      <c r="B873" s="594"/>
    </row>
    <row r="874">
      <c r="B874" s="594"/>
    </row>
    <row r="875">
      <c r="B875" s="594"/>
    </row>
    <row r="876">
      <c r="B876" s="594"/>
    </row>
    <row r="877">
      <c r="B877" s="594"/>
    </row>
    <row r="878">
      <c r="B878" s="594"/>
    </row>
    <row r="879">
      <c r="B879" s="594"/>
    </row>
    <row r="880">
      <c r="B880" s="594"/>
    </row>
    <row r="881">
      <c r="B881" s="594"/>
    </row>
    <row r="882">
      <c r="B882" s="594"/>
    </row>
    <row r="883">
      <c r="B883" s="594"/>
    </row>
    <row r="884">
      <c r="B884" s="594"/>
    </row>
    <row r="885">
      <c r="B885" s="594"/>
    </row>
    <row r="886">
      <c r="B886" s="594"/>
    </row>
    <row r="887">
      <c r="B887" s="594"/>
    </row>
    <row r="888">
      <c r="B888" s="594"/>
    </row>
    <row r="889">
      <c r="B889" s="594"/>
    </row>
    <row r="890">
      <c r="B890" s="594"/>
    </row>
    <row r="891">
      <c r="B891" s="594"/>
    </row>
    <row r="892">
      <c r="B892" s="594"/>
    </row>
    <row r="893">
      <c r="B893" s="594"/>
    </row>
    <row r="894">
      <c r="B894" s="594"/>
    </row>
    <row r="895">
      <c r="B895" s="594"/>
    </row>
    <row r="896">
      <c r="B896" s="594"/>
    </row>
    <row r="897">
      <c r="B897" s="594"/>
    </row>
    <row r="898">
      <c r="B898" s="594"/>
    </row>
    <row r="899">
      <c r="B899" s="594"/>
    </row>
    <row r="900">
      <c r="B900" s="594"/>
    </row>
    <row r="901">
      <c r="B901" s="594"/>
    </row>
    <row r="902">
      <c r="B902" s="594"/>
    </row>
    <row r="903">
      <c r="B903" s="594"/>
    </row>
    <row r="904">
      <c r="B904" s="594"/>
    </row>
    <row r="905">
      <c r="B905" s="594"/>
    </row>
    <row r="906">
      <c r="B906" s="594"/>
    </row>
    <row r="907">
      <c r="B907" s="594"/>
    </row>
    <row r="908">
      <c r="B908" s="594"/>
    </row>
    <row r="909">
      <c r="B909" s="594"/>
    </row>
    <row r="910">
      <c r="B910" s="594"/>
    </row>
    <row r="911">
      <c r="B911" s="594"/>
    </row>
    <row r="912">
      <c r="B912" s="594"/>
    </row>
    <row r="913">
      <c r="B913" s="594"/>
    </row>
    <row r="914">
      <c r="B914" s="594"/>
    </row>
    <row r="915">
      <c r="B915" s="594"/>
    </row>
    <row r="916">
      <c r="B916" s="594"/>
    </row>
    <row r="917">
      <c r="B917" s="594"/>
    </row>
    <row r="918">
      <c r="B918" s="594"/>
    </row>
    <row r="919">
      <c r="B919" s="594"/>
    </row>
    <row r="920">
      <c r="B920" s="594"/>
    </row>
    <row r="921">
      <c r="B921" s="594"/>
    </row>
    <row r="922">
      <c r="B922" s="594"/>
    </row>
    <row r="923">
      <c r="B923" s="594"/>
    </row>
    <row r="924">
      <c r="B924" s="594"/>
    </row>
    <row r="925">
      <c r="B925" s="594"/>
    </row>
    <row r="926">
      <c r="B926" s="594"/>
    </row>
    <row r="927">
      <c r="B927" s="594"/>
    </row>
    <row r="928">
      <c r="B928" s="594"/>
    </row>
    <row r="929">
      <c r="B929" s="594"/>
    </row>
    <row r="930">
      <c r="B930" s="594"/>
    </row>
    <row r="931">
      <c r="B931" s="594"/>
    </row>
    <row r="932">
      <c r="B932" s="594"/>
    </row>
    <row r="933">
      <c r="B933" s="594"/>
    </row>
    <row r="934">
      <c r="B934" s="594"/>
    </row>
    <row r="935">
      <c r="B935" s="594"/>
    </row>
    <row r="936">
      <c r="B936" s="594"/>
    </row>
    <row r="937">
      <c r="B937" s="594"/>
    </row>
    <row r="938">
      <c r="B938" s="594"/>
    </row>
    <row r="939">
      <c r="B939" s="594"/>
    </row>
    <row r="940">
      <c r="B940" s="594"/>
    </row>
    <row r="941">
      <c r="B941" s="594"/>
    </row>
    <row r="942">
      <c r="B942" s="594"/>
    </row>
    <row r="943">
      <c r="B943" s="594"/>
    </row>
    <row r="944">
      <c r="B944" s="594"/>
    </row>
    <row r="945">
      <c r="B945" s="594"/>
    </row>
    <row r="946">
      <c r="B946" s="594"/>
    </row>
    <row r="947">
      <c r="B947" s="594"/>
    </row>
    <row r="948">
      <c r="B948" s="594"/>
    </row>
    <row r="949">
      <c r="B949" s="594"/>
    </row>
    <row r="950">
      <c r="B950" s="594"/>
    </row>
    <row r="951">
      <c r="B951" s="594"/>
    </row>
    <row r="952">
      <c r="B952" s="594"/>
    </row>
    <row r="953">
      <c r="B953" s="594"/>
    </row>
    <row r="954">
      <c r="B954" s="594"/>
    </row>
    <row r="955">
      <c r="B955" s="594"/>
    </row>
    <row r="956">
      <c r="B956" s="594"/>
    </row>
    <row r="957">
      <c r="B957" s="594"/>
    </row>
    <row r="958">
      <c r="B958" s="594"/>
    </row>
    <row r="959">
      <c r="B959" s="594"/>
    </row>
    <row r="960">
      <c r="B960" s="594"/>
    </row>
    <row r="961">
      <c r="B961" s="594"/>
    </row>
    <row r="962">
      <c r="B962" s="594"/>
    </row>
    <row r="963">
      <c r="B963" s="594"/>
    </row>
    <row r="964">
      <c r="B964" s="594"/>
    </row>
    <row r="965">
      <c r="B965" s="59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57" t="s">
        <v>2779</v>
      </c>
      <c r="B1" s="257" t="s">
        <v>37</v>
      </c>
      <c r="C1" s="257" t="s">
        <v>5893</v>
      </c>
      <c r="D1" s="257" t="s">
        <v>5894</v>
      </c>
      <c r="E1" s="257" t="s">
        <v>5895</v>
      </c>
      <c r="F1" s="257" t="s">
        <v>5896</v>
      </c>
      <c r="G1" s="257" t="s">
        <v>5897</v>
      </c>
      <c r="H1" s="257" t="s">
        <v>5898</v>
      </c>
      <c r="I1" s="257" t="s">
        <v>5899</v>
      </c>
      <c r="J1" s="257" t="s">
        <v>5900</v>
      </c>
      <c r="K1" s="257" t="s">
        <v>5901</v>
      </c>
      <c r="L1" s="257" t="s">
        <v>5902</v>
      </c>
      <c r="M1" s="257" t="s">
        <v>5903</v>
      </c>
      <c r="N1" s="448"/>
      <c r="O1" s="448"/>
      <c r="P1" s="448"/>
      <c r="Q1" s="448"/>
      <c r="R1" s="448"/>
      <c r="S1" s="448"/>
      <c r="T1" s="448"/>
      <c r="U1" s="448"/>
      <c r="V1" s="448"/>
    </row>
    <row r="2">
      <c r="A2" s="257" t="s">
        <v>1699</v>
      </c>
      <c r="B2" s="257" t="s">
        <v>702</v>
      </c>
      <c r="C2" s="257">
        <v>0.25</v>
      </c>
      <c r="D2" s="257">
        <v>0.87</v>
      </c>
      <c r="E2" s="592">
        <v>5.62E-11</v>
      </c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</row>
    <row r="3">
      <c r="A3" s="257" t="s">
        <v>1707</v>
      </c>
      <c r="B3" s="257" t="s">
        <v>702</v>
      </c>
      <c r="C3" s="257">
        <v>0.3</v>
      </c>
      <c r="D3" s="257">
        <v>1.34</v>
      </c>
      <c r="E3" s="592">
        <v>2.13999999999999E-10</v>
      </c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</row>
    <row r="4">
      <c r="A4" s="257" t="s">
        <v>1711</v>
      </c>
      <c r="B4" s="257" t="s">
        <v>702</v>
      </c>
      <c r="C4" s="257">
        <v>0.3</v>
      </c>
      <c r="D4" s="257">
        <v>1.15</v>
      </c>
      <c r="E4" s="592">
        <v>1.32E-10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</row>
    <row r="5">
      <c r="A5" s="257" t="s">
        <v>1659</v>
      </c>
      <c r="B5" s="257" t="s">
        <v>702</v>
      </c>
      <c r="C5" s="257">
        <v>0.13</v>
      </c>
      <c r="D5" s="257">
        <v>0.7</v>
      </c>
      <c r="E5" s="592">
        <v>2.75E-11</v>
      </c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  <c r="R5" s="448"/>
      <c r="S5" s="448"/>
      <c r="T5" s="448"/>
      <c r="U5" s="448"/>
      <c r="V5" s="448"/>
    </row>
    <row r="6">
      <c r="A6" s="257" t="s">
        <v>1683</v>
      </c>
      <c r="B6" s="257" t="s">
        <v>702</v>
      </c>
      <c r="C6" s="257">
        <v>0.2</v>
      </c>
      <c r="D6" s="257">
        <v>1.08</v>
      </c>
      <c r="E6" s="592">
        <v>1.78E-10</v>
      </c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</row>
    <row r="7">
      <c r="A7" s="257" t="s">
        <v>1652</v>
      </c>
      <c r="B7" s="257" t="s">
        <v>702</v>
      </c>
      <c r="C7" s="257">
        <v>0.11</v>
      </c>
      <c r="D7" s="257">
        <v>0.6</v>
      </c>
      <c r="E7" s="592">
        <v>9.77E-11</v>
      </c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</row>
    <row r="8">
      <c r="A8" s="257" t="s">
        <v>1654</v>
      </c>
      <c r="B8" s="257" t="s">
        <v>702</v>
      </c>
      <c r="C8" s="257">
        <v>0.11</v>
      </c>
      <c r="D8" s="257">
        <v>0.6</v>
      </c>
      <c r="E8" s="592">
        <v>2.0E-11</v>
      </c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</row>
    <row r="9">
      <c r="A9" s="257" t="s">
        <v>1642</v>
      </c>
      <c r="B9" s="257" t="s">
        <v>702</v>
      </c>
      <c r="C9" s="257">
        <v>0.08</v>
      </c>
      <c r="D9" s="257">
        <v>0.4</v>
      </c>
      <c r="E9" s="592">
        <v>6.45999999999999E-12</v>
      </c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</row>
    <row r="10">
      <c r="A10" s="257" t="s">
        <v>1635</v>
      </c>
      <c r="B10" s="257" t="s">
        <v>702</v>
      </c>
      <c r="C10" s="257">
        <v>0.06</v>
      </c>
      <c r="D10" s="257">
        <v>0.4</v>
      </c>
      <c r="E10" s="592">
        <v>1.38E-11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</row>
    <row r="11">
      <c r="A11" s="257" t="s">
        <v>782</v>
      </c>
      <c r="B11" s="257" t="s">
        <v>759</v>
      </c>
      <c r="C11" s="257">
        <v>1.57</v>
      </c>
      <c r="D11" s="257">
        <v>2.16</v>
      </c>
      <c r="E11" s="592">
        <v>1.1E-7</v>
      </c>
      <c r="F11" s="592">
        <v>2.7372049158507E26</v>
      </c>
      <c r="G11" s="592"/>
      <c r="H11" s="592"/>
      <c r="I11" s="592">
        <v>2.7372049158507E26</v>
      </c>
      <c r="J11" s="592">
        <v>3.91620604581879E-8</v>
      </c>
      <c r="K11" s="592"/>
      <c r="L11" s="592"/>
      <c r="M11" s="592">
        <v>3.91620604581879E-8</v>
      </c>
      <c r="N11" s="448"/>
      <c r="O11" s="448"/>
      <c r="P11" s="448"/>
      <c r="Q11" s="448"/>
      <c r="R11" s="448"/>
      <c r="S11" s="448"/>
      <c r="T11" s="448"/>
      <c r="U11" s="448"/>
      <c r="V11" s="448"/>
    </row>
    <row r="12">
      <c r="A12" s="257" t="s">
        <v>764</v>
      </c>
      <c r="B12" s="257" t="s">
        <v>759</v>
      </c>
      <c r="C12" s="257">
        <v>0.91</v>
      </c>
      <c r="D12" s="257">
        <v>2.21</v>
      </c>
      <c r="E12" s="592">
        <v>2.45E-8</v>
      </c>
      <c r="F12" s="592">
        <v>5.62894927679977E25</v>
      </c>
      <c r="G12" s="592"/>
      <c r="H12" s="592"/>
      <c r="I12" s="592">
        <v>5.62894927679977E25</v>
      </c>
      <c r="J12" s="592">
        <v>1.42161612224551E-8</v>
      </c>
      <c r="K12" s="592"/>
      <c r="L12" s="592"/>
      <c r="M12" s="592">
        <v>1.42161612224551E-8</v>
      </c>
      <c r="N12" s="448"/>
      <c r="O12" s="448"/>
      <c r="P12" s="448"/>
      <c r="Q12" s="448"/>
      <c r="R12" s="448"/>
      <c r="S12" s="448"/>
      <c r="T12" s="448"/>
      <c r="U12" s="448"/>
      <c r="V12" s="448"/>
    </row>
    <row r="13">
      <c r="A13" s="257" t="s">
        <v>1354</v>
      </c>
      <c r="B13" s="257" t="s">
        <v>160</v>
      </c>
      <c r="C13" s="257">
        <v>0.141253799999999</v>
      </c>
      <c r="D13" s="257">
        <v>1.64</v>
      </c>
      <c r="E13" s="592">
        <v>4.17E-10</v>
      </c>
      <c r="F13" s="592"/>
      <c r="G13" s="592">
        <v>9.5629945654282E23</v>
      </c>
      <c r="H13" s="592"/>
      <c r="I13" s="592">
        <v>9.5629945654282E23</v>
      </c>
      <c r="J13" s="592"/>
      <c r="K13" s="592">
        <v>1.15462708406193E-9</v>
      </c>
      <c r="L13" s="592"/>
      <c r="M13" s="592">
        <v>1.15462708406193E-9</v>
      </c>
      <c r="N13" s="448"/>
      <c r="O13" s="448"/>
      <c r="P13" s="448"/>
      <c r="Q13" s="448"/>
      <c r="R13" s="448"/>
      <c r="S13" s="448"/>
      <c r="T13" s="448"/>
      <c r="U13" s="448"/>
      <c r="V13" s="448"/>
    </row>
    <row r="14">
      <c r="A14" s="257" t="s">
        <v>1354</v>
      </c>
      <c r="B14" s="257" t="s">
        <v>160</v>
      </c>
      <c r="C14" s="257">
        <v>0.2691535</v>
      </c>
      <c r="D14" s="257">
        <v>2.16</v>
      </c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</row>
    <row r="15">
      <c r="A15" s="257" t="s">
        <v>1696</v>
      </c>
      <c r="B15" s="257" t="s">
        <v>702</v>
      </c>
      <c r="C15" s="257">
        <v>0.2</v>
      </c>
      <c r="D15" s="257">
        <v>0.53</v>
      </c>
      <c r="E15" s="592">
        <v>1.95E-11</v>
      </c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8"/>
    </row>
    <row r="16">
      <c r="A16" s="257" t="s">
        <v>490</v>
      </c>
      <c r="B16" s="257" t="s">
        <v>476</v>
      </c>
      <c r="C16" s="257">
        <v>0.1</v>
      </c>
      <c r="D16" s="257">
        <v>1.03</v>
      </c>
      <c r="E16" s="592">
        <v>5.00999999999999E-12</v>
      </c>
      <c r="F16" s="592">
        <v>3.26233993251851E21</v>
      </c>
      <c r="G16" s="592">
        <v>1.4954531257029E22</v>
      </c>
      <c r="H16" s="592">
        <v>2.44046370121695E22</v>
      </c>
      <c r="I16" s="592">
        <v>1.42071694005723E22</v>
      </c>
      <c r="J16" s="592">
        <v>3.49438345419531E-12</v>
      </c>
      <c r="K16" s="592">
        <v>1.60182162713702E-11</v>
      </c>
      <c r="L16" s="592">
        <v>2.61404885894685E-11</v>
      </c>
      <c r="M16" s="592">
        <v>1.52176961050113E-11</v>
      </c>
      <c r="N16" s="448"/>
      <c r="O16" s="448"/>
      <c r="P16" s="448"/>
      <c r="Q16" s="448"/>
      <c r="R16" s="448"/>
      <c r="S16" s="448"/>
      <c r="T16" s="448"/>
      <c r="U16" s="448"/>
      <c r="V16" s="448"/>
    </row>
    <row r="17">
      <c r="A17" s="257" t="s">
        <v>630</v>
      </c>
      <c r="B17" s="257" t="s">
        <v>598</v>
      </c>
      <c r="C17" s="257">
        <v>0.0314889999999999</v>
      </c>
      <c r="D17" s="257">
        <v>0.42</v>
      </c>
      <c r="E17" s="592">
        <v>5.00999999999999E-12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</row>
    <row r="18">
      <c r="A18" s="257" t="s">
        <v>630</v>
      </c>
      <c r="B18" s="257" t="s">
        <v>269</v>
      </c>
      <c r="C18" s="257">
        <v>0.0314889999999999</v>
      </c>
      <c r="D18" s="257">
        <v>0.46</v>
      </c>
      <c r="E18" s="592">
        <v>1.0E-12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</row>
    <row r="19">
      <c r="A19" s="257" t="s">
        <v>630</v>
      </c>
      <c r="B19" s="257" t="s">
        <v>269</v>
      </c>
      <c r="C19" s="257">
        <v>0.0314889999999999</v>
      </c>
      <c r="D19" s="257">
        <v>0.46</v>
      </c>
      <c r="E19" s="592">
        <v>3.98E-12</v>
      </c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</row>
    <row r="20">
      <c r="A20" s="257" t="s">
        <v>667</v>
      </c>
      <c r="B20" s="257" t="s">
        <v>598</v>
      </c>
      <c r="C20" s="257">
        <v>0.0517039999999999</v>
      </c>
      <c r="D20" s="257">
        <v>0.47</v>
      </c>
      <c r="E20" s="592">
        <v>1.0E-12</v>
      </c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</row>
    <row r="21">
      <c r="A21" s="257" t="s">
        <v>655</v>
      </c>
      <c r="B21" s="257" t="s">
        <v>598</v>
      </c>
      <c r="C21" s="257">
        <v>0.034934</v>
      </c>
      <c r="D21" s="257">
        <v>0.31</v>
      </c>
      <c r="E21" s="592">
        <v>1.0E-11</v>
      </c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</row>
    <row r="22">
      <c r="A22" s="257" t="s">
        <v>670</v>
      </c>
      <c r="B22" s="257" t="s">
        <v>598</v>
      </c>
      <c r="C22" s="257">
        <v>0.046938</v>
      </c>
      <c r="D22" s="257">
        <v>0.31</v>
      </c>
      <c r="E22" s="592">
        <v>1.0E-12</v>
      </c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</row>
    <row r="23">
      <c r="A23" s="257" t="s">
        <v>281</v>
      </c>
      <c r="B23" s="257" t="s">
        <v>269</v>
      </c>
      <c r="C23" s="257">
        <v>0.038679</v>
      </c>
      <c r="D23" s="257">
        <v>0.73</v>
      </c>
      <c r="E23" s="592">
        <v>1.0E-10</v>
      </c>
      <c r="F23" s="592"/>
      <c r="G23" s="592">
        <v>5.60216559048906E22</v>
      </c>
      <c r="H23" s="592"/>
      <c r="I23" s="592">
        <v>5.60216559048906E22</v>
      </c>
      <c r="J23" s="592"/>
      <c r="K23" s="592">
        <v>1.09953153073728E-10</v>
      </c>
      <c r="L23" s="592"/>
      <c r="M23" s="592">
        <v>1.09953153073728E-10</v>
      </c>
      <c r="N23" s="448"/>
      <c r="O23" s="448"/>
      <c r="P23" s="448"/>
      <c r="Q23" s="448"/>
      <c r="R23" s="448"/>
      <c r="S23" s="448"/>
      <c r="T23" s="448"/>
      <c r="U23" s="448"/>
      <c r="V23" s="448"/>
    </row>
    <row r="24">
      <c r="A24" s="257" t="s">
        <v>281</v>
      </c>
      <c r="B24" s="257" t="s">
        <v>269</v>
      </c>
      <c r="C24" s="257">
        <v>0.038679</v>
      </c>
      <c r="D24" s="257">
        <v>0.73</v>
      </c>
      <c r="E24" s="592">
        <v>1.58E-11</v>
      </c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</row>
    <row r="25">
      <c r="A25" s="257" t="s">
        <v>281</v>
      </c>
      <c r="B25" s="257" t="s">
        <v>201</v>
      </c>
      <c r="C25" s="257">
        <v>0.038679</v>
      </c>
      <c r="D25" s="257">
        <v>0.53</v>
      </c>
      <c r="E25" s="592">
        <v>2.51E-11</v>
      </c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</row>
    <row r="26">
      <c r="A26" s="257" t="s">
        <v>281</v>
      </c>
      <c r="B26" s="257" t="s">
        <v>201</v>
      </c>
      <c r="C26" s="257">
        <v>0.038679</v>
      </c>
      <c r="D26" s="257">
        <v>0.53</v>
      </c>
      <c r="E26" s="592">
        <v>1.58E-11</v>
      </c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</row>
    <row r="27">
      <c r="A27" s="257" t="s">
        <v>657</v>
      </c>
      <c r="B27" s="257" t="s">
        <v>269</v>
      </c>
      <c r="C27" s="257">
        <v>0.038679</v>
      </c>
      <c r="D27" s="257">
        <v>0.77</v>
      </c>
      <c r="E27" s="592">
        <v>1.0E-12</v>
      </c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</row>
    <row r="28">
      <c r="A28" s="257" t="s">
        <v>657</v>
      </c>
      <c r="B28" s="257" t="s">
        <v>269</v>
      </c>
      <c r="C28" s="257">
        <v>0.038679</v>
      </c>
      <c r="D28" s="257">
        <v>0.77</v>
      </c>
      <c r="E28" s="592">
        <v>7.94E-11</v>
      </c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</row>
    <row r="29">
      <c r="A29" s="257" t="s">
        <v>688</v>
      </c>
      <c r="B29" s="257" t="s">
        <v>269</v>
      </c>
      <c r="C29" s="257">
        <v>0.09543</v>
      </c>
      <c r="D29" s="257">
        <v>0.83</v>
      </c>
      <c r="E29" s="592">
        <v>1.0E-12</v>
      </c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</row>
    <row r="30">
      <c r="A30" s="257" t="s">
        <v>688</v>
      </c>
      <c r="B30" s="257" t="s">
        <v>269</v>
      </c>
      <c r="C30" s="257">
        <v>0.09543</v>
      </c>
      <c r="D30" s="257">
        <v>0.83</v>
      </c>
      <c r="E30" s="592">
        <v>1.0E-10</v>
      </c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</row>
    <row r="31">
      <c r="A31" s="257" t="s">
        <v>266</v>
      </c>
      <c r="B31" s="257" t="s">
        <v>269</v>
      </c>
      <c r="C31" s="257">
        <v>0.038679</v>
      </c>
      <c r="D31" s="257">
        <v>0.68</v>
      </c>
      <c r="E31" s="592">
        <v>1.58E-11</v>
      </c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</row>
    <row r="32">
      <c r="A32" s="257" t="s">
        <v>266</v>
      </c>
      <c r="B32" s="257" t="s">
        <v>269</v>
      </c>
      <c r="C32" s="257">
        <v>0.038679</v>
      </c>
      <c r="D32" s="257">
        <v>0.68</v>
      </c>
      <c r="E32" s="592">
        <v>3.16E-11</v>
      </c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</row>
    <row r="33">
      <c r="A33" s="257" t="s">
        <v>266</v>
      </c>
      <c r="B33" s="257" t="s">
        <v>201</v>
      </c>
      <c r="C33" s="257">
        <v>0.038679</v>
      </c>
      <c r="D33" s="257">
        <v>0.5</v>
      </c>
      <c r="E33" s="592">
        <v>2.51E-11</v>
      </c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</row>
    <row r="34">
      <c r="A34" s="257" t="s">
        <v>266</v>
      </c>
      <c r="B34" s="257" t="s">
        <v>201</v>
      </c>
      <c r="C34" s="257">
        <v>0.038679</v>
      </c>
      <c r="D34" s="257">
        <v>0.5</v>
      </c>
      <c r="E34" s="592">
        <v>1.58E-11</v>
      </c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</row>
    <row r="35">
      <c r="A35" s="257" t="s">
        <v>632</v>
      </c>
      <c r="B35" s="257" t="s">
        <v>598</v>
      </c>
      <c r="C35" s="257">
        <v>0.028415</v>
      </c>
      <c r="D35" s="257">
        <v>0.6</v>
      </c>
      <c r="E35" s="592">
        <v>1.0E-12</v>
      </c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</row>
    <row r="36">
      <c r="A36" s="257" t="s">
        <v>1731</v>
      </c>
      <c r="B36" s="257" t="s">
        <v>702</v>
      </c>
      <c r="C36" s="257">
        <v>0.6</v>
      </c>
      <c r="D36" s="257">
        <v>2.16</v>
      </c>
      <c r="E36" s="592">
        <v>1.73999999999999E-9</v>
      </c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</row>
    <row r="37">
      <c r="A37" s="257" t="s">
        <v>2007</v>
      </c>
      <c r="B37" s="257" t="s">
        <v>702</v>
      </c>
      <c r="C37" s="257">
        <v>1.0</v>
      </c>
      <c r="D37" s="257">
        <v>1.49</v>
      </c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</row>
    <row r="38">
      <c r="A38" s="257" t="s">
        <v>2012</v>
      </c>
      <c r="B38" s="257" t="s">
        <v>702</v>
      </c>
      <c r="C38" s="257">
        <v>0.8</v>
      </c>
      <c r="D38" s="257">
        <v>3.21</v>
      </c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</row>
    <row r="39">
      <c r="A39" s="257" t="s">
        <v>1673</v>
      </c>
      <c r="B39" s="257" t="s">
        <v>702</v>
      </c>
      <c r="C39" s="257">
        <v>0.2</v>
      </c>
      <c r="D39" s="257">
        <v>1.26</v>
      </c>
      <c r="E39" s="592">
        <v>2.13999999999999E-10</v>
      </c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</row>
    <row r="40">
      <c r="A40" s="257" t="s">
        <v>1723</v>
      </c>
      <c r="B40" s="257" t="s">
        <v>702</v>
      </c>
      <c r="C40" s="257">
        <v>0.4</v>
      </c>
      <c r="D40" s="257">
        <v>2.19</v>
      </c>
      <c r="E40" s="592">
        <v>1.11999999999999E-9</v>
      </c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</row>
    <row r="41">
      <c r="A41" s="257" t="s">
        <v>400</v>
      </c>
      <c r="B41" s="257" t="s">
        <v>352</v>
      </c>
      <c r="C41" s="257">
        <v>0.2</v>
      </c>
      <c r="D41" s="257">
        <v>1.73</v>
      </c>
      <c r="E41" s="592">
        <v>3.88999999999999E-11</v>
      </c>
      <c r="F41" s="592">
        <v>8.64522384551718E23</v>
      </c>
      <c r="G41" s="592">
        <v>2.14039210818493E23</v>
      </c>
      <c r="H41" s="592"/>
      <c r="I41" s="592">
        <v>5.39280797685105E23</v>
      </c>
      <c r="J41" s="592">
        <v>7.77672019953797E-10</v>
      </c>
      <c r="K41" s="592">
        <v>1.92536721316759E-10</v>
      </c>
      <c r="L41" s="592"/>
      <c r="M41" s="592">
        <v>4.85104370635278E-10</v>
      </c>
      <c r="N41" s="448"/>
      <c r="O41" s="448"/>
      <c r="P41" s="448"/>
      <c r="Q41" s="448"/>
      <c r="R41" s="448"/>
      <c r="S41" s="448"/>
      <c r="T41" s="448"/>
      <c r="U41" s="448"/>
      <c r="V41" s="448"/>
    </row>
    <row r="42">
      <c r="A42" s="257" t="s">
        <v>400</v>
      </c>
      <c r="B42" s="257" t="s">
        <v>702</v>
      </c>
      <c r="C42" s="257">
        <v>0.3</v>
      </c>
      <c r="D42" s="257">
        <v>1.59</v>
      </c>
      <c r="E42" s="592">
        <v>3.54999999999999E-10</v>
      </c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</row>
    <row r="43">
      <c r="A43" s="257" t="s">
        <v>277</v>
      </c>
      <c r="B43" s="257" t="s">
        <v>201</v>
      </c>
      <c r="C43" s="257">
        <v>0.12</v>
      </c>
      <c r="D43" s="592"/>
      <c r="E43" s="592">
        <v>2.51E-11</v>
      </c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</row>
    <row r="44">
      <c r="A44" s="257" t="s">
        <v>277</v>
      </c>
      <c r="B44" s="257" t="s">
        <v>201</v>
      </c>
      <c r="C44" s="257">
        <v>0.12</v>
      </c>
      <c r="D44" s="592"/>
      <c r="E44" s="592">
        <v>1.58E-11</v>
      </c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</row>
    <row r="45">
      <c r="A45" s="257" t="s">
        <v>693</v>
      </c>
      <c r="B45" s="257" t="s">
        <v>248</v>
      </c>
      <c r="C45" s="257">
        <v>0.1</v>
      </c>
      <c r="D45" s="257">
        <v>1.0</v>
      </c>
      <c r="E45" s="592">
        <v>1.0E-10</v>
      </c>
      <c r="F45" s="592">
        <v>2.03257291176783E22</v>
      </c>
      <c r="G45" s="592"/>
      <c r="H45" s="592"/>
      <c r="I45" s="592">
        <v>2.03257291176783E22</v>
      </c>
      <c r="J45" s="592">
        <v>2.113733628701E-11</v>
      </c>
      <c r="K45" s="592"/>
      <c r="L45" s="592"/>
      <c r="M45" s="592">
        <v>2.113733628701E-11</v>
      </c>
      <c r="N45" s="448"/>
      <c r="O45" s="448"/>
      <c r="P45" s="448"/>
      <c r="Q45" s="448"/>
      <c r="R45" s="448"/>
      <c r="S45" s="448"/>
      <c r="T45" s="448"/>
      <c r="U45" s="448"/>
      <c r="V45" s="448"/>
    </row>
    <row r="46">
      <c r="A46" s="257" t="s">
        <v>261</v>
      </c>
      <c r="B46" s="257" t="s">
        <v>248</v>
      </c>
      <c r="C46" s="257">
        <v>0.09</v>
      </c>
      <c r="D46" s="257">
        <v>1.0</v>
      </c>
      <c r="E46" s="592">
        <v>1.0E-10</v>
      </c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</row>
    <row r="47">
      <c r="A47" s="257" t="s">
        <v>261</v>
      </c>
      <c r="B47" s="257" t="s">
        <v>201</v>
      </c>
      <c r="C47" s="257">
        <v>0.1</v>
      </c>
      <c r="D47" s="592"/>
      <c r="E47" s="592">
        <v>1.0E-10</v>
      </c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</row>
    <row r="48">
      <c r="A48" s="257" t="s">
        <v>261</v>
      </c>
      <c r="B48" s="257" t="s">
        <v>201</v>
      </c>
      <c r="C48" s="257">
        <v>0.1</v>
      </c>
      <c r="D48" s="592"/>
      <c r="E48" s="592">
        <v>5.01E-11</v>
      </c>
      <c r="F48" s="448"/>
      <c r="G48" s="448"/>
      <c r="H48" s="448"/>
      <c r="I48" s="448"/>
      <c r="J48" s="448"/>
      <c r="K48" s="448"/>
      <c r="L48" s="448"/>
      <c r="M48" s="448"/>
      <c r="N48" s="448"/>
      <c r="O48" s="448"/>
      <c r="P48" s="448"/>
      <c r="Q48" s="448"/>
      <c r="R48" s="448"/>
      <c r="S48" s="448"/>
      <c r="T48" s="448"/>
      <c r="U48" s="448"/>
      <c r="V48" s="448"/>
    </row>
    <row r="49">
      <c r="A49" s="257" t="s">
        <v>346</v>
      </c>
      <c r="B49" s="257" t="s">
        <v>225</v>
      </c>
      <c r="C49" s="257">
        <v>0.052624</v>
      </c>
      <c r="D49" s="257">
        <v>0.69</v>
      </c>
      <c r="E49" s="592">
        <v>9.0E-10</v>
      </c>
      <c r="F49" s="592">
        <v>4.96900322565988E23</v>
      </c>
      <c r="G49" s="592"/>
      <c r="H49" s="592"/>
      <c r="I49" s="592">
        <v>4.96900322565988E23</v>
      </c>
      <c r="J49" s="592">
        <v>6.77545767668675E-10</v>
      </c>
      <c r="K49" s="592"/>
      <c r="L49" s="592"/>
      <c r="M49" s="592">
        <v>6.77545767668675E-10</v>
      </c>
      <c r="N49" s="448"/>
      <c r="O49" s="448"/>
      <c r="P49" s="448"/>
      <c r="Q49" s="448"/>
      <c r="R49" s="448"/>
      <c r="S49" s="448"/>
      <c r="T49" s="448"/>
      <c r="U49" s="448"/>
      <c r="V49" s="448"/>
    </row>
    <row r="50">
      <c r="A50" s="257" t="s">
        <v>346</v>
      </c>
      <c r="B50" s="257" t="s">
        <v>598</v>
      </c>
      <c r="C50" s="257">
        <v>0.052624</v>
      </c>
      <c r="D50" s="257">
        <v>0.69</v>
      </c>
      <c r="E50" s="592">
        <v>1.0E-10</v>
      </c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</row>
    <row r="51">
      <c r="A51" s="257" t="s">
        <v>286</v>
      </c>
      <c r="B51" s="257" t="s">
        <v>201</v>
      </c>
      <c r="C51" s="257">
        <v>0.16</v>
      </c>
      <c r="D51" s="592"/>
      <c r="E51" s="592">
        <v>3.16E-11</v>
      </c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</row>
    <row r="52">
      <c r="A52" s="257" t="s">
        <v>286</v>
      </c>
      <c r="B52" s="257" t="s">
        <v>201</v>
      </c>
      <c r="C52" s="257">
        <v>0.16</v>
      </c>
      <c r="D52" s="592"/>
      <c r="E52" s="592">
        <v>2.0E-11</v>
      </c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</row>
    <row r="53">
      <c r="A53" s="257" t="s">
        <v>279</v>
      </c>
      <c r="B53" s="257" t="s">
        <v>201</v>
      </c>
      <c r="C53" s="257">
        <v>0.13</v>
      </c>
      <c r="D53" s="592"/>
      <c r="E53" s="592">
        <v>2.51E-11</v>
      </c>
      <c r="F53" s="448"/>
      <c r="G53" s="448"/>
      <c r="H53" s="448"/>
      <c r="I53" s="448"/>
      <c r="J53" s="448"/>
      <c r="K53" s="448"/>
      <c r="L53" s="448"/>
      <c r="M53" s="448"/>
      <c r="N53" s="448"/>
      <c r="O53" s="448"/>
      <c r="P53" s="448"/>
      <c r="Q53" s="448"/>
      <c r="R53" s="448"/>
      <c r="S53" s="448"/>
      <c r="T53" s="448"/>
      <c r="U53" s="448"/>
      <c r="V53" s="448"/>
    </row>
    <row r="54">
      <c r="A54" s="257" t="s">
        <v>279</v>
      </c>
      <c r="B54" s="257" t="s">
        <v>201</v>
      </c>
      <c r="C54" s="257">
        <v>0.13</v>
      </c>
      <c r="D54" s="592"/>
      <c r="E54" s="592">
        <v>1.58E-11</v>
      </c>
      <c r="F54" s="448"/>
      <c r="G54" s="448"/>
      <c r="H54" s="448"/>
      <c r="I54" s="448"/>
      <c r="J54" s="448"/>
      <c r="K54" s="448"/>
      <c r="L54" s="448"/>
      <c r="M54" s="448"/>
      <c r="N54" s="448"/>
      <c r="O54" s="448"/>
      <c r="P54" s="448"/>
      <c r="Q54" s="448"/>
      <c r="R54" s="448"/>
      <c r="S54" s="448"/>
      <c r="T54" s="448"/>
      <c r="U54" s="448"/>
      <c r="V54" s="448"/>
    </row>
    <row r="55">
      <c r="A55" s="257" t="s">
        <v>652</v>
      </c>
      <c r="B55" s="257" t="s">
        <v>598</v>
      </c>
      <c r="C55" s="257">
        <v>0.0313899999999999</v>
      </c>
      <c r="D55" s="257">
        <v>1.79</v>
      </c>
      <c r="E55" s="592">
        <v>1.0E-12</v>
      </c>
      <c r="F55" s="448"/>
      <c r="G55" s="448"/>
      <c r="H55" s="448"/>
      <c r="I55" s="448"/>
      <c r="J55" s="448"/>
      <c r="K55" s="448"/>
      <c r="L55" s="448"/>
      <c r="M55" s="448"/>
      <c r="N55" s="448"/>
      <c r="O55" s="448"/>
      <c r="P55" s="448"/>
      <c r="Q55" s="448"/>
      <c r="R55" s="448"/>
      <c r="S55" s="448"/>
      <c r="T55" s="448"/>
      <c r="U55" s="448"/>
      <c r="V55" s="448"/>
    </row>
    <row r="56">
      <c r="A56" s="257" t="s">
        <v>208</v>
      </c>
      <c r="B56" s="257" t="s">
        <v>201</v>
      </c>
      <c r="C56" s="257">
        <v>0.018053</v>
      </c>
      <c r="D56" s="592"/>
      <c r="E56" s="592">
        <v>3.16E-11</v>
      </c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48"/>
      <c r="R56" s="448"/>
      <c r="S56" s="448"/>
      <c r="T56" s="448"/>
      <c r="U56" s="448"/>
      <c r="V56" s="448"/>
    </row>
    <row r="57">
      <c r="A57" s="257" t="s">
        <v>208</v>
      </c>
      <c r="B57" s="257" t="s">
        <v>201</v>
      </c>
      <c r="C57" s="257">
        <v>0.018053</v>
      </c>
      <c r="D57" s="592"/>
      <c r="E57" s="592">
        <v>2.0E-11</v>
      </c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48"/>
      <c r="R57" s="448"/>
      <c r="S57" s="448"/>
      <c r="T57" s="448"/>
      <c r="U57" s="448"/>
      <c r="V57" s="448"/>
    </row>
    <row r="58">
      <c r="A58" s="257" t="s">
        <v>208</v>
      </c>
      <c r="B58" s="257" t="s">
        <v>598</v>
      </c>
      <c r="C58" s="257">
        <v>0.018053</v>
      </c>
      <c r="D58" s="257">
        <v>0.17</v>
      </c>
      <c r="E58" s="592">
        <v>3.98E-12</v>
      </c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</row>
    <row r="59">
      <c r="A59" s="257" t="s">
        <v>251</v>
      </c>
      <c r="B59" s="257" t="s">
        <v>201</v>
      </c>
      <c r="C59" s="257">
        <v>0.08</v>
      </c>
      <c r="D59" s="592"/>
      <c r="E59" s="592">
        <v>1.26E-10</v>
      </c>
      <c r="F59" s="448"/>
      <c r="G59" s="448"/>
      <c r="H59" s="448"/>
      <c r="I59" s="448"/>
      <c r="J59" s="448"/>
      <c r="K59" s="448"/>
      <c r="L59" s="448"/>
      <c r="M59" s="448"/>
      <c r="N59" s="448"/>
      <c r="O59" s="448"/>
      <c r="P59" s="448"/>
      <c r="Q59" s="448"/>
      <c r="R59" s="448"/>
      <c r="S59" s="448"/>
      <c r="T59" s="448"/>
      <c r="U59" s="448"/>
      <c r="V59" s="448"/>
    </row>
    <row r="60">
      <c r="A60" s="257" t="s">
        <v>251</v>
      </c>
      <c r="B60" s="257" t="s">
        <v>201</v>
      </c>
      <c r="C60" s="257">
        <v>0.08</v>
      </c>
      <c r="D60" s="592"/>
      <c r="E60" s="592">
        <v>6.31E-11</v>
      </c>
      <c r="F60" s="448"/>
      <c r="G60" s="448"/>
      <c r="H60" s="448"/>
      <c r="I60" s="448"/>
      <c r="J60" s="448"/>
      <c r="K60" s="448"/>
      <c r="L60" s="448"/>
      <c r="M60" s="448"/>
      <c r="N60" s="448"/>
      <c r="O60" s="448"/>
      <c r="P60" s="448"/>
      <c r="Q60" s="448"/>
      <c r="R60" s="448"/>
      <c r="S60" s="448"/>
      <c r="T60" s="448"/>
      <c r="U60" s="448"/>
      <c r="V60" s="448"/>
    </row>
    <row r="61">
      <c r="A61" s="257" t="s">
        <v>251</v>
      </c>
      <c r="B61" s="257" t="s">
        <v>598</v>
      </c>
      <c r="C61" s="257">
        <v>0.08</v>
      </c>
      <c r="D61" s="257">
        <v>0.53</v>
      </c>
      <c r="E61" s="592">
        <v>1.0E-10</v>
      </c>
      <c r="F61" s="448"/>
      <c r="G61" s="448"/>
      <c r="H61" s="448"/>
      <c r="I61" s="448"/>
      <c r="J61" s="448"/>
      <c r="K61" s="448"/>
      <c r="L61" s="448"/>
      <c r="M61" s="448"/>
      <c r="N61" s="448"/>
      <c r="O61" s="448"/>
      <c r="P61" s="448"/>
      <c r="Q61" s="448"/>
      <c r="R61" s="448"/>
      <c r="S61" s="448"/>
      <c r="T61" s="448"/>
      <c r="U61" s="448"/>
      <c r="V61" s="448"/>
    </row>
    <row r="62">
      <c r="A62" s="257" t="s">
        <v>197</v>
      </c>
      <c r="B62" s="257" t="s">
        <v>201</v>
      </c>
      <c r="C62" s="257">
        <v>0.0161669999999999</v>
      </c>
      <c r="D62" s="257">
        <v>1.73</v>
      </c>
      <c r="E62" s="592">
        <v>7.94E-12</v>
      </c>
      <c r="F62" s="592">
        <v>1.32858944311489E21</v>
      </c>
      <c r="G62" s="592"/>
      <c r="H62" s="592"/>
      <c r="I62" s="592">
        <v>1.32858944311489E21</v>
      </c>
      <c r="J62" s="592">
        <v>1.47846683056606E-11</v>
      </c>
      <c r="K62" s="592"/>
      <c r="L62" s="592"/>
      <c r="M62" s="592">
        <v>1.47846683056606E-11</v>
      </c>
      <c r="N62" s="448"/>
      <c r="O62" s="448"/>
      <c r="P62" s="448"/>
      <c r="Q62" s="448"/>
      <c r="R62" s="448"/>
      <c r="S62" s="448"/>
      <c r="T62" s="448"/>
      <c r="U62" s="448"/>
      <c r="V62" s="448"/>
    </row>
    <row r="63">
      <c r="A63" s="257" t="s">
        <v>197</v>
      </c>
      <c r="B63" s="257" t="s">
        <v>201</v>
      </c>
      <c r="C63" s="257">
        <v>0.0161669999999999</v>
      </c>
      <c r="D63" s="257">
        <v>1.73</v>
      </c>
      <c r="E63" s="592">
        <v>6.30999999999999E-12</v>
      </c>
      <c r="F63" s="592">
        <v>1.32858944311489E21</v>
      </c>
      <c r="G63" s="592"/>
      <c r="H63" s="592"/>
      <c r="I63" s="592">
        <v>1.32858944311489E21</v>
      </c>
      <c r="J63" s="592">
        <v>1.47846683056606E-11</v>
      </c>
      <c r="K63" s="592"/>
      <c r="L63" s="592"/>
      <c r="M63" s="592">
        <v>1.47846683056606E-11</v>
      </c>
      <c r="N63" s="448"/>
      <c r="O63" s="448"/>
      <c r="P63" s="448"/>
      <c r="Q63" s="448"/>
      <c r="R63" s="448"/>
      <c r="S63" s="448"/>
      <c r="T63" s="448"/>
      <c r="U63" s="448"/>
      <c r="V63" s="448"/>
    </row>
    <row r="64">
      <c r="A64" s="257" t="s">
        <v>197</v>
      </c>
      <c r="B64" s="257" t="s">
        <v>598</v>
      </c>
      <c r="C64" s="257">
        <v>0.0161669999999999</v>
      </c>
      <c r="D64" s="257">
        <v>1.73</v>
      </c>
      <c r="E64" s="592">
        <v>1.0E-12</v>
      </c>
      <c r="F64" s="592">
        <v>6.91847439394755E20</v>
      </c>
      <c r="G64" s="592"/>
      <c r="H64" s="592"/>
      <c r="I64" s="592">
        <v>6.91847439394755E20</v>
      </c>
      <c r="J64" s="592">
        <v>7.69894338885509E-12</v>
      </c>
      <c r="K64" s="592"/>
      <c r="L64" s="592"/>
      <c r="M64" s="592">
        <v>7.69894338885509E-12</v>
      </c>
      <c r="N64" s="448"/>
      <c r="O64" s="448"/>
      <c r="P64" s="448"/>
      <c r="Q64" s="448"/>
      <c r="R64" s="448"/>
      <c r="S64" s="448"/>
      <c r="T64" s="448"/>
      <c r="U64" s="448"/>
      <c r="V64" s="448"/>
    </row>
    <row r="65">
      <c r="A65" s="257" t="s">
        <v>639</v>
      </c>
      <c r="B65" s="257" t="s">
        <v>598</v>
      </c>
      <c r="C65" s="257">
        <v>0.0313899999999999</v>
      </c>
      <c r="D65" s="257">
        <v>0.59</v>
      </c>
      <c r="E65" s="592">
        <v>1.0E-12</v>
      </c>
      <c r="F65" s="592">
        <v>1.81379145570864E21</v>
      </c>
      <c r="G65" s="592"/>
      <c r="H65" s="592"/>
      <c r="I65" s="592">
        <v>1.81379145570864E21</v>
      </c>
      <c r="J65" s="592">
        <v>3.54529331014127E-12</v>
      </c>
      <c r="K65" s="592"/>
      <c r="L65" s="592"/>
      <c r="M65" s="592">
        <v>3.54529331014127E-12</v>
      </c>
      <c r="N65" s="448"/>
      <c r="O65" s="448"/>
      <c r="P65" s="448"/>
      <c r="Q65" s="448"/>
      <c r="R65" s="448"/>
      <c r="S65" s="448"/>
      <c r="T65" s="448"/>
      <c r="U65" s="448"/>
      <c r="V65" s="448"/>
    </row>
    <row r="66">
      <c r="A66" s="257" t="s">
        <v>211</v>
      </c>
      <c r="B66" s="257" t="s">
        <v>201</v>
      </c>
      <c r="C66" s="257">
        <v>0.020985</v>
      </c>
      <c r="D66" s="592"/>
      <c r="E66" s="592">
        <v>1.58E-11</v>
      </c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</row>
    <row r="67">
      <c r="A67" s="257" t="s">
        <v>211</v>
      </c>
      <c r="B67" s="257" t="s">
        <v>201</v>
      </c>
      <c r="C67" s="257">
        <v>0.020985</v>
      </c>
      <c r="D67" s="592"/>
      <c r="E67" s="592">
        <v>1.0E-11</v>
      </c>
      <c r="F67" s="448"/>
      <c r="G67" s="448"/>
      <c r="H67" s="448"/>
      <c r="I67" s="448"/>
      <c r="J67" s="448"/>
      <c r="K67" s="448"/>
      <c r="L67" s="448"/>
      <c r="M67" s="448"/>
      <c r="N67" s="448"/>
      <c r="O67" s="448"/>
      <c r="P67" s="448"/>
      <c r="Q67" s="448"/>
      <c r="R67" s="448"/>
      <c r="S67" s="448"/>
      <c r="T67" s="448"/>
      <c r="U67" s="448"/>
      <c r="V67" s="448"/>
    </row>
    <row r="68">
      <c r="A68" s="257" t="s">
        <v>211</v>
      </c>
      <c r="B68" s="257" t="s">
        <v>598</v>
      </c>
      <c r="C68" s="257">
        <v>0.020985</v>
      </c>
      <c r="D68" s="257">
        <v>0.23</v>
      </c>
      <c r="E68" s="592">
        <v>3.98E-12</v>
      </c>
      <c r="F68" s="592">
        <v>5.22101760631573E20</v>
      </c>
      <c r="G68" s="592"/>
      <c r="H68" s="592"/>
      <c r="I68" s="592">
        <v>5.22101760631573E20</v>
      </c>
      <c r="J68" s="592">
        <v>5.95083822085025E-13</v>
      </c>
      <c r="K68" s="592"/>
      <c r="L68" s="592"/>
      <c r="M68" s="592">
        <v>5.95083822085025E-13</v>
      </c>
      <c r="N68" s="448"/>
      <c r="O68" s="448"/>
      <c r="P68" s="448"/>
      <c r="Q68" s="448"/>
      <c r="R68" s="448"/>
      <c r="S68" s="448"/>
      <c r="T68" s="448"/>
      <c r="U68" s="448"/>
      <c r="V68" s="448"/>
    </row>
    <row r="69">
      <c r="A69" s="257" t="s">
        <v>219</v>
      </c>
      <c r="B69" s="257" t="s">
        <v>201</v>
      </c>
      <c r="C69" s="257">
        <v>0.022968</v>
      </c>
      <c r="D69" s="592"/>
      <c r="E69" s="592">
        <v>1.0E-11</v>
      </c>
      <c r="F69" s="448"/>
      <c r="G69" s="448"/>
      <c r="H69" s="448"/>
      <c r="I69" s="448"/>
      <c r="J69" s="448"/>
      <c r="K69" s="448"/>
      <c r="L69" s="448"/>
      <c r="M69" s="448"/>
      <c r="N69" s="448"/>
      <c r="O69" s="448"/>
      <c r="P69" s="448"/>
      <c r="Q69" s="448"/>
      <c r="R69" s="448"/>
      <c r="S69" s="448"/>
      <c r="T69" s="448"/>
      <c r="U69" s="448"/>
      <c r="V69" s="448"/>
    </row>
    <row r="70">
      <c r="A70" s="257" t="s">
        <v>219</v>
      </c>
      <c r="B70" s="257" t="s">
        <v>201</v>
      </c>
      <c r="C70" s="257">
        <v>0.022968</v>
      </c>
      <c r="D70" s="592"/>
      <c r="E70" s="592">
        <v>6.30999999999999E-12</v>
      </c>
      <c r="F70" s="448"/>
      <c r="G70" s="448"/>
      <c r="H70" s="448"/>
      <c r="I70" s="448"/>
      <c r="J70" s="448"/>
      <c r="K70" s="448"/>
      <c r="L70" s="448"/>
      <c r="M70" s="448"/>
      <c r="N70" s="448"/>
      <c r="O70" s="448"/>
      <c r="P70" s="448"/>
      <c r="Q70" s="448"/>
      <c r="R70" s="448"/>
      <c r="S70" s="448"/>
      <c r="T70" s="448"/>
      <c r="U70" s="448"/>
      <c r="V70" s="448"/>
    </row>
    <row r="71">
      <c r="A71" s="257" t="s">
        <v>219</v>
      </c>
      <c r="B71" s="257" t="s">
        <v>598</v>
      </c>
      <c r="C71" s="257">
        <v>0.022968</v>
      </c>
      <c r="D71" s="257">
        <v>0.28</v>
      </c>
      <c r="E71" s="592">
        <v>3.98E-12</v>
      </c>
      <c r="F71" s="448"/>
      <c r="G71" s="448"/>
      <c r="H71" s="448"/>
      <c r="I71" s="448"/>
      <c r="J71" s="448"/>
      <c r="K71" s="448"/>
      <c r="L71" s="448"/>
      <c r="M71" s="448"/>
      <c r="N71" s="448"/>
      <c r="O71" s="448"/>
      <c r="P71" s="448"/>
      <c r="Q71" s="448"/>
      <c r="R71" s="448"/>
      <c r="S71" s="448"/>
      <c r="T71" s="448"/>
      <c r="U71" s="448"/>
      <c r="V71" s="448"/>
    </row>
    <row r="72">
      <c r="A72" s="257" t="s">
        <v>361</v>
      </c>
      <c r="B72" s="257" t="s">
        <v>248</v>
      </c>
      <c r="C72" s="257">
        <v>0.057198</v>
      </c>
      <c r="D72" s="257">
        <v>0.5</v>
      </c>
      <c r="E72" s="592">
        <v>1.58E-11</v>
      </c>
      <c r="F72" s="448"/>
      <c r="G72" s="448"/>
      <c r="H72" s="448"/>
      <c r="I72" s="448"/>
      <c r="J72" s="448"/>
      <c r="K72" s="448"/>
      <c r="L72" s="448"/>
      <c r="M72" s="448"/>
      <c r="N72" s="448"/>
      <c r="O72" s="448"/>
      <c r="P72" s="448"/>
      <c r="Q72" s="448"/>
      <c r="R72" s="448"/>
      <c r="S72" s="448"/>
      <c r="T72" s="448"/>
      <c r="U72" s="448"/>
      <c r="V72" s="448"/>
    </row>
    <row r="73">
      <c r="A73" s="257" t="s">
        <v>438</v>
      </c>
      <c r="B73" s="257" t="s">
        <v>413</v>
      </c>
      <c r="C73" s="257">
        <v>0.442</v>
      </c>
      <c r="D73" s="257">
        <v>2.31</v>
      </c>
      <c r="E73" s="592">
        <v>1.75E-8</v>
      </c>
      <c r="F73" s="448"/>
      <c r="G73" s="448"/>
      <c r="H73" s="448"/>
      <c r="I73" s="448"/>
      <c r="J73" s="448"/>
      <c r="K73" s="448"/>
      <c r="L73" s="448"/>
      <c r="M73" s="448"/>
      <c r="N73" s="448"/>
      <c r="O73" s="448"/>
      <c r="P73" s="448"/>
      <c r="Q73" s="448"/>
      <c r="R73" s="448"/>
      <c r="S73" s="448"/>
      <c r="T73" s="448"/>
      <c r="U73" s="448"/>
      <c r="V73" s="448"/>
    </row>
    <row r="74">
      <c r="A74" s="257" t="s">
        <v>690</v>
      </c>
      <c r="B74" s="257" t="s">
        <v>598</v>
      </c>
      <c r="C74" s="257">
        <v>0.1</v>
      </c>
      <c r="D74" s="257">
        <v>1.2</v>
      </c>
      <c r="E74" s="592">
        <v>1.0E-12</v>
      </c>
      <c r="F74" s="448"/>
      <c r="G74" s="448"/>
      <c r="H74" s="448"/>
      <c r="I74" s="448"/>
      <c r="J74" s="448"/>
      <c r="K74" s="448"/>
      <c r="L74" s="448"/>
      <c r="M74" s="448"/>
      <c r="N74" s="448"/>
      <c r="O74" s="448"/>
      <c r="P74" s="448"/>
      <c r="Q74" s="448"/>
      <c r="R74" s="448"/>
      <c r="S74" s="448"/>
      <c r="T74" s="448"/>
      <c r="U74" s="448"/>
      <c r="V74" s="448"/>
    </row>
    <row r="75">
      <c r="A75" s="257" t="s">
        <v>451</v>
      </c>
      <c r="B75" s="257" t="s">
        <v>413</v>
      </c>
      <c r="C75" s="257">
        <v>0.668</v>
      </c>
      <c r="D75" s="257">
        <v>1.735</v>
      </c>
      <c r="E75" s="592">
        <v>9.6E-9</v>
      </c>
      <c r="F75" s="448"/>
      <c r="G75" s="448"/>
      <c r="H75" s="448"/>
      <c r="I75" s="448"/>
      <c r="J75" s="448"/>
      <c r="K75" s="448"/>
      <c r="L75" s="448"/>
      <c r="M75" s="448"/>
      <c r="N75" s="448"/>
      <c r="O75" s="448"/>
      <c r="P75" s="448"/>
      <c r="Q75" s="448"/>
      <c r="R75" s="448"/>
      <c r="S75" s="448"/>
      <c r="T75" s="448"/>
      <c r="U75" s="448"/>
      <c r="V75" s="448"/>
    </row>
    <row r="76">
      <c r="A76" s="257" t="s">
        <v>440</v>
      </c>
      <c r="B76" s="257" t="s">
        <v>413</v>
      </c>
      <c r="C76" s="257">
        <v>0.461</v>
      </c>
      <c r="D76" s="257">
        <v>2.15</v>
      </c>
      <c r="E76" s="592">
        <v>6.4E-9</v>
      </c>
      <c r="F76" s="448"/>
      <c r="G76" s="448"/>
      <c r="H76" s="448"/>
      <c r="I76" s="448"/>
      <c r="J76" s="448"/>
      <c r="K76" s="448"/>
      <c r="L76" s="448"/>
      <c r="M76" s="448"/>
      <c r="N76" s="448"/>
      <c r="O76" s="448"/>
      <c r="P76" s="448"/>
      <c r="Q76" s="448"/>
      <c r="R76" s="448"/>
      <c r="S76" s="448"/>
      <c r="T76" s="448"/>
      <c r="U76" s="448"/>
      <c r="V76" s="448"/>
    </row>
    <row r="77">
      <c r="A77" s="257" t="s">
        <v>457</v>
      </c>
      <c r="B77" s="257" t="s">
        <v>413</v>
      </c>
      <c r="C77" s="257">
        <v>0.81</v>
      </c>
      <c r="D77" s="257">
        <v>0.76</v>
      </c>
      <c r="E77" s="592">
        <v>1.3E-9</v>
      </c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</row>
    <row r="78">
      <c r="A78" s="257" t="s">
        <v>634</v>
      </c>
      <c r="B78" s="257" t="s">
        <v>598</v>
      </c>
      <c r="C78" s="257">
        <v>0.028161</v>
      </c>
      <c r="D78" s="257">
        <v>0.27</v>
      </c>
      <c r="E78" s="592">
        <v>1.0E-12</v>
      </c>
      <c r="F78" s="448"/>
      <c r="G78" s="448"/>
      <c r="H78" s="448"/>
      <c r="I78" s="448"/>
      <c r="J78" s="448"/>
      <c r="K78" s="448"/>
      <c r="L78" s="448"/>
      <c r="M78" s="448"/>
      <c r="N78" s="448"/>
      <c r="O78" s="448"/>
      <c r="P78" s="448"/>
      <c r="Q78" s="448"/>
      <c r="R78" s="448"/>
      <c r="S78" s="448"/>
      <c r="T78" s="448"/>
      <c r="U78" s="448"/>
      <c r="V78" s="448"/>
    </row>
    <row r="79">
      <c r="A79" s="257" t="s">
        <v>669</v>
      </c>
      <c r="B79" s="257" t="s">
        <v>598</v>
      </c>
      <c r="C79" s="257">
        <v>0.035005</v>
      </c>
      <c r="D79" s="257">
        <v>0.69</v>
      </c>
      <c r="E79" s="592">
        <v>1.58E-11</v>
      </c>
      <c r="F79" s="592">
        <v>1.28546832684083E21</v>
      </c>
      <c r="G79" s="592"/>
      <c r="H79" s="592"/>
      <c r="I79" s="592">
        <v>1.28546832684083E21</v>
      </c>
      <c r="J79" s="592">
        <v>2.63502362056355E-12</v>
      </c>
      <c r="K79" s="592"/>
      <c r="L79" s="592"/>
      <c r="M79" s="592">
        <v>2.63502362056355E-12</v>
      </c>
      <c r="N79" s="448"/>
      <c r="O79" s="448"/>
      <c r="P79" s="448"/>
      <c r="Q79" s="448"/>
      <c r="R79" s="448"/>
      <c r="S79" s="448"/>
      <c r="T79" s="448"/>
      <c r="U79" s="448"/>
      <c r="V79" s="448"/>
    </row>
    <row r="80">
      <c r="A80" s="257" t="s">
        <v>336</v>
      </c>
      <c r="B80" s="257" t="s">
        <v>225</v>
      </c>
      <c r="C80" s="257">
        <v>0.035005</v>
      </c>
      <c r="D80" s="257">
        <v>0.69</v>
      </c>
      <c r="E80" s="592">
        <v>6.9E-12</v>
      </c>
      <c r="F80" s="592">
        <v>5.25484053158195E22</v>
      </c>
      <c r="G80" s="592"/>
      <c r="H80" s="592"/>
      <c r="I80" s="592">
        <v>5.25484053158195E22</v>
      </c>
      <c r="J80" s="592">
        <v>1.07716609066849E-10</v>
      </c>
      <c r="K80" s="592"/>
      <c r="L80" s="592"/>
      <c r="M80" s="592">
        <v>1.07716609066849E-10</v>
      </c>
      <c r="N80" s="448"/>
      <c r="O80" s="448"/>
      <c r="P80" s="448"/>
      <c r="Q80" s="448"/>
      <c r="R80" s="448"/>
      <c r="S80" s="448"/>
      <c r="T80" s="448"/>
      <c r="U80" s="448"/>
      <c r="V80" s="448"/>
    </row>
    <row r="81">
      <c r="A81" s="257" t="s">
        <v>336</v>
      </c>
      <c r="B81" s="257" t="s">
        <v>598</v>
      </c>
      <c r="C81" s="257">
        <v>0.035005</v>
      </c>
      <c r="D81" s="257">
        <v>0.69</v>
      </c>
      <c r="E81" s="592">
        <v>5.00999999999999E-12</v>
      </c>
      <c r="F81" s="592">
        <v>2.24837783903789E22</v>
      </c>
      <c r="G81" s="592"/>
      <c r="H81" s="592"/>
      <c r="I81" s="592">
        <v>2.24837783903789E22</v>
      </c>
      <c r="J81" s="592">
        <v>4.60884845632609E-11</v>
      </c>
      <c r="K81" s="592"/>
      <c r="L81" s="592"/>
      <c r="M81" s="592">
        <v>4.60884845632609E-11</v>
      </c>
      <c r="N81" s="448"/>
      <c r="O81" s="448"/>
      <c r="P81" s="448"/>
      <c r="Q81" s="448"/>
      <c r="R81" s="448"/>
      <c r="S81" s="448"/>
      <c r="T81" s="448"/>
      <c r="U81" s="448"/>
      <c r="V81" s="448"/>
    </row>
    <row r="82">
      <c r="A82" s="257" t="s">
        <v>238</v>
      </c>
      <c r="B82" s="257" t="s">
        <v>201</v>
      </c>
      <c r="C82" s="257">
        <v>0.0389329999999999</v>
      </c>
      <c r="D82" s="257">
        <v>0.53</v>
      </c>
      <c r="E82" s="592">
        <v>2.0E-11</v>
      </c>
      <c r="F82" s="448"/>
      <c r="G82" s="448"/>
      <c r="H82" s="448"/>
      <c r="I82" s="448"/>
      <c r="J82" s="448"/>
      <c r="K82" s="448"/>
      <c r="L82" s="448"/>
      <c r="M82" s="448"/>
      <c r="N82" s="448"/>
      <c r="O82" s="448"/>
      <c r="P82" s="448"/>
      <c r="Q82" s="448"/>
      <c r="R82" s="448"/>
      <c r="S82" s="448"/>
      <c r="T82" s="448"/>
      <c r="U82" s="448"/>
      <c r="V82" s="448"/>
    </row>
    <row r="83">
      <c r="A83" s="257" t="s">
        <v>238</v>
      </c>
      <c r="B83" s="257" t="s">
        <v>201</v>
      </c>
      <c r="C83" s="257">
        <v>0.0389329999999999</v>
      </c>
      <c r="D83" s="257">
        <v>0.53</v>
      </c>
      <c r="E83" s="592">
        <v>1.26E-11</v>
      </c>
      <c r="F83" s="448"/>
      <c r="G83" s="448"/>
      <c r="H83" s="448"/>
      <c r="I83" s="448"/>
      <c r="J83" s="448"/>
      <c r="K83" s="448"/>
      <c r="L83" s="448"/>
      <c r="M83" s="448"/>
      <c r="N83" s="448"/>
      <c r="O83" s="448"/>
      <c r="P83" s="448"/>
      <c r="Q83" s="448"/>
      <c r="R83" s="448"/>
      <c r="S83" s="448"/>
      <c r="T83" s="448"/>
      <c r="U83" s="448"/>
      <c r="V83" s="448"/>
    </row>
    <row r="84">
      <c r="A84" s="257" t="s">
        <v>238</v>
      </c>
      <c r="B84" s="257" t="s">
        <v>598</v>
      </c>
      <c r="C84" s="257">
        <v>0.0389329999999999</v>
      </c>
      <c r="D84" s="257">
        <v>0.3</v>
      </c>
      <c r="E84" s="592">
        <v>5.00999999999999E-12</v>
      </c>
      <c r="F84" s="448"/>
      <c r="G84" s="448"/>
      <c r="H84" s="448"/>
      <c r="I84" s="448"/>
      <c r="J84" s="448"/>
      <c r="K84" s="448"/>
      <c r="L84" s="448"/>
      <c r="M84" s="448"/>
      <c r="N84" s="448"/>
      <c r="O84" s="448"/>
      <c r="P84" s="448"/>
      <c r="Q84" s="448"/>
      <c r="R84" s="448"/>
      <c r="S84" s="448"/>
      <c r="T84" s="448"/>
      <c r="U84" s="448"/>
      <c r="V84" s="448"/>
    </row>
    <row r="85">
      <c r="A85" s="257" t="s">
        <v>333</v>
      </c>
      <c r="B85" s="257" t="s">
        <v>225</v>
      </c>
      <c r="C85" s="257">
        <v>0.031573</v>
      </c>
      <c r="D85" s="257">
        <v>0.42</v>
      </c>
      <c r="E85" s="592">
        <v>1.9E-11</v>
      </c>
      <c r="F85" s="592">
        <v>4.61804586445857E22</v>
      </c>
      <c r="G85" s="592"/>
      <c r="H85" s="592"/>
      <c r="I85" s="592">
        <v>4.61804586445857E22</v>
      </c>
      <c r="J85" s="592">
        <v>6.38845450203442E-11</v>
      </c>
      <c r="K85" s="592"/>
      <c r="L85" s="592"/>
      <c r="M85" s="592">
        <v>6.38845450203442E-11</v>
      </c>
      <c r="N85" s="448"/>
      <c r="O85" s="448"/>
      <c r="P85" s="448"/>
      <c r="Q85" s="448"/>
      <c r="R85" s="448"/>
      <c r="S85" s="448"/>
      <c r="T85" s="448"/>
      <c r="U85" s="448"/>
      <c r="V85" s="448"/>
    </row>
    <row r="86">
      <c r="A86" s="257" t="s">
        <v>333</v>
      </c>
      <c r="B86" s="257" t="s">
        <v>598</v>
      </c>
      <c r="C86" s="257">
        <v>0.031573</v>
      </c>
      <c r="D86" s="257">
        <v>0.42</v>
      </c>
      <c r="E86" s="592">
        <v>5.00999999999999E-12</v>
      </c>
      <c r="F86" s="448"/>
      <c r="G86" s="448"/>
      <c r="H86" s="448"/>
      <c r="I86" s="448"/>
      <c r="J86" s="448"/>
      <c r="K86" s="448"/>
      <c r="L86" s="448"/>
      <c r="M86" s="448"/>
      <c r="N86" s="448"/>
      <c r="O86" s="448"/>
      <c r="P86" s="448"/>
      <c r="Q86" s="448"/>
      <c r="R86" s="448"/>
      <c r="S86" s="448"/>
      <c r="T86" s="448"/>
      <c r="U86" s="448"/>
      <c r="V86" s="448"/>
    </row>
    <row r="87">
      <c r="A87" s="257" t="s">
        <v>335</v>
      </c>
      <c r="B87" s="257" t="s">
        <v>225</v>
      </c>
      <c r="C87" s="257">
        <v>0.05</v>
      </c>
      <c r="D87" s="257">
        <v>0.45</v>
      </c>
      <c r="E87" s="592">
        <v>9.2E-12</v>
      </c>
      <c r="F87" s="592">
        <v>5.01066656446171E22</v>
      </c>
      <c r="G87" s="592"/>
      <c r="H87" s="592"/>
      <c r="I87" s="592">
        <v>5.01066656446171E22</v>
      </c>
      <c r="J87" s="592">
        <v>4.68966841109225E-11</v>
      </c>
      <c r="K87" s="592"/>
      <c r="L87" s="592"/>
      <c r="M87" s="592">
        <v>4.68966841109225E-11</v>
      </c>
      <c r="N87" s="448"/>
      <c r="O87" s="448"/>
      <c r="P87" s="448"/>
      <c r="Q87" s="448"/>
      <c r="R87" s="448"/>
      <c r="S87" s="448"/>
      <c r="T87" s="448"/>
      <c r="U87" s="448"/>
      <c r="V87" s="448"/>
    </row>
    <row r="88">
      <c r="A88" s="257" t="s">
        <v>445</v>
      </c>
      <c r="B88" s="257" t="s">
        <v>413</v>
      </c>
      <c r="C88" s="257">
        <v>0.524</v>
      </c>
      <c r="D88" s="257">
        <v>1.78</v>
      </c>
      <c r="E88" s="592">
        <v>9.6E-9</v>
      </c>
      <c r="F88" s="448"/>
      <c r="G88" s="448"/>
      <c r="H88" s="448"/>
      <c r="I88" s="448"/>
      <c r="J88" s="448"/>
      <c r="K88" s="448"/>
      <c r="L88" s="448"/>
      <c r="M88" s="448"/>
      <c r="N88" s="448"/>
      <c r="O88" s="448"/>
      <c r="P88" s="448"/>
      <c r="Q88" s="448"/>
      <c r="R88" s="448"/>
      <c r="S88" s="448"/>
      <c r="T88" s="448"/>
      <c r="U88" s="448"/>
      <c r="V88" s="448"/>
    </row>
    <row r="89">
      <c r="A89" s="257" t="s">
        <v>396</v>
      </c>
      <c r="B89" s="257" t="s">
        <v>598</v>
      </c>
      <c r="C89" s="257">
        <v>0.2</v>
      </c>
      <c r="D89" s="257">
        <v>1.0</v>
      </c>
      <c r="E89" s="448"/>
      <c r="F89" s="448"/>
      <c r="G89" s="448"/>
      <c r="H89" s="448"/>
      <c r="I89" s="448"/>
      <c r="J89" s="448"/>
      <c r="K89" s="448"/>
      <c r="L89" s="448"/>
      <c r="M89" s="448"/>
      <c r="N89" s="448"/>
      <c r="O89" s="448"/>
      <c r="P89" s="448"/>
      <c r="Q89" s="448"/>
      <c r="R89" s="448"/>
      <c r="S89" s="448"/>
      <c r="T89" s="448"/>
      <c r="U89" s="448"/>
      <c r="V89" s="448"/>
    </row>
    <row r="90">
      <c r="A90" s="257" t="s">
        <v>673</v>
      </c>
      <c r="B90" s="257" t="s">
        <v>598</v>
      </c>
      <c r="C90" s="257">
        <v>0.058417</v>
      </c>
      <c r="D90" s="257">
        <v>0.28</v>
      </c>
      <c r="E90" s="592">
        <v>1.0E-12</v>
      </c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</row>
    <row r="91">
      <c r="A91" s="257" t="s">
        <v>1664</v>
      </c>
      <c r="B91" s="257" t="s">
        <v>702</v>
      </c>
      <c r="C91" s="257">
        <v>0.15</v>
      </c>
      <c r="D91" s="257">
        <v>1.04</v>
      </c>
      <c r="E91" s="592">
        <v>2.45E-10</v>
      </c>
      <c r="F91" s="448"/>
      <c r="G91" s="448"/>
      <c r="H91" s="448"/>
      <c r="I91" s="448"/>
      <c r="J91" s="448"/>
      <c r="K91" s="448"/>
      <c r="L91" s="448"/>
      <c r="M91" s="448"/>
      <c r="N91" s="448"/>
      <c r="O91" s="448"/>
      <c r="P91" s="448"/>
      <c r="Q91" s="448"/>
      <c r="R91" s="448"/>
      <c r="S91" s="448"/>
      <c r="T91" s="448"/>
      <c r="U91" s="448"/>
      <c r="V91" s="448"/>
    </row>
    <row r="92">
      <c r="A92" s="257" t="s">
        <v>1664</v>
      </c>
      <c r="B92" s="257" t="s">
        <v>702</v>
      </c>
      <c r="C92" s="257">
        <v>0.35</v>
      </c>
      <c r="D92" s="257">
        <v>1.08</v>
      </c>
      <c r="E92" s="592">
        <v>1.51E-10</v>
      </c>
      <c r="F92" s="448"/>
      <c r="G92" s="448"/>
      <c r="H92" s="448"/>
      <c r="I92" s="448"/>
      <c r="J92" s="448"/>
      <c r="K92" s="448"/>
      <c r="L92" s="448"/>
      <c r="M92" s="448"/>
      <c r="N92" s="448"/>
      <c r="O92" s="448"/>
      <c r="P92" s="448"/>
      <c r="Q92" s="448"/>
      <c r="R92" s="448"/>
      <c r="S92" s="448"/>
      <c r="T92" s="448"/>
      <c r="U92" s="448"/>
      <c r="V92" s="448"/>
    </row>
    <row r="93">
      <c r="A93" s="257" t="s">
        <v>405</v>
      </c>
      <c r="B93" s="257" t="s">
        <v>352</v>
      </c>
      <c r="C93" s="257">
        <v>0.2</v>
      </c>
      <c r="D93" s="257">
        <v>1.45</v>
      </c>
      <c r="E93" s="592">
        <v>3.8E-10</v>
      </c>
      <c r="F93" s="592">
        <v>1.38861508663032E23</v>
      </c>
      <c r="G93" s="592">
        <v>1.24321392713613E23</v>
      </c>
      <c r="H93" s="592"/>
      <c r="I93" s="592">
        <v>1.31591450688323E23</v>
      </c>
      <c r="J93" s="592">
        <v>1.04694534300859E-10</v>
      </c>
      <c r="K93" s="592">
        <v>9.37320243680395E-11</v>
      </c>
      <c r="L93" s="592"/>
      <c r="M93" s="592">
        <v>9.92132793344496E-11</v>
      </c>
      <c r="N93" s="448"/>
      <c r="O93" s="448"/>
      <c r="P93" s="448"/>
      <c r="Q93" s="448"/>
      <c r="R93" s="448"/>
      <c r="S93" s="448"/>
      <c r="T93" s="448"/>
      <c r="U93" s="448"/>
      <c r="V93" s="448"/>
    </row>
    <row r="94">
      <c r="A94" s="257" t="s">
        <v>405</v>
      </c>
      <c r="B94" s="257" t="s">
        <v>702</v>
      </c>
      <c r="C94" s="257">
        <v>0.3</v>
      </c>
      <c r="D94" s="257">
        <v>1.3</v>
      </c>
      <c r="E94" s="592">
        <v>3.31E-10</v>
      </c>
      <c r="F94" s="448"/>
      <c r="G94" s="448"/>
      <c r="H94" s="448"/>
      <c r="I94" s="448"/>
      <c r="J94" s="448"/>
      <c r="K94" s="448"/>
      <c r="L94" s="448"/>
      <c r="M94" s="448"/>
      <c r="N94" s="448"/>
      <c r="O94" s="448"/>
      <c r="P94" s="448"/>
      <c r="Q94" s="448"/>
      <c r="R94" s="448"/>
      <c r="S94" s="448"/>
      <c r="T94" s="448"/>
      <c r="U94" s="448"/>
      <c r="V94" s="448"/>
    </row>
    <row r="95">
      <c r="A95" s="257" t="s">
        <v>1686</v>
      </c>
      <c r="B95" s="257" t="s">
        <v>702</v>
      </c>
      <c r="C95" s="257">
        <v>0.2</v>
      </c>
      <c r="D95" s="257">
        <v>0.98</v>
      </c>
      <c r="E95" s="592">
        <v>8.51E-11</v>
      </c>
      <c r="F95" s="448"/>
      <c r="G95" s="448"/>
      <c r="H95" s="448"/>
      <c r="I95" s="448"/>
      <c r="J95" s="448"/>
      <c r="K95" s="448"/>
      <c r="L95" s="448"/>
      <c r="M95" s="448"/>
      <c r="N95" s="448"/>
      <c r="O95" s="448"/>
      <c r="P95" s="448"/>
      <c r="Q95" s="448"/>
      <c r="R95" s="448"/>
      <c r="S95" s="448"/>
      <c r="T95" s="448"/>
      <c r="U95" s="448"/>
      <c r="V95" s="448"/>
    </row>
    <row r="96">
      <c r="A96" s="257" t="s">
        <v>1715</v>
      </c>
      <c r="B96" s="257" t="s">
        <v>702</v>
      </c>
      <c r="C96" s="257">
        <v>0.35</v>
      </c>
      <c r="D96" s="257">
        <v>1.16</v>
      </c>
      <c r="E96" s="592">
        <v>1.66E-10</v>
      </c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</row>
    <row r="97">
      <c r="A97" s="257" t="s">
        <v>1692</v>
      </c>
      <c r="B97" s="257" t="s">
        <v>702</v>
      </c>
      <c r="C97" s="257">
        <v>0.2</v>
      </c>
      <c r="D97" s="257">
        <v>0.73</v>
      </c>
      <c r="E97" s="592">
        <v>1.23E-10</v>
      </c>
      <c r="F97" s="448"/>
      <c r="G97" s="448"/>
      <c r="H97" s="448"/>
      <c r="I97" s="448"/>
      <c r="J97" s="448"/>
      <c r="K97" s="448"/>
      <c r="L97" s="448"/>
      <c r="M97" s="448"/>
      <c r="N97" s="448"/>
      <c r="O97" s="448"/>
      <c r="P97" s="448"/>
      <c r="Q97" s="448"/>
      <c r="R97" s="448"/>
      <c r="S97" s="448"/>
      <c r="T97" s="448"/>
      <c r="U97" s="448"/>
      <c r="V97" s="448"/>
    </row>
    <row r="98">
      <c r="A98" s="257" t="s">
        <v>424</v>
      </c>
      <c r="B98" s="257" t="s">
        <v>702</v>
      </c>
      <c r="C98" s="257">
        <v>0.3</v>
      </c>
      <c r="D98" s="257">
        <v>1.06</v>
      </c>
      <c r="E98" s="592">
        <v>1.29E-9</v>
      </c>
      <c r="F98" s="448"/>
      <c r="G98" s="448"/>
      <c r="H98" s="448"/>
      <c r="I98" s="448"/>
      <c r="J98" s="448"/>
      <c r="K98" s="448"/>
      <c r="L98" s="448"/>
      <c r="M98" s="448"/>
      <c r="N98" s="448"/>
      <c r="O98" s="448"/>
      <c r="P98" s="448"/>
      <c r="Q98" s="448"/>
      <c r="R98" s="448"/>
      <c r="S98" s="448"/>
      <c r="T98" s="448"/>
      <c r="U98" s="448"/>
      <c r="V98" s="448"/>
    </row>
    <row r="99">
      <c r="A99" s="257" t="s">
        <v>424</v>
      </c>
      <c r="B99" s="257" t="s">
        <v>352</v>
      </c>
      <c r="C99" s="257">
        <v>0.3</v>
      </c>
      <c r="D99" s="257">
        <v>0.97</v>
      </c>
      <c r="E99" s="592">
        <v>2.08999999999999E-10</v>
      </c>
      <c r="F99" s="592">
        <v>8.77191153409457E23</v>
      </c>
      <c r="G99" s="592">
        <v>1.87219743678763E24</v>
      </c>
      <c r="H99" s="592"/>
      <c r="I99" s="592">
        <v>1.37469429509854E24</v>
      </c>
      <c r="J99" s="592">
        <v>2.9495030266893E-10</v>
      </c>
      <c r="K99" s="592">
        <v>6.29515241336171E-10</v>
      </c>
      <c r="L99" s="592"/>
      <c r="M99" s="592">
        <v>4.62232772002551E-10</v>
      </c>
      <c r="N99" s="448"/>
      <c r="O99" s="448"/>
      <c r="P99" s="448"/>
      <c r="Q99" s="448"/>
      <c r="R99" s="448"/>
      <c r="S99" s="448"/>
      <c r="T99" s="448"/>
      <c r="U99" s="448"/>
      <c r="V99" s="448"/>
    </row>
    <row r="100">
      <c r="A100" s="257" t="s">
        <v>1629</v>
      </c>
      <c r="B100" s="257" t="s">
        <v>702</v>
      </c>
      <c r="C100" s="257">
        <v>0.06</v>
      </c>
      <c r="D100" s="257">
        <v>0.56</v>
      </c>
      <c r="E100" s="592">
        <v>1.23E-11</v>
      </c>
      <c r="F100" s="448"/>
      <c r="G100" s="448"/>
      <c r="H100" s="448"/>
      <c r="I100" s="448"/>
      <c r="J100" s="448"/>
      <c r="K100" s="448"/>
      <c r="L100" s="448"/>
      <c r="M100" s="448"/>
      <c r="N100" s="448"/>
      <c r="O100" s="448"/>
      <c r="P100" s="448"/>
      <c r="Q100" s="448"/>
      <c r="R100" s="448"/>
      <c r="S100" s="448"/>
      <c r="T100" s="448"/>
      <c r="U100" s="448"/>
      <c r="V100" s="448"/>
    </row>
    <row r="101">
      <c r="A101" s="257" t="s">
        <v>1677</v>
      </c>
      <c r="B101" s="257" t="s">
        <v>702</v>
      </c>
      <c r="C101" s="257">
        <v>0.2</v>
      </c>
      <c r="D101" s="257">
        <v>1.22</v>
      </c>
      <c r="E101" s="592">
        <v>1.51E-10</v>
      </c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8"/>
      <c r="S101" s="448"/>
      <c r="T101" s="448"/>
      <c r="U101" s="448"/>
      <c r="V101" s="448"/>
    </row>
    <row r="102">
      <c r="A102" s="257" t="s">
        <v>1640</v>
      </c>
      <c r="B102" s="257" t="s">
        <v>702</v>
      </c>
      <c r="C102" s="257">
        <v>0.08</v>
      </c>
      <c r="D102" s="257">
        <v>0.37</v>
      </c>
      <c r="E102" s="592">
        <v>7.76E-12</v>
      </c>
      <c r="F102" s="448"/>
      <c r="G102" s="448"/>
      <c r="H102" s="448"/>
      <c r="I102" s="448"/>
      <c r="J102" s="448"/>
      <c r="K102" s="448"/>
      <c r="L102" s="448"/>
      <c r="M102" s="448"/>
      <c r="N102" s="448"/>
      <c r="O102" s="448"/>
      <c r="P102" s="448"/>
      <c r="Q102" s="448"/>
      <c r="R102" s="448"/>
      <c r="S102" s="448"/>
      <c r="T102" s="448"/>
      <c r="U102" s="448"/>
      <c r="V102" s="448"/>
    </row>
    <row r="103">
      <c r="A103" s="257" t="s">
        <v>1671</v>
      </c>
      <c r="B103" s="257" t="s">
        <v>702</v>
      </c>
      <c r="C103" s="257">
        <v>0.2</v>
      </c>
      <c r="D103" s="257">
        <v>1.74</v>
      </c>
      <c r="E103" s="592">
        <v>2.94999999999999E-10</v>
      </c>
      <c r="F103" s="448"/>
      <c r="G103" s="448"/>
      <c r="H103" s="448"/>
      <c r="I103" s="448"/>
      <c r="J103" s="448"/>
      <c r="K103" s="448"/>
      <c r="L103" s="448"/>
      <c r="M103" s="448"/>
      <c r="N103" s="448"/>
      <c r="O103" s="448"/>
      <c r="P103" s="448"/>
      <c r="Q103" s="448"/>
      <c r="R103" s="448"/>
      <c r="S103" s="448"/>
      <c r="T103" s="448"/>
      <c r="U103" s="448"/>
      <c r="V103" s="448"/>
    </row>
    <row r="104">
      <c r="A104" s="257" t="s">
        <v>1650</v>
      </c>
      <c r="B104" s="257" t="s">
        <v>702</v>
      </c>
      <c r="C104" s="257">
        <v>0.1</v>
      </c>
      <c r="D104" s="257">
        <v>0.74</v>
      </c>
      <c r="E104" s="592">
        <v>2.88E-11</v>
      </c>
      <c r="F104" s="448"/>
      <c r="G104" s="448"/>
      <c r="H104" s="448"/>
      <c r="I104" s="448"/>
      <c r="J104" s="448"/>
      <c r="K104" s="448"/>
      <c r="L104" s="448"/>
      <c r="M104" s="448"/>
      <c r="N104" s="448"/>
      <c r="O104" s="448"/>
      <c r="P104" s="448"/>
      <c r="Q104" s="448"/>
      <c r="R104" s="448"/>
      <c r="S104" s="448"/>
      <c r="T104" s="448"/>
      <c r="U104" s="448"/>
      <c r="V104" s="448"/>
    </row>
    <row r="105">
      <c r="A105" s="257" t="s">
        <v>1657</v>
      </c>
      <c r="B105" s="257" t="s">
        <v>702</v>
      </c>
      <c r="C105" s="257">
        <v>0.13</v>
      </c>
      <c r="D105" s="257">
        <v>0.78</v>
      </c>
      <c r="E105" s="592">
        <v>3.62999999999999E-11</v>
      </c>
      <c r="F105" s="448"/>
      <c r="G105" s="448"/>
      <c r="H105" s="448"/>
      <c r="I105" s="448"/>
      <c r="J105" s="448"/>
      <c r="K105" s="448"/>
      <c r="L105" s="448"/>
      <c r="M105" s="448"/>
      <c r="N105" s="448"/>
      <c r="O105" s="448"/>
      <c r="P105" s="448"/>
      <c r="Q105" s="448"/>
      <c r="R105" s="448"/>
      <c r="S105" s="448"/>
      <c r="T105" s="448"/>
      <c r="U105" s="448"/>
      <c r="V105" s="448"/>
    </row>
    <row r="106">
      <c r="A106" s="257" t="s">
        <v>710</v>
      </c>
      <c r="B106" s="257" t="s">
        <v>702</v>
      </c>
      <c r="C106" s="257">
        <v>0.7</v>
      </c>
      <c r="D106" s="257">
        <v>1.12</v>
      </c>
      <c r="E106" s="592">
        <v>3.54999999999999E-10</v>
      </c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</row>
    <row r="107">
      <c r="A107" s="257" t="s">
        <v>393</v>
      </c>
      <c r="B107" s="257" t="s">
        <v>352</v>
      </c>
      <c r="C107" s="257">
        <v>0.19</v>
      </c>
      <c r="D107" s="257">
        <v>0.46</v>
      </c>
      <c r="E107" s="592">
        <v>4.07E-11</v>
      </c>
      <c r="F107" s="592">
        <v>3.7766341589519E23</v>
      </c>
      <c r="G107" s="592">
        <v>2.47126430424655E23</v>
      </c>
      <c r="H107" s="592"/>
      <c r="I107" s="592">
        <v>3.12394923159923E23</v>
      </c>
      <c r="J107" s="592">
        <v>9.50852759412177E-11</v>
      </c>
      <c r="K107" s="592">
        <v>6.22196480789596E-11</v>
      </c>
      <c r="L107" s="592"/>
      <c r="M107" s="592">
        <v>7.86524620100887E-11</v>
      </c>
      <c r="N107" s="448"/>
      <c r="O107" s="448"/>
      <c r="P107" s="448"/>
      <c r="Q107" s="448"/>
      <c r="R107" s="448"/>
      <c r="S107" s="448"/>
      <c r="T107" s="448"/>
      <c r="U107" s="448"/>
      <c r="V107" s="448"/>
    </row>
    <row r="108">
      <c r="A108" s="257" t="s">
        <v>393</v>
      </c>
      <c r="B108" s="257" t="s">
        <v>702</v>
      </c>
      <c r="C108" s="257">
        <v>0.2</v>
      </c>
      <c r="D108" s="257">
        <v>0.53</v>
      </c>
      <c r="E108" s="592">
        <v>1.38E-10</v>
      </c>
      <c r="F108" s="448"/>
      <c r="G108" s="448"/>
      <c r="H108" s="448"/>
      <c r="I108" s="448"/>
      <c r="J108" s="448"/>
      <c r="K108" s="448"/>
      <c r="L108" s="448"/>
      <c r="M108" s="448"/>
      <c r="N108" s="448"/>
      <c r="O108" s="448"/>
      <c r="P108" s="448"/>
      <c r="Q108" s="448"/>
      <c r="R108" s="448"/>
      <c r="S108" s="448"/>
      <c r="T108" s="448"/>
      <c r="U108" s="448"/>
      <c r="V108" s="448"/>
    </row>
    <row r="109">
      <c r="A109" s="257" t="s">
        <v>1713</v>
      </c>
      <c r="B109" s="257" t="s">
        <v>702</v>
      </c>
      <c r="C109" s="257">
        <v>0.35</v>
      </c>
      <c r="D109" s="257">
        <v>1.19</v>
      </c>
      <c r="E109" s="592">
        <v>2.45E-10</v>
      </c>
      <c r="F109" s="448"/>
      <c r="G109" s="448"/>
      <c r="H109" s="448"/>
      <c r="I109" s="448"/>
      <c r="J109" s="448"/>
      <c r="K109" s="448"/>
      <c r="L109" s="448"/>
      <c r="M109" s="448"/>
      <c r="N109" s="448"/>
      <c r="O109" s="448"/>
      <c r="P109" s="448"/>
      <c r="Q109" s="448"/>
      <c r="R109" s="448"/>
      <c r="S109" s="448"/>
      <c r="T109" s="448"/>
      <c r="U109" s="448"/>
      <c r="V109" s="448"/>
    </row>
    <row r="110">
      <c r="A110" s="257" t="s">
        <v>1694</v>
      </c>
      <c r="B110" s="257" t="s">
        <v>702</v>
      </c>
      <c r="C110" s="257">
        <v>0.2</v>
      </c>
      <c r="D110" s="257">
        <v>0.73</v>
      </c>
      <c r="E110" s="592">
        <v>7.59E-11</v>
      </c>
      <c r="F110" s="448"/>
      <c r="G110" s="448"/>
      <c r="H110" s="448"/>
      <c r="I110" s="448"/>
      <c r="J110" s="448"/>
      <c r="K110" s="448"/>
      <c r="L110" s="448"/>
      <c r="M110" s="448"/>
      <c r="N110" s="448"/>
      <c r="O110" s="448"/>
      <c r="P110" s="448"/>
      <c r="Q110" s="448"/>
      <c r="R110" s="448"/>
      <c r="S110" s="448"/>
      <c r="T110" s="448"/>
      <c r="U110" s="448"/>
      <c r="V110" s="448"/>
    </row>
    <row r="111">
      <c r="A111" s="257" t="s">
        <v>1737</v>
      </c>
      <c r="B111" s="257" t="s">
        <v>702</v>
      </c>
      <c r="C111" s="257">
        <v>0.6</v>
      </c>
      <c r="D111" s="257">
        <v>1.53</v>
      </c>
      <c r="E111" s="592">
        <v>4.17E-10</v>
      </c>
      <c r="F111" s="448"/>
      <c r="G111" s="448"/>
      <c r="H111" s="448"/>
      <c r="I111" s="448"/>
      <c r="J111" s="448"/>
      <c r="K111" s="448"/>
      <c r="L111" s="448"/>
      <c r="M111" s="448"/>
      <c r="N111" s="448"/>
      <c r="O111" s="448"/>
      <c r="P111" s="448"/>
      <c r="Q111" s="448"/>
      <c r="R111" s="448"/>
      <c r="S111" s="448"/>
      <c r="T111" s="448"/>
      <c r="U111" s="448"/>
      <c r="V111" s="448"/>
    </row>
    <row r="112">
      <c r="A112" s="257" t="s">
        <v>700</v>
      </c>
      <c r="B112" s="257" t="s">
        <v>702</v>
      </c>
      <c r="C112" s="257">
        <v>0.2</v>
      </c>
      <c r="D112" s="257">
        <v>1.03</v>
      </c>
      <c r="E112" s="592">
        <v>4.27E-10</v>
      </c>
      <c r="F112" s="448"/>
      <c r="G112" s="448"/>
      <c r="H112" s="448"/>
      <c r="I112" s="448"/>
      <c r="J112" s="448"/>
      <c r="K112" s="448"/>
      <c r="L112" s="448"/>
      <c r="M112" s="448"/>
      <c r="N112" s="448"/>
      <c r="O112" s="448"/>
      <c r="P112" s="448"/>
      <c r="Q112" s="448"/>
      <c r="R112" s="448"/>
      <c r="S112" s="448"/>
      <c r="T112" s="448"/>
      <c r="U112" s="448"/>
      <c r="V112" s="448"/>
    </row>
    <row r="113">
      <c r="A113" s="257" t="s">
        <v>2014</v>
      </c>
      <c r="B113" s="257" t="s">
        <v>702</v>
      </c>
      <c r="C113" s="257">
        <v>1.3</v>
      </c>
      <c r="D113" s="257">
        <v>2.05</v>
      </c>
      <c r="E113" s="448"/>
      <c r="F113" s="448"/>
      <c r="G113" s="448"/>
      <c r="H113" s="448"/>
      <c r="I113" s="448"/>
      <c r="J113" s="448"/>
      <c r="K113" s="448"/>
      <c r="L113" s="448"/>
      <c r="M113" s="448"/>
      <c r="N113" s="448"/>
      <c r="O113" s="448"/>
      <c r="P113" s="448"/>
      <c r="Q113" s="448"/>
      <c r="R113" s="448"/>
      <c r="S113" s="448"/>
      <c r="T113" s="448"/>
      <c r="U113" s="448"/>
      <c r="V113" s="448"/>
    </row>
    <row r="114">
      <c r="A114" s="257" t="s">
        <v>1661</v>
      </c>
      <c r="B114" s="257" t="s">
        <v>702</v>
      </c>
      <c r="C114" s="257">
        <v>0.15</v>
      </c>
      <c r="D114" s="257">
        <v>0.46</v>
      </c>
      <c r="E114" s="592">
        <v>1.29E-9</v>
      </c>
      <c r="F114" s="448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  <c r="V114" s="448"/>
    </row>
    <row r="115">
      <c r="A115" s="257" t="s">
        <v>1690</v>
      </c>
      <c r="B115" s="257" t="s">
        <v>702</v>
      </c>
      <c r="C115" s="257">
        <v>0.2</v>
      </c>
      <c r="D115" s="257">
        <v>0.92</v>
      </c>
      <c r="E115" s="592">
        <v>6.03E-11</v>
      </c>
      <c r="F115" s="448"/>
      <c r="G115" s="448"/>
      <c r="H115" s="448"/>
      <c r="I115" s="448"/>
      <c r="J115" s="448"/>
      <c r="K115" s="448"/>
      <c r="L115" s="448"/>
      <c r="M115" s="448"/>
      <c r="N115" s="448"/>
      <c r="O115" s="448"/>
      <c r="P115" s="448"/>
      <c r="Q115" s="448"/>
      <c r="R115" s="448"/>
      <c r="S115" s="448"/>
      <c r="T115" s="448"/>
      <c r="U115" s="448"/>
      <c r="V115" s="448"/>
    </row>
    <row r="116">
      <c r="A116" s="257" t="s">
        <v>1666</v>
      </c>
      <c r="B116" s="257" t="s">
        <v>702</v>
      </c>
      <c r="C116" s="257">
        <v>0.15</v>
      </c>
      <c r="D116" s="257">
        <v>0.98</v>
      </c>
      <c r="E116" s="592">
        <v>5.62E-11</v>
      </c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  <c r="V116" s="448"/>
    </row>
    <row r="117">
      <c r="A117" s="257" t="s">
        <v>1668</v>
      </c>
      <c r="B117" s="257" t="s">
        <v>702</v>
      </c>
      <c r="C117" s="257">
        <v>0.17</v>
      </c>
      <c r="D117" s="257">
        <v>1.25</v>
      </c>
      <c r="E117" s="592">
        <v>6.60999999999999E-9</v>
      </c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  <c r="V117" s="448"/>
    </row>
    <row r="118">
      <c r="A118" s="257" t="s">
        <v>1679</v>
      </c>
      <c r="B118" s="257" t="s">
        <v>702</v>
      </c>
      <c r="C118" s="257">
        <v>0.2</v>
      </c>
      <c r="D118" s="257">
        <v>1.03</v>
      </c>
      <c r="E118" s="592">
        <v>1.61999999999999E-10</v>
      </c>
      <c r="F118" s="448"/>
      <c r="G118" s="448"/>
      <c r="H118" s="448"/>
      <c r="I118" s="448"/>
      <c r="J118" s="448"/>
      <c r="K118" s="448"/>
      <c r="L118" s="448"/>
      <c r="M118" s="448"/>
      <c r="N118" s="448"/>
      <c r="O118" s="448"/>
      <c r="P118" s="448"/>
      <c r="Q118" s="448"/>
      <c r="R118" s="448"/>
      <c r="S118" s="448"/>
      <c r="T118" s="448"/>
      <c r="U118" s="448"/>
      <c r="V118" s="448"/>
    </row>
    <row r="119">
      <c r="A119" s="257" t="s">
        <v>1688</v>
      </c>
      <c r="B119" s="257" t="s">
        <v>702</v>
      </c>
      <c r="C119" s="257">
        <v>0.2</v>
      </c>
      <c r="D119" s="257">
        <v>0.92</v>
      </c>
      <c r="E119" s="592">
        <v>8.70999999999999E-11</v>
      </c>
      <c r="F119" s="448"/>
      <c r="G119" s="448"/>
      <c r="H119" s="448"/>
      <c r="I119" s="448"/>
      <c r="J119" s="448"/>
      <c r="K119" s="448"/>
      <c r="L119" s="448"/>
      <c r="M119" s="448"/>
      <c r="N119" s="448"/>
      <c r="O119" s="448"/>
      <c r="P119" s="448"/>
      <c r="Q119" s="448"/>
      <c r="R119" s="448"/>
      <c r="S119" s="448"/>
      <c r="T119" s="448"/>
      <c r="U119" s="448"/>
      <c r="V119" s="448"/>
    </row>
    <row r="120">
      <c r="A120" s="257" t="s">
        <v>407</v>
      </c>
      <c r="B120" s="257" t="s">
        <v>702</v>
      </c>
      <c r="C120" s="257">
        <v>0.16</v>
      </c>
      <c r="D120" s="257">
        <v>0.92</v>
      </c>
      <c r="E120" s="592">
        <v>8.13E-11</v>
      </c>
      <c r="F120" s="448"/>
      <c r="G120" s="448"/>
      <c r="H120" s="448"/>
      <c r="I120" s="448"/>
      <c r="J120" s="448"/>
      <c r="K120" s="448"/>
      <c r="L120" s="448"/>
      <c r="M120" s="448"/>
      <c r="N120" s="448"/>
      <c r="O120" s="448"/>
      <c r="P120" s="448"/>
      <c r="Q120" s="448"/>
      <c r="R120" s="448"/>
      <c r="S120" s="448"/>
      <c r="T120" s="448"/>
      <c r="U120" s="448"/>
      <c r="V120" s="448"/>
    </row>
    <row r="121">
      <c r="A121" s="257" t="s">
        <v>407</v>
      </c>
      <c r="B121" s="257" t="s">
        <v>352</v>
      </c>
      <c r="C121" s="257">
        <v>0.2</v>
      </c>
      <c r="D121" s="257">
        <v>0.84</v>
      </c>
      <c r="E121" s="592">
        <v>4.17E-12</v>
      </c>
      <c r="F121" s="592">
        <v>9.17302268228265E22</v>
      </c>
      <c r="G121" s="592"/>
      <c r="H121" s="592"/>
      <c r="I121" s="592">
        <v>9.17302268228265E22</v>
      </c>
      <c r="J121" s="592">
        <v>4.00650677346472E-11</v>
      </c>
      <c r="K121" s="592"/>
      <c r="L121" s="592"/>
      <c r="M121" s="592">
        <v>4.00650677346472E-11</v>
      </c>
      <c r="N121" s="448"/>
      <c r="O121" s="448"/>
      <c r="P121" s="448"/>
      <c r="Q121" s="448"/>
      <c r="R121" s="448"/>
      <c r="S121" s="448"/>
      <c r="T121" s="448"/>
      <c r="U121" s="448"/>
      <c r="V121" s="448"/>
    </row>
    <row r="122">
      <c r="A122" s="257" t="s">
        <v>1681</v>
      </c>
      <c r="B122" s="257" t="s">
        <v>702</v>
      </c>
      <c r="C122" s="257">
        <v>0.2</v>
      </c>
      <c r="D122" s="257">
        <v>0.86</v>
      </c>
      <c r="E122" s="592">
        <v>5.62E-11</v>
      </c>
      <c r="F122" s="448"/>
      <c r="G122" s="448"/>
      <c r="H122" s="448"/>
      <c r="I122" s="448"/>
      <c r="J122" s="448"/>
      <c r="K122" s="448"/>
      <c r="L122" s="448"/>
      <c r="M122" s="448"/>
      <c r="N122" s="448"/>
      <c r="O122" s="448"/>
      <c r="P122" s="448"/>
      <c r="Q122" s="448"/>
      <c r="R122" s="448"/>
      <c r="S122" s="448"/>
      <c r="T122" s="448"/>
      <c r="U122" s="448"/>
      <c r="V122" s="448"/>
    </row>
    <row r="123">
      <c r="A123" s="257" t="s">
        <v>793</v>
      </c>
      <c r="B123" s="257" t="s">
        <v>759</v>
      </c>
      <c r="C123" s="257">
        <v>1.79</v>
      </c>
      <c r="D123" s="257">
        <v>2.75</v>
      </c>
      <c r="E123" s="592">
        <v>1.2E-7</v>
      </c>
      <c r="F123" s="592">
        <v>8.40687300780993E26</v>
      </c>
      <c r="G123" s="592"/>
      <c r="H123" s="592"/>
      <c r="I123" s="592">
        <v>8.40687300780993E26</v>
      </c>
      <c r="J123" s="592">
        <v>1.34313069249496E-7</v>
      </c>
      <c r="K123" s="592"/>
      <c r="L123" s="592"/>
      <c r="M123" s="592">
        <v>1.34313069249496E-7</v>
      </c>
      <c r="N123" s="448"/>
      <c r="O123" s="448"/>
      <c r="P123" s="448"/>
      <c r="Q123" s="448"/>
      <c r="R123" s="448"/>
      <c r="S123" s="448"/>
      <c r="T123" s="448"/>
      <c r="U123" s="448"/>
      <c r="V123" s="448"/>
    </row>
    <row r="124">
      <c r="A124" s="257" t="s">
        <v>796</v>
      </c>
      <c r="B124" s="257" t="s">
        <v>759</v>
      </c>
      <c r="C124" s="257">
        <v>1.83</v>
      </c>
      <c r="D124" s="257">
        <v>2.88</v>
      </c>
      <c r="E124" s="592">
        <v>5.75E-7</v>
      </c>
      <c r="F124" s="592">
        <v>3.14010807902834E27</v>
      </c>
      <c r="G124" s="592"/>
      <c r="H124" s="592"/>
      <c r="I124" s="592">
        <v>3.14010807902834E27</v>
      </c>
      <c r="J124" s="592">
        <v>5.13913608250269E-7</v>
      </c>
      <c r="K124" s="592"/>
      <c r="L124" s="592"/>
      <c r="M124" s="592">
        <v>5.13913608250269E-7</v>
      </c>
      <c r="N124" s="448"/>
      <c r="O124" s="448"/>
      <c r="P124" s="448"/>
      <c r="Q124" s="448"/>
      <c r="R124" s="448"/>
      <c r="S124" s="448"/>
      <c r="T124" s="448"/>
      <c r="U124" s="448"/>
      <c r="V124" s="448"/>
    </row>
    <row r="125">
      <c r="A125" s="257" t="s">
        <v>781</v>
      </c>
      <c r="B125" s="257" t="s">
        <v>759</v>
      </c>
      <c r="C125" s="257">
        <v>1.57</v>
      </c>
      <c r="D125" s="257">
        <v>2.31</v>
      </c>
      <c r="E125" s="592">
        <v>1.16999999999999E-8</v>
      </c>
      <c r="F125" s="592">
        <v>1.37089754091589E26</v>
      </c>
      <c r="G125" s="592"/>
      <c r="H125" s="592"/>
      <c r="I125" s="592">
        <v>1.37089754091589E26</v>
      </c>
      <c r="J125" s="592">
        <v>2.09759407878167E-8</v>
      </c>
      <c r="K125" s="592"/>
      <c r="L125" s="592"/>
      <c r="M125" s="592">
        <v>2.09759407878167E-8</v>
      </c>
      <c r="N125" s="448"/>
      <c r="O125" s="448"/>
      <c r="P125" s="448"/>
      <c r="Q125" s="448"/>
      <c r="R125" s="448"/>
      <c r="S125" s="448"/>
      <c r="T125" s="448"/>
      <c r="U125" s="448"/>
      <c r="V125" s="448"/>
    </row>
    <row r="126">
      <c r="A126" s="257" t="s">
        <v>784</v>
      </c>
      <c r="B126" s="257" t="s">
        <v>759</v>
      </c>
      <c r="C126" s="257">
        <v>1.6</v>
      </c>
      <c r="D126" s="257">
        <v>1.79</v>
      </c>
      <c r="E126" s="592">
        <v>3.16E-8</v>
      </c>
      <c r="F126" s="592">
        <v>3.82618424853658E25</v>
      </c>
      <c r="G126" s="592"/>
      <c r="H126" s="592"/>
      <c r="I126" s="592">
        <v>3.82618424853658E25</v>
      </c>
      <c r="J126" s="592">
        <v>4.45146590478876E-9</v>
      </c>
      <c r="K126" s="592"/>
      <c r="L126" s="592"/>
      <c r="M126" s="592">
        <v>4.45146590478876E-9</v>
      </c>
      <c r="N126" s="448"/>
      <c r="O126" s="448"/>
      <c r="P126" s="448"/>
      <c r="Q126" s="448"/>
      <c r="R126" s="448"/>
      <c r="S126" s="448"/>
      <c r="T126" s="448"/>
      <c r="U126" s="448"/>
      <c r="V126" s="448"/>
    </row>
    <row r="127">
      <c r="A127" s="257" t="s">
        <v>795</v>
      </c>
      <c r="B127" s="257" t="s">
        <v>759</v>
      </c>
      <c r="C127" s="257">
        <v>1.79</v>
      </c>
      <c r="D127" s="257">
        <v>2.75</v>
      </c>
      <c r="E127" s="592">
        <v>1.40999999999999E-8</v>
      </c>
      <c r="F127" s="592">
        <v>2.11719242679664E26</v>
      </c>
      <c r="G127" s="592"/>
      <c r="H127" s="592"/>
      <c r="I127" s="592">
        <v>2.11719242679664E26</v>
      </c>
      <c r="J127" s="592">
        <v>3.38254916864655E-8</v>
      </c>
      <c r="K127" s="592"/>
      <c r="L127" s="592"/>
      <c r="M127" s="592">
        <v>3.38254916864655E-8</v>
      </c>
      <c r="N127" s="448"/>
      <c r="O127" s="448"/>
      <c r="P127" s="448"/>
      <c r="Q127" s="448"/>
      <c r="R127" s="448"/>
      <c r="S127" s="448"/>
      <c r="T127" s="448"/>
      <c r="U127" s="448"/>
      <c r="V127" s="448"/>
    </row>
    <row r="128">
      <c r="A128" s="257" t="s">
        <v>775</v>
      </c>
      <c r="B128" s="257" t="s">
        <v>759</v>
      </c>
      <c r="C128" s="257">
        <v>1.26</v>
      </c>
      <c r="D128" s="257">
        <v>1.56</v>
      </c>
      <c r="E128" s="592">
        <v>1.26E-8</v>
      </c>
      <c r="F128" s="592">
        <v>2.15060321328235E25</v>
      </c>
      <c r="G128" s="592"/>
      <c r="H128" s="592"/>
      <c r="I128" s="592">
        <v>2.15060321328235E25</v>
      </c>
      <c r="J128" s="592">
        <v>2.76897138122234E-9</v>
      </c>
      <c r="K128" s="592"/>
      <c r="L128" s="592"/>
      <c r="M128" s="592">
        <v>2.76897138122234E-9</v>
      </c>
      <c r="N128" s="448"/>
      <c r="O128" s="448"/>
      <c r="P128" s="448"/>
      <c r="Q128" s="448"/>
      <c r="R128" s="448"/>
      <c r="S128" s="448"/>
      <c r="T128" s="448"/>
      <c r="U128" s="448"/>
      <c r="V128" s="448"/>
    </row>
    <row r="129">
      <c r="A129" s="257" t="s">
        <v>791</v>
      </c>
      <c r="B129" s="257" t="s">
        <v>759</v>
      </c>
      <c r="C129" s="257">
        <v>1.75</v>
      </c>
      <c r="D129" s="257">
        <v>2.53</v>
      </c>
      <c r="E129" s="592">
        <v>2.04E-8</v>
      </c>
      <c r="F129" s="592">
        <v>1.16729405358762E26</v>
      </c>
      <c r="G129" s="592"/>
      <c r="H129" s="592"/>
      <c r="I129" s="592">
        <v>1.16729405358762E26</v>
      </c>
      <c r="J129" s="592">
        <v>1.75495857319012E-8</v>
      </c>
      <c r="K129" s="592"/>
      <c r="L129" s="592"/>
      <c r="M129" s="592">
        <v>1.75495857319012E-8</v>
      </c>
      <c r="N129" s="448"/>
      <c r="O129" s="448"/>
      <c r="P129" s="448"/>
      <c r="Q129" s="448"/>
      <c r="R129" s="448"/>
      <c r="S129" s="448"/>
      <c r="T129" s="448"/>
      <c r="U129" s="448"/>
      <c r="V129" s="448"/>
    </row>
    <row r="130">
      <c r="A130" s="257" t="s">
        <v>778</v>
      </c>
      <c r="B130" s="257" t="s">
        <v>759</v>
      </c>
      <c r="C130" s="257">
        <v>1.36</v>
      </c>
      <c r="D130" s="257">
        <v>1.71</v>
      </c>
      <c r="E130" s="592">
        <v>1.12E-8</v>
      </c>
      <c r="F130" s="592">
        <v>3.88811061784601E25</v>
      </c>
      <c r="G130" s="592"/>
      <c r="H130" s="592"/>
      <c r="I130" s="592">
        <v>3.88811061784601E25</v>
      </c>
      <c r="J130" s="592">
        <v>5.08393439667175E-9</v>
      </c>
      <c r="K130" s="592"/>
      <c r="L130" s="592"/>
      <c r="M130" s="592">
        <v>5.08393439667175E-9</v>
      </c>
      <c r="N130" s="448"/>
      <c r="O130" s="448"/>
      <c r="P130" s="448"/>
      <c r="Q130" s="448"/>
      <c r="R130" s="448"/>
      <c r="S130" s="448"/>
      <c r="T130" s="448"/>
      <c r="U130" s="448"/>
      <c r="V130" s="448"/>
    </row>
    <row r="131">
      <c r="A131" s="257" t="s">
        <v>802</v>
      </c>
      <c r="B131" s="257" t="s">
        <v>759</v>
      </c>
      <c r="C131" s="257">
        <v>2.08</v>
      </c>
      <c r="D131" s="257">
        <v>3.05</v>
      </c>
      <c r="E131" s="592">
        <v>6.31E-8</v>
      </c>
      <c r="F131" s="448"/>
      <c r="G131" s="448"/>
      <c r="H131" s="448"/>
      <c r="I131" s="448"/>
      <c r="J131" s="448"/>
      <c r="K131" s="448"/>
      <c r="L131" s="448"/>
      <c r="M131" s="448"/>
      <c r="N131" s="448"/>
      <c r="O131" s="448"/>
      <c r="P131" s="448"/>
      <c r="Q131" s="448"/>
      <c r="R131" s="448"/>
      <c r="S131" s="448"/>
      <c r="T131" s="448"/>
      <c r="U131" s="448"/>
      <c r="V131" s="448"/>
    </row>
    <row r="132">
      <c r="A132" s="257" t="s">
        <v>800</v>
      </c>
      <c r="B132" s="257" t="s">
        <v>759</v>
      </c>
      <c r="C132" s="257">
        <v>2.0</v>
      </c>
      <c r="D132" s="257">
        <v>3.26</v>
      </c>
      <c r="E132" s="592">
        <v>1.62E-7</v>
      </c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  <c r="V132" s="448"/>
    </row>
    <row r="133">
      <c r="A133" s="257" t="s">
        <v>767</v>
      </c>
      <c r="B133" s="257" t="s">
        <v>759</v>
      </c>
      <c r="C133" s="257">
        <v>1.05</v>
      </c>
      <c r="D133" s="257">
        <v>1.92</v>
      </c>
      <c r="E133" s="592">
        <v>2.45E-8</v>
      </c>
      <c r="F133" s="592">
        <v>1.15297231808595E25</v>
      </c>
      <c r="G133" s="592"/>
      <c r="H133" s="592"/>
      <c r="I133" s="592">
        <v>1.15297231808595E25</v>
      </c>
      <c r="J133" s="592">
        <v>2.19247643144807E-9</v>
      </c>
      <c r="K133" s="592"/>
      <c r="L133" s="592"/>
      <c r="M133" s="592">
        <v>2.19247643144807E-9</v>
      </c>
      <c r="N133" s="448"/>
      <c r="O133" s="448"/>
      <c r="P133" s="448"/>
      <c r="Q133" s="448"/>
      <c r="R133" s="448"/>
      <c r="S133" s="448"/>
      <c r="T133" s="448"/>
      <c r="U133" s="448"/>
      <c r="V133" s="448"/>
    </row>
    <row r="134">
      <c r="A134" s="257" t="s">
        <v>789</v>
      </c>
      <c r="B134" s="257" t="s">
        <v>759</v>
      </c>
      <c r="C134" s="257">
        <v>1.75</v>
      </c>
      <c r="D134" s="257">
        <v>2.94</v>
      </c>
      <c r="E134" s="592">
        <v>1.51E-7</v>
      </c>
      <c r="F134" s="592">
        <v>7.55833701049347E27</v>
      </c>
      <c r="G134" s="592"/>
      <c r="H134" s="592"/>
      <c r="I134" s="592">
        <v>7.55833701049347E27</v>
      </c>
      <c r="J134" s="592">
        <v>1.320503806762E-6</v>
      </c>
      <c r="K134" s="592"/>
      <c r="L134" s="592"/>
      <c r="M134" s="592">
        <v>1.320503806762E-6</v>
      </c>
      <c r="N134" s="448"/>
      <c r="O134" s="448"/>
      <c r="P134" s="448"/>
      <c r="Q134" s="448"/>
      <c r="R134" s="448"/>
      <c r="S134" s="448"/>
      <c r="T134" s="448"/>
      <c r="U134" s="448"/>
      <c r="V134" s="448"/>
    </row>
    <row r="135">
      <c r="A135" s="257" t="s">
        <v>777</v>
      </c>
      <c r="B135" s="257" t="s">
        <v>759</v>
      </c>
      <c r="C135" s="257">
        <v>1.3</v>
      </c>
      <c r="D135" s="257">
        <v>1.64</v>
      </c>
      <c r="E135" s="592">
        <v>4.37E-8</v>
      </c>
      <c r="F135" s="592">
        <v>2.36566863283299E26</v>
      </c>
      <c r="G135" s="592"/>
      <c r="H135" s="592"/>
      <c r="I135" s="592">
        <v>2.36566863283299E26</v>
      </c>
      <c r="J135" s="592">
        <v>3.10354845783285E-8</v>
      </c>
      <c r="K135" s="592"/>
      <c r="L135" s="592"/>
      <c r="M135" s="592">
        <v>3.10354845783285E-8</v>
      </c>
      <c r="N135" s="448"/>
      <c r="O135" s="448"/>
      <c r="P135" s="448"/>
      <c r="Q135" s="448"/>
      <c r="R135" s="448"/>
      <c r="S135" s="448"/>
      <c r="T135" s="448"/>
      <c r="U135" s="448"/>
      <c r="V135" s="448"/>
    </row>
    <row r="136">
      <c r="A136" s="257" t="s">
        <v>804</v>
      </c>
      <c r="B136" s="257" t="s">
        <v>759</v>
      </c>
      <c r="C136" s="257">
        <v>2.16</v>
      </c>
      <c r="D136" s="257">
        <v>4.11</v>
      </c>
      <c r="E136" s="592">
        <v>8.51E-9</v>
      </c>
      <c r="F136" s="592">
        <v>1.53921123375798E27</v>
      </c>
      <c r="G136" s="592"/>
      <c r="H136" s="592"/>
      <c r="I136" s="592">
        <v>1.53921123375798E27</v>
      </c>
      <c r="J136" s="592">
        <v>3.04572310984112E-7</v>
      </c>
      <c r="K136" s="592"/>
      <c r="L136" s="592"/>
      <c r="M136" s="592">
        <v>3.04572310984112E-7</v>
      </c>
      <c r="N136" s="448"/>
      <c r="O136" s="448"/>
      <c r="P136" s="448"/>
      <c r="Q136" s="448"/>
      <c r="R136" s="448"/>
      <c r="S136" s="448"/>
      <c r="T136" s="448"/>
      <c r="U136" s="448"/>
      <c r="V136" s="448"/>
    </row>
    <row r="137">
      <c r="A137" s="257" t="s">
        <v>805</v>
      </c>
      <c r="B137" s="257" t="s">
        <v>759</v>
      </c>
      <c r="C137" s="257">
        <v>2.62</v>
      </c>
      <c r="D137" s="257">
        <v>4.16</v>
      </c>
      <c r="E137" s="592">
        <v>2.19E-7</v>
      </c>
      <c r="F137" s="592">
        <v>2.67925345708062E27</v>
      </c>
      <c r="G137" s="592"/>
      <c r="H137" s="592"/>
      <c r="I137" s="592">
        <v>2.67925345708062E27</v>
      </c>
      <c r="J137" s="592">
        <v>4.42394748087607E-7</v>
      </c>
      <c r="K137" s="592"/>
      <c r="L137" s="592"/>
      <c r="M137" s="592">
        <v>4.42394748087607E-7</v>
      </c>
      <c r="N137" s="448"/>
      <c r="O137" s="448"/>
      <c r="P137" s="448"/>
      <c r="Q137" s="448"/>
      <c r="R137" s="448"/>
      <c r="S137" s="448"/>
      <c r="T137" s="448"/>
      <c r="U137" s="448"/>
      <c r="V137" s="448"/>
    </row>
    <row r="138">
      <c r="A138" s="257" t="s">
        <v>771</v>
      </c>
      <c r="B138" s="257" t="s">
        <v>759</v>
      </c>
      <c r="C138" s="257">
        <v>1.15</v>
      </c>
      <c r="D138" s="257">
        <v>1.35</v>
      </c>
      <c r="E138" s="592">
        <v>2.0E-8</v>
      </c>
      <c r="F138" s="592">
        <v>9.73716565564132E25</v>
      </c>
      <c r="G138" s="592"/>
      <c r="H138" s="592"/>
      <c r="I138" s="592">
        <v>9.73716565564132E25</v>
      </c>
      <c r="J138" s="592">
        <v>1.18870095125294E-8</v>
      </c>
      <c r="K138" s="592"/>
      <c r="L138" s="592"/>
      <c r="M138" s="592">
        <v>1.18870095125294E-8</v>
      </c>
      <c r="N138" s="448"/>
      <c r="O138" s="448"/>
      <c r="P138" s="448"/>
      <c r="Q138" s="448"/>
      <c r="R138" s="448"/>
      <c r="S138" s="448"/>
      <c r="T138" s="448"/>
      <c r="U138" s="448"/>
      <c r="V138" s="448"/>
    </row>
    <row r="139">
      <c r="A139" s="257" t="s">
        <v>773</v>
      </c>
      <c r="B139" s="257" t="s">
        <v>759</v>
      </c>
      <c r="C139" s="257">
        <v>1.23</v>
      </c>
      <c r="D139" s="257">
        <v>1.28</v>
      </c>
      <c r="E139" s="592">
        <v>3.47E-9</v>
      </c>
      <c r="F139" s="592">
        <v>4.28844625566533E25</v>
      </c>
      <c r="G139" s="592"/>
      <c r="H139" s="592"/>
      <c r="I139" s="592">
        <v>4.28844625566533E25</v>
      </c>
      <c r="J139" s="592">
        <v>4.64097205555793E-9</v>
      </c>
      <c r="K139" s="592"/>
      <c r="L139" s="592"/>
      <c r="M139" s="592">
        <v>4.64097205555793E-9</v>
      </c>
      <c r="N139" s="448"/>
      <c r="O139" s="448"/>
      <c r="P139" s="448"/>
      <c r="Q139" s="448"/>
      <c r="R139" s="448"/>
      <c r="S139" s="448"/>
      <c r="T139" s="448"/>
      <c r="U139" s="448"/>
      <c r="V139" s="448"/>
    </row>
    <row r="140">
      <c r="A140" s="257" t="s">
        <v>798</v>
      </c>
      <c r="B140" s="257" t="s">
        <v>759</v>
      </c>
      <c r="C140" s="257">
        <v>2.0</v>
      </c>
      <c r="D140" s="257">
        <v>2.01</v>
      </c>
      <c r="E140" s="592">
        <v>3.55E-8</v>
      </c>
      <c r="F140" s="592">
        <v>3.57502310194045E26</v>
      </c>
      <c r="G140" s="592"/>
      <c r="H140" s="592"/>
      <c r="I140" s="592">
        <v>3.57502310194045E26</v>
      </c>
      <c r="J140" s="592">
        <v>3.73636278568674E-8</v>
      </c>
      <c r="K140" s="592"/>
      <c r="L140" s="592"/>
      <c r="M140" s="592">
        <v>3.73636278568674E-8</v>
      </c>
      <c r="N140" s="448"/>
      <c r="O140" s="448"/>
      <c r="P140" s="448"/>
      <c r="Q140" s="448"/>
      <c r="R140" s="448"/>
      <c r="S140" s="448"/>
      <c r="T140" s="448"/>
      <c r="U140" s="448"/>
      <c r="V140" s="448"/>
    </row>
    <row r="141">
      <c r="A141" s="257" t="s">
        <v>780</v>
      </c>
      <c r="B141" s="257" t="s">
        <v>759</v>
      </c>
      <c r="C141" s="257">
        <v>1.57</v>
      </c>
      <c r="D141" s="257">
        <v>2.31</v>
      </c>
      <c r="E141" s="592">
        <v>4.67999999999999E-8</v>
      </c>
      <c r="F141" s="592">
        <v>2.88506087552906E25</v>
      </c>
      <c r="G141" s="592"/>
      <c r="H141" s="592"/>
      <c r="I141" s="592">
        <v>2.88506087552906E25</v>
      </c>
      <c r="J141" s="592">
        <v>4.41439745044061E-9</v>
      </c>
      <c r="K141" s="592"/>
      <c r="L141" s="592"/>
      <c r="M141" s="592">
        <v>4.41439745044061E-9</v>
      </c>
      <c r="N141" s="448"/>
      <c r="O141" s="448"/>
      <c r="P141" s="448"/>
      <c r="Q141" s="448"/>
      <c r="R141" s="448"/>
      <c r="S141" s="448"/>
      <c r="T141" s="448"/>
      <c r="U141" s="448"/>
      <c r="V141" s="448"/>
    </row>
    <row r="142">
      <c r="A142" s="257" t="s">
        <v>769</v>
      </c>
      <c r="B142" s="257" t="s">
        <v>759</v>
      </c>
      <c r="C142" s="257">
        <v>1.12</v>
      </c>
      <c r="D142" s="257">
        <v>1.31</v>
      </c>
      <c r="E142" s="592">
        <v>2.09E-9</v>
      </c>
      <c r="F142" s="592">
        <v>5.82405303040424E23</v>
      </c>
      <c r="G142" s="592"/>
      <c r="H142" s="592"/>
      <c r="I142" s="592">
        <v>5.82405303040424E23</v>
      </c>
      <c r="J142" s="592">
        <v>7.0840679333707E-11</v>
      </c>
      <c r="K142" s="592"/>
      <c r="L142" s="592"/>
      <c r="M142" s="592">
        <v>7.0840679333707E-11</v>
      </c>
      <c r="N142" s="448"/>
      <c r="O142" s="448"/>
      <c r="P142" s="448"/>
      <c r="Q142" s="448"/>
      <c r="R142" s="448"/>
      <c r="S142" s="448"/>
      <c r="T142" s="448"/>
      <c r="U142" s="448"/>
      <c r="V142" s="448"/>
    </row>
    <row r="143">
      <c r="A143" s="257" t="s">
        <v>787</v>
      </c>
      <c r="B143" s="257" t="s">
        <v>759</v>
      </c>
      <c r="C143" s="257">
        <v>1.66</v>
      </c>
      <c r="D143" s="257">
        <v>2.75</v>
      </c>
      <c r="E143" s="592">
        <v>4.46999999999999E-8</v>
      </c>
      <c r="F143" s="592">
        <v>1.50902039476447E23</v>
      </c>
      <c r="G143" s="592"/>
      <c r="H143" s="592"/>
      <c r="I143" s="592">
        <v>1.50902039476447E23</v>
      </c>
      <c r="J143" s="592">
        <v>2.59970361872813E-11</v>
      </c>
      <c r="K143" s="592"/>
      <c r="L143" s="592"/>
      <c r="M143" s="592">
        <v>2.59970361872813E-11</v>
      </c>
      <c r="N143" s="448"/>
      <c r="O143" s="448"/>
      <c r="P143" s="448"/>
      <c r="Q143" s="448"/>
      <c r="R143" s="448"/>
      <c r="S143" s="448"/>
      <c r="T143" s="448"/>
      <c r="U143" s="448"/>
      <c r="V143" s="448"/>
    </row>
    <row r="144">
      <c r="A144" s="257" t="s">
        <v>757</v>
      </c>
      <c r="B144" s="257" t="s">
        <v>759</v>
      </c>
      <c r="C144" s="257">
        <v>0.56</v>
      </c>
      <c r="D144" s="257">
        <v>1.88</v>
      </c>
      <c r="E144" s="592">
        <v>2.19E-8</v>
      </c>
      <c r="F144" s="592">
        <v>2.14039955947247E25</v>
      </c>
      <c r="G144" s="592"/>
      <c r="H144" s="592"/>
      <c r="I144" s="592">
        <v>2.14039955947247E25</v>
      </c>
      <c r="J144" s="592">
        <v>7.47254946713975E-9</v>
      </c>
      <c r="K144" s="592"/>
      <c r="L144" s="592"/>
      <c r="M144" s="592">
        <v>7.47254946713975E-9</v>
      </c>
      <c r="N144" s="448"/>
      <c r="O144" s="448"/>
      <c r="P144" s="448"/>
      <c r="Q144" s="448"/>
      <c r="R144" s="448"/>
      <c r="S144" s="448"/>
      <c r="T144" s="448"/>
      <c r="U144" s="448"/>
      <c r="V144" s="448"/>
    </row>
    <row r="145">
      <c r="A145" s="257" t="s">
        <v>692</v>
      </c>
      <c r="B145" s="257" t="s">
        <v>598</v>
      </c>
      <c r="C145" s="257">
        <v>0.1</v>
      </c>
      <c r="D145" s="257">
        <v>0.64</v>
      </c>
      <c r="E145" s="592">
        <v>1.58E-11</v>
      </c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  <c r="V145" s="448"/>
    </row>
    <row r="146">
      <c r="A146" s="257" t="s">
        <v>695</v>
      </c>
      <c r="B146" s="257" t="s">
        <v>598</v>
      </c>
      <c r="C146" s="257">
        <v>0.1</v>
      </c>
      <c r="D146" s="257">
        <v>0.47</v>
      </c>
      <c r="E146" s="592">
        <v>1.0E-12</v>
      </c>
      <c r="F146" s="448"/>
      <c r="G146" s="448"/>
      <c r="H146" s="448"/>
      <c r="I146" s="448"/>
      <c r="J146" s="448"/>
      <c r="K146" s="448"/>
      <c r="L146" s="448"/>
      <c r="M146" s="448"/>
      <c r="N146" s="448"/>
      <c r="O146" s="448"/>
      <c r="P146" s="448"/>
      <c r="Q146" s="448"/>
      <c r="R146" s="448"/>
      <c r="S146" s="448"/>
      <c r="T146" s="448"/>
      <c r="U146" s="448"/>
      <c r="V146" s="448"/>
    </row>
    <row r="147">
      <c r="A147" s="257" t="s">
        <v>654</v>
      </c>
      <c r="B147" s="257" t="s">
        <v>598</v>
      </c>
      <c r="C147" s="257">
        <v>0.034934</v>
      </c>
      <c r="D147" s="257">
        <v>0.28</v>
      </c>
      <c r="E147" s="592">
        <v>1.0E-12</v>
      </c>
      <c r="F147" s="592">
        <v>1.02380767040565E21</v>
      </c>
      <c r="G147" s="592"/>
      <c r="H147" s="592"/>
      <c r="I147" s="592">
        <v>1.02380767040565E21</v>
      </c>
      <c r="J147" s="592">
        <v>8.53359873918072E-13</v>
      </c>
      <c r="K147" s="592"/>
      <c r="L147" s="592"/>
      <c r="M147" s="592">
        <v>8.53359873918072E-13</v>
      </c>
      <c r="N147" s="448"/>
      <c r="O147" s="448"/>
      <c r="P147" s="448"/>
      <c r="Q147" s="448"/>
      <c r="R147" s="448"/>
      <c r="S147" s="448"/>
      <c r="T147" s="448"/>
      <c r="U147" s="448"/>
      <c r="V147" s="448"/>
    </row>
    <row r="148">
      <c r="A148" s="257" t="s">
        <v>1950</v>
      </c>
      <c r="B148" s="257" t="s">
        <v>598</v>
      </c>
      <c r="C148" s="257">
        <v>0.0257519999999999</v>
      </c>
      <c r="D148" s="257">
        <v>0.3</v>
      </c>
      <c r="E148" s="448"/>
      <c r="F148" s="448"/>
      <c r="G148" s="448"/>
      <c r="H148" s="448"/>
      <c r="I148" s="448"/>
      <c r="J148" s="448"/>
      <c r="K148" s="448"/>
      <c r="L148" s="448"/>
      <c r="M148" s="448"/>
      <c r="N148" s="448"/>
      <c r="O148" s="448"/>
      <c r="P148" s="448"/>
      <c r="Q148" s="448"/>
      <c r="R148" s="448"/>
      <c r="S148" s="448"/>
      <c r="T148" s="448"/>
      <c r="U148" s="448"/>
      <c r="V148" s="448"/>
    </row>
    <row r="149">
      <c r="A149" s="257" t="s">
        <v>322</v>
      </c>
      <c r="B149" s="257" t="s">
        <v>306</v>
      </c>
      <c r="C149" s="257">
        <v>0.026</v>
      </c>
      <c r="D149" s="257">
        <v>0.23</v>
      </c>
      <c r="E149" s="592">
        <v>1.58E-13</v>
      </c>
      <c r="F149" s="592">
        <v>7.95268089905553E20</v>
      </c>
      <c r="G149" s="592"/>
      <c r="H149" s="592"/>
      <c r="I149" s="592">
        <v>7.95268089905553E20</v>
      </c>
      <c r="J149" s="592">
        <v>7.31597425151297E-13</v>
      </c>
      <c r="K149" s="592"/>
      <c r="L149" s="592"/>
      <c r="M149" s="592">
        <v>7.31597425151297E-13</v>
      </c>
      <c r="N149" s="448"/>
      <c r="O149" s="448"/>
      <c r="P149" s="448"/>
      <c r="Q149" s="448"/>
      <c r="R149" s="448"/>
      <c r="S149" s="448"/>
      <c r="T149" s="448"/>
      <c r="U149" s="448"/>
      <c r="V149" s="448"/>
    </row>
    <row r="150">
      <c r="A150" s="257" t="s">
        <v>665</v>
      </c>
      <c r="B150" s="257" t="s">
        <v>598</v>
      </c>
      <c r="C150" s="257">
        <v>0.057198</v>
      </c>
      <c r="D150" s="257">
        <v>0.3</v>
      </c>
      <c r="E150" s="592">
        <v>1.0E-12</v>
      </c>
      <c r="F150" s="448"/>
      <c r="G150" s="448"/>
      <c r="H150" s="448"/>
      <c r="I150" s="448"/>
      <c r="J150" s="448"/>
      <c r="K150" s="448"/>
      <c r="L150" s="448"/>
      <c r="M150" s="448"/>
      <c r="N150" s="448"/>
      <c r="O150" s="448"/>
      <c r="P150" s="448"/>
      <c r="Q150" s="448"/>
      <c r="R150" s="448"/>
      <c r="S150" s="448"/>
      <c r="T150" s="448"/>
      <c r="U150" s="448"/>
      <c r="V150" s="448"/>
    </row>
    <row r="151">
      <c r="A151" s="257" t="s">
        <v>697</v>
      </c>
      <c r="B151" s="257" t="s">
        <v>598</v>
      </c>
      <c r="C151" s="257">
        <v>0.11</v>
      </c>
      <c r="D151" s="257">
        <v>0.75</v>
      </c>
      <c r="E151" s="592">
        <v>1.0E-12</v>
      </c>
      <c r="F151" s="592">
        <v>8.29496878402275E20</v>
      </c>
      <c r="G151" s="592"/>
      <c r="H151" s="592"/>
      <c r="I151" s="592">
        <v>8.29496878402275E20</v>
      </c>
      <c r="J151" s="592">
        <v>5.88149128388271E-13</v>
      </c>
      <c r="K151" s="592"/>
      <c r="L151" s="592"/>
      <c r="M151" s="592">
        <v>5.88149128388271E-13</v>
      </c>
      <c r="N151" s="448"/>
      <c r="O151" s="448"/>
      <c r="P151" s="448"/>
      <c r="Q151" s="448"/>
      <c r="R151" s="448"/>
      <c r="S151" s="448"/>
      <c r="T151" s="448"/>
      <c r="U151" s="448"/>
      <c r="V151" s="448"/>
    </row>
    <row r="152">
      <c r="A152" s="257" t="s">
        <v>698</v>
      </c>
      <c r="B152" s="257" t="s">
        <v>598</v>
      </c>
      <c r="C152" s="257">
        <v>0.12</v>
      </c>
      <c r="D152" s="257">
        <v>0.95</v>
      </c>
      <c r="E152" s="592">
        <v>1.0E-12</v>
      </c>
      <c r="F152" s="592">
        <v>4.58800043908132E21</v>
      </c>
      <c r="G152" s="592"/>
      <c r="H152" s="592"/>
      <c r="I152" s="592">
        <v>4.58800043908132E21</v>
      </c>
      <c r="J152" s="592">
        <v>3.77719958712295E-12</v>
      </c>
      <c r="K152" s="592"/>
      <c r="L152" s="592"/>
      <c r="M152" s="592">
        <v>3.77719958712295E-12</v>
      </c>
      <c r="N152" s="448"/>
      <c r="O152" s="448"/>
      <c r="P152" s="448"/>
      <c r="Q152" s="448"/>
      <c r="R152" s="448"/>
      <c r="S152" s="448"/>
      <c r="T152" s="448"/>
      <c r="U152" s="448"/>
      <c r="V152" s="448"/>
    </row>
    <row r="153">
      <c r="A153" s="257" t="s">
        <v>675</v>
      </c>
      <c r="B153" s="257" t="s">
        <v>598</v>
      </c>
      <c r="C153" s="257">
        <v>0.08</v>
      </c>
      <c r="D153" s="257">
        <v>0.58</v>
      </c>
      <c r="E153" s="592">
        <v>1.0E-12</v>
      </c>
      <c r="F153" s="592">
        <v>1.76376221297854E21</v>
      </c>
      <c r="G153" s="592"/>
      <c r="H153" s="592"/>
      <c r="I153" s="592">
        <v>1.76376221297854E21</v>
      </c>
      <c r="J153" s="592">
        <v>1.32978724833918E-12</v>
      </c>
      <c r="K153" s="592"/>
      <c r="L153" s="592"/>
      <c r="M153" s="592">
        <v>1.32978724833918E-12</v>
      </c>
      <c r="N153" s="448"/>
      <c r="O153" s="448"/>
      <c r="P153" s="448"/>
      <c r="Q153" s="448"/>
      <c r="R153" s="448"/>
      <c r="S153" s="448"/>
      <c r="T153" s="448"/>
      <c r="U153" s="448"/>
      <c r="V153" s="448"/>
    </row>
    <row r="154">
      <c r="A154" s="257" t="s">
        <v>682</v>
      </c>
      <c r="B154" s="257" t="s">
        <v>598</v>
      </c>
      <c r="C154" s="257">
        <v>0.08</v>
      </c>
      <c r="D154" s="257">
        <v>0.64</v>
      </c>
      <c r="E154" s="592">
        <v>1.0E-10</v>
      </c>
      <c r="F154" s="448"/>
      <c r="G154" s="448"/>
      <c r="H154" s="448"/>
      <c r="I154" s="448"/>
      <c r="J154" s="448"/>
      <c r="K154" s="448"/>
      <c r="L154" s="448"/>
      <c r="M154" s="448"/>
      <c r="N154" s="448"/>
      <c r="O154" s="448"/>
      <c r="P154" s="448"/>
      <c r="Q154" s="448"/>
      <c r="R154" s="448"/>
      <c r="S154" s="448"/>
      <c r="T154" s="448"/>
      <c r="U154" s="448"/>
      <c r="V154" s="448"/>
    </row>
    <row r="155">
      <c r="A155" s="257" t="s">
        <v>685</v>
      </c>
      <c r="B155" s="257" t="s">
        <v>598</v>
      </c>
      <c r="C155" s="257">
        <v>0.08</v>
      </c>
      <c r="D155" s="257">
        <v>0.62</v>
      </c>
      <c r="E155" s="592">
        <v>1.0E-10</v>
      </c>
      <c r="F155" s="592">
        <v>1.59339573766379E22</v>
      </c>
      <c r="G155" s="592"/>
      <c r="H155" s="592"/>
      <c r="I155" s="592">
        <v>1.59339573766379E22</v>
      </c>
      <c r="J155" s="592">
        <v>1.28419057178597E-11</v>
      </c>
      <c r="K155" s="592"/>
      <c r="L155" s="592"/>
      <c r="M155" s="592">
        <v>1.28419057178597E-11</v>
      </c>
      <c r="N155" s="448"/>
      <c r="O155" s="448"/>
      <c r="P155" s="448"/>
      <c r="Q155" s="448"/>
      <c r="R155" s="448"/>
      <c r="S155" s="448"/>
      <c r="T155" s="448"/>
      <c r="U155" s="448"/>
      <c r="V155" s="448"/>
    </row>
    <row r="156">
      <c r="A156" s="257" t="s">
        <v>1952</v>
      </c>
      <c r="B156" s="257" t="s">
        <v>598</v>
      </c>
      <c r="C156" s="257">
        <v>0.44</v>
      </c>
      <c r="D156" s="257">
        <v>1.7</v>
      </c>
      <c r="E156" s="448"/>
      <c r="F156" s="448"/>
      <c r="G156" s="448"/>
      <c r="H156" s="448"/>
      <c r="I156" s="448"/>
      <c r="J156" s="448"/>
      <c r="K156" s="448"/>
      <c r="L156" s="448"/>
      <c r="M156" s="448"/>
      <c r="N156" s="448"/>
      <c r="O156" s="448"/>
      <c r="P156" s="448"/>
      <c r="Q156" s="448"/>
      <c r="R156" s="448"/>
      <c r="S156" s="448"/>
      <c r="T156" s="448"/>
      <c r="U156" s="448"/>
      <c r="V156" s="448"/>
    </row>
    <row r="157">
      <c r="A157" s="257" t="s">
        <v>681</v>
      </c>
      <c r="B157" s="257" t="s">
        <v>598</v>
      </c>
      <c r="C157" s="257">
        <v>0.08</v>
      </c>
      <c r="D157" s="257">
        <v>0.42</v>
      </c>
      <c r="E157" s="592">
        <v>1.0E-12</v>
      </c>
      <c r="F157" s="448"/>
      <c r="G157" s="448"/>
      <c r="H157" s="448"/>
      <c r="I157" s="448"/>
      <c r="J157" s="448"/>
      <c r="K157" s="448"/>
      <c r="L157" s="448"/>
      <c r="M157" s="448"/>
      <c r="N157" s="448"/>
      <c r="O157" s="448"/>
      <c r="P157" s="448"/>
      <c r="Q157" s="448"/>
      <c r="R157" s="448"/>
      <c r="S157" s="448"/>
      <c r="T157" s="448"/>
      <c r="U157" s="448"/>
      <c r="V157" s="448"/>
    </row>
    <row r="158">
      <c r="A158" s="257" t="s">
        <v>222</v>
      </c>
      <c r="B158" s="257" t="s">
        <v>225</v>
      </c>
      <c r="C158" s="257">
        <v>0.024</v>
      </c>
      <c r="D158" s="257">
        <v>0.52</v>
      </c>
      <c r="E158" s="592">
        <v>2.3E-12</v>
      </c>
      <c r="F158" s="592">
        <v>2.02435985923931E22</v>
      </c>
      <c r="G158" s="592"/>
      <c r="H158" s="592"/>
      <c r="I158" s="592">
        <v>2.02435985923931E22</v>
      </c>
      <c r="J158" s="592">
        <v>4.56125069542887E-11</v>
      </c>
      <c r="K158" s="592"/>
      <c r="L158" s="592"/>
      <c r="M158" s="592">
        <v>4.56125069542887E-11</v>
      </c>
      <c r="N158" s="448"/>
      <c r="O158" s="448"/>
      <c r="P158" s="448"/>
      <c r="Q158" s="448"/>
      <c r="R158" s="448"/>
      <c r="S158" s="448"/>
      <c r="T158" s="448"/>
      <c r="U158" s="448"/>
      <c r="V158" s="448"/>
    </row>
    <row r="159">
      <c r="A159" s="257" t="s">
        <v>222</v>
      </c>
      <c r="B159" s="257" t="s">
        <v>225</v>
      </c>
      <c r="C159" s="257">
        <v>0.024</v>
      </c>
      <c r="D159" s="257">
        <v>0.52</v>
      </c>
      <c r="E159" s="592">
        <v>1.69999999999999E-12</v>
      </c>
      <c r="F159" s="592">
        <v>5.72489119967047E21</v>
      </c>
      <c r="G159" s="592"/>
      <c r="H159" s="592"/>
      <c r="I159" s="592">
        <v>5.72489119967047E21</v>
      </c>
      <c r="J159" s="592">
        <v>1.28992203864207E-11</v>
      </c>
      <c r="K159" s="592"/>
      <c r="L159" s="592"/>
      <c r="M159" s="592">
        <v>1.28992203864207E-11</v>
      </c>
      <c r="N159" s="448"/>
      <c r="O159" s="448"/>
      <c r="P159" s="448"/>
      <c r="Q159" s="448"/>
      <c r="R159" s="448"/>
      <c r="S159" s="448"/>
      <c r="T159" s="448"/>
      <c r="U159" s="448"/>
      <c r="V159" s="448"/>
    </row>
    <row r="160">
      <c r="A160" s="257" t="s">
        <v>222</v>
      </c>
      <c r="B160" s="257" t="s">
        <v>306</v>
      </c>
      <c r="C160" s="257">
        <v>0.035</v>
      </c>
      <c r="D160" s="257">
        <v>0.52</v>
      </c>
      <c r="E160" s="592">
        <v>1.26E-12</v>
      </c>
      <c r="F160" s="592">
        <v>4.26762279694031E21</v>
      </c>
      <c r="G160" s="592"/>
      <c r="H160" s="592"/>
      <c r="I160" s="592">
        <v>4.26762279694031E21</v>
      </c>
      <c r="J160" s="592">
        <v>6.59364330022231E-12</v>
      </c>
      <c r="K160" s="592"/>
      <c r="L160" s="592"/>
      <c r="M160" s="592">
        <v>6.59364330022231E-12</v>
      </c>
      <c r="N160" s="448"/>
      <c r="O160" s="448"/>
      <c r="P160" s="448"/>
      <c r="Q160" s="448"/>
      <c r="R160" s="448"/>
      <c r="S160" s="448"/>
      <c r="T160" s="448"/>
      <c r="U160" s="448"/>
      <c r="V160" s="448"/>
    </row>
    <row r="161">
      <c r="A161" s="257" t="s">
        <v>222</v>
      </c>
      <c r="B161" s="257" t="s">
        <v>201</v>
      </c>
      <c r="C161" s="257">
        <v>0.035</v>
      </c>
      <c r="D161" s="592"/>
      <c r="E161" s="592">
        <v>1.26E-11</v>
      </c>
      <c r="F161" s="448"/>
      <c r="G161" s="448"/>
      <c r="H161" s="448"/>
      <c r="I161" s="448"/>
      <c r="J161" s="448"/>
      <c r="K161" s="448"/>
      <c r="L161" s="448"/>
      <c r="M161" s="448"/>
      <c r="N161" s="448"/>
      <c r="O161" s="448"/>
      <c r="P161" s="448"/>
      <c r="Q161" s="448"/>
      <c r="R161" s="448"/>
      <c r="S161" s="448"/>
      <c r="T161" s="448"/>
      <c r="U161" s="448"/>
      <c r="V161" s="448"/>
    </row>
    <row r="162">
      <c r="A162" s="257" t="s">
        <v>222</v>
      </c>
      <c r="B162" s="257" t="s">
        <v>201</v>
      </c>
      <c r="C162" s="257">
        <v>0.035</v>
      </c>
      <c r="D162" s="592"/>
      <c r="E162" s="592">
        <v>7.94E-12</v>
      </c>
      <c r="F162" s="448"/>
      <c r="G162" s="448"/>
      <c r="H162" s="448"/>
      <c r="I162" s="448"/>
      <c r="J162" s="448"/>
      <c r="K162" s="448"/>
      <c r="L162" s="448"/>
      <c r="M162" s="448"/>
      <c r="N162" s="448"/>
      <c r="O162" s="448"/>
      <c r="P162" s="448"/>
      <c r="Q162" s="448"/>
      <c r="R162" s="448"/>
      <c r="S162" s="448"/>
      <c r="T162" s="448"/>
      <c r="U162" s="448"/>
      <c r="V162" s="448"/>
    </row>
    <row r="163">
      <c r="A163" s="257" t="s">
        <v>482</v>
      </c>
      <c r="B163" s="257" t="s">
        <v>476</v>
      </c>
      <c r="C163" s="257">
        <v>0.0458019999999999</v>
      </c>
      <c r="D163" s="257">
        <v>0.26</v>
      </c>
      <c r="E163" s="592">
        <v>6.30999999999999E-12</v>
      </c>
      <c r="F163" s="592">
        <v>5.19919201975422E21</v>
      </c>
      <c r="G163" s="592">
        <v>1.50168414071913E22</v>
      </c>
      <c r="H163" s="592">
        <v>2.09186966246475E22</v>
      </c>
      <c r="I163" s="592">
        <v>1.37115766838643E22</v>
      </c>
      <c r="J163" s="592">
        <v>3.06922612643218E-12</v>
      </c>
      <c r="K163" s="592">
        <v>8.86485473287426E-12</v>
      </c>
      <c r="L163" s="592">
        <v>1.23488822815804E-11</v>
      </c>
      <c r="M163" s="592">
        <v>8.09432104696228E-12</v>
      </c>
      <c r="N163" s="448"/>
      <c r="O163" s="448"/>
      <c r="P163" s="448"/>
      <c r="Q163" s="448"/>
      <c r="R163" s="448"/>
      <c r="S163" s="448"/>
      <c r="T163" s="448"/>
      <c r="U163" s="448"/>
      <c r="V163" s="448"/>
    </row>
    <row r="164">
      <c r="A164" s="257" t="s">
        <v>497</v>
      </c>
      <c r="B164" s="257" t="s">
        <v>476</v>
      </c>
      <c r="C164" s="257">
        <v>0.12</v>
      </c>
      <c r="D164" s="257">
        <v>0.44</v>
      </c>
      <c r="E164" s="592">
        <v>1.26E-11</v>
      </c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</row>
    <row r="165">
      <c r="A165" s="257" t="s">
        <v>503</v>
      </c>
      <c r="B165" s="257" t="s">
        <v>476</v>
      </c>
      <c r="C165" s="257">
        <v>0.14</v>
      </c>
      <c r="D165" s="257">
        <v>0.85</v>
      </c>
      <c r="E165" s="592">
        <v>3.89E-9</v>
      </c>
      <c r="F165" s="592">
        <v>3.55117932104212E24</v>
      </c>
      <c r="G165" s="592">
        <v>4.3806358610933E24</v>
      </c>
      <c r="H165" s="592">
        <v>5.75880978094682E24</v>
      </c>
      <c r="I165" s="592">
        <v>4.56354165436075E24</v>
      </c>
      <c r="J165" s="592">
        <v>2.2421652459127E-9</v>
      </c>
      <c r="K165" s="592">
        <v>2.76587257211778E-9</v>
      </c>
      <c r="L165" s="592">
        <v>3.6360324222861E-9</v>
      </c>
      <c r="M165" s="592">
        <v>2.88135674677219E-9</v>
      </c>
      <c r="N165" s="448"/>
      <c r="O165" s="448"/>
      <c r="P165" s="448"/>
      <c r="Q165" s="448"/>
      <c r="R165" s="448"/>
      <c r="S165" s="448"/>
      <c r="T165" s="448"/>
      <c r="U165" s="448"/>
      <c r="V165" s="448"/>
    </row>
    <row r="166">
      <c r="A166" s="257" t="s">
        <v>343</v>
      </c>
      <c r="B166" s="257" t="s">
        <v>306</v>
      </c>
      <c r="C166" s="257">
        <v>0.039758</v>
      </c>
      <c r="D166" s="257">
        <v>0.98</v>
      </c>
      <c r="E166" s="592">
        <v>3.98E-12</v>
      </c>
      <c r="F166" s="592">
        <v>1.33953880427971E22</v>
      </c>
      <c r="G166" s="592"/>
      <c r="H166" s="592"/>
      <c r="I166" s="592">
        <v>1.33953880427971E22</v>
      </c>
      <c r="J166" s="592">
        <v>3.43368909148869E-11</v>
      </c>
      <c r="K166" s="592"/>
      <c r="L166" s="592"/>
      <c r="M166" s="592">
        <v>3.43368909148869E-11</v>
      </c>
      <c r="N166" s="448"/>
      <c r="O166" s="448"/>
      <c r="P166" s="448"/>
      <c r="Q166" s="448"/>
      <c r="R166" s="448"/>
      <c r="S166" s="448"/>
      <c r="T166" s="448"/>
      <c r="U166" s="448"/>
      <c r="V166" s="448"/>
    </row>
    <row r="167">
      <c r="A167" s="257" t="s">
        <v>572</v>
      </c>
      <c r="B167" s="257" t="s">
        <v>476</v>
      </c>
      <c r="C167" s="257">
        <v>0.56</v>
      </c>
      <c r="D167" s="257">
        <v>2.49</v>
      </c>
      <c r="E167" s="592">
        <v>3.63E-8</v>
      </c>
      <c r="F167" s="592">
        <v>1.04239276235903E25</v>
      </c>
      <c r="G167" s="592">
        <v>7.40711530534005E24</v>
      </c>
      <c r="H167" s="592">
        <v>1.37476394787088E25</v>
      </c>
      <c r="I167" s="592">
        <v>1.05262274692131E25</v>
      </c>
      <c r="J167" s="592">
        <v>4.81999769862167E-9</v>
      </c>
      <c r="K167" s="592">
        <v>3.42503133313844E-9</v>
      </c>
      <c r="L167" s="592">
        <v>6.35687363167182E-9</v>
      </c>
      <c r="M167" s="592">
        <v>4.86730088781064E-9</v>
      </c>
      <c r="N167" s="448"/>
      <c r="O167" s="448"/>
      <c r="P167" s="448"/>
      <c r="Q167" s="448"/>
      <c r="R167" s="448"/>
      <c r="S167" s="448"/>
      <c r="T167" s="448"/>
      <c r="U167" s="448"/>
      <c r="V167" s="448"/>
    </row>
    <row r="168">
      <c r="A168" s="257" t="s">
        <v>330</v>
      </c>
      <c r="B168" s="257" t="s">
        <v>306</v>
      </c>
      <c r="C168" s="257">
        <v>0.0236889999999999</v>
      </c>
      <c r="D168" s="257">
        <v>0.17</v>
      </c>
      <c r="E168" s="592">
        <v>5.01E-13</v>
      </c>
      <c r="F168" s="592">
        <v>6.29431295586384E21</v>
      </c>
      <c r="G168" s="592"/>
      <c r="H168" s="592"/>
      <c r="I168" s="592">
        <v>6.29431295586384E21</v>
      </c>
      <c r="J168" s="592">
        <v>4.69736869722692E-12</v>
      </c>
      <c r="K168" s="592"/>
      <c r="L168" s="592"/>
      <c r="M168" s="592">
        <v>4.69736869722692E-12</v>
      </c>
      <c r="N168" s="448"/>
      <c r="O168" s="448"/>
      <c r="P168" s="448"/>
      <c r="Q168" s="448"/>
      <c r="R168" s="448"/>
      <c r="S168" s="448"/>
      <c r="T168" s="448"/>
      <c r="U168" s="448"/>
      <c r="V168" s="448"/>
    </row>
    <row r="169">
      <c r="A169" s="257" t="s">
        <v>324</v>
      </c>
      <c r="B169" s="257" t="s">
        <v>306</v>
      </c>
      <c r="C169" s="257">
        <v>0.025279</v>
      </c>
      <c r="D169" s="257">
        <v>0.22</v>
      </c>
      <c r="E169" s="592">
        <v>5.00999999999999E-12</v>
      </c>
      <c r="F169" s="592">
        <v>7.01533354819475E19</v>
      </c>
      <c r="G169" s="592"/>
      <c r="H169" s="592"/>
      <c r="I169" s="592">
        <v>7.01533354819475E19</v>
      </c>
      <c r="J169" s="592">
        <v>6.34914490630923E-14</v>
      </c>
      <c r="K169" s="592"/>
      <c r="L169" s="592"/>
      <c r="M169" s="592">
        <v>6.34914490630923E-14</v>
      </c>
      <c r="N169" s="448"/>
      <c r="O169" s="448"/>
      <c r="P169" s="448"/>
      <c r="Q169" s="448"/>
      <c r="R169" s="448"/>
      <c r="S169" s="448"/>
      <c r="T169" s="448"/>
      <c r="U169" s="448"/>
      <c r="V169" s="448"/>
    </row>
    <row r="170">
      <c r="A170" s="257" t="s">
        <v>495</v>
      </c>
      <c r="B170" s="257" t="s">
        <v>476</v>
      </c>
      <c r="C170" s="257">
        <v>0.11</v>
      </c>
      <c r="D170" s="257">
        <v>0.52</v>
      </c>
      <c r="E170" s="592">
        <v>6.31E-11</v>
      </c>
      <c r="F170" s="448"/>
      <c r="G170" s="448"/>
      <c r="H170" s="448"/>
      <c r="I170" s="448"/>
      <c r="J170" s="448"/>
      <c r="K170" s="448"/>
      <c r="L170" s="448"/>
      <c r="M170" s="448"/>
      <c r="N170" s="448"/>
      <c r="O170" s="448"/>
      <c r="P170" s="448"/>
      <c r="Q170" s="448"/>
      <c r="R170" s="448"/>
      <c r="S170" s="448"/>
      <c r="T170" s="448"/>
      <c r="U170" s="448"/>
      <c r="V170" s="448"/>
    </row>
    <row r="171">
      <c r="A171" s="257" t="s">
        <v>494</v>
      </c>
      <c r="B171" s="257" t="s">
        <v>476</v>
      </c>
      <c r="C171" s="257">
        <v>0.1</v>
      </c>
      <c r="D171" s="257">
        <v>0.33</v>
      </c>
      <c r="E171" s="592">
        <v>5.01E-11</v>
      </c>
      <c r="F171" s="592">
        <v>3.84610735144611E22</v>
      </c>
      <c r="G171" s="592">
        <v>1.90325730216777E22</v>
      </c>
      <c r="H171" s="592">
        <v>3.45602724352457E22</v>
      </c>
      <c r="I171" s="592">
        <v>3.06846396571282E22</v>
      </c>
      <c r="J171" s="592">
        <v>1.31989524824512E-11</v>
      </c>
      <c r="K171" s="592">
        <v>6.53153965755672E-12</v>
      </c>
      <c r="L171" s="592">
        <v>1.18602876095453E-11</v>
      </c>
      <c r="M171" s="592">
        <v>1.05302599165177E-11</v>
      </c>
      <c r="N171" s="448"/>
      <c r="O171" s="448"/>
      <c r="P171" s="448"/>
      <c r="Q171" s="448"/>
      <c r="R171" s="448"/>
      <c r="S171" s="448"/>
      <c r="T171" s="448"/>
      <c r="U171" s="448"/>
      <c r="V171" s="448"/>
    </row>
    <row r="172">
      <c r="A172" s="257" t="s">
        <v>480</v>
      </c>
      <c r="B172" s="257" t="s">
        <v>476</v>
      </c>
      <c r="C172" s="257">
        <v>0.0318009999999999</v>
      </c>
      <c r="D172" s="257">
        <v>0.22</v>
      </c>
      <c r="E172" s="592">
        <v>2.50999999999999E-12</v>
      </c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</row>
    <row r="173">
      <c r="A173" s="257" t="s">
        <v>551</v>
      </c>
      <c r="B173" s="257" t="s">
        <v>476</v>
      </c>
      <c r="C173" s="257">
        <v>0.32</v>
      </c>
      <c r="D173" s="257">
        <v>1.57</v>
      </c>
      <c r="E173" s="592">
        <v>1.58E-10</v>
      </c>
      <c r="F173" s="592">
        <v>2.43580885532717E23</v>
      </c>
      <c r="G173" s="592">
        <v>9.3246130661608E23</v>
      </c>
      <c r="H173" s="592">
        <v>7.09541941307747E23</v>
      </c>
      <c r="I173" s="592">
        <v>6.28528044485515E23</v>
      </c>
      <c r="J173" s="592">
        <v>1.24278786098995E-10</v>
      </c>
      <c r="K173" s="592">
        <v>4.75756375616608E-10</v>
      </c>
      <c r="L173" s="592">
        <v>3.62019421019828E-10</v>
      </c>
      <c r="M173" s="592">
        <v>3.2068486091181E-10</v>
      </c>
      <c r="N173" s="448"/>
      <c r="O173" s="448"/>
      <c r="P173" s="448"/>
      <c r="Q173" s="448"/>
      <c r="R173" s="448"/>
      <c r="S173" s="448"/>
      <c r="T173" s="448"/>
      <c r="U173" s="448"/>
      <c r="V173" s="448"/>
    </row>
    <row r="174">
      <c r="A174" s="257" t="s">
        <v>493</v>
      </c>
      <c r="B174" s="257" t="s">
        <v>476</v>
      </c>
      <c r="C174" s="257">
        <v>0.1</v>
      </c>
      <c r="D174" s="257">
        <v>0.29</v>
      </c>
      <c r="E174" s="592">
        <v>2.51E-11</v>
      </c>
      <c r="F174" s="592">
        <v>1.55659566630151E22</v>
      </c>
      <c r="G174" s="592">
        <v>5.68355811856321E22</v>
      </c>
      <c r="H174" s="592">
        <v>3.13876782892866E22</v>
      </c>
      <c r="I174" s="592">
        <v>3.45964053793113E22</v>
      </c>
      <c r="J174" s="592">
        <v>4.69437671957421E-12</v>
      </c>
      <c r="K174" s="592">
        <v>1.71404581766078E-11</v>
      </c>
      <c r="L174" s="592">
        <v>9.4658869629778E-12</v>
      </c>
      <c r="M174" s="592">
        <v>1.04335739530533E-11</v>
      </c>
      <c r="N174" s="448"/>
      <c r="O174" s="448"/>
      <c r="P174" s="448"/>
      <c r="Q174" s="448"/>
      <c r="R174" s="448"/>
      <c r="S174" s="448"/>
      <c r="T174" s="448"/>
      <c r="U174" s="448"/>
      <c r="V174" s="448"/>
    </row>
    <row r="175">
      <c r="A175" s="257" t="s">
        <v>488</v>
      </c>
      <c r="B175" s="257" t="s">
        <v>476</v>
      </c>
      <c r="C175" s="257">
        <v>0.1</v>
      </c>
      <c r="D175" s="257">
        <v>1.07</v>
      </c>
      <c r="E175" s="592">
        <v>3.16E-11</v>
      </c>
      <c r="F175" s="592">
        <v>3.7739527215262E22</v>
      </c>
      <c r="G175" s="592">
        <v>6.10472428233839E22</v>
      </c>
      <c r="H175" s="592">
        <v>3.12325460960189E22</v>
      </c>
      <c r="I175" s="592">
        <v>4.33397720448882E22</v>
      </c>
      <c r="J175" s="592">
        <v>4.19937207951721E-11</v>
      </c>
      <c r="K175" s="592">
        <v>6.7928801964523E-11</v>
      </c>
      <c r="L175" s="592">
        <v>3.47532393025887E-11</v>
      </c>
      <c r="M175" s="592">
        <v>4.82252540207613E-11</v>
      </c>
      <c r="N175" s="448"/>
      <c r="O175" s="448"/>
      <c r="P175" s="448"/>
      <c r="Q175" s="448"/>
      <c r="R175" s="448"/>
      <c r="S175" s="448"/>
      <c r="T175" s="448"/>
      <c r="U175" s="448"/>
      <c r="V175" s="448"/>
    </row>
    <row r="176">
      <c r="A176" s="257" t="s">
        <v>475</v>
      </c>
      <c r="B176" s="257" t="s">
        <v>476</v>
      </c>
      <c r="C176" s="257">
        <v>0.023677</v>
      </c>
      <c r="D176" s="257">
        <v>0.29</v>
      </c>
      <c r="E176" s="448"/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48"/>
      <c r="R176" s="448"/>
      <c r="S176" s="448"/>
      <c r="T176" s="448"/>
      <c r="U176" s="448"/>
      <c r="V176" s="448"/>
    </row>
    <row r="177">
      <c r="A177" s="257" t="s">
        <v>538</v>
      </c>
      <c r="B177" s="257" t="s">
        <v>476</v>
      </c>
      <c r="C177" s="257">
        <v>0.24</v>
      </c>
      <c r="D177" s="257">
        <v>1.25</v>
      </c>
      <c r="E177" s="592">
        <v>2.08999999999999E-10</v>
      </c>
      <c r="F177" s="448"/>
      <c r="G177" s="448"/>
      <c r="H177" s="448"/>
      <c r="I177" s="448"/>
      <c r="J177" s="448"/>
      <c r="K177" s="448"/>
      <c r="L177" s="448"/>
      <c r="M177" s="448"/>
      <c r="N177" s="448"/>
      <c r="O177" s="448"/>
      <c r="P177" s="448"/>
      <c r="Q177" s="448"/>
      <c r="R177" s="448"/>
      <c r="S177" s="448"/>
      <c r="T177" s="448"/>
      <c r="U177" s="448"/>
      <c r="V177" s="448"/>
    </row>
    <row r="178">
      <c r="A178" s="257" t="s">
        <v>484</v>
      </c>
      <c r="B178" s="257" t="s">
        <v>476</v>
      </c>
      <c r="C178" s="257">
        <v>0.1</v>
      </c>
      <c r="D178" s="257">
        <v>0.58</v>
      </c>
      <c r="E178" s="592">
        <v>2.0E-11</v>
      </c>
      <c r="F178" s="448"/>
      <c r="G178" s="448"/>
      <c r="H178" s="448"/>
      <c r="I178" s="448"/>
      <c r="J178" s="448"/>
      <c r="K178" s="448"/>
      <c r="L178" s="448"/>
      <c r="M178" s="448"/>
      <c r="N178" s="448"/>
      <c r="O178" s="448"/>
      <c r="P178" s="448"/>
      <c r="Q178" s="448"/>
      <c r="R178" s="448"/>
      <c r="S178" s="448"/>
      <c r="T178" s="448"/>
      <c r="U178" s="448"/>
      <c r="V178" s="448"/>
    </row>
    <row r="179">
      <c r="A179" s="257" t="s">
        <v>505</v>
      </c>
      <c r="B179" s="257" t="s">
        <v>476</v>
      </c>
      <c r="C179" s="257">
        <v>0.14</v>
      </c>
      <c r="D179" s="257">
        <v>1.77</v>
      </c>
      <c r="E179" s="592">
        <v>2.04E-10</v>
      </c>
      <c r="F179" s="592">
        <v>1.35614912385488E23</v>
      </c>
      <c r="G179" s="592">
        <v>8.06561361074342E22</v>
      </c>
      <c r="H179" s="592">
        <v>1.95204686233577E23</v>
      </c>
      <c r="I179" s="592">
        <v>1.37158578242166E23</v>
      </c>
      <c r="J179" s="592">
        <v>1.78302241104361E-10</v>
      </c>
      <c r="K179" s="592">
        <v>1.06044162650012E-10</v>
      </c>
      <c r="L179" s="592">
        <v>2.56649010181012E-10</v>
      </c>
      <c r="M179" s="592">
        <v>1.80331804645128E-10</v>
      </c>
      <c r="N179" s="448"/>
      <c r="O179" s="448"/>
      <c r="P179" s="448"/>
      <c r="Q179" s="448"/>
      <c r="R179" s="448"/>
      <c r="S179" s="448"/>
      <c r="T179" s="448"/>
      <c r="U179" s="448"/>
      <c r="V179" s="448"/>
    </row>
    <row r="180">
      <c r="A180" s="257" t="s">
        <v>506</v>
      </c>
      <c r="B180" s="257" t="s">
        <v>476</v>
      </c>
      <c r="C180" s="257">
        <v>0.15</v>
      </c>
      <c r="D180" s="257">
        <v>0.85</v>
      </c>
      <c r="E180" s="592">
        <v>6.31E-11</v>
      </c>
      <c r="F180" s="448"/>
      <c r="G180" s="448"/>
      <c r="H180" s="448"/>
      <c r="I180" s="448"/>
      <c r="J180" s="448"/>
      <c r="K180" s="448"/>
      <c r="L180" s="448"/>
      <c r="M180" s="448"/>
      <c r="N180" s="448"/>
      <c r="O180" s="448"/>
      <c r="P180" s="448"/>
      <c r="Q180" s="448"/>
      <c r="R180" s="448"/>
      <c r="S180" s="448"/>
      <c r="T180" s="448"/>
      <c r="U180" s="448"/>
      <c r="V180" s="448"/>
    </row>
    <row r="181">
      <c r="A181" s="257" t="s">
        <v>1435</v>
      </c>
      <c r="B181" s="257" t="s">
        <v>160</v>
      </c>
      <c r="C181" s="257">
        <v>0.5495409</v>
      </c>
      <c r="D181" s="257">
        <v>2.81</v>
      </c>
      <c r="E181" s="592">
        <v>2.18999999999999E-9</v>
      </c>
      <c r="F181" s="592"/>
      <c r="G181" s="592">
        <v>6.06534929772517E24</v>
      </c>
      <c r="H181" s="592"/>
      <c r="I181" s="592">
        <v>6.06534929772517E24</v>
      </c>
      <c r="J181" s="592"/>
      <c r="K181" s="592">
        <v>3.22527120529765E-9</v>
      </c>
      <c r="L181" s="592"/>
      <c r="M181" s="592">
        <v>3.22527120529765E-9</v>
      </c>
      <c r="N181" s="448"/>
      <c r="O181" s="448"/>
      <c r="P181" s="448"/>
      <c r="Q181" s="448"/>
      <c r="R181" s="448"/>
      <c r="S181" s="448"/>
      <c r="T181" s="448"/>
      <c r="U181" s="448"/>
      <c r="V181" s="448"/>
    </row>
    <row r="182">
      <c r="A182" s="257" t="s">
        <v>1403</v>
      </c>
      <c r="B182" s="257" t="s">
        <v>160</v>
      </c>
      <c r="C182" s="257">
        <v>0.3630781</v>
      </c>
      <c r="D182" s="257">
        <v>2.37</v>
      </c>
      <c r="E182" s="592">
        <v>1.2E-8</v>
      </c>
      <c r="F182" s="592"/>
      <c r="G182" s="592">
        <v>1.32829679058097E25</v>
      </c>
      <c r="H182" s="592"/>
      <c r="I182" s="592">
        <v>1.32829679058097E25</v>
      </c>
      <c r="J182" s="592"/>
      <c r="K182" s="592">
        <v>9.01669830752134E-9</v>
      </c>
      <c r="L182" s="592"/>
      <c r="M182" s="592">
        <v>9.01669830752134E-9</v>
      </c>
      <c r="N182" s="448"/>
      <c r="O182" s="448"/>
      <c r="P182" s="448"/>
      <c r="Q182" s="448"/>
      <c r="R182" s="448"/>
      <c r="S182" s="448"/>
      <c r="T182" s="448"/>
      <c r="U182" s="448"/>
      <c r="V182" s="448"/>
    </row>
    <row r="183">
      <c r="A183" s="257" t="s">
        <v>1432</v>
      </c>
      <c r="B183" s="257" t="s">
        <v>160</v>
      </c>
      <c r="C183" s="257">
        <v>0.5495409</v>
      </c>
      <c r="D183" s="592"/>
      <c r="E183" s="592">
        <v>1.38E-9</v>
      </c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</row>
    <row r="184">
      <c r="A184" s="257" t="s">
        <v>1428</v>
      </c>
      <c r="B184" s="257" t="s">
        <v>160</v>
      </c>
      <c r="C184" s="257">
        <v>0.5248075</v>
      </c>
      <c r="D184" s="257">
        <v>1.79</v>
      </c>
      <c r="E184" s="592">
        <v>1.82E-7</v>
      </c>
      <c r="F184" s="592"/>
      <c r="G184" s="592">
        <v>1.71372263177109E26</v>
      </c>
      <c r="H184" s="592"/>
      <c r="I184" s="592">
        <v>1.71372263177109E26</v>
      </c>
      <c r="J184" s="592"/>
      <c r="K184" s="592">
        <v>6.07851725337407E-8</v>
      </c>
      <c r="L184" s="592"/>
      <c r="M184" s="592">
        <v>6.07851725337407E-8</v>
      </c>
      <c r="N184" s="448"/>
      <c r="O184" s="448"/>
      <c r="P184" s="448"/>
      <c r="Q184" s="448"/>
      <c r="R184" s="448"/>
      <c r="S184" s="448"/>
      <c r="T184" s="448"/>
      <c r="U184" s="448"/>
      <c r="V184" s="448"/>
    </row>
    <row r="185">
      <c r="A185" s="257" t="s">
        <v>1336</v>
      </c>
      <c r="B185" s="257" t="s">
        <v>160</v>
      </c>
      <c r="C185" s="257">
        <v>0.0933253999999999</v>
      </c>
      <c r="D185" s="257">
        <v>1.23</v>
      </c>
      <c r="E185" s="592">
        <v>5.75E-11</v>
      </c>
      <c r="F185" s="592"/>
      <c r="G185" s="592">
        <v>9.92255934844842E22</v>
      </c>
      <c r="H185" s="592"/>
      <c r="I185" s="592">
        <v>9.92255934844842E22</v>
      </c>
      <c r="J185" s="592"/>
      <c r="K185" s="592">
        <v>1.35998174879958E-10</v>
      </c>
      <c r="L185" s="592"/>
      <c r="M185" s="592">
        <v>1.35998174879958E-10</v>
      </c>
      <c r="N185" s="448"/>
      <c r="O185" s="448"/>
      <c r="P185" s="448"/>
      <c r="Q185" s="448"/>
      <c r="R185" s="448"/>
      <c r="S185" s="448"/>
      <c r="T185" s="448"/>
      <c r="U185" s="448"/>
      <c r="V185" s="448"/>
    </row>
    <row r="186">
      <c r="A186" s="257" t="s">
        <v>1396</v>
      </c>
      <c r="B186" s="257" t="s">
        <v>160</v>
      </c>
      <c r="C186" s="257">
        <v>0.3235937</v>
      </c>
      <c r="D186" s="592"/>
      <c r="E186" s="592">
        <v>1.2E-9</v>
      </c>
      <c r="F186" s="448"/>
      <c r="G186" s="448"/>
      <c r="H186" s="448"/>
      <c r="I186" s="448"/>
      <c r="J186" s="448"/>
      <c r="K186" s="448"/>
      <c r="L186" s="448"/>
      <c r="M186" s="448"/>
      <c r="N186" s="448"/>
      <c r="O186" s="448"/>
      <c r="P186" s="448"/>
      <c r="Q186" s="448"/>
      <c r="R186" s="448"/>
      <c r="S186" s="448"/>
      <c r="T186" s="448"/>
      <c r="U186" s="448"/>
      <c r="V186" s="448"/>
    </row>
    <row r="187">
      <c r="A187" s="257" t="s">
        <v>1339</v>
      </c>
      <c r="B187" s="257" t="s">
        <v>160</v>
      </c>
      <c r="C187" s="257">
        <v>0.0954993</v>
      </c>
      <c r="D187" s="257">
        <v>1.26</v>
      </c>
      <c r="E187" s="592">
        <v>2.82E-11</v>
      </c>
      <c r="F187" s="592"/>
      <c r="G187" s="592">
        <v>6.67091965128154E22</v>
      </c>
      <c r="H187" s="592"/>
      <c r="I187" s="592">
        <v>6.67091965128154E22</v>
      </c>
      <c r="J187" s="592"/>
      <c r="K187" s="592">
        <v>9.15293103624237E-11</v>
      </c>
      <c r="L187" s="592"/>
      <c r="M187" s="592">
        <v>9.15293103624237E-11</v>
      </c>
      <c r="N187" s="448"/>
      <c r="O187" s="448"/>
      <c r="P187" s="448"/>
      <c r="Q187" s="448"/>
      <c r="R187" s="448"/>
      <c r="S187" s="448"/>
      <c r="T187" s="448"/>
      <c r="U187" s="448"/>
      <c r="V187" s="448"/>
    </row>
    <row r="188">
      <c r="A188" s="257" t="s">
        <v>1380</v>
      </c>
      <c r="B188" s="257" t="s">
        <v>160</v>
      </c>
      <c r="C188" s="257">
        <v>0.2398833</v>
      </c>
      <c r="D188" s="257">
        <v>2.06</v>
      </c>
      <c r="E188" s="592">
        <v>2.95E-9</v>
      </c>
      <c r="F188" s="592"/>
      <c r="G188" s="592">
        <v>3.31109952658679E24</v>
      </c>
      <c r="H188" s="592"/>
      <c r="I188" s="592">
        <v>3.31109952658679E24</v>
      </c>
      <c r="J188" s="592"/>
      <c r="K188" s="592">
        <v>2.95694716371269E-9</v>
      </c>
      <c r="L188" s="592"/>
      <c r="M188" s="592">
        <v>2.95694716371269E-9</v>
      </c>
      <c r="N188" s="448"/>
      <c r="O188" s="448"/>
      <c r="P188" s="448"/>
      <c r="Q188" s="448"/>
      <c r="R188" s="448"/>
      <c r="S188" s="448"/>
      <c r="T188" s="448"/>
      <c r="U188" s="448"/>
      <c r="V188" s="448"/>
    </row>
    <row r="189">
      <c r="A189" s="257" t="s">
        <v>1413</v>
      </c>
      <c r="B189" s="257" t="s">
        <v>160</v>
      </c>
      <c r="C189" s="257">
        <v>0.3981072</v>
      </c>
      <c r="D189" s="592"/>
      <c r="E189" s="592">
        <v>8.51E-10</v>
      </c>
      <c r="F189" s="448"/>
      <c r="G189" s="448"/>
      <c r="H189" s="448"/>
      <c r="I189" s="448"/>
      <c r="J189" s="448"/>
      <c r="K189" s="448"/>
      <c r="L189" s="448"/>
      <c r="M189" s="448"/>
      <c r="N189" s="448"/>
      <c r="O189" s="448"/>
      <c r="P189" s="448"/>
      <c r="Q189" s="448"/>
      <c r="R189" s="448"/>
      <c r="S189" s="448"/>
      <c r="T189" s="448"/>
      <c r="U189" s="448"/>
      <c r="V189" s="448"/>
    </row>
    <row r="190">
      <c r="A190" s="257" t="s">
        <v>1960</v>
      </c>
      <c r="B190" s="257" t="s">
        <v>160</v>
      </c>
      <c r="C190" s="257">
        <v>1.0</v>
      </c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</row>
    <row r="191">
      <c r="A191" s="257" t="s">
        <v>1448</v>
      </c>
      <c r="B191" s="257" t="s">
        <v>160</v>
      </c>
      <c r="C191" s="257">
        <v>0.6456542</v>
      </c>
      <c r="D191" s="257">
        <v>2.94</v>
      </c>
      <c r="E191" s="592">
        <v>3.31E-9</v>
      </c>
      <c r="F191" s="592"/>
      <c r="G191" s="592">
        <v>5.54163152231386E24</v>
      </c>
      <c r="H191" s="592"/>
      <c r="I191" s="592">
        <v>5.54163152231386E24</v>
      </c>
      <c r="J191" s="592"/>
      <c r="K191" s="592">
        <v>2.62415279272571E-9</v>
      </c>
      <c r="L191" s="592"/>
      <c r="M191" s="592">
        <v>2.62415279272571E-9</v>
      </c>
      <c r="N191" s="448"/>
      <c r="O191" s="448"/>
      <c r="P191" s="448"/>
      <c r="Q191" s="448"/>
      <c r="R191" s="448"/>
      <c r="S191" s="448"/>
      <c r="T191" s="448"/>
      <c r="U191" s="448"/>
      <c r="V191" s="448"/>
    </row>
    <row r="192">
      <c r="A192" s="257" t="s">
        <v>1411</v>
      </c>
      <c r="B192" s="257" t="s">
        <v>160</v>
      </c>
      <c r="C192" s="257">
        <v>0.3981072</v>
      </c>
      <c r="D192" s="592"/>
      <c r="E192" s="592">
        <v>8.71E-10</v>
      </c>
      <c r="F192" s="448"/>
      <c r="G192" s="448"/>
      <c r="H192" s="448"/>
      <c r="I192" s="448"/>
      <c r="J192" s="448"/>
      <c r="K192" s="448"/>
      <c r="L192" s="448"/>
      <c r="M192" s="448"/>
      <c r="N192" s="448"/>
      <c r="O192" s="448"/>
      <c r="P192" s="448"/>
      <c r="Q192" s="448"/>
      <c r="R192" s="448"/>
      <c r="S192" s="448"/>
      <c r="T192" s="448"/>
      <c r="U192" s="448"/>
      <c r="V192" s="448"/>
    </row>
    <row r="193">
      <c r="A193" s="257" t="s">
        <v>1466</v>
      </c>
      <c r="B193" s="257" t="s">
        <v>160</v>
      </c>
      <c r="C193" s="257">
        <v>0.8709636</v>
      </c>
      <c r="D193" s="257">
        <v>3.26</v>
      </c>
      <c r="E193" s="592">
        <v>5.88999999999999E-9</v>
      </c>
      <c r="F193" s="592"/>
      <c r="G193" s="592">
        <v>1.45753626235659E25</v>
      </c>
      <c r="H193" s="592"/>
      <c r="I193" s="592">
        <v>1.45753626235659E25</v>
      </c>
      <c r="J193" s="592"/>
      <c r="K193" s="592">
        <v>5.67336972803388E-9</v>
      </c>
      <c r="L193" s="592"/>
      <c r="M193" s="592">
        <v>5.67336972803388E-9</v>
      </c>
      <c r="N193" s="448"/>
      <c r="O193" s="448"/>
      <c r="P193" s="448"/>
      <c r="Q193" s="448"/>
      <c r="R193" s="448"/>
      <c r="S193" s="448"/>
      <c r="T193" s="448"/>
      <c r="U193" s="448"/>
      <c r="V193" s="448"/>
    </row>
    <row r="194">
      <c r="A194" s="257" t="s">
        <v>1421</v>
      </c>
      <c r="B194" s="257" t="s">
        <v>160</v>
      </c>
      <c r="C194" s="257">
        <v>0.467735099999999</v>
      </c>
      <c r="D194" s="257">
        <v>2.59</v>
      </c>
      <c r="E194" s="592">
        <v>3.47E-9</v>
      </c>
      <c r="F194" s="592"/>
      <c r="G194" s="592">
        <v>7.53543894444867E24</v>
      </c>
      <c r="H194" s="592"/>
      <c r="I194" s="592">
        <v>7.53543894444867E24</v>
      </c>
      <c r="J194" s="592"/>
      <c r="K194" s="592">
        <v>4.33922810994612E-9</v>
      </c>
      <c r="L194" s="592"/>
      <c r="M194" s="592">
        <v>4.33922810994612E-9</v>
      </c>
      <c r="N194" s="448"/>
      <c r="O194" s="448"/>
      <c r="P194" s="448"/>
      <c r="Q194" s="448"/>
      <c r="R194" s="448"/>
      <c r="S194" s="448"/>
      <c r="T194" s="448"/>
      <c r="U194" s="448"/>
      <c r="V194" s="448"/>
    </row>
    <row r="195">
      <c r="A195" s="257" t="s">
        <v>1430</v>
      </c>
      <c r="B195" s="257" t="s">
        <v>160</v>
      </c>
      <c r="C195" s="257">
        <v>0.5248075</v>
      </c>
      <c r="D195" s="257">
        <v>2.72</v>
      </c>
      <c r="E195" s="592">
        <v>6.46E-8</v>
      </c>
      <c r="F195" s="592"/>
      <c r="G195" s="592">
        <v>6.54081713212956E25</v>
      </c>
      <c r="H195" s="592"/>
      <c r="I195" s="592">
        <v>6.54081713212956E25</v>
      </c>
      <c r="J195" s="592"/>
      <c r="K195" s="592">
        <v>3.52537241502442E-8</v>
      </c>
      <c r="L195" s="592"/>
      <c r="M195" s="592">
        <v>3.52537241502442E-8</v>
      </c>
      <c r="N195" s="448"/>
      <c r="O195" s="448"/>
      <c r="P195" s="448"/>
      <c r="Q195" s="448"/>
      <c r="R195" s="448"/>
      <c r="S195" s="448"/>
      <c r="T195" s="448"/>
      <c r="U195" s="448"/>
      <c r="V195" s="448"/>
    </row>
    <row r="196">
      <c r="A196" s="257" t="s">
        <v>1382</v>
      </c>
      <c r="B196" s="257" t="s">
        <v>160</v>
      </c>
      <c r="C196" s="257">
        <v>0.2570396</v>
      </c>
      <c r="D196" s="257">
        <v>2.08</v>
      </c>
      <c r="E196" s="592">
        <v>3.89E-9</v>
      </c>
      <c r="F196" s="592"/>
      <c r="G196" s="592">
        <v>2.91042683485222E22</v>
      </c>
      <c r="H196" s="592"/>
      <c r="I196" s="592">
        <v>2.91042683485222E22</v>
      </c>
      <c r="J196" s="592"/>
      <c r="K196" s="592">
        <v>2.44919919380466E-11</v>
      </c>
      <c r="L196" s="592"/>
      <c r="M196" s="592">
        <v>2.44919919380466E-11</v>
      </c>
      <c r="N196" s="448"/>
      <c r="O196" s="448"/>
      <c r="P196" s="448"/>
      <c r="Q196" s="448"/>
      <c r="R196" s="448"/>
      <c r="S196" s="448"/>
      <c r="T196" s="448"/>
      <c r="U196" s="448"/>
      <c r="V196" s="448"/>
    </row>
    <row r="197">
      <c r="A197" s="257" t="s">
        <v>1460</v>
      </c>
      <c r="B197" s="257" t="s">
        <v>160</v>
      </c>
      <c r="C197" s="257">
        <v>0.724436</v>
      </c>
      <c r="D197" s="592"/>
      <c r="E197" s="592">
        <v>2.63E-9</v>
      </c>
      <c r="F197" s="448"/>
      <c r="G197" s="448"/>
      <c r="H197" s="448"/>
      <c r="I197" s="448"/>
      <c r="J197" s="448"/>
      <c r="K197" s="448"/>
      <c r="L197" s="448"/>
      <c r="M197" s="448"/>
      <c r="N197" s="448"/>
      <c r="O197" s="448"/>
      <c r="P197" s="448"/>
      <c r="Q197" s="448"/>
      <c r="R197" s="448"/>
      <c r="S197" s="448"/>
      <c r="T197" s="448"/>
      <c r="U197" s="448"/>
      <c r="V197" s="448"/>
    </row>
    <row r="198">
      <c r="A198" s="257" t="s">
        <v>273</v>
      </c>
      <c r="B198" s="257" t="s">
        <v>1309</v>
      </c>
      <c r="C198" s="257">
        <v>0.058417</v>
      </c>
      <c r="D198" s="257">
        <v>0.37</v>
      </c>
      <c r="E198" s="592">
        <v>2.88E-10</v>
      </c>
      <c r="F198" s="448"/>
      <c r="G198" s="448"/>
      <c r="H198" s="448"/>
      <c r="I198" s="448"/>
      <c r="J198" s="448"/>
      <c r="K198" s="448"/>
      <c r="L198" s="448"/>
      <c r="M198" s="448"/>
      <c r="N198" s="448"/>
      <c r="O198" s="448"/>
      <c r="P198" s="448"/>
      <c r="Q198" s="448"/>
      <c r="R198" s="448"/>
      <c r="S198" s="448"/>
      <c r="T198" s="448"/>
      <c r="U198" s="448"/>
      <c r="V198" s="448"/>
    </row>
    <row r="199">
      <c r="A199" s="257" t="s">
        <v>273</v>
      </c>
      <c r="B199" s="257" t="s">
        <v>269</v>
      </c>
      <c r="C199" s="257">
        <v>0.058417</v>
      </c>
      <c r="D199" s="257">
        <v>0.37</v>
      </c>
      <c r="E199" s="592">
        <v>1.58E-10</v>
      </c>
      <c r="F199" s="592">
        <v>5.6010602317933E21</v>
      </c>
      <c r="G199" s="592">
        <v>4.78821060445335E22</v>
      </c>
      <c r="H199" s="592"/>
      <c r="I199" s="592">
        <v>2.67415831381634E22</v>
      </c>
      <c r="J199" s="592">
        <v>3.68923941982416E-12</v>
      </c>
      <c r="K199" s="592">
        <v>3.15384134098369E-11</v>
      </c>
      <c r="L199" s="592"/>
      <c r="M199" s="592">
        <v>1.76138264148305E-11</v>
      </c>
      <c r="N199" s="448"/>
      <c r="O199" s="448"/>
      <c r="P199" s="448"/>
      <c r="Q199" s="448"/>
      <c r="R199" s="448"/>
      <c r="S199" s="448"/>
      <c r="T199" s="448"/>
      <c r="U199" s="448"/>
      <c r="V199" s="448"/>
    </row>
    <row r="200">
      <c r="A200" s="257" t="s">
        <v>273</v>
      </c>
      <c r="B200" s="257" t="s">
        <v>269</v>
      </c>
      <c r="C200" s="257">
        <v>0.058417</v>
      </c>
      <c r="D200" s="257">
        <v>0.37</v>
      </c>
      <c r="E200" s="592">
        <v>1.58E-11</v>
      </c>
      <c r="F200" s="592">
        <v>5.6010602317933E21</v>
      </c>
      <c r="G200" s="592"/>
      <c r="H200" s="592"/>
      <c r="I200" s="592">
        <v>5.6010602317933E21</v>
      </c>
      <c r="J200" s="592">
        <v>3.68923941982416E-12</v>
      </c>
      <c r="K200" s="592"/>
      <c r="L200" s="592"/>
      <c r="M200" s="592">
        <v>3.68923941982416E-12</v>
      </c>
      <c r="N200" s="448"/>
      <c r="O200" s="448"/>
      <c r="P200" s="448"/>
      <c r="Q200" s="448"/>
      <c r="R200" s="448"/>
      <c r="S200" s="448"/>
      <c r="T200" s="448"/>
      <c r="U200" s="448"/>
      <c r="V200" s="448"/>
    </row>
    <row r="201">
      <c r="A201" s="257" t="s">
        <v>273</v>
      </c>
      <c r="B201" s="257" t="s">
        <v>160</v>
      </c>
      <c r="C201" s="257">
        <v>0.058417</v>
      </c>
      <c r="D201" s="257">
        <v>0.37</v>
      </c>
      <c r="E201" s="592">
        <v>3.16E-11</v>
      </c>
      <c r="F201" s="592"/>
      <c r="G201" s="592">
        <v>9.48360035283477E22</v>
      </c>
      <c r="H201" s="592"/>
      <c r="I201" s="592">
        <v>9.48360035283477E22</v>
      </c>
      <c r="J201" s="592"/>
      <c r="K201" s="592">
        <v>6.24654454971546E-11</v>
      </c>
      <c r="L201" s="592"/>
      <c r="M201" s="592">
        <v>6.24654454971546E-11</v>
      </c>
      <c r="N201" s="448"/>
      <c r="O201" s="448"/>
      <c r="P201" s="448"/>
      <c r="Q201" s="448"/>
      <c r="R201" s="448"/>
      <c r="S201" s="448"/>
      <c r="T201" s="448"/>
      <c r="U201" s="448"/>
      <c r="V201" s="448"/>
    </row>
    <row r="202">
      <c r="A202" s="257" t="s">
        <v>273</v>
      </c>
      <c r="B202" s="257" t="s">
        <v>201</v>
      </c>
      <c r="C202" s="257">
        <v>0.12</v>
      </c>
      <c r="D202" s="592"/>
      <c r="E202" s="592">
        <v>2.51E-11</v>
      </c>
      <c r="F202" s="448"/>
      <c r="G202" s="448"/>
      <c r="H202" s="448"/>
      <c r="I202" s="448"/>
      <c r="J202" s="448"/>
      <c r="K202" s="448"/>
      <c r="L202" s="448"/>
      <c r="M202" s="448"/>
      <c r="N202" s="448"/>
      <c r="O202" s="448"/>
      <c r="P202" s="448"/>
      <c r="Q202" s="448"/>
      <c r="R202" s="448"/>
      <c r="S202" s="448"/>
      <c r="T202" s="448"/>
      <c r="U202" s="448"/>
      <c r="V202" s="448"/>
    </row>
    <row r="203">
      <c r="A203" s="257" t="s">
        <v>273</v>
      </c>
      <c r="B203" s="257" t="s">
        <v>201</v>
      </c>
      <c r="C203" s="257">
        <v>0.12</v>
      </c>
      <c r="D203" s="592"/>
      <c r="E203" s="592">
        <v>1.58E-11</v>
      </c>
      <c r="F203" s="448"/>
      <c r="G203" s="448"/>
      <c r="H203" s="448"/>
      <c r="I203" s="448"/>
      <c r="J203" s="448"/>
      <c r="K203" s="448"/>
      <c r="L203" s="448"/>
      <c r="M203" s="448"/>
      <c r="N203" s="448"/>
      <c r="O203" s="448"/>
      <c r="P203" s="448"/>
      <c r="Q203" s="448"/>
      <c r="R203" s="448"/>
      <c r="S203" s="448"/>
      <c r="T203" s="448"/>
      <c r="U203" s="448"/>
      <c r="V203" s="448"/>
    </row>
    <row r="204">
      <c r="A204" s="257" t="s">
        <v>154</v>
      </c>
      <c r="B204" s="257" t="s">
        <v>160</v>
      </c>
      <c r="C204" s="257">
        <v>0.00588839999999999</v>
      </c>
      <c r="D204" s="257">
        <v>0.34</v>
      </c>
      <c r="E204" s="592">
        <v>7.59E-10</v>
      </c>
      <c r="F204" s="592"/>
      <c r="G204" s="592">
        <v>1.43162240873028E21</v>
      </c>
      <c r="H204" s="592"/>
      <c r="I204" s="592">
        <v>1.43162240873028E21</v>
      </c>
      <c r="J204" s="592"/>
      <c r="K204" s="592">
        <v>8.5963526663841E-12</v>
      </c>
      <c r="L204" s="592"/>
      <c r="M204" s="592">
        <v>8.5963526663841E-12</v>
      </c>
      <c r="N204" s="448"/>
      <c r="O204" s="448"/>
      <c r="P204" s="448"/>
      <c r="Q204" s="448"/>
      <c r="R204" s="448"/>
      <c r="S204" s="448"/>
      <c r="T204" s="448"/>
      <c r="U204" s="448"/>
      <c r="V204" s="448"/>
    </row>
    <row r="205">
      <c r="A205" s="257" t="s">
        <v>1969</v>
      </c>
      <c r="B205" s="257" t="s">
        <v>160</v>
      </c>
      <c r="C205" s="257">
        <v>0.0741309999999999</v>
      </c>
      <c r="D205" s="257">
        <v>0.47</v>
      </c>
      <c r="E205" s="592"/>
      <c r="F205" s="592"/>
      <c r="G205" s="592">
        <v>8.54293881594099E23</v>
      </c>
      <c r="H205" s="592"/>
      <c r="I205" s="592">
        <v>8.54293881594099E23</v>
      </c>
      <c r="J205" s="592"/>
      <c r="K205" s="592">
        <v>5.63260658792812E-10</v>
      </c>
      <c r="L205" s="592"/>
      <c r="M205" s="592">
        <v>5.63260658792812E-10</v>
      </c>
      <c r="N205" s="448"/>
      <c r="O205" s="448"/>
      <c r="P205" s="448"/>
      <c r="Q205" s="448"/>
      <c r="R205" s="448"/>
      <c r="S205" s="448"/>
      <c r="T205" s="448"/>
      <c r="U205" s="448"/>
      <c r="V205" s="448"/>
    </row>
    <row r="206">
      <c r="A206" s="257" t="s">
        <v>241</v>
      </c>
      <c r="B206" s="257" t="s">
        <v>1309</v>
      </c>
      <c r="C206" s="257">
        <v>0.0389329999999999</v>
      </c>
      <c r="D206" s="257">
        <v>0.69</v>
      </c>
      <c r="E206" s="592">
        <v>4.07E-10</v>
      </c>
      <c r="F206" s="448"/>
      <c r="G206" s="448"/>
      <c r="H206" s="448"/>
      <c r="I206" s="448"/>
      <c r="J206" s="448"/>
      <c r="K206" s="448"/>
      <c r="L206" s="448"/>
      <c r="M206" s="448"/>
      <c r="N206" s="448"/>
      <c r="O206" s="448"/>
      <c r="P206" s="448"/>
      <c r="Q206" s="448"/>
      <c r="R206" s="448"/>
      <c r="S206" s="448"/>
      <c r="T206" s="448"/>
      <c r="U206" s="448"/>
      <c r="V206" s="448"/>
    </row>
    <row r="207">
      <c r="A207" s="257" t="s">
        <v>241</v>
      </c>
      <c r="B207" s="257" t="s">
        <v>754</v>
      </c>
      <c r="C207" s="257">
        <v>0.0389329999999999</v>
      </c>
      <c r="D207" s="257">
        <v>0.69</v>
      </c>
      <c r="E207" s="592">
        <v>1.26E-9</v>
      </c>
      <c r="F207" s="592">
        <v>4.04814798581974E23</v>
      </c>
      <c r="G207" s="592">
        <v>1.05578729127464E24</v>
      </c>
      <c r="H207" s="592"/>
      <c r="I207" s="592">
        <v>7.30301044928308E23</v>
      </c>
      <c r="J207" s="592">
        <v>7.46090868875532E-10</v>
      </c>
      <c r="K207" s="592">
        <v>1.94586082389805E-9</v>
      </c>
      <c r="L207" s="592"/>
      <c r="M207" s="592">
        <v>1.34597584638679E-9</v>
      </c>
      <c r="N207" s="448"/>
      <c r="O207" s="448"/>
      <c r="P207" s="448"/>
      <c r="Q207" s="448"/>
      <c r="R207" s="448"/>
      <c r="S207" s="448"/>
      <c r="T207" s="448"/>
      <c r="U207" s="448"/>
      <c r="V207" s="448"/>
    </row>
    <row r="208">
      <c r="A208" s="257" t="s">
        <v>241</v>
      </c>
      <c r="B208" s="257" t="s">
        <v>201</v>
      </c>
      <c r="C208" s="257">
        <v>0.0389329999999999</v>
      </c>
      <c r="D208" s="592"/>
      <c r="E208" s="592">
        <v>3.98E-11</v>
      </c>
      <c r="F208" s="448"/>
      <c r="G208" s="448"/>
      <c r="H208" s="448"/>
      <c r="I208" s="448"/>
      <c r="J208" s="448"/>
      <c r="K208" s="448"/>
      <c r="L208" s="448"/>
      <c r="M208" s="448"/>
      <c r="N208" s="448"/>
      <c r="O208" s="448"/>
      <c r="P208" s="448"/>
      <c r="Q208" s="448"/>
      <c r="R208" s="448"/>
      <c r="S208" s="448"/>
      <c r="T208" s="448"/>
      <c r="U208" s="448"/>
      <c r="V208" s="448"/>
    </row>
    <row r="209">
      <c r="A209" s="257" t="s">
        <v>241</v>
      </c>
      <c r="B209" s="257" t="s">
        <v>201</v>
      </c>
      <c r="C209" s="257">
        <v>0.0389329999999999</v>
      </c>
      <c r="D209" s="592"/>
      <c r="E209" s="592">
        <v>2.51E-11</v>
      </c>
      <c r="F209" s="448"/>
      <c r="G209" s="448"/>
      <c r="H209" s="448"/>
      <c r="I209" s="448"/>
      <c r="J209" s="448"/>
      <c r="K209" s="448"/>
      <c r="L209" s="448"/>
      <c r="M209" s="448"/>
      <c r="N209" s="448"/>
      <c r="O209" s="448"/>
      <c r="P209" s="448"/>
      <c r="Q209" s="448"/>
      <c r="R209" s="448"/>
      <c r="S209" s="448"/>
      <c r="T209" s="448"/>
      <c r="U209" s="448"/>
      <c r="V209" s="448"/>
    </row>
    <row r="210">
      <c r="A210" s="257" t="s">
        <v>241</v>
      </c>
      <c r="B210" s="257" t="s">
        <v>160</v>
      </c>
      <c r="C210" s="257">
        <v>0.0389329999999999</v>
      </c>
      <c r="D210" s="257">
        <v>0.69</v>
      </c>
      <c r="E210" s="592">
        <v>9.77E-11</v>
      </c>
      <c r="F210" s="592"/>
      <c r="G210" s="592">
        <v>2.40446861962894E23</v>
      </c>
      <c r="H210" s="592"/>
      <c r="I210" s="592">
        <v>2.40446861962894E23</v>
      </c>
      <c r="J210" s="592"/>
      <c r="K210" s="592">
        <v>4.43153779922806E-10</v>
      </c>
      <c r="L210" s="592"/>
      <c r="M210" s="592">
        <v>4.43153779922806E-10</v>
      </c>
      <c r="N210" s="448"/>
      <c r="O210" s="448"/>
      <c r="P210" s="448"/>
      <c r="Q210" s="448"/>
      <c r="R210" s="448"/>
      <c r="S210" s="448"/>
      <c r="T210" s="448"/>
      <c r="U210" s="448"/>
      <c r="V210" s="448"/>
    </row>
    <row r="211">
      <c r="A211" s="257" t="s">
        <v>2423</v>
      </c>
      <c r="B211" s="257" t="s">
        <v>1479</v>
      </c>
      <c r="C211" s="257">
        <v>1.4</v>
      </c>
      <c r="D211" s="257">
        <v>2.4</v>
      </c>
      <c r="E211" s="592">
        <v>3.02E-8</v>
      </c>
      <c r="F211" s="448"/>
      <c r="G211" s="448"/>
      <c r="H211" s="448"/>
      <c r="I211" s="448"/>
      <c r="J211" s="448"/>
      <c r="K211" s="448"/>
      <c r="L211" s="448"/>
      <c r="M211" s="448"/>
      <c r="N211" s="448"/>
      <c r="O211" s="448"/>
      <c r="P211" s="448"/>
      <c r="Q211" s="448"/>
      <c r="R211" s="448"/>
      <c r="S211" s="448"/>
      <c r="T211" s="448"/>
      <c r="U211" s="448"/>
      <c r="V211" s="448"/>
    </row>
    <row r="212">
      <c r="A212" s="257" t="s">
        <v>254</v>
      </c>
      <c r="B212" s="257" t="s">
        <v>201</v>
      </c>
      <c r="C212" s="257">
        <v>0.08</v>
      </c>
      <c r="D212" s="592"/>
      <c r="E212" s="592">
        <v>3.16E-9</v>
      </c>
      <c r="F212" s="448"/>
      <c r="G212" s="448"/>
      <c r="H212" s="448"/>
      <c r="I212" s="448"/>
      <c r="J212" s="448"/>
      <c r="K212" s="448"/>
      <c r="L212" s="448"/>
      <c r="M212" s="448"/>
      <c r="N212" s="448"/>
      <c r="O212" s="448"/>
      <c r="P212" s="448"/>
      <c r="Q212" s="448"/>
      <c r="R212" s="448"/>
      <c r="S212" s="448"/>
      <c r="T212" s="448"/>
      <c r="U212" s="448"/>
      <c r="V212" s="448"/>
    </row>
    <row r="213">
      <c r="A213" s="257" t="s">
        <v>254</v>
      </c>
      <c r="B213" s="257" t="s">
        <v>201</v>
      </c>
      <c r="C213" s="257">
        <v>0.08</v>
      </c>
      <c r="D213" s="592"/>
      <c r="E213" s="592">
        <v>1.0E-9</v>
      </c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</row>
    <row r="214">
      <c r="A214" s="257" t="s">
        <v>2433</v>
      </c>
      <c r="B214" s="257" t="s">
        <v>1479</v>
      </c>
      <c r="C214" s="448"/>
      <c r="D214" s="448"/>
      <c r="E214" s="448"/>
      <c r="F214" s="448"/>
      <c r="G214" s="448"/>
      <c r="H214" s="448"/>
      <c r="I214" s="448"/>
      <c r="J214" s="448"/>
      <c r="K214" s="448"/>
      <c r="L214" s="448"/>
      <c r="M214" s="448"/>
      <c r="N214" s="448"/>
      <c r="O214" s="448"/>
      <c r="P214" s="448"/>
      <c r="Q214" s="448"/>
      <c r="R214" s="448"/>
      <c r="S214" s="448"/>
      <c r="T214" s="448"/>
      <c r="U214" s="448"/>
      <c r="V214" s="448"/>
    </row>
    <row r="215">
      <c r="A215" s="257" t="s">
        <v>567</v>
      </c>
      <c r="B215" s="257" t="s">
        <v>476</v>
      </c>
      <c r="C215" s="257">
        <v>0.51</v>
      </c>
      <c r="D215" s="257">
        <v>2.26</v>
      </c>
      <c r="E215" s="592">
        <v>1.91E-8</v>
      </c>
      <c r="F215" s="592">
        <v>7.46867267116182E25</v>
      </c>
      <c r="G215" s="592">
        <v>6.78317818116094E25</v>
      </c>
      <c r="H215" s="592">
        <v>6.8381548046087E25</v>
      </c>
      <c r="I215" s="592">
        <v>7.03000188564382E25</v>
      </c>
      <c r="J215" s="592">
        <v>3.44180144535939E-8</v>
      </c>
      <c r="K215" s="592">
        <v>3.12590382467763E-8</v>
      </c>
      <c r="L215" s="592">
        <v>3.15123879788834E-8</v>
      </c>
      <c r="M215" s="592">
        <v>3.23964802264179E-8</v>
      </c>
      <c r="N215" s="448"/>
      <c r="O215" s="448"/>
      <c r="P215" s="448"/>
      <c r="Q215" s="448"/>
      <c r="R215" s="448"/>
      <c r="S215" s="448"/>
      <c r="T215" s="448"/>
      <c r="U215" s="448"/>
      <c r="V215" s="448"/>
    </row>
    <row r="216">
      <c r="A216" s="257" t="s">
        <v>2437</v>
      </c>
      <c r="B216" s="257" t="s">
        <v>291</v>
      </c>
      <c r="C216" s="257">
        <v>0.0229032</v>
      </c>
      <c r="D216" s="257">
        <v>0.5</v>
      </c>
      <c r="E216" s="592">
        <v>5.01E-10</v>
      </c>
      <c r="F216" s="448"/>
      <c r="G216" s="448"/>
      <c r="H216" s="448"/>
      <c r="I216" s="448"/>
      <c r="J216" s="448"/>
      <c r="K216" s="448"/>
      <c r="L216" s="448"/>
      <c r="M216" s="448"/>
      <c r="N216" s="448"/>
      <c r="O216" s="448"/>
      <c r="P216" s="448"/>
      <c r="Q216" s="448"/>
      <c r="R216" s="448"/>
      <c r="S216" s="448"/>
      <c r="T216" s="448"/>
      <c r="U216" s="448"/>
      <c r="V216" s="448"/>
    </row>
    <row r="217">
      <c r="A217" s="257" t="s">
        <v>2437</v>
      </c>
      <c r="B217" s="257" t="s">
        <v>1626</v>
      </c>
      <c r="C217" s="257">
        <v>0.023855</v>
      </c>
      <c r="D217" s="257">
        <v>0.5</v>
      </c>
      <c r="E217" s="592">
        <v>5.0E-12</v>
      </c>
      <c r="F217" s="592">
        <v>8.66885859370425E21</v>
      </c>
      <c r="G217" s="592"/>
      <c r="H217" s="592"/>
      <c r="I217" s="592">
        <v>8.66885859370425E21</v>
      </c>
      <c r="J217" s="592">
        <v>1.88954233095021E-11</v>
      </c>
      <c r="K217" s="592"/>
      <c r="L217" s="592"/>
      <c r="M217" s="592">
        <v>1.88954233095021E-11</v>
      </c>
      <c r="N217" s="448"/>
      <c r="O217" s="448"/>
      <c r="P217" s="448"/>
      <c r="Q217" s="448"/>
      <c r="R217" s="448"/>
      <c r="S217" s="448"/>
      <c r="T217" s="448"/>
      <c r="U217" s="448"/>
      <c r="V217" s="448"/>
    </row>
    <row r="218">
      <c r="A218" s="257" t="s">
        <v>2437</v>
      </c>
      <c r="B218" s="257" t="s">
        <v>291</v>
      </c>
      <c r="C218" s="257">
        <v>0.0295832999999999</v>
      </c>
      <c r="D218" s="257">
        <v>0.5</v>
      </c>
      <c r="E218" s="592">
        <v>5.01E-10</v>
      </c>
      <c r="F218" s="592">
        <v>1.21037300688539E21</v>
      </c>
      <c r="G218" s="592"/>
      <c r="H218" s="592"/>
      <c r="I218" s="592">
        <v>1.21037300688539E21</v>
      </c>
      <c r="J218" s="592">
        <v>2.12738817005978E-12</v>
      </c>
      <c r="K218" s="592"/>
      <c r="L218" s="592"/>
      <c r="M218" s="592">
        <v>2.12738817005978E-12</v>
      </c>
      <c r="N218" s="448"/>
      <c r="O218" s="448"/>
      <c r="P218" s="448"/>
      <c r="Q218" s="448"/>
      <c r="R218" s="448"/>
      <c r="S218" s="448"/>
      <c r="T218" s="448"/>
      <c r="U218" s="448"/>
      <c r="V218" s="448"/>
    </row>
    <row r="219">
      <c r="A219" s="257" t="s">
        <v>627</v>
      </c>
      <c r="B219" s="257" t="s">
        <v>598</v>
      </c>
      <c r="C219" s="257">
        <v>0.0257519999999999</v>
      </c>
      <c r="D219" s="257">
        <v>0.6</v>
      </c>
      <c r="E219" s="592">
        <v>1.0E-12</v>
      </c>
      <c r="F219" s="448"/>
      <c r="G219" s="448"/>
      <c r="H219" s="448"/>
      <c r="I219" s="448"/>
      <c r="J219" s="448"/>
      <c r="K219" s="448"/>
      <c r="L219" s="448"/>
      <c r="M219" s="448"/>
      <c r="N219" s="448"/>
      <c r="O219" s="448"/>
      <c r="P219" s="448"/>
      <c r="Q219" s="448"/>
      <c r="R219" s="448"/>
      <c r="S219" s="448"/>
      <c r="T219" s="448"/>
      <c r="U219" s="448"/>
      <c r="V219" s="448"/>
    </row>
    <row r="220">
      <c r="A220" s="257" t="s">
        <v>666</v>
      </c>
      <c r="B220" s="257" t="s">
        <v>598</v>
      </c>
      <c r="C220" s="257">
        <v>0.057198</v>
      </c>
      <c r="D220" s="257">
        <v>0.36</v>
      </c>
      <c r="E220" s="592">
        <v>1.0E-10</v>
      </c>
      <c r="F220" s="448"/>
      <c r="G220" s="448"/>
      <c r="H220" s="448"/>
      <c r="I220" s="448"/>
      <c r="J220" s="448"/>
      <c r="K220" s="448"/>
      <c r="L220" s="448"/>
      <c r="M220" s="448"/>
      <c r="N220" s="448"/>
      <c r="O220" s="448"/>
      <c r="P220" s="448"/>
      <c r="Q220" s="448"/>
      <c r="R220" s="448"/>
      <c r="S220" s="448"/>
      <c r="T220" s="448"/>
      <c r="U220" s="448"/>
      <c r="V220" s="448"/>
    </row>
    <row r="221">
      <c r="A221" s="257" t="s">
        <v>1520</v>
      </c>
      <c r="B221" s="257" t="s">
        <v>1479</v>
      </c>
      <c r="C221" s="257">
        <v>0.77</v>
      </c>
      <c r="D221" s="257">
        <v>1.86</v>
      </c>
      <c r="E221" s="592">
        <v>2.09E-8</v>
      </c>
      <c r="F221" s="592"/>
      <c r="G221" s="592">
        <v>3.76816991711626E25</v>
      </c>
      <c r="H221" s="592">
        <v>7.88784486826192E25</v>
      </c>
      <c r="I221" s="592">
        <v>5.82800739268909E25</v>
      </c>
      <c r="J221" s="592"/>
      <c r="K221" s="592">
        <v>9.46578902566005E-9</v>
      </c>
      <c r="L221" s="592">
        <v>1.98145723341591E-8</v>
      </c>
      <c r="M221" s="592">
        <v>1.46401806799096E-8</v>
      </c>
      <c r="N221" s="448"/>
      <c r="O221" s="448"/>
      <c r="P221" s="448"/>
      <c r="Q221" s="448"/>
      <c r="R221" s="448"/>
      <c r="S221" s="448"/>
      <c r="T221" s="448"/>
      <c r="U221" s="448"/>
      <c r="V221" s="448"/>
    </row>
    <row r="222">
      <c r="A222" s="257" t="s">
        <v>2449</v>
      </c>
      <c r="B222" s="257" t="s">
        <v>1479</v>
      </c>
      <c r="C222" s="448"/>
      <c r="D222" s="448"/>
      <c r="E222" s="448"/>
      <c r="F222" s="448"/>
      <c r="G222" s="448"/>
      <c r="H222" s="448"/>
      <c r="I222" s="448"/>
      <c r="J222" s="448"/>
      <c r="K222" s="448"/>
      <c r="L222" s="448"/>
      <c r="M222" s="448"/>
      <c r="N222" s="448"/>
      <c r="O222" s="448"/>
      <c r="P222" s="448"/>
      <c r="Q222" s="448"/>
      <c r="R222" s="448"/>
      <c r="S222" s="448"/>
      <c r="T222" s="448"/>
      <c r="U222" s="448"/>
      <c r="V222" s="448"/>
    </row>
    <row r="223">
      <c r="A223" s="257" t="s">
        <v>285</v>
      </c>
      <c r="B223" s="257" t="s">
        <v>248</v>
      </c>
      <c r="C223" s="257">
        <v>0.12</v>
      </c>
      <c r="D223" s="257">
        <v>1.0</v>
      </c>
      <c r="E223" s="592">
        <v>1.0E-10</v>
      </c>
      <c r="F223" s="592">
        <v>1.37350384595872E23</v>
      </c>
      <c r="G223" s="592"/>
      <c r="H223" s="592"/>
      <c r="I223" s="592">
        <v>1.37350384595872E23</v>
      </c>
      <c r="J223" s="592">
        <v>1.19028992414185E-10</v>
      </c>
      <c r="K223" s="592"/>
      <c r="L223" s="592"/>
      <c r="M223" s="592">
        <v>1.19028992414185E-10</v>
      </c>
      <c r="N223" s="448"/>
      <c r="O223" s="448"/>
      <c r="P223" s="448"/>
      <c r="Q223" s="448"/>
      <c r="R223" s="448"/>
      <c r="S223" s="448"/>
      <c r="T223" s="448"/>
      <c r="U223" s="448"/>
      <c r="V223" s="448"/>
    </row>
    <row r="224">
      <c r="A224" s="257" t="s">
        <v>285</v>
      </c>
      <c r="B224" s="257" t="s">
        <v>201</v>
      </c>
      <c r="C224" s="257">
        <v>0.14</v>
      </c>
      <c r="D224" s="592"/>
      <c r="E224" s="592">
        <v>3.16E-10</v>
      </c>
      <c r="F224" s="448"/>
      <c r="G224" s="448"/>
      <c r="H224" s="448"/>
      <c r="I224" s="448"/>
      <c r="J224" s="448"/>
      <c r="K224" s="448"/>
      <c r="L224" s="448"/>
      <c r="M224" s="448"/>
      <c r="N224" s="448"/>
      <c r="O224" s="448"/>
      <c r="P224" s="448"/>
      <c r="Q224" s="448"/>
      <c r="R224" s="448"/>
      <c r="S224" s="448"/>
      <c r="T224" s="448"/>
      <c r="U224" s="448"/>
      <c r="V224" s="448"/>
    </row>
    <row r="225">
      <c r="A225" s="257" t="s">
        <v>285</v>
      </c>
      <c r="B225" s="257" t="s">
        <v>201</v>
      </c>
      <c r="C225" s="257">
        <v>0.14</v>
      </c>
      <c r="D225" s="592"/>
      <c r="E225" s="592">
        <v>1.26E-10</v>
      </c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</row>
    <row r="226">
      <c r="A226" s="257" t="s">
        <v>233</v>
      </c>
      <c r="B226" s="257" t="s">
        <v>201</v>
      </c>
      <c r="C226" s="257">
        <v>0.035005</v>
      </c>
      <c r="D226" s="592"/>
      <c r="E226" s="592">
        <v>1.58E-11</v>
      </c>
      <c r="F226" s="448"/>
      <c r="G226" s="448"/>
      <c r="H226" s="448"/>
      <c r="I226" s="448"/>
      <c r="J226" s="448"/>
      <c r="K226" s="448"/>
      <c r="L226" s="448"/>
      <c r="M226" s="448"/>
      <c r="N226" s="448"/>
      <c r="O226" s="448"/>
      <c r="P226" s="448"/>
      <c r="Q226" s="448"/>
      <c r="R226" s="448"/>
      <c r="S226" s="448"/>
      <c r="T226" s="448"/>
      <c r="U226" s="448"/>
      <c r="V226" s="448"/>
    </row>
    <row r="227">
      <c r="A227" s="257" t="s">
        <v>233</v>
      </c>
      <c r="B227" s="257" t="s">
        <v>201</v>
      </c>
      <c r="C227" s="257">
        <v>0.035005</v>
      </c>
      <c r="D227" s="592"/>
      <c r="E227" s="592">
        <v>1.0E-11</v>
      </c>
      <c r="F227" s="448"/>
      <c r="G227" s="448"/>
      <c r="H227" s="448"/>
      <c r="I227" s="448"/>
      <c r="J227" s="448"/>
      <c r="K227" s="448"/>
      <c r="L227" s="448"/>
      <c r="M227" s="448"/>
      <c r="N227" s="448"/>
      <c r="O227" s="448"/>
      <c r="P227" s="448"/>
      <c r="Q227" s="448"/>
      <c r="R227" s="448"/>
      <c r="S227" s="448"/>
      <c r="T227" s="448"/>
      <c r="U227" s="448"/>
      <c r="V227" s="448"/>
    </row>
    <row r="228">
      <c r="A228" s="257" t="s">
        <v>696</v>
      </c>
      <c r="B228" s="257" t="s">
        <v>248</v>
      </c>
      <c r="C228" s="257">
        <v>0.1</v>
      </c>
      <c r="D228" s="257">
        <v>1.0</v>
      </c>
      <c r="E228" s="592">
        <v>1.0E-10</v>
      </c>
      <c r="F228" s="592">
        <v>8.77682006568533E21</v>
      </c>
      <c r="G228" s="592"/>
      <c r="H228" s="592"/>
      <c r="I228" s="592">
        <v>8.77682006568533E21</v>
      </c>
      <c r="J228" s="592">
        <v>9.1272788388001E-12</v>
      </c>
      <c r="K228" s="592"/>
      <c r="L228" s="592"/>
      <c r="M228" s="592">
        <v>9.1272788388001E-12</v>
      </c>
      <c r="N228" s="448"/>
      <c r="O228" s="448"/>
      <c r="P228" s="448"/>
      <c r="Q228" s="448"/>
      <c r="R228" s="448"/>
      <c r="S228" s="448"/>
      <c r="T228" s="448"/>
      <c r="U228" s="448"/>
      <c r="V228" s="448"/>
    </row>
    <row r="229">
      <c r="A229" s="257" t="s">
        <v>263</v>
      </c>
      <c r="B229" s="257" t="s">
        <v>248</v>
      </c>
      <c r="C229" s="257">
        <v>0.046938</v>
      </c>
      <c r="D229" s="257">
        <v>0.5</v>
      </c>
      <c r="E229" s="592">
        <v>5.01E-11</v>
      </c>
      <c r="F229" s="448"/>
      <c r="G229" s="448"/>
      <c r="H229" s="448"/>
      <c r="I229" s="448"/>
      <c r="J229" s="448"/>
      <c r="K229" s="448"/>
      <c r="L229" s="448"/>
      <c r="M229" s="448"/>
      <c r="N229" s="448"/>
      <c r="O229" s="448"/>
      <c r="P229" s="448"/>
      <c r="Q229" s="448"/>
      <c r="R229" s="448"/>
      <c r="S229" s="448"/>
      <c r="T229" s="448"/>
      <c r="U229" s="448"/>
      <c r="V229" s="448"/>
    </row>
    <row r="230">
      <c r="A230" s="257" t="s">
        <v>263</v>
      </c>
      <c r="B230" s="257" t="s">
        <v>201</v>
      </c>
      <c r="C230" s="257">
        <v>0.046938</v>
      </c>
      <c r="D230" s="257">
        <v>0.34</v>
      </c>
      <c r="E230" s="592">
        <v>5.01E-11</v>
      </c>
      <c r="F230" s="448"/>
      <c r="G230" s="448"/>
      <c r="H230" s="448"/>
      <c r="I230" s="448"/>
      <c r="J230" s="448"/>
      <c r="K230" s="448"/>
      <c r="L230" s="448"/>
      <c r="M230" s="448"/>
      <c r="N230" s="448"/>
      <c r="O230" s="448"/>
      <c r="P230" s="448"/>
      <c r="Q230" s="448"/>
      <c r="R230" s="448"/>
      <c r="S230" s="448"/>
      <c r="T230" s="448"/>
      <c r="U230" s="448"/>
      <c r="V230" s="448"/>
    </row>
    <row r="231">
      <c r="A231" s="257" t="s">
        <v>263</v>
      </c>
      <c r="B231" s="257" t="s">
        <v>201</v>
      </c>
      <c r="C231" s="257">
        <v>0.046938</v>
      </c>
      <c r="D231" s="257">
        <v>0.34</v>
      </c>
      <c r="E231" s="592">
        <v>2.51E-11</v>
      </c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</row>
    <row r="232">
      <c r="A232" s="257" t="s">
        <v>246</v>
      </c>
      <c r="B232" s="257" t="s">
        <v>201</v>
      </c>
      <c r="C232" s="257">
        <v>0.0517039999999999</v>
      </c>
      <c r="D232" s="592"/>
      <c r="E232" s="592">
        <v>3.98E-10</v>
      </c>
      <c r="F232" s="448"/>
      <c r="G232" s="448"/>
      <c r="H232" s="448"/>
      <c r="I232" s="448"/>
      <c r="J232" s="448"/>
      <c r="K232" s="448"/>
      <c r="L232" s="448"/>
      <c r="M232" s="448"/>
      <c r="N232" s="448"/>
      <c r="O232" s="448"/>
      <c r="P232" s="448"/>
      <c r="Q232" s="448"/>
      <c r="R232" s="448"/>
      <c r="S232" s="448"/>
      <c r="T232" s="448"/>
      <c r="U232" s="448"/>
      <c r="V232" s="448"/>
    </row>
    <row r="233">
      <c r="A233" s="257" t="s">
        <v>246</v>
      </c>
      <c r="B233" s="257" t="s">
        <v>201</v>
      </c>
      <c r="C233" s="257">
        <v>0.0517039999999999</v>
      </c>
      <c r="D233" s="592"/>
      <c r="E233" s="592">
        <v>1.58E-10</v>
      </c>
      <c r="F233" s="448"/>
      <c r="G233" s="448"/>
      <c r="H233" s="448"/>
      <c r="I233" s="448"/>
      <c r="J233" s="448"/>
      <c r="K233" s="448"/>
      <c r="L233" s="448"/>
      <c r="M233" s="448"/>
      <c r="N233" s="448"/>
      <c r="O233" s="448"/>
      <c r="P233" s="448"/>
      <c r="Q233" s="448"/>
      <c r="R233" s="448"/>
      <c r="S233" s="448"/>
      <c r="T233" s="448"/>
      <c r="U233" s="448"/>
      <c r="V233" s="448"/>
    </row>
    <row r="234">
      <c r="A234" s="257" t="s">
        <v>246</v>
      </c>
      <c r="B234" s="257" t="s">
        <v>248</v>
      </c>
      <c r="C234" s="257">
        <v>0.0517039999999999</v>
      </c>
      <c r="D234" s="257">
        <v>0.5</v>
      </c>
      <c r="E234" s="592">
        <v>5.01E-10</v>
      </c>
      <c r="F234" s="448"/>
      <c r="G234" s="448"/>
      <c r="H234" s="448"/>
      <c r="I234" s="448"/>
      <c r="J234" s="448"/>
      <c r="K234" s="448"/>
      <c r="L234" s="448"/>
      <c r="M234" s="448"/>
      <c r="N234" s="448"/>
      <c r="O234" s="448"/>
      <c r="P234" s="448"/>
      <c r="Q234" s="448"/>
      <c r="R234" s="448"/>
      <c r="S234" s="448"/>
      <c r="T234" s="448"/>
      <c r="U234" s="448"/>
      <c r="V234" s="448"/>
    </row>
    <row r="235">
      <c r="A235" s="257" t="s">
        <v>1566</v>
      </c>
      <c r="B235" s="257" t="s">
        <v>1479</v>
      </c>
      <c r="C235" s="257">
        <v>2.1</v>
      </c>
      <c r="D235" s="257">
        <v>3.2</v>
      </c>
      <c r="E235" s="592">
        <v>1.55E-7</v>
      </c>
      <c r="F235" s="448"/>
      <c r="G235" s="448"/>
      <c r="H235" s="448"/>
      <c r="I235" s="448"/>
      <c r="J235" s="448"/>
      <c r="K235" s="448"/>
      <c r="L235" s="448"/>
      <c r="M235" s="448"/>
      <c r="N235" s="448"/>
      <c r="O235" s="448"/>
      <c r="P235" s="448"/>
      <c r="Q235" s="448"/>
      <c r="R235" s="448"/>
      <c r="S235" s="448"/>
      <c r="T235" s="448"/>
      <c r="U235" s="448"/>
      <c r="V235" s="448"/>
    </row>
    <row r="236">
      <c r="A236" s="257" t="s">
        <v>435</v>
      </c>
      <c r="B236" s="257" t="s">
        <v>413</v>
      </c>
      <c r="C236" s="257">
        <v>0.424</v>
      </c>
      <c r="D236" s="257">
        <v>1.63</v>
      </c>
      <c r="E236" s="592">
        <v>7.5E-9</v>
      </c>
      <c r="F236" s="448"/>
      <c r="G236" s="448"/>
      <c r="H236" s="448"/>
      <c r="I236" s="448"/>
      <c r="J236" s="448"/>
      <c r="K236" s="448"/>
      <c r="L236" s="448"/>
      <c r="M236" s="448"/>
      <c r="N236" s="448"/>
      <c r="O236" s="448"/>
      <c r="P236" s="448"/>
      <c r="Q236" s="448"/>
      <c r="R236" s="448"/>
      <c r="S236" s="448"/>
      <c r="T236" s="448"/>
      <c r="U236" s="448"/>
      <c r="V236" s="448"/>
    </row>
    <row r="237">
      <c r="A237" s="257" t="s">
        <v>412</v>
      </c>
      <c r="B237" s="257" t="s">
        <v>413</v>
      </c>
      <c r="C237" s="257">
        <v>0.259</v>
      </c>
      <c r="D237" s="257">
        <v>2.45</v>
      </c>
      <c r="E237" s="592">
        <v>2.64E-8</v>
      </c>
      <c r="F237" s="448"/>
      <c r="G237" s="448"/>
      <c r="H237" s="448"/>
      <c r="I237" s="448"/>
      <c r="J237" s="448"/>
      <c r="K237" s="448"/>
      <c r="L237" s="448"/>
      <c r="M237" s="448"/>
      <c r="N237" s="448"/>
      <c r="O237" s="448"/>
      <c r="P237" s="448"/>
      <c r="Q237" s="448"/>
      <c r="R237" s="448"/>
      <c r="S237" s="448"/>
      <c r="T237" s="448"/>
      <c r="U237" s="448"/>
      <c r="V237" s="448"/>
    </row>
    <row r="238">
      <c r="A238" s="257" t="s">
        <v>230</v>
      </c>
      <c r="B238" s="257" t="s">
        <v>201</v>
      </c>
      <c r="C238" s="257">
        <v>0.034142</v>
      </c>
      <c r="D238" s="592"/>
      <c r="E238" s="592">
        <v>1.58E-11</v>
      </c>
      <c r="F238" s="448"/>
      <c r="G238" s="448"/>
      <c r="H238" s="448"/>
      <c r="I238" s="448"/>
      <c r="J238" s="448"/>
      <c r="K238" s="448"/>
      <c r="L238" s="448"/>
      <c r="M238" s="448"/>
      <c r="N238" s="448"/>
      <c r="O238" s="448"/>
      <c r="P238" s="448"/>
      <c r="Q238" s="448"/>
      <c r="R238" s="448"/>
      <c r="S238" s="448"/>
      <c r="T238" s="448"/>
      <c r="U238" s="448"/>
      <c r="V238" s="448"/>
    </row>
    <row r="239">
      <c r="A239" s="257" t="s">
        <v>230</v>
      </c>
      <c r="B239" s="257" t="s">
        <v>201</v>
      </c>
      <c r="C239" s="257">
        <v>0.034142</v>
      </c>
      <c r="D239" s="592"/>
      <c r="E239" s="592">
        <v>1.0E-11</v>
      </c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  <c r="V239" s="448"/>
    </row>
    <row r="240">
      <c r="A240" s="257" t="s">
        <v>230</v>
      </c>
      <c r="B240" s="257" t="s">
        <v>306</v>
      </c>
      <c r="C240" s="257">
        <v>0.03689</v>
      </c>
      <c r="D240" s="257">
        <v>0.35</v>
      </c>
      <c r="E240" s="592">
        <v>2.50999999999999E-12</v>
      </c>
      <c r="F240" s="592">
        <v>2.09402020697141E22</v>
      </c>
      <c r="G240" s="592"/>
      <c r="H240" s="592"/>
      <c r="I240" s="592">
        <v>2.09402020697141E22</v>
      </c>
      <c r="J240" s="592">
        <v>2.06606690402057E-11</v>
      </c>
      <c r="K240" s="592"/>
      <c r="L240" s="592"/>
      <c r="M240" s="592">
        <v>2.06606690402057E-11</v>
      </c>
      <c r="N240" s="448"/>
      <c r="O240" s="448"/>
      <c r="P240" s="448"/>
      <c r="Q240" s="448"/>
      <c r="R240" s="448"/>
      <c r="S240" s="448"/>
      <c r="T240" s="448"/>
      <c r="U240" s="448"/>
      <c r="V240" s="448"/>
    </row>
    <row r="241">
      <c r="A241" s="257" t="s">
        <v>648</v>
      </c>
      <c r="B241" s="257" t="s">
        <v>649</v>
      </c>
      <c r="C241" s="257"/>
      <c r="D241" s="257">
        <v>0.29</v>
      </c>
      <c r="E241" s="448"/>
      <c r="F241" s="448"/>
      <c r="G241" s="448"/>
      <c r="H241" s="448"/>
      <c r="I241" s="448"/>
      <c r="J241" s="448"/>
      <c r="K241" s="448"/>
      <c r="L241" s="448"/>
      <c r="M241" s="448"/>
      <c r="N241" s="448"/>
      <c r="O241" s="448"/>
      <c r="P241" s="448"/>
      <c r="Q241" s="448"/>
      <c r="R241" s="448"/>
      <c r="S241" s="448"/>
      <c r="T241" s="448"/>
      <c r="U241" s="448"/>
      <c r="V241" s="448"/>
    </row>
    <row r="242">
      <c r="A242" s="257" t="s">
        <v>418</v>
      </c>
      <c r="B242" s="257" t="s">
        <v>413</v>
      </c>
      <c r="C242" s="257">
        <v>0.27</v>
      </c>
      <c r="D242" s="257">
        <v>3.37</v>
      </c>
      <c r="E242" s="592">
        <v>1.76999999999999E-7</v>
      </c>
      <c r="F242" s="448"/>
      <c r="G242" s="448"/>
      <c r="H242" s="448"/>
      <c r="I242" s="448"/>
      <c r="J242" s="448"/>
      <c r="K242" s="448"/>
      <c r="L242" s="448"/>
      <c r="M242" s="448"/>
      <c r="N242" s="448"/>
      <c r="O242" s="448"/>
      <c r="P242" s="448"/>
      <c r="Q242" s="448"/>
      <c r="R242" s="448"/>
      <c r="S242" s="448"/>
      <c r="T242" s="448"/>
      <c r="U242" s="448"/>
      <c r="V242" s="448"/>
    </row>
    <row r="243">
      <c r="A243" s="257" t="s">
        <v>290</v>
      </c>
      <c r="B243" s="257" t="s">
        <v>291</v>
      </c>
      <c r="C243" s="257">
        <v>0.0104962</v>
      </c>
      <c r="D243" s="257">
        <v>0.271323</v>
      </c>
      <c r="E243" s="592">
        <v>5.01199999999999E-12</v>
      </c>
      <c r="F243" s="592">
        <v>2.58578484762279E19</v>
      </c>
      <c r="G243" s="592"/>
      <c r="H243" s="592"/>
      <c r="I243" s="592">
        <v>2.58578484762279E19</v>
      </c>
      <c r="J243" s="592">
        <v>6.95105976740075E-14</v>
      </c>
      <c r="K243" s="592"/>
      <c r="L243" s="592"/>
      <c r="M243" s="592">
        <v>6.95105976740075E-14</v>
      </c>
      <c r="N243" s="448"/>
      <c r="O243" s="448"/>
      <c r="P243" s="448"/>
      <c r="Q243" s="448"/>
      <c r="R243" s="448"/>
      <c r="S243" s="448"/>
      <c r="T243" s="448"/>
      <c r="U243" s="448"/>
      <c r="V243" s="448"/>
    </row>
    <row r="244">
      <c r="A244" s="257" t="s">
        <v>290</v>
      </c>
      <c r="B244" s="257" t="s">
        <v>291</v>
      </c>
      <c r="C244" s="257">
        <v>0.0104962</v>
      </c>
      <c r="D244" s="592"/>
      <c r="E244" s="592">
        <v>5.01099999999999E-12</v>
      </c>
      <c r="F244" s="448"/>
      <c r="G244" s="448"/>
      <c r="H244" s="448"/>
      <c r="I244" s="448"/>
      <c r="J244" s="448"/>
      <c r="K244" s="448"/>
      <c r="L244" s="448"/>
      <c r="M244" s="448"/>
      <c r="N244" s="448"/>
      <c r="O244" s="448"/>
      <c r="P244" s="448"/>
      <c r="Q244" s="448"/>
      <c r="R244" s="448"/>
      <c r="S244" s="448"/>
      <c r="T244" s="448"/>
      <c r="U244" s="448"/>
      <c r="V244" s="448"/>
    </row>
    <row r="245">
      <c r="A245" s="257" t="s">
        <v>436</v>
      </c>
      <c r="B245" s="257" t="s">
        <v>413</v>
      </c>
      <c r="C245" s="257">
        <v>0.431</v>
      </c>
      <c r="D245" s="257">
        <v>2.49</v>
      </c>
      <c r="E245" s="592">
        <v>3.79E-8</v>
      </c>
      <c r="F245" s="448"/>
      <c r="G245" s="448"/>
      <c r="H245" s="448"/>
      <c r="I245" s="448"/>
      <c r="J245" s="448"/>
      <c r="K245" s="448"/>
      <c r="L245" s="448"/>
      <c r="M245" s="448"/>
      <c r="N245" s="448"/>
      <c r="O245" s="448"/>
      <c r="P245" s="448"/>
      <c r="Q245" s="448"/>
      <c r="R245" s="448"/>
      <c r="S245" s="448"/>
      <c r="T245" s="448"/>
      <c r="U245" s="448"/>
      <c r="V245" s="448"/>
    </row>
    <row r="246">
      <c r="A246" s="257" t="s">
        <v>431</v>
      </c>
      <c r="B246" s="257" t="s">
        <v>413</v>
      </c>
      <c r="C246" s="257">
        <v>0.382</v>
      </c>
      <c r="D246" s="257">
        <v>2.09</v>
      </c>
      <c r="E246" s="592">
        <v>3.5E-9</v>
      </c>
      <c r="F246" s="448"/>
      <c r="G246" s="448"/>
      <c r="H246" s="448"/>
      <c r="I246" s="448"/>
      <c r="J246" s="448"/>
      <c r="K246" s="448"/>
      <c r="L246" s="448"/>
      <c r="M246" s="448"/>
      <c r="N246" s="448"/>
      <c r="O246" s="448"/>
      <c r="P246" s="448"/>
      <c r="Q246" s="448"/>
      <c r="R246" s="448"/>
      <c r="S246" s="448"/>
      <c r="T246" s="448"/>
      <c r="U246" s="448"/>
      <c r="V246" s="448"/>
    </row>
    <row r="247">
      <c r="A247" s="257" t="s">
        <v>426</v>
      </c>
      <c r="B247" s="257" t="s">
        <v>413</v>
      </c>
      <c r="C247" s="257">
        <v>0.369</v>
      </c>
      <c r="D247" s="257">
        <v>2.25</v>
      </c>
      <c r="E247" s="592">
        <v>1.44E-7</v>
      </c>
      <c r="F247" s="448"/>
      <c r="G247" s="448"/>
      <c r="H247" s="448"/>
      <c r="I247" s="448"/>
      <c r="J247" s="448"/>
      <c r="K247" s="448"/>
      <c r="L247" s="448"/>
      <c r="M247" s="448"/>
      <c r="N247" s="448"/>
      <c r="O247" s="448"/>
      <c r="P247" s="448"/>
      <c r="Q247" s="448"/>
      <c r="R247" s="448"/>
      <c r="S247" s="448"/>
      <c r="T247" s="448"/>
      <c r="U247" s="448"/>
      <c r="V247" s="448"/>
    </row>
    <row r="248">
      <c r="A248" s="257" t="s">
        <v>437</v>
      </c>
      <c r="B248" s="257" t="s">
        <v>413</v>
      </c>
      <c r="C248" s="257">
        <v>0.439</v>
      </c>
      <c r="D248" s="257">
        <v>1.785</v>
      </c>
      <c r="E248" s="592">
        <v>6.0E-10</v>
      </c>
      <c r="F248" s="448"/>
      <c r="G248" s="448"/>
      <c r="H248" s="448"/>
      <c r="I248" s="448"/>
      <c r="J248" s="448"/>
      <c r="K248" s="448"/>
      <c r="L248" s="448"/>
      <c r="M248" s="448"/>
      <c r="N248" s="448"/>
      <c r="O248" s="448"/>
      <c r="P248" s="448"/>
      <c r="Q248" s="448"/>
      <c r="R248" s="448"/>
      <c r="S248" s="448"/>
      <c r="T248" s="448"/>
      <c r="U248" s="448"/>
      <c r="V248" s="448"/>
    </row>
    <row r="249">
      <c r="A249" s="257" t="s">
        <v>462</v>
      </c>
      <c r="B249" s="257" t="s">
        <v>413</v>
      </c>
      <c r="C249" s="257">
        <v>0.87</v>
      </c>
      <c r="D249" s="257">
        <v>1.36</v>
      </c>
      <c r="E249" s="592">
        <v>1.29E-8</v>
      </c>
      <c r="F249" s="448"/>
      <c r="G249" s="448"/>
      <c r="H249" s="448"/>
      <c r="I249" s="448"/>
      <c r="J249" s="448"/>
      <c r="K249" s="448"/>
      <c r="L249" s="448"/>
      <c r="M249" s="448"/>
      <c r="N249" s="448"/>
      <c r="O249" s="448"/>
      <c r="P249" s="448"/>
      <c r="Q249" s="448"/>
      <c r="R249" s="448"/>
      <c r="S249" s="448"/>
      <c r="T249" s="448"/>
      <c r="U249" s="448"/>
      <c r="V249" s="448"/>
    </row>
    <row r="250">
      <c r="A250" s="257" t="s">
        <v>1456</v>
      </c>
      <c r="B250" s="257" t="s">
        <v>160</v>
      </c>
      <c r="C250" s="257">
        <v>0.724436</v>
      </c>
      <c r="D250" s="257">
        <v>3.05</v>
      </c>
      <c r="E250" s="592">
        <v>1.26E-7</v>
      </c>
      <c r="F250" s="592"/>
      <c r="G250" s="592">
        <v>1.1563169321684E26</v>
      </c>
      <c r="H250" s="592"/>
      <c r="I250" s="592">
        <v>1.1563169321684E26</v>
      </c>
      <c r="J250" s="592"/>
      <c r="K250" s="592">
        <v>5.06268403967454E-8</v>
      </c>
      <c r="L250" s="592"/>
      <c r="M250" s="592">
        <v>5.06268403967454E-8</v>
      </c>
      <c r="N250" s="448"/>
      <c r="O250" s="448"/>
      <c r="P250" s="448"/>
      <c r="Q250" s="448"/>
      <c r="R250" s="448"/>
      <c r="S250" s="448"/>
      <c r="T250" s="448"/>
      <c r="U250" s="448"/>
      <c r="V250" s="448"/>
    </row>
    <row r="251">
      <c r="A251" s="257" t="s">
        <v>1454</v>
      </c>
      <c r="B251" s="257" t="s">
        <v>160</v>
      </c>
      <c r="C251" s="257">
        <v>0.7079458</v>
      </c>
      <c r="D251" s="257">
        <v>3.01</v>
      </c>
      <c r="E251" s="592">
        <v>7.08E-8</v>
      </c>
      <c r="F251" s="592"/>
      <c r="G251" s="592">
        <v>7.43207622301587E25</v>
      </c>
      <c r="H251" s="592"/>
      <c r="I251" s="592">
        <v>7.43207622301587E25</v>
      </c>
      <c r="J251" s="592"/>
      <c r="K251" s="592">
        <v>3.28609991849422E-8</v>
      </c>
      <c r="L251" s="592"/>
      <c r="M251" s="592">
        <v>3.28609991849422E-8</v>
      </c>
      <c r="N251" s="448"/>
      <c r="O251" s="448"/>
      <c r="P251" s="448"/>
      <c r="Q251" s="448"/>
      <c r="R251" s="448"/>
      <c r="S251" s="448"/>
      <c r="T251" s="448"/>
      <c r="U251" s="448"/>
      <c r="V251" s="448"/>
    </row>
    <row r="252">
      <c r="A252" s="257" t="s">
        <v>1719</v>
      </c>
      <c r="B252" s="257" t="s">
        <v>702</v>
      </c>
      <c r="C252" s="257">
        <v>0.35</v>
      </c>
      <c r="D252" s="257">
        <v>1.04</v>
      </c>
      <c r="E252" s="592">
        <v>3.16E-10</v>
      </c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</row>
    <row r="253">
      <c r="A253" s="257" t="s">
        <v>1725</v>
      </c>
      <c r="B253" s="257" t="s">
        <v>702</v>
      </c>
      <c r="C253" s="257">
        <v>0.4</v>
      </c>
      <c r="D253" s="257">
        <v>1.36</v>
      </c>
      <c r="E253" s="592">
        <v>2.18999999999999E-9</v>
      </c>
      <c r="F253" s="448"/>
      <c r="G253" s="448"/>
      <c r="H253" s="448"/>
      <c r="I253" s="448"/>
      <c r="J253" s="448"/>
      <c r="K253" s="448"/>
      <c r="L253" s="448"/>
      <c r="M253" s="448"/>
      <c r="N253" s="448"/>
      <c r="O253" s="448"/>
      <c r="P253" s="448"/>
      <c r="Q253" s="448"/>
      <c r="R253" s="448"/>
      <c r="S253" s="448"/>
      <c r="T253" s="448"/>
      <c r="U253" s="448"/>
      <c r="V253" s="448"/>
    </row>
    <row r="254">
      <c r="A254" s="257" t="s">
        <v>1749</v>
      </c>
      <c r="B254" s="257" t="s">
        <v>702</v>
      </c>
      <c r="C254" s="257">
        <v>0.9</v>
      </c>
      <c r="D254" s="257">
        <v>1.41</v>
      </c>
      <c r="E254" s="592">
        <v>5.5E-10</v>
      </c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448"/>
      <c r="S254" s="448"/>
      <c r="T254" s="448"/>
      <c r="U254" s="448"/>
      <c r="V254" s="448"/>
    </row>
    <row r="255">
      <c r="A255" s="257" t="s">
        <v>1733</v>
      </c>
      <c r="B255" s="257" t="s">
        <v>702</v>
      </c>
      <c r="C255" s="257">
        <v>0.6</v>
      </c>
      <c r="D255" s="257">
        <v>1.67</v>
      </c>
      <c r="E255" s="592">
        <v>1.11999999999999E-9</v>
      </c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48"/>
      <c r="R255" s="448"/>
      <c r="S255" s="448"/>
      <c r="T255" s="448"/>
      <c r="U255" s="448"/>
      <c r="V255" s="448"/>
    </row>
    <row r="256">
      <c r="A256" s="257" t="s">
        <v>1721</v>
      </c>
      <c r="B256" s="257" t="s">
        <v>702</v>
      </c>
      <c r="C256" s="257">
        <v>0.35</v>
      </c>
      <c r="D256" s="257">
        <v>0.71</v>
      </c>
      <c r="E256" s="592">
        <v>1.51E-10</v>
      </c>
      <c r="F256" s="448"/>
      <c r="G256" s="448"/>
      <c r="H256" s="448"/>
      <c r="I256" s="448"/>
      <c r="J256" s="448"/>
      <c r="K256" s="448"/>
      <c r="L256" s="448"/>
      <c r="M256" s="448"/>
      <c r="N256" s="448"/>
      <c r="O256" s="448"/>
      <c r="P256" s="448"/>
      <c r="Q256" s="448"/>
      <c r="R256" s="448"/>
      <c r="S256" s="448"/>
      <c r="T256" s="448"/>
      <c r="U256" s="448"/>
      <c r="V256" s="448"/>
    </row>
    <row r="257">
      <c r="A257" s="257" t="s">
        <v>714</v>
      </c>
      <c r="B257" s="257" t="s">
        <v>702</v>
      </c>
      <c r="C257" s="257">
        <v>0.8</v>
      </c>
      <c r="D257" s="257">
        <v>1.73</v>
      </c>
      <c r="E257" s="592">
        <v>7.41E-10</v>
      </c>
      <c r="F257" s="448"/>
      <c r="G257" s="448"/>
      <c r="H257" s="448"/>
      <c r="I257" s="448"/>
      <c r="J257" s="448"/>
      <c r="K257" s="448"/>
      <c r="L257" s="448"/>
      <c r="M257" s="448"/>
      <c r="N257" s="448"/>
      <c r="O257" s="448"/>
      <c r="P257" s="448"/>
      <c r="Q257" s="448"/>
      <c r="R257" s="448"/>
      <c r="S257" s="448"/>
      <c r="T257" s="448"/>
      <c r="U257" s="448"/>
      <c r="V257" s="448"/>
    </row>
    <row r="258">
      <c r="A258" s="257" t="s">
        <v>1742</v>
      </c>
      <c r="B258" s="257" t="s">
        <v>702</v>
      </c>
      <c r="C258" s="257">
        <v>0.7</v>
      </c>
      <c r="D258" s="257">
        <v>1.31</v>
      </c>
      <c r="E258" s="592">
        <v>2.94999999999999E-10</v>
      </c>
      <c r="F258" s="448"/>
      <c r="G258" s="448"/>
      <c r="H258" s="448"/>
      <c r="I258" s="448"/>
      <c r="J258" s="448"/>
      <c r="K258" s="448"/>
      <c r="L258" s="448"/>
      <c r="M258" s="448"/>
      <c r="N258" s="448"/>
      <c r="O258" s="448"/>
      <c r="P258" s="448"/>
      <c r="Q258" s="448"/>
      <c r="R258" s="448"/>
      <c r="S258" s="448"/>
      <c r="T258" s="448"/>
      <c r="U258" s="448"/>
      <c r="V258" s="448"/>
    </row>
    <row r="259">
      <c r="A259" s="257" t="s">
        <v>1746</v>
      </c>
      <c r="B259" s="257" t="s">
        <v>702</v>
      </c>
      <c r="C259" s="257">
        <v>0.9</v>
      </c>
      <c r="D259" s="257">
        <v>1.68</v>
      </c>
      <c r="E259" s="592">
        <v>5.75E-10</v>
      </c>
      <c r="F259" s="448"/>
      <c r="G259" s="448"/>
      <c r="H259" s="448"/>
      <c r="I259" s="448"/>
      <c r="J259" s="448"/>
      <c r="K259" s="448"/>
      <c r="L259" s="448"/>
      <c r="M259" s="448"/>
      <c r="N259" s="448"/>
      <c r="O259" s="448"/>
      <c r="P259" s="448"/>
      <c r="Q259" s="448"/>
      <c r="R259" s="448"/>
      <c r="S259" s="448"/>
      <c r="T259" s="448"/>
      <c r="U259" s="448"/>
      <c r="V259" s="448"/>
    </row>
    <row r="260">
      <c r="A260" s="257" t="s">
        <v>416</v>
      </c>
      <c r="B260" s="257" t="s">
        <v>352</v>
      </c>
      <c r="C260" s="257">
        <v>0.26</v>
      </c>
      <c r="D260" s="257">
        <v>1.12</v>
      </c>
      <c r="E260" s="592">
        <v>1.07E-9</v>
      </c>
      <c r="F260" s="592">
        <v>5.4665389565371E24</v>
      </c>
      <c r="G260" s="592">
        <v>7.69900687088411E24</v>
      </c>
      <c r="H260" s="592"/>
      <c r="I260" s="592">
        <v>6.58277291371061E24</v>
      </c>
      <c r="J260" s="592">
        <v>2.44884470869318E-9</v>
      </c>
      <c r="K260" s="592">
        <v>3.44892305494522E-9</v>
      </c>
      <c r="L260" s="592"/>
      <c r="M260" s="592">
        <v>2.9488838818192E-9</v>
      </c>
      <c r="N260" s="448"/>
      <c r="O260" s="448"/>
      <c r="P260" s="448"/>
      <c r="Q260" s="448"/>
      <c r="R260" s="448"/>
      <c r="S260" s="448"/>
      <c r="T260" s="448"/>
      <c r="U260" s="448"/>
      <c r="V260" s="448"/>
    </row>
    <row r="261">
      <c r="A261" s="257" t="s">
        <v>416</v>
      </c>
      <c r="B261" s="257" t="s">
        <v>702</v>
      </c>
      <c r="C261" s="257">
        <v>0.35</v>
      </c>
      <c r="D261" s="257">
        <v>1.04</v>
      </c>
      <c r="E261" s="592">
        <v>2.51E-9</v>
      </c>
      <c r="F261" s="448"/>
      <c r="G261" s="448"/>
      <c r="H261" s="448"/>
      <c r="I261" s="448"/>
      <c r="J261" s="448"/>
      <c r="K261" s="448"/>
      <c r="L261" s="448"/>
      <c r="M261" s="448"/>
      <c r="N261" s="448"/>
      <c r="O261" s="448"/>
      <c r="P261" s="448"/>
      <c r="Q261" s="448"/>
      <c r="R261" s="448"/>
      <c r="S261" s="448"/>
      <c r="T261" s="448"/>
      <c r="U261" s="448"/>
      <c r="V261" s="448"/>
    </row>
    <row r="262">
      <c r="A262" s="257" t="s">
        <v>1739</v>
      </c>
      <c r="B262" s="257" t="s">
        <v>702</v>
      </c>
      <c r="C262" s="257">
        <v>0.7</v>
      </c>
      <c r="D262" s="257">
        <v>2.06</v>
      </c>
      <c r="E262" s="592">
        <v>8.51E-10</v>
      </c>
      <c r="F262" s="448"/>
      <c r="G262" s="448"/>
      <c r="H262" s="448"/>
      <c r="I262" s="448"/>
      <c r="J262" s="448"/>
      <c r="K262" s="448"/>
      <c r="L262" s="448"/>
      <c r="M262" s="448"/>
      <c r="N262" s="448"/>
      <c r="O262" s="448"/>
      <c r="P262" s="448"/>
      <c r="Q262" s="448"/>
      <c r="R262" s="448"/>
      <c r="S262" s="448"/>
      <c r="T262" s="448"/>
      <c r="U262" s="448"/>
      <c r="V262" s="448"/>
    </row>
    <row r="263">
      <c r="A263" s="257" t="s">
        <v>1705</v>
      </c>
      <c r="B263" s="257" t="s">
        <v>702</v>
      </c>
      <c r="C263" s="257">
        <v>0.3</v>
      </c>
      <c r="D263" s="257">
        <v>1.37</v>
      </c>
      <c r="E263" s="592">
        <v>4.07E-10</v>
      </c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448"/>
      <c r="S263" s="448"/>
      <c r="T263" s="448"/>
      <c r="U263" s="448"/>
      <c r="V263" s="448"/>
    </row>
    <row r="264">
      <c r="A264" s="257" t="s">
        <v>2001</v>
      </c>
      <c r="B264" s="257" t="s">
        <v>702</v>
      </c>
      <c r="C264" s="257">
        <v>1.0</v>
      </c>
      <c r="D264" s="257">
        <v>1.37</v>
      </c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</row>
    <row r="265">
      <c r="A265" s="257" t="s">
        <v>372</v>
      </c>
      <c r="B265" s="257" t="s">
        <v>248</v>
      </c>
      <c r="C265" s="257">
        <v>0.12</v>
      </c>
      <c r="D265" s="257">
        <v>1.0</v>
      </c>
      <c r="E265" s="592">
        <v>5.01E-11</v>
      </c>
      <c r="F265" s="448"/>
      <c r="G265" s="448"/>
      <c r="H265" s="448"/>
      <c r="I265" s="448"/>
      <c r="J265" s="448"/>
      <c r="K265" s="448"/>
      <c r="L265" s="448"/>
      <c r="M265" s="448"/>
      <c r="N265" s="448"/>
      <c r="O265" s="448"/>
      <c r="P265" s="448"/>
      <c r="Q265" s="448"/>
      <c r="R265" s="448"/>
      <c r="S265" s="448"/>
      <c r="T265" s="448"/>
      <c r="U265" s="448"/>
      <c r="V265" s="448"/>
    </row>
    <row r="266">
      <c r="A266" s="257" t="s">
        <v>444</v>
      </c>
      <c r="B266" s="257" t="s">
        <v>413</v>
      </c>
      <c r="C266" s="257">
        <v>0.522</v>
      </c>
      <c r="D266" s="257">
        <v>1.44</v>
      </c>
      <c r="E266" s="592">
        <v>8.0E-10</v>
      </c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448"/>
      <c r="S266" s="448"/>
      <c r="T266" s="448"/>
      <c r="U266" s="448"/>
      <c r="V266" s="448"/>
    </row>
    <row r="267">
      <c r="A267" s="257" t="s">
        <v>545</v>
      </c>
      <c r="B267" s="257" t="s">
        <v>476</v>
      </c>
      <c r="C267" s="257">
        <v>0.26</v>
      </c>
      <c r="D267" s="257">
        <v>1.59</v>
      </c>
      <c r="E267" s="592">
        <v>3.09E-10</v>
      </c>
      <c r="F267" s="448"/>
      <c r="G267" s="448"/>
      <c r="H267" s="448"/>
      <c r="I267" s="448"/>
      <c r="J267" s="448"/>
      <c r="K267" s="448"/>
      <c r="L267" s="448"/>
      <c r="M267" s="448"/>
      <c r="N267" s="448"/>
      <c r="O267" s="448"/>
      <c r="P267" s="448"/>
      <c r="Q267" s="448"/>
      <c r="R267" s="448"/>
      <c r="S267" s="448"/>
      <c r="T267" s="448"/>
      <c r="U267" s="448"/>
      <c r="V267" s="448"/>
    </row>
    <row r="268">
      <c r="A268" s="257" t="s">
        <v>1394</v>
      </c>
      <c r="B268" s="257" t="s">
        <v>160</v>
      </c>
      <c r="C268" s="257">
        <v>0.3019952</v>
      </c>
      <c r="D268" s="257">
        <v>2.23</v>
      </c>
      <c r="E268" s="592">
        <v>6.03E-9</v>
      </c>
      <c r="F268" s="592"/>
      <c r="G268" s="592">
        <v>8.97870683805536E24</v>
      </c>
      <c r="H268" s="592"/>
      <c r="I268" s="592">
        <v>8.97870683805536E24</v>
      </c>
      <c r="J268" s="592"/>
      <c r="K268" s="592">
        <v>6.89481690978028E-9</v>
      </c>
      <c r="L268" s="592"/>
      <c r="M268" s="592">
        <v>6.89481690978028E-9</v>
      </c>
      <c r="N268" s="448"/>
      <c r="O268" s="448"/>
      <c r="P268" s="448"/>
      <c r="Q268" s="448"/>
      <c r="R268" s="448"/>
      <c r="S268" s="448"/>
      <c r="T268" s="448"/>
      <c r="U268" s="448"/>
      <c r="V268" s="448"/>
    </row>
    <row r="269">
      <c r="A269" s="257" t="s">
        <v>1394</v>
      </c>
      <c r="B269" s="257" t="s">
        <v>1309</v>
      </c>
      <c r="C269" s="257">
        <v>0.4</v>
      </c>
      <c r="D269" s="257">
        <v>1.67</v>
      </c>
      <c r="E269" s="592">
        <v>1.86E-9</v>
      </c>
      <c r="F269" s="592"/>
      <c r="G269" s="592"/>
      <c r="H269" s="592">
        <v>3.88481659684004E24</v>
      </c>
      <c r="I269" s="592">
        <v>3.88481659684004E24</v>
      </c>
      <c r="J269" s="592"/>
      <c r="K269" s="592"/>
      <c r="L269" s="592">
        <v>1.68667389687153E-9</v>
      </c>
      <c r="M269" s="592">
        <v>1.68667389687153E-9</v>
      </c>
      <c r="N269" s="448"/>
      <c r="O269" s="448"/>
      <c r="P269" s="448"/>
      <c r="Q269" s="448"/>
      <c r="R269" s="448"/>
      <c r="S269" s="448"/>
      <c r="T269" s="448"/>
      <c r="U269" s="448"/>
      <c r="V269" s="448"/>
    </row>
    <row r="270">
      <c r="A270" s="257" t="s">
        <v>1319</v>
      </c>
      <c r="B270" s="257" t="s">
        <v>1309</v>
      </c>
      <c r="C270" s="257">
        <v>0.058417</v>
      </c>
      <c r="D270" s="257">
        <v>0.43</v>
      </c>
      <c r="E270" s="592">
        <v>2.04E-10</v>
      </c>
      <c r="F270" s="592"/>
      <c r="G270" s="592">
        <v>2.36699501884061E22</v>
      </c>
      <c r="H270" s="592">
        <v>1.5324865094369E23</v>
      </c>
      <c r="I270" s="592">
        <v>8.84593005660484E22</v>
      </c>
      <c r="J270" s="592"/>
      <c r="K270" s="592">
        <v>1.81188518105842E-11</v>
      </c>
      <c r="L270" s="592">
        <v>1.17308637091291E-10</v>
      </c>
      <c r="M270" s="592">
        <v>6.77137444509379E-11</v>
      </c>
      <c r="N270" s="448"/>
      <c r="O270" s="448"/>
      <c r="P270" s="448"/>
      <c r="Q270" s="448"/>
      <c r="R270" s="448"/>
      <c r="S270" s="448"/>
      <c r="T270" s="448"/>
      <c r="U270" s="448"/>
      <c r="V270" s="448"/>
    </row>
    <row r="271">
      <c r="A271" s="257" t="s">
        <v>1319</v>
      </c>
      <c r="B271" s="257" t="s">
        <v>754</v>
      </c>
      <c r="C271" s="257">
        <v>0.058417</v>
      </c>
      <c r="D271" s="257">
        <v>0.43</v>
      </c>
      <c r="E271" s="592">
        <v>1.41E-10</v>
      </c>
      <c r="F271" s="592">
        <v>2.92264267307028E23</v>
      </c>
      <c r="G271" s="592">
        <v>1.44146815894983E23</v>
      </c>
      <c r="H271" s="592">
        <v>2.82371522238058E23</v>
      </c>
      <c r="I271" s="592">
        <v>2.39594201813356E23</v>
      </c>
      <c r="J271" s="592">
        <v>2.23722183896222E-10</v>
      </c>
      <c r="K271" s="592">
        <v>1.10341372727013E-10</v>
      </c>
      <c r="L271" s="592">
        <v>2.16149494453371E-10</v>
      </c>
      <c r="M271" s="592">
        <v>1.83404350358869E-10</v>
      </c>
      <c r="N271" s="448"/>
      <c r="O271" s="448"/>
      <c r="P271" s="448"/>
      <c r="Q271" s="448"/>
      <c r="R271" s="448"/>
      <c r="S271" s="448"/>
      <c r="T271" s="448"/>
      <c r="U271" s="448"/>
      <c r="V271" s="448"/>
    </row>
    <row r="272">
      <c r="A272" s="257" t="s">
        <v>1319</v>
      </c>
      <c r="B272" s="257" t="s">
        <v>269</v>
      </c>
      <c r="C272" s="257">
        <v>0.058417</v>
      </c>
      <c r="D272" s="257">
        <v>0.43</v>
      </c>
      <c r="E272" s="592">
        <v>7.94E-11</v>
      </c>
      <c r="F272" s="592"/>
      <c r="G272" s="592">
        <v>2.86328445668172E22</v>
      </c>
      <c r="H272" s="592"/>
      <c r="I272" s="592">
        <v>2.86328445668172E22</v>
      </c>
      <c r="J272" s="592"/>
      <c r="K272" s="592">
        <v>2.19178436579798E-11</v>
      </c>
      <c r="L272" s="592"/>
      <c r="M272" s="592">
        <v>2.19178436579798E-11</v>
      </c>
      <c r="N272" s="448"/>
      <c r="O272" s="448"/>
      <c r="P272" s="448"/>
      <c r="Q272" s="448"/>
      <c r="R272" s="448"/>
      <c r="S272" s="448"/>
      <c r="T272" s="448"/>
      <c r="U272" s="448"/>
      <c r="V272" s="448"/>
    </row>
    <row r="273">
      <c r="A273" s="257" t="s">
        <v>1319</v>
      </c>
      <c r="B273" s="257" t="s">
        <v>160</v>
      </c>
      <c r="C273" s="257">
        <v>0.058417</v>
      </c>
      <c r="D273" s="257">
        <v>0.43</v>
      </c>
      <c r="E273" s="592">
        <v>1.17E-10</v>
      </c>
      <c r="F273" s="592"/>
      <c r="G273" s="592">
        <v>1.65983338577829E23</v>
      </c>
      <c r="H273" s="592"/>
      <c r="I273" s="592">
        <v>1.65983338577829E23</v>
      </c>
      <c r="J273" s="592"/>
      <c r="K273" s="592">
        <v>1.27056774128354E-10</v>
      </c>
      <c r="L273" s="592"/>
      <c r="M273" s="592">
        <v>1.27056774128354E-10</v>
      </c>
      <c r="N273" s="448"/>
      <c r="O273" s="448"/>
      <c r="P273" s="448"/>
      <c r="Q273" s="448"/>
      <c r="R273" s="448"/>
      <c r="S273" s="448"/>
      <c r="T273" s="448"/>
      <c r="U273" s="448"/>
      <c r="V273" s="448"/>
    </row>
    <row r="274">
      <c r="A274" s="257" t="s">
        <v>636</v>
      </c>
      <c r="B274" s="257" t="s">
        <v>754</v>
      </c>
      <c r="C274" s="257">
        <v>0.047607</v>
      </c>
      <c r="D274" s="257">
        <v>0.54</v>
      </c>
      <c r="E274" s="592">
        <v>3.24E-11</v>
      </c>
      <c r="F274" s="592">
        <v>8.91612669681373E22</v>
      </c>
      <c r="G274" s="592">
        <v>4.54771359380032E22</v>
      </c>
      <c r="H274" s="592"/>
      <c r="I274" s="592">
        <v>6.73192014530702E22</v>
      </c>
      <c r="J274" s="592">
        <v>1.05172766907909E-10</v>
      </c>
      <c r="K274" s="592">
        <v>5.3643879010335E-11</v>
      </c>
      <c r="L274" s="592"/>
      <c r="M274" s="592">
        <v>7.94083229591225E-11</v>
      </c>
      <c r="N274" s="448"/>
      <c r="O274" s="448"/>
      <c r="P274" s="448"/>
      <c r="Q274" s="448"/>
      <c r="R274" s="448"/>
      <c r="S274" s="448"/>
      <c r="T274" s="448"/>
      <c r="U274" s="448"/>
      <c r="V274" s="448"/>
    </row>
    <row r="275">
      <c r="A275" s="257" t="s">
        <v>636</v>
      </c>
      <c r="B275" s="257" t="s">
        <v>269</v>
      </c>
      <c r="C275" s="257">
        <v>0.047607</v>
      </c>
      <c r="D275" s="257">
        <v>0.54</v>
      </c>
      <c r="E275" s="592">
        <v>3.16E-11</v>
      </c>
      <c r="F275" s="592">
        <v>1.79317935994588E22</v>
      </c>
      <c r="G275" s="592">
        <v>1.00653086464766E23</v>
      </c>
      <c r="H275" s="592"/>
      <c r="I275" s="592">
        <v>5.92924400321124E22</v>
      </c>
      <c r="J275" s="592">
        <v>2.11519689278371E-11</v>
      </c>
      <c r="K275" s="592">
        <v>1.18728276989419E-10</v>
      </c>
      <c r="L275" s="592"/>
      <c r="M275" s="592">
        <v>6.99401229586281E-11</v>
      </c>
      <c r="N275" s="448"/>
      <c r="O275" s="448"/>
      <c r="P275" s="448"/>
      <c r="Q275" s="448"/>
      <c r="R275" s="448"/>
      <c r="S275" s="448"/>
      <c r="T275" s="448"/>
      <c r="U275" s="448"/>
      <c r="V275" s="448"/>
    </row>
    <row r="276">
      <c r="A276" s="257" t="s">
        <v>636</v>
      </c>
      <c r="B276" s="257" t="s">
        <v>160</v>
      </c>
      <c r="C276" s="257">
        <v>0.047607</v>
      </c>
      <c r="D276" s="257">
        <v>0.54</v>
      </c>
      <c r="E276" s="592">
        <v>2.88E-11</v>
      </c>
      <c r="F276" s="592"/>
      <c r="G276" s="592">
        <v>1.00653086464766E23</v>
      </c>
      <c r="H276" s="592"/>
      <c r="I276" s="592">
        <v>1.00653086464766E23</v>
      </c>
      <c r="J276" s="592"/>
      <c r="K276" s="592">
        <v>1.18728276989419E-10</v>
      </c>
      <c r="L276" s="592"/>
      <c r="M276" s="592">
        <v>1.18728276989419E-10</v>
      </c>
      <c r="N276" s="448"/>
      <c r="O276" s="448"/>
      <c r="P276" s="448"/>
      <c r="Q276" s="448"/>
      <c r="R276" s="448"/>
      <c r="S276" s="448"/>
      <c r="T276" s="448"/>
      <c r="U276" s="448"/>
      <c r="V276" s="448"/>
    </row>
    <row r="277">
      <c r="A277" s="257" t="s">
        <v>636</v>
      </c>
      <c r="B277" s="257" t="s">
        <v>754</v>
      </c>
      <c r="C277" s="257">
        <v>0.047607</v>
      </c>
      <c r="D277" s="257">
        <v>0.54</v>
      </c>
      <c r="E277" s="592">
        <v>3.24E-11</v>
      </c>
      <c r="F277" s="592">
        <v>8.91612669681373E22</v>
      </c>
      <c r="G277" s="592">
        <v>4.54771359380032E22</v>
      </c>
      <c r="H277" s="592"/>
      <c r="I277" s="592">
        <v>6.73192014530702E22</v>
      </c>
      <c r="J277" s="592">
        <v>1.05172766907909E-10</v>
      </c>
      <c r="K277" s="592">
        <v>5.3643879010335E-11</v>
      </c>
      <c r="L277" s="592"/>
      <c r="M277" s="592">
        <v>7.94083229591225E-11</v>
      </c>
      <c r="N277" s="448"/>
      <c r="O277" s="448"/>
      <c r="P277" s="448"/>
      <c r="Q277" s="448"/>
      <c r="R277" s="448"/>
      <c r="S277" s="448"/>
      <c r="T277" s="448"/>
      <c r="U277" s="448"/>
      <c r="V277" s="448"/>
    </row>
    <row r="278">
      <c r="A278" s="257" t="s">
        <v>214</v>
      </c>
      <c r="B278" s="257" t="s">
        <v>215</v>
      </c>
      <c r="C278" s="257">
        <v>0.047607</v>
      </c>
      <c r="D278" s="257">
        <v>0.64</v>
      </c>
      <c r="E278" s="592">
        <v>9.5E-10</v>
      </c>
      <c r="F278" s="448"/>
      <c r="G278" s="448"/>
      <c r="H278" s="448"/>
      <c r="I278" s="448"/>
      <c r="J278" s="448"/>
      <c r="K278" s="448"/>
      <c r="L278" s="448"/>
      <c r="M278" s="448"/>
      <c r="N278" s="448"/>
      <c r="O278" s="448"/>
      <c r="P278" s="448"/>
      <c r="Q278" s="448"/>
      <c r="R278" s="448"/>
      <c r="S278" s="448"/>
      <c r="T278" s="448"/>
      <c r="U278" s="448"/>
      <c r="V278" s="448"/>
    </row>
    <row r="279">
      <c r="A279" s="257" t="s">
        <v>214</v>
      </c>
      <c r="B279" s="257" t="s">
        <v>1309</v>
      </c>
      <c r="C279" s="257">
        <v>0.047607</v>
      </c>
      <c r="D279" s="257">
        <v>0.64</v>
      </c>
      <c r="E279" s="592">
        <v>1.48E-11</v>
      </c>
      <c r="F279" s="448"/>
      <c r="G279" s="448"/>
      <c r="H279" s="448"/>
      <c r="I279" s="448"/>
      <c r="J279" s="448"/>
      <c r="K279" s="448"/>
      <c r="L279" s="448"/>
      <c r="M279" s="448"/>
      <c r="N279" s="448"/>
      <c r="O279" s="448"/>
      <c r="P279" s="448"/>
      <c r="Q279" s="448"/>
      <c r="R279" s="448"/>
      <c r="S279" s="448"/>
      <c r="T279" s="448"/>
      <c r="U279" s="448"/>
      <c r="V279" s="448"/>
    </row>
    <row r="280">
      <c r="A280" s="257" t="s">
        <v>214</v>
      </c>
      <c r="B280" s="257" t="s">
        <v>754</v>
      </c>
      <c r="C280" s="257">
        <v>0.047607</v>
      </c>
      <c r="D280" s="257">
        <v>0.64</v>
      </c>
      <c r="E280" s="592">
        <v>2.0E-11</v>
      </c>
      <c r="F280" s="592">
        <v>2.81854936280315E22</v>
      </c>
      <c r="G280" s="592"/>
      <c r="H280" s="592"/>
      <c r="I280" s="592">
        <v>2.81854936280315E22</v>
      </c>
      <c r="J280" s="592">
        <v>3.94038745640649E-11</v>
      </c>
      <c r="K280" s="592"/>
      <c r="L280" s="592"/>
      <c r="M280" s="592">
        <v>3.94038745640649E-11</v>
      </c>
      <c r="N280" s="448"/>
      <c r="O280" s="448"/>
      <c r="P280" s="448"/>
      <c r="Q280" s="448"/>
      <c r="R280" s="448"/>
      <c r="S280" s="448"/>
      <c r="T280" s="448"/>
      <c r="U280" s="448"/>
      <c r="V280" s="448"/>
    </row>
    <row r="281">
      <c r="A281" s="257" t="s">
        <v>214</v>
      </c>
      <c r="B281" s="257" t="s">
        <v>160</v>
      </c>
      <c r="C281" s="257">
        <v>0.047607</v>
      </c>
      <c r="D281" s="257">
        <v>0.64</v>
      </c>
      <c r="E281" s="592">
        <v>1.55E-12</v>
      </c>
      <c r="F281" s="592"/>
      <c r="G281" s="592">
        <v>3.93640733404756E21</v>
      </c>
      <c r="H281" s="592"/>
      <c r="I281" s="592">
        <v>3.93640733404756E21</v>
      </c>
      <c r="J281" s="592"/>
      <c r="K281" s="592">
        <v>5.50317489098765E-12</v>
      </c>
      <c r="L281" s="592"/>
      <c r="M281" s="592">
        <v>5.50317489098765E-12</v>
      </c>
      <c r="N281" s="448"/>
      <c r="O281" s="448"/>
      <c r="P281" s="448"/>
      <c r="Q281" s="448"/>
      <c r="R281" s="448"/>
      <c r="S281" s="448"/>
      <c r="T281" s="448"/>
      <c r="U281" s="448"/>
      <c r="V281" s="448"/>
    </row>
    <row r="282">
      <c r="A282" s="257" t="s">
        <v>1967</v>
      </c>
      <c r="B282" s="257" t="s">
        <v>160</v>
      </c>
      <c r="C282" s="257">
        <v>0.0870963999999999</v>
      </c>
      <c r="D282" s="257">
        <v>1.16</v>
      </c>
      <c r="E282" s="448"/>
      <c r="F282" s="448"/>
      <c r="G282" s="448"/>
      <c r="H282" s="448"/>
      <c r="I282" s="448"/>
      <c r="J282" s="448"/>
      <c r="K282" s="448"/>
      <c r="L282" s="448"/>
      <c r="M282" s="448"/>
      <c r="N282" s="448"/>
      <c r="O282" s="448"/>
      <c r="P282" s="448"/>
      <c r="Q282" s="448"/>
      <c r="R282" s="448"/>
      <c r="S282" s="448"/>
      <c r="T282" s="448"/>
      <c r="U282" s="448"/>
      <c r="V282" s="448"/>
    </row>
    <row r="283">
      <c r="A283" s="257" t="s">
        <v>1475</v>
      </c>
      <c r="B283" s="257" t="s">
        <v>160</v>
      </c>
      <c r="C283" s="257">
        <v>1.1220185</v>
      </c>
      <c r="D283" s="257">
        <v>3.71</v>
      </c>
      <c r="E283" s="592">
        <v>6.17E-9</v>
      </c>
      <c r="F283" s="592"/>
      <c r="G283" s="592">
        <v>1.73307560250077E25</v>
      </c>
      <c r="H283" s="592"/>
      <c r="I283" s="592">
        <v>1.73307560250077E25</v>
      </c>
      <c r="J283" s="592"/>
      <c r="K283" s="592">
        <v>5.95930377245403E-9</v>
      </c>
      <c r="L283" s="592"/>
      <c r="M283" s="592">
        <v>5.95930377245403E-9</v>
      </c>
      <c r="N283" s="448"/>
      <c r="O283" s="448"/>
      <c r="P283" s="448"/>
      <c r="Q283" s="448"/>
      <c r="R283" s="448"/>
      <c r="S283" s="448"/>
      <c r="T283" s="448"/>
      <c r="U283" s="448"/>
      <c r="V283" s="448"/>
    </row>
    <row r="284">
      <c r="A284" s="257" t="s">
        <v>1350</v>
      </c>
      <c r="B284" s="257" t="s">
        <v>160</v>
      </c>
      <c r="C284" s="257">
        <v>0.1318257</v>
      </c>
      <c r="D284" s="257">
        <v>1.56</v>
      </c>
      <c r="E284" s="592">
        <v>1.95E-9</v>
      </c>
      <c r="F284" s="592"/>
      <c r="G284" s="592">
        <v>1.80771283018627E24</v>
      </c>
      <c r="H284" s="592"/>
      <c r="I284" s="592">
        <v>1.80771283018627E24</v>
      </c>
      <c r="J284" s="592"/>
      <c r="K284" s="592">
        <v>2.22463146809189E-9</v>
      </c>
      <c r="L284" s="592"/>
      <c r="M284" s="592">
        <v>2.22463146809189E-9</v>
      </c>
      <c r="N284" s="448"/>
      <c r="O284" s="448"/>
      <c r="P284" s="448"/>
      <c r="Q284" s="448"/>
      <c r="R284" s="448"/>
      <c r="S284" s="448"/>
      <c r="T284" s="448"/>
      <c r="U284" s="448"/>
      <c r="V284" s="448"/>
    </row>
    <row r="285">
      <c r="A285" s="257" t="s">
        <v>1350</v>
      </c>
      <c r="B285" s="257" t="s">
        <v>1309</v>
      </c>
      <c r="C285" s="257">
        <v>0.7</v>
      </c>
      <c r="D285" s="257">
        <v>0.71</v>
      </c>
      <c r="E285" s="592">
        <v>2.45E-10</v>
      </c>
      <c r="F285" s="592"/>
      <c r="G285" s="592">
        <v>6.03760769693459E22</v>
      </c>
      <c r="H285" s="592">
        <v>4.19627751689905E23</v>
      </c>
      <c r="I285" s="592">
        <v>2.40001914329625E23</v>
      </c>
      <c r="J285" s="592"/>
      <c r="K285" s="592">
        <v>6.36838517746923E-12</v>
      </c>
      <c r="L285" s="592">
        <v>4.42617554511455E-11</v>
      </c>
      <c r="M285" s="592">
        <v>2.53150703143073E-11</v>
      </c>
      <c r="N285" s="448"/>
      <c r="O285" s="448"/>
      <c r="P285" s="448"/>
      <c r="Q285" s="448"/>
      <c r="R285" s="448"/>
      <c r="S285" s="448"/>
      <c r="T285" s="448"/>
      <c r="U285" s="448"/>
      <c r="V285" s="448"/>
    </row>
    <row r="286">
      <c r="A286" s="257" t="s">
        <v>1350</v>
      </c>
      <c r="B286" s="257" t="s">
        <v>754</v>
      </c>
      <c r="C286" s="257">
        <v>1.02</v>
      </c>
      <c r="D286" s="257">
        <v>1.31</v>
      </c>
      <c r="E286" s="592">
        <v>3.24E-9</v>
      </c>
      <c r="F286" s="592">
        <v>2.07086607148703E26</v>
      </c>
      <c r="G286" s="592">
        <v>1.53310737559015E25</v>
      </c>
      <c r="H286" s="592"/>
      <c r="I286" s="592">
        <v>1.11208840452302E26</v>
      </c>
      <c r="J286" s="592">
        <v>2.7658413185347E-8</v>
      </c>
      <c r="K286" s="592">
        <v>2.04761272761239E-9</v>
      </c>
      <c r="L286" s="592"/>
      <c r="M286" s="592">
        <v>1.48530129564797E-8</v>
      </c>
      <c r="N286" s="448"/>
      <c r="O286" s="448"/>
      <c r="P286" s="448"/>
      <c r="Q286" s="448"/>
      <c r="R286" s="448"/>
      <c r="S286" s="448"/>
      <c r="T286" s="448"/>
      <c r="U286" s="448"/>
      <c r="V286" s="448"/>
    </row>
    <row r="287">
      <c r="A287" s="257" t="s">
        <v>1425</v>
      </c>
      <c r="B287" s="257" t="s">
        <v>160</v>
      </c>
      <c r="C287" s="257">
        <v>0.489778799999999</v>
      </c>
      <c r="D287" s="257">
        <v>2.68</v>
      </c>
      <c r="E287" s="592">
        <v>5.75E-10</v>
      </c>
      <c r="F287" s="592"/>
      <c r="G287" s="592">
        <v>1.9596281167216E24</v>
      </c>
      <c r="H287" s="592"/>
      <c r="I287" s="592">
        <v>1.9596281167216E24</v>
      </c>
      <c r="J287" s="592"/>
      <c r="K287" s="592">
        <v>1.11509687002797E-9</v>
      </c>
      <c r="L287" s="592"/>
      <c r="M287" s="592">
        <v>1.11509687002797E-9</v>
      </c>
      <c r="N287" s="448"/>
      <c r="O287" s="448"/>
      <c r="P287" s="448"/>
      <c r="Q287" s="448"/>
      <c r="R287" s="448"/>
      <c r="S287" s="448"/>
      <c r="T287" s="448"/>
      <c r="U287" s="448"/>
      <c r="V287" s="448"/>
    </row>
    <row r="288">
      <c r="A288" s="257" t="s">
        <v>1478</v>
      </c>
      <c r="B288" s="257" t="s">
        <v>160</v>
      </c>
      <c r="C288" s="257">
        <v>1.34896289999999</v>
      </c>
      <c r="D288" s="257">
        <v>3.93</v>
      </c>
      <c r="E288" s="592">
        <v>5.13E-9</v>
      </c>
      <c r="F288" s="592"/>
      <c r="G288" s="592">
        <v>1.55450539062554E25</v>
      </c>
      <c r="H288" s="592"/>
      <c r="I288" s="592">
        <v>1.55450539062554E25</v>
      </c>
      <c r="J288" s="592"/>
      <c r="K288" s="592">
        <v>4.70965289726349E-9</v>
      </c>
      <c r="L288" s="592"/>
      <c r="M288" s="592">
        <v>4.70965289726349E-9</v>
      </c>
      <c r="N288" s="448"/>
      <c r="O288" s="448"/>
      <c r="P288" s="448"/>
      <c r="Q288" s="448"/>
      <c r="R288" s="448"/>
      <c r="S288" s="448"/>
      <c r="T288" s="448"/>
      <c r="U288" s="448"/>
      <c r="V288" s="448"/>
    </row>
    <row r="289">
      <c r="A289" s="257" t="s">
        <v>1463</v>
      </c>
      <c r="B289" s="257" t="s">
        <v>160</v>
      </c>
      <c r="C289" s="257">
        <v>0.851138</v>
      </c>
      <c r="D289" s="257">
        <v>3.38</v>
      </c>
      <c r="E289" s="592">
        <v>2.13999999999999E-7</v>
      </c>
      <c r="F289" s="592"/>
      <c r="G289" s="592">
        <v>2.17395240800912E26</v>
      </c>
      <c r="H289" s="592"/>
      <c r="I289" s="592">
        <v>2.17395240800912E26</v>
      </c>
      <c r="J289" s="592"/>
      <c r="K289" s="592">
        <v>8.97781962355024E-8</v>
      </c>
      <c r="L289" s="592"/>
      <c r="M289" s="592">
        <v>8.97781962355024E-8</v>
      </c>
      <c r="N289" s="448"/>
      <c r="O289" s="448"/>
      <c r="P289" s="448"/>
      <c r="Q289" s="448"/>
      <c r="R289" s="448"/>
      <c r="S289" s="448"/>
      <c r="T289" s="448"/>
      <c r="U289" s="448"/>
      <c r="V289" s="448"/>
    </row>
    <row r="290">
      <c r="A290" s="257" t="s">
        <v>1357</v>
      </c>
      <c r="B290" s="257" t="s">
        <v>160</v>
      </c>
      <c r="C290" s="257">
        <v>0.147910799999999</v>
      </c>
      <c r="D290" s="257">
        <v>1.71</v>
      </c>
      <c r="E290" s="592">
        <v>1.05E-10</v>
      </c>
      <c r="F290" s="592"/>
      <c r="G290" s="592">
        <v>1.86379611156624E23</v>
      </c>
      <c r="H290" s="592"/>
      <c r="I290" s="592">
        <v>1.86379611156624E23</v>
      </c>
      <c r="J290" s="592"/>
      <c r="K290" s="592">
        <v>2.24077757320186E-10</v>
      </c>
      <c r="L290" s="592"/>
      <c r="M290" s="592">
        <v>2.24077757320186E-10</v>
      </c>
      <c r="N290" s="448"/>
      <c r="O290" s="448"/>
      <c r="P290" s="448"/>
      <c r="Q290" s="448"/>
      <c r="R290" s="448"/>
      <c r="S290" s="448"/>
      <c r="T290" s="448"/>
      <c r="U290" s="448"/>
      <c r="V290" s="448"/>
    </row>
    <row r="291">
      <c r="A291" s="257" t="s">
        <v>1405</v>
      </c>
      <c r="B291" s="257" t="s">
        <v>160</v>
      </c>
      <c r="C291" s="257">
        <v>0.3630781</v>
      </c>
      <c r="D291" s="257">
        <v>2.39</v>
      </c>
      <c r="E291" s="592">
        <v>1.95E-9</v>
      </c>
      <c r="F291" s="592"/>
      <c r="G291" s="592">
        <v>2.99998395095051E24</v>
      </c>
      <c r="H291" s="592"/>
      <c r="I291" s="592">
        <v>2.99998395095051E24</v>
      </c>
      <c r="J291" s="592"/>
      <c r="K291" s="592">
        <v>2.05362386091796E-9</v>
      </c>
      <c r="L291" s="592"/>
      <c r="M291" s="592">
        <v>2.05362386091796E-9</v>
      </c>
      <c r="N291" s="448"/>
      <c r="O291" s="448"/>
      <c r="P291" s="448"/>
      <c r="Q291" s="448"/>
      <c r="R291" s="448"/>
      <c r="S291" s="448"/>
      <c r="T291" s="448"/>
      <c r="U291" s="448"/>
      <c r="V291" s="448"/>
    </row>
    <row r="292">
      <c r="A292" s="257" t="s">
        <v>1385</v>
      </c>
      <c r="B292" s="257" t="s">
        <v>160</v>
      </c>
      <c r="C292" s="257">
        <v>0.2754229</v>
      </c>
      <c r="D292" s="257">
        <v>2.18</v>
      </c>
      <c r="E292" s="592">
        <v>8.13E-10</v>
      </c>
      <c r="F292" s="592"/>
      <c r="G292" s="592">
        <v>1.29774541875129E24</v>
      </c>
      <c r="H292" s="592"/>
      <c r="I292" s="592">
        <v>1.29774541875129E24</v>
      </c>
      <c r="J292" s="592"/>
      <c r="K292" s="592">
        <v>1.06819385373552E-9</v>
      </c>
      <c r="L292" s="592"/>
      <c r="M292" s="592">
        <v>1.06819385373552E-9</v>
      </c>
      <c r="N292" s="448"/>
      <c r="O292" s="448"/>
      <c r="P292" s="448"/>
      <c r="Q292" s="448"/>
      <c r="R292" s="448"/>
      <c r="S292" s="448"/>
      <c r="T292" s="448"/>
      <c r="U292" s="448"/>
      <c r="V292" s="448"/>
    </row>
    <row r="293">
      <c r="A293" s="257" t="s">
        <v>1384</v>
      </c>
      <c r="B293" s="257" t="s">
        <v>160</v>
      </c>
      <c r="C293" s="257">
        <v>0.2691535</v>
      </c>
      <c r="D293" s="257">
        <v>2.16</v>
      </c>
      <c r="E293" s="592">
        <v>5.75E-8</v>
      </c>
      <c r="F293" s="592"/>
      <c r="G293" s="592">
        <v>3.3344828466139E25</v>
      </c>
      <c r="H293" s="592"/>
      <c r="I293" s="592">
        <v>3.3344828466139E25</v>
      </c>
      <c r="J293" s="592"/>
      <c r="K293" s="592">
        <v>2.78282778351985E-8</v>
      </c>
      <c r="L293" s="592"/>
      <c r="M293" s="592">
        <v>2.78282778351985E-8</v>
      </c>
      <c r="N293" s="448"/>
      <c r="O293" s="448"/>
      <c r="P293" s="448"/>
      <c r="Q293" s="448"/>
      <c r="R293" s="448"/>
      <c r="S293" s="448"/>
      <c r="T293" s="448"/>
      <c r="U293" s="448"/>
      <c r="V293" s="448"/>
    </row>
    <row r="294">
      <c r="A294" s="257" t="s">
        <v>177</v>
      </c>
      <c r="B294" s="257" t="s">
        <v>160</v>
      </c>
      <c r="C294" s="257">
        <v>0.2089296</v>
      </c>
      <c r="D294" s="257">
        <v>1.9</v>
      </c>
      <c r="E294" s="592">
        <v>1.16999999999999E-8</v>
      </c>
      <c r="F294" s="592"/>
      <c r="G294" s="592">
        <v>1.22311468270764E24</v>
      </c>
      <c r="H294" s="592"/>
      <c r="I294" s="592">
        <v>1.22311468270764E24</v>
      </c>
      <c r="J294" s="592"/>
      <c r="K294" s="592">
        <v>1.15671117490867E-9</v>
      </c>
      <c r="L294" s="592"/>
      <c r="M294" s="592">
        <v>1.15671117490867E-9</v>
      </c>
      <c r="N294" s="448"/>
      <c r="O294" s="448"/>
      <c r="P294" s="448"/>
      <c r="Q294" s="448"/>
      <c r="R294" s="448"/>
      <c r="S294" s="448"/>
      <c r="T294" s="448"/>
      <c r="U294" s="448"/>
      <c r="V294" s="448"/>
    </row>
    <row r="295">
      <c r="A295" s="257" t="s">
        <v>1364</v>
      </c>
      <c r="B295" s="257" t="s">
        <v>160</v>
      </c>
      <c r="C295" s="257">
        <v>0.1778279</v>
      </c>
      <c r="D295" s="257">
        <v>1.81</v>
      </c>
      <c r="E295" s="592">
        <v>1.95E-10</v>
      </c>
      <c r="F295" s="592"/>
      <c r="G295" s="592">
        <v>4.54237717174331E23</v>
      </c>
      <c r="H295" s="592"/>
      <c r="I295" s="592">
        <v>4.54237717174331E23</v>
      </c>
      <c r="J295" s="592"/>
      <c r="K295" s="592">
        <v>4.80801696178743E-10</v>
      </c>
      <c r="L295" s="592"/>
      <c r="M295" s="592">
        <v>4.80801696178743E-10</v>
      </c>
      <c r="N295" s="448"/>
      <c r="O295" s="448"/>
      <c r="P295" s="448"/>
      <c r="Q295" s="448"/>
      <c r="R295" s="448"/>
      <c r="S295" s="448"/>
      <c r="T295" s="448"/>
      <c r="U295" s="448"/>
      <c r="V295" s="448"/>
    </row>
    <row r="296">
      <c r="A296" s="257" t="s">
        <v>1346</v>
      </c>
      <c r="B296" s="257" t="s">
        <v>160</v>
      </c>
      <c r="C296" s="257">
        <v>0.1258925</v>
      </c>
      <c r="D296" s="257">
        <v>1.49</v>
      </c>
      <c r="E296" s="592">
        <v>4.37E-9</v>
      </c>
      <c r="F296" s="592"/>
      <c r="G296" s="592">
        <v>3.3931958191231E24</v>
      </c>
      <c r="H296" s="592"/>
      <c r="I296" s="592">
        <v>3.3931958191231E24</v>
      </c>
      <c r="J296" s="592"/>
      <c r="K296" s="592">
        <v>4.17637470968594E-9</v>
      </c>
      <c r="L296" s="592"/>
      <c r="M296" s="592">
        <v>4.17637470968594E-9</v>
      </c>
      <c r="N296" s="448"/>
      <c r="O296" s="448"/>
      <c r="P296" s="448"/>
      <c r="Q296" s="448"/>
      <c r="R296" s="448"/>
      <c r="S296" s="448"/>
      <c r="T296" s="448"/>
      <c r="U296" s="448"/>
      <c r="V296" s="448"/>
    </row>
    <row r="297">
      <c r="A297" s="257" t="s">
        <v>1349</v>
      </c>
      <c r="B297" s="257" t="s">
        <v>160</v>
      </c>
      <c r="C297" s="257">
        <v>0.128825</v>
      </c>
      <c r="D297" s="257">
        <v>1.53</v>
      </c>
      <c r="E297" s="592">
        <v>8.13E-11</v>
      </c>
      <c r="F297" s="592"/>
      <c r="G297" s="592">
        <v>2.15010411830024E23</v>
      </c>
      <c r="H297" s="592"/>
      <c r="I297" s="592">
        <v>2.15010411830024E23</v>
      </c>
      <c r="J297" s="592"/>
      <c r="K297" s="592">
        <v>2.65555251487088E-10</v>
      </c>
      <c r="L297" s="592"/>
      <c r="M297" s="592">
        <v>2.65555251487088E-10</v>
      </c>
      <c r="N297" s="448"/>
      <c r="O297" s="448"/>
      <c r="P297" s="448"/>
      <c r="Q297" s="448"/>
      <c r="R297" s="448"/>
      <c r="S297" s="448"/>
      <c r="T297" s="448"/>
      <c r="U297" s="448"/>
      <c r="V297" s="448"/>
    </row>
    <row r="298">
      <c r="A298" s="257" t="s">
        <v>1374</v>
      </c>
      <c r="B298" s="257" t="s">
        <v>160</v>
      </c>
      <c r="C298" s="257">
        <v>0.2344229</v>
      </c>
      <c r="D298" s="257">
        <v>2.01</v>
      </c>
      <c r="E298" s="592">
        <v>4.07E-10</v>
      </c>
      <c r="F298" s="592"/>
      <c r="G298" s="592">
        <v>1.59450394985967E24</v>
      </c>
      <c r="H298" s="592"/>
      <c r="I298" s="592">
        <v>1.59450394985967E24</v>
      </c>
      <c r="J298" s="592"/>
      <c r="K298" s="592">
        <v>1.42175821437133E-9</v>
      </c>
      <c r="L298" s="592"/>
      <c r="M298" s="592">
        <v>1.42175821437133E-9</v>
      </c>
      <c r="N298" s="448"/>
      <c r="O298" s="448"/>
      <c r="P298" s="448"/>
      <c r="Q298" s="448"/>
      <c r="R298" s="448"/>
      <c r="S298" s="448"/>
      <c r="T298" s="448"/>
      <c r="U298" s="448"/>
      <c r="V298" s="448"/>
    </row>
    <row r="299">
      <c r="A299" s="257" t="s">
        <v>178</v>
      </c>
      <c r="B299" s="257" t="s">
        <v>160</v>
      </c>
      <c r="C299" s="257">
        <v>0.2089296</v>
      </c>
      <c r="D299" s="257">
        <v>6.15</v>
      </c>
      <c r="E299" s="592">
        <v>7.41E-9</v>
      </c>
      <c r="F299" s="592"/>
      <c r="G299" s="592">
        <v>9.4445896175846E22</v>
      </c>
      <c r="H299" s="592"/>
      <c r="I299" s="592">
        <v>9.4445896175846E22</v>
      </c>
      <c r="J299" s="592"/>
      <c r="K299" s="592">
        <v>2.89109497173015E-10</v>
      </c>
      <c r="L299" s="592"/>
      <c r="M299" s="592">
        <v>2.89109497173015E-10</v>
      </c>
      <c r="N299" s="448"/>
      <c r="O299" s="448"/>
      <c r="P299" s="448"/>
      <c r="Q299" s="448"/>
      <c r="R299" s="448"/>
      <c r="S299" s="448"/>
      <c r="T299" s="448"/>
      <c r="U299" s="448"/>
      <c r="V299" s="448"/>
    </row>
    <row r="300">
      <c r="A300" s="257" t="s">
        <v>1464</v>
      </c>
      <c r="B300" s="257" t="s">
        <v>160</v>
      </c>
      <c r="C300" s="257">
        <v>0.851138</v>
      </c>
      <c r="D300" s="257">
        <v>3.38</v>
      </c>
      <c r="E300" s="592">
        <v>1.05E-8</v>
      </c>
      <c r="F300" s="592"/>
      <c r="G300" s="592">
        <v>1.93999859498978E25</v>
      </c>
      <c r="H300" s="592"/>
      <c r="I300" s="592">
        <v>1.93999859498978E25</v>
      </c>
      <c r="J300" s="592"/>
      <c r="K300" s="592">
        <v>8.01165535712412E-9</v>
      </c>
      <c r="L300" s="592"/>
      <c r="M300" s="592">
        <v>8.01165535712412E-9</v>
      </c>
      <c r="N300" s="448"/>
      <c r="O300" s="448"/>
      <c r="P300" s="448"/>
      <c r="Q300" s="448"/>
      <c r="R300" s="448"/>
      <c r="S300" s="448"/>
      <c r="T300" s="448"/>
      <c r="U300" s="448"/>
      <c r="V300" s="448"/>
    </row>
    <row r="301">
      <c r="A301" s="257" t="s">
        <v>1352</v>
      </c>
      <c r="B301" s="257" t="s">
        <v>160</v>
      </c>
      <c r="C301" s="257">
        <v>0.1348963</v>
      </c>
      <c r="D301" s="257">
        <v>1.6</v>
      </c>
      <c r="E301" s="592">
        <v>1.1E-10</v>
      </c>
      <c r="F301" s="592"/>
      <c r="G301" s="592">
        <v>1.77591558103537E23</v>
      </c>
      <c r="H301" s="592"/>
      <c r="I301" s="592">
        <v>1.77591558103537E23</v>
      </c>
      <c r="J301" s="592"/>
      <c r="K301" s="592">
        <v>2.19051577910335E-10</v>
      </c>
      <c r="L301" s="592"/>
      <c r="M301" s="592">
        <v>2.19051577910335E-10</v>
      </c>
      <c r="N301" s="448"/>
      <c r="O301" s="448"/>
      <c r="P301" s="448"/>
      <c r="Q301" s="448"/>
      <c r="R301" s="448"/>
      <c r="S301" s="448"/>
      <c r="T301" s="448"/>
      <c r="U301" s="448"/>
      <c r="V301" s="448"/>
    </row>
    <row r="302">
      <c r="A302" s="257" t="s">
        <v>1418</v>
      </c>
      <c r="B302" s="257" t="s">
        <v>160</v>
      </c>
      <c r="C302" s="257">
        <v>0.4168694</v>
      </c>
      <c r="D302" s="257">
        <v>2.53</v>
      </c>
      <c r="E302" s="592">
        <v>1.45E-9</v>
      </c>
      <c r="F302" s="592"/>
      <c r="G302" s="592">
        <v>3.93056328038338E24</v>
      </c>
      <c r="H302" s="592"/>
      <c r="I302" s="592">
        <v>3.93056328038338E24</v>
      </c>
      <c r="J302" s="592"/>
      <c r="K302" s="592">
        <v>2.48072955097132E-9</v>
      </c>
      <c r="L302" s="592"/>
      <c r="M302" s="592">
        <v>2.48072955097132E-9</v>
      </c>
      <c r="N302" s="448"/>
      <c r="O302" s="448"/>
      <c r="P302" s="448"/>
      <c r="Q302" s="448"/>
      <c r="R302" s="448"/>
      <c r="S302" s="448"/>
      <c r="T302" s="448"/>
      <c r="U302" s="448"/>
      <c r="V302" s="448"/>
    </row>
    <row r="303">
      <c r="A303" s="257" t="s">
        <v>1371</v>
      </c>
      <c r="B303" s="257" t="s">
        <v>160</v>
      </c>
      <c r="C303" s="257">
        <v>0.2041738</v>
      </c>
      <c r="D303" s="257">
        <v>1.94</v>
      </c>
      <c r="E303" s="592">
        <v>6.31E-10</v>
      </c>
      <c r="F303" s="592"/>
      <c r="G303" s="592">
        <v>1.31692328473745E24</v>
      </c>
      <c r="H303" s="592"/>
      <c r="I303" s="592">
        <v>1.31692328473745E24</v>
      </c>
      <c r="J303" s="592"/>
      <c r="K303" s="592">
        <v>1.30126670629216E-9</v>
      </c>
      <c r="L303" s="592"/>
      <c r="M303" s="592">
        <v>1.30126670629216E-9</v>
      </c>
      <c r="N303" s="448"/>
      <c r="O303" s="448"/>
      <c r="P303" s="448"/>
      <c r="Q303" s="448"/>
      <c r="R303" s="448"/>
      <c r="S303" s="448"/>
      <c r="T303" s="448"/>
      <c r="U303" s="448"/>
      <c r="V303" s="448"/>
    </row>
    <row r="304">
      <c r="A304" s="257" t="s">
        <v>1424</v>
      </c>
      <c r="B304" s="257" t="s">
        <v>160</v>
      </c>
      <c r="C304" s="257">
        <v>0.467735099999999</v>
      </c>
      <c r="D304" s="257">
        <v>2.68</v>
      </c>
      <c r="E304" s="592">
        <v>6.31E-8</v>
      </c>
      <c r="F304" s="592"/>
      <c r="G304" s="592">
        <v>4.31183624312942E25</v>
      </c>
      <c r="H304" s="592"/>
      <c r="I304" s="592">
        <v>4.31183624312942E25</v>
      </c>
      <c r="J304" s="592"/>
      <c r="K304" s="592">
        <v>2.56921952926175E-8</v>
      </c>
      <c r="L304" s="592"/>
      <c r="M304" s="592">
        <v>2.56921952926175E-8</v>
      </c>
      <c r="N304" s="448"/>
      <c r="O304" s="448"/>
      <c r="P304" s="448"/>
      <c r="Q304" s="448"/>
      <c r="R304" s="448"/>
      <c r="S304" s="448"/>
      <c r="T304" s="448"/>
      <c r="U304" s="448"/>
      <c r="V304" s="448"/>
    </row>
    <row r="305">
      <c r="A305" s="257" t="s">
        <v>1347</v>
      </c>
      <c r="B305" s="257" t="s">
        <v>160</v>
      </c>
      <c r="C305" s="257">
        <v>0.128825</v>
      </c>
      <c r="D305" s="257">
        <v>1.54</v>
      </c>
      <c r="E305" s="592">
        <v>1.2E-10</v>
      </c>
      <c r="F305" s="592"/>
      <c r="G305" s="592">
        <v>3.32826218080947E23</v>
      </c>
      <c r="H305" s="592"/>
      <c r="I305" s="592">
        <v>3.32826218080947E23</v>
      </c>
      <c r="J305" s="592"/>
      <c r="K305" s="592">
        <v>4.13754017099534E-10</v>
      </c>
      <c r="L305" s="592"/>
      <c r="M305" s="592">
        <v>4.13754017099534E-10</v>
      </c>
      <c r="N305" s="448"/>
      <c r="O305" s="448"/>
      <c r="P305" s="448"/>
      <c r="Q305" s="448"/>
      <c r="R305" s="448"/>
      <c r="S305" s="448"/>
      <c r="T305" s="448"/>
      <c r="U305" s="448"/>
      <c r="V305" s="448"/>
    </row>
    <row r="306">
      <c r="A306" s="257" t="s">
        <v>1351</v>
      </c>
      <c r="B306" s="257" t="s">
        <v>160</v>
      </c>
      <c r="C306" s="257">
        <v>0.1348963</v>
      </c>
      <c r="D306" s="257">
        <v>1.58</v>
      </c>
      <c r="E306" s="592">
        <v>5.89E-8</v>
      </c>
      <c r="F306" s="592"/>
      <c r="G306" s="592">
        <v>3.30822196284682E25</v>
      </c>
      <c r="H306" s="592"/>
      <c r="I306" s="592">
        <v>3.30822196284682E25</v>
      </c>
      <c r="J306" s="592"/>
      <c r="K306" s="592">
        <v>4.02954317293068E-8</v>
      </c>
      <c r="L306" s="592"/>
      <c r="M306" s="592">
        <v>4.02954317293068E-8</v>
      </c>
      <c r="N306" s="448"/>
      <c r="O306" s="448"/>
      <c r="P306" s="448"/>
      <c r="Q306" s="448"/>
      <c r="R306" s="448"/>
      <c r="S306" s="448"/>
      <c r="T306" s="448"/>
      <c r="U306" s="448"/>
      <c r="V306" s="448"/>
    </row>
    <row r="307">
      <c r="A307" s="257" t="s">
        <v>1351</v>
      </c>
      <c r="B307" s="257" t="s">
        <v>754</v>
      </c>
      <c r="C307" s="257">
        <v>0.3</v>
      </c>
      <c r="D307" s="257">
        <v>0.97</v>
      </c>
      <c r="E307" s="592">
        <v>4.37E-9</v>
      </c>
      <c r="F307" s="592">
        <v>1.13812834465868E25</v>
      </c>
      <c r="G307" s="592">
        <v>2.88125898668325E25</v>
      </c>
      <c r="H307" s="592"/>
      <c r="I307" s="592">
        <v>2.00969366567097E25</v>
      </c>
      <c r="J307" s="592">
        <v>3.82688879645453E-9</v>
      </c>
      <c r="K307" s="592">
        <v>9.68806179686946E-9</v>
      </c>
      <c r="L307" s="592"/>
      <c r="M307" s="592">
        <v>6.757475296662E-9</v>
      </c>
      <c r="N307" s="448"/>
      <c r="O307" s="448"/>
      <c r="P307" s="448"/>
      <c r="Q307" s="448"/>
      <c r="R307" s="448"/>
      <c r="S307" s="448"/>
      <c r="T307" s="448"/>
      <c r="U307" s="448"/>
      <c r="V307" s="448"/>
    </row>
    <row r="308">
      <c r="A308" s="257" t="s">
        <v>1465</v>
      </c>
      <c r="B308" s="257" t="s">
        <v>160</v>
      </c>
      <c r="C308" s="257">
        <v>0.851138</v>
      </c>
      <c r="D308" s="257">
        <v>3.38</v>
      </c>
      <c r="E308" s="592">
        <v>1.91E-9</v>
      </c>
      <c r="F308" s="592"/>
      <c r="G308" s="592">
        <v>4.64698314094893E24</v>
      </c>
      <c r="H308" s="592"/>
      <c r="I308" s="592">
        <v>4.64698314094893E24</v>
      </c>
      <c r="J308" s="592"/>
      <c r="K308" s="592">
        <v>1.91907496592001E-9</v>
      </c>
      <c r="L308" s="592"/>
      <c r="M308" s="592">
        <v>1.91907496592001E-9</v>
      </c>
      <c r="N308" s="448"/>
      <c r="O308" s="448"/>
      <c r="P308" s="448"/>
      <c r="Q308" s="448"/>
      <c r="R308" s="448"/>
      <c r="S308" s="448"/>
      <c r="T308" s="448"/>
      <c r="U308" s="448"/>
      <c r="V308" s="448"/>
    </row>
    <row r="309">
      <c r="A309" s="257" t="s">
        <v>1968</v>
      </c>
      <c r="B309" s="257" t="s">
        <v>160</v>
      </c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</row>
    <row r="310">
      <c r="A310" s="257" t="s">
        <v>175</v>
      </c>
      <c r="B310" s="257" t="s">
        <v>160</v>
      </c>
      <c r="C310" s="257">
        <v>0.158489299999999</v>
      </c>
      <c r="D310" s="257">
        <v>1.73</v>
      </c>
      <c r="E310" s="592">
        <v>1.2E-7</v>
      </c>
      <c r="F310" s="592"/>
      <c r="G310" s="592">
        <v>3.0545718918815E24</v>
      </c>
      <c r="H310" s="592"/>
      <c r="I310" s="592">
        <v>3.0545718918815E24</v>
      </c>
      <c r="J310" s="592"/>
      <c r="K310" s="592">
        <v>3.46737353794756E-9</v>
      </c>
      <c r="L310" s="592"/>
      <c r="M310" s="592">
        <v>3.46737353794756E-9</v>
      </c>
      <c r="N310" s="448"/>
      <c r="O310" s="448"/>
      <c r="P310" s="448"/>
      <c r="Q310" s="448"/>
      <c r="R310" s="448"/>
      <c r="S310" s="448"/>
      <c r="T310" s="448"/>
      <c r="U310" s="448"/>
      <c r="V310" s="448"/>
    </row>
    <row r="311">
      <c r="A311" s="257" t="s">
        <v>180</v>
      </c>
      <c r="B311" s="257" t="s">
        <v>160</v>
      </c>
      <c r="C311" s="257">
        <v>0.2137962</v>
      </c>
      <c r="D311" s="257">
        <v>1.92</v>
      </c>
      <c r="E311" s="592">
        <v>1.2E-7</v>
      </c>
      <c r="F311" s="592"/>
      <c r="G311" s="592">
        <v>1.85130023032357E24</v>
      </c>
      <c r="H311" s="592"/>
      <c r="I311" s="592">
        <v>1.85130023032357E24</v>
      </c>
      <c r="J311" s="592"/>
      <c r="K311" s="592">
        <v>1.72894917030836E-9</v>
      </c>
      <c r="L311" s="592"/>
      <c r="M311" s="592">
        <v>1.72894917030836E-9</v>
      </c>
      <c r="N311" s="448"/>
      <c r="O311" s="448"/>
      <c r="P311" s="448"/>
      <c r="Q311" s="448"/>
      <c r="R311" s="448"/>
      <c r="S311" s="448"/>
      <c r="T311" s="448"/>
      <c r="U311" s="448"/>
      <c r="V311" s="448"/>
    </row>
    <row r="312">
      <c r="A312" s="257" t="s">
        <v>1419</v>
      </c>
      <c r="B312" s="257" t="s">
        <v>160</v>
      </c>
      <c r="C312" s="257">
        <v>0.4265795</v>
      </c>
      <c r="D312" s="257">
        <v>2.48</v>
      </c>
      <c r="E312" s="592">
        <v>6.92E-10</v>
      </c>
      <c r="F312" s="592"/>
      <c r="G312" s="592">
        <v>1.44002853136264E24</v>
      </c>
      <c r="H312" s="592"/>
      <c r="I312" s="592">
        <v>1.44002853136264E24</v>
      </c>
      <c r="J312" s="592"/>
      <c r="K312" s="592">
        <v>8.7061655346636E-10</v>
      </c>
      <c r="L312" s="592"/>
      <c r="M312" s="592">
        <v>8.7061655346636E-10</v>
      </c>
      <c r="N312" s="448"/>
      <c r="O312" s="448"/>
      <c r="P312" s="448"/>
      <c r="Q312" s="448"/>
      <c r="R312" s="448"/>
      <c r="S312" s="448"/>
      <c r="T312" s="448"/>
      <c r="U312" s="448"/>
      <c r="V312" s="448"/>
    </row>
    <row r="313">
      <c r="A313" s="257" t="s">
        <v>1312</v>
      </c>
      <c r="B313" s="257" t="s">
        <v>160</v>
      </c>
      <c r="C313" s="257">
        <v>0.325055</v>
      </c>
      <c r="D313" s="257">
        <v>0.38</v>
      </c>
      <c r="E313" s="592">
        <v>7.59E-11</v>
      </c>
      <c r="F313" s="592"/>
      <c r="G313" s="592">
        <v>4.94175601812868E22</v>
      </c>
      <c r="H313" s="592"/>
      <c r="I313" s="592">
        <v>4.94175601812868E22</v>
      </c>
      <c r="J313" s="592"/>
      <c r="K313" s="592">
        <v>6.00775438645305E-12</v>
      </c>
      <c r="L313" s="592"/>
      <c r="M313" s="592">
        <v>6.00775438645305E-12</v>
      </c>
      <c r="N313" s="448"/>
      <c r="O313" s="448"/>
      <c r="P313" s="448"/>
      <c r="Q313" s="448"/>
      <c r="R313" s="448"/>
      <c r="S313" s="448"/>
      <c r="T313" s="448"/>
      <c r="U313" s="448"/>
      <c r="V313" s="448"/>
    </row>
    <row r="314">
      <c r="A314" s="257" t="s">
        <v>1407</v>
      </c>
      <c r="B314" s="257" t="s">
        <v>160</v>
      </c>
      <c r="C314" s="257">
        <v>0.3801894</v>
      </c>
      <c r="D314" s="257">
        <v>2.37</v>
      </c>
      <c r="E314" s="592">
        <v>1.62E-8</v>
      </c>
      <c r="F314" s="592"/>
      <c r="G314" s="592">
        <v>2.04740699035731E25</v>
      </c>
      <c r="H314" s="592"/>
      <c r="I314" s="592">
        <v>2.04740699035731E25</v>
      </c>
      <c r="J314" s="592"/>
      <c r="K314" s="592">
        <v>1.32726195873652E-8</v>
      </c>
      <c r="L314" s="592"/>
      <c r="M314" s="592">
        <v>1.32726195873652E-8</v>
      </c>
      <c r="N314" s="448"/>
      <c r="O314" s="448"/>
      <c r="P314" s="448"/>
      <c r="Q314" s="448"/>
      <c r="R314" s="448"/>
      <c r="S314" s="448"/>
      <c r="T314" s="448"/>
      <c r="U314" s="448"/>
      <c r="V314" s="448"/>
    </row>
    <row r="315">
      <c r="A315" s="257" t="s">
        <v>1407</v>
      </c>
      <c r="B315" s="257" t="s">
        <v>1309</v>
      </c>
      <c r="C315" s="257">
        <v>0.4</v>
      </c>
      <c r="D315" s="257">
        <v>2.05</v>
      </c>
      <c r="E315" s="592">
        <v>4.57E-9</v>
      </c>
      <c r="F315" s="448"/>
      <c r="G315" s="448"/>
      <c r="H315" s="448"/>
      <c r="I315" s="448"/>
      <c r="J315" s="448"/>
      <c r="K315" s="448"/>
      <c r="L315" s="448"/>
      <c r="M315" s="448"/>
      <c r="N315" s="448"/>
      <c r="O315" s="448"/>
      <c r="P315" s="448"/>
      <c r="Q315" s="448"/>
      <c r="R315" s="448"/>
      <c r="S315" s="448"/>
      <c r="T315" s="448"/>
      <c r="U315" s="448"/>
      <c r="V315" s="448"/>
    </row>
    <row r="316">
      <c r="A316" s="257" t="s">
        <v>1971</v>
      </c>
      <c r="B316" s="257" t="s">
        <v>160</v>
      </c>
      <c r="C316" s="257">
        <v>0.104712899999999</v>
      </c>
      <c r="D316" s="257">
        <v>1.35</v>
      </c>
      <c r="E316" s="592"/>
      <c r="F316" s="592"/>
      <c r="G316" s="592">
        <v>1.23504896307019E24</v>
      </c>
      <c r="H316" s="592"/>
      <c r="I316" s="592">
        <v>1.23504896307019E24</v>
      </c>
      <c r="J316" s="592"/>
      <c r="K316" s="592">
        <v>1.65585338397841E-9</v>
      </c>
      <c r="L316" s="592"/>
      <c r="M316" s="592">
        <v>1.65585338397841E-9</v>
      </c>
      <c r="N316" s="448"/>
      <c r="O316" s="448"/>
      <c r="P316" s="448"/>
      <c r="Q316" s="448"/>
      <c r="R316" s="448"/>
      <c r="S316" s="448"/>
      <c r="T316" s="448"/>
      <c r="U316" s="448"/>
      <c r="V316" s="448"/>
    </row>
    <row r="317">
      <c r="A317" s="257" t="s">
        <v>1973</v>
      </c>
      <c r="B317" s="257" t="s">
        <v>160</v>
      </c>
      <c r="C317" s="257"/>
      <c r="D317" s="257">
        <v>1.92</v>
      </c>
      <c r="E317" s="448"/>
      <c r="F317" s="448"/>
      <c r="G317" s="448"/>
      <c r="H317" s="448"/>
      <c r="I317" s="448"/>
      <c r="J317" s="448"/>
      <c r="K317" s="448"/>
      <c r="L317" s="448"/>
      <c r="M317" s="448"/>
      <c r="N317" s="448"/>
      <c r="O317" s="448"/>
      <c r="P317" s="448"/>
      <c r="Q317" s="448"/>
      <c r="R317" s="448"/>
      <c r="S317" s="448"/>
      <c r="T317" s="448"/>
      <c r="U317" s="448"/>
      <c r="V317" s="448"/>
    </row>
    <row r="318">
      <c r="A318" s="257" t="s">
        <v>1358</v>
      </c>
      <c r="B318" s="257" t="s">
        <v>160</v>
      </c>
      <c r="C318" s="257">
        <v>0.1513561</v>
      </c>
      <c r="D318" s="257">
        <v>1.67</v>
      </c>
      <c r="E318" s="592">
        <v>4.07E-10</v>
      </c>
      <c r="F318" s="592"/>
      <c r="G318" s="592">
        <v>5.66433576521786E23</v>
      </c>
      <c r="H318" s="592"/>
      <c r="I318" s="592">
        <v>5.66433576521786E23</v>
      </c>
      <c r="J318" s="592"/>
      <c r="K318" s="592">
        <v>6.49934596037346E-10</v>
      </c>
      <c r="L318" s="592"/>
      <c r="M318" s="592">
        <v>6.49934596037346E-10</v>
      </c>
      <c r="N318" s="448"/>
      <c r="O318" s="448"/>
      <c r="P318" s="448"/>
      <c r="Q318" s="448"/>
      <c r="R318" s="448"/>
      <c r="S318" s="448"/>
      <c r="T318" s="448"/>
      <c r="U318" s="448"/>
      <c r="V318" s="448"/>
    </row>
    <row r="319">
      <c r="A319" s="257" t="s">
        <v>753</v>
      </c>
      <c r="B319" s="257" t="s">
        <v>160</v>
      </c>
      <c r="C319" s="257">
        <v>0.0912011</v>
      </c>
      <c r="D319" s="257">
        <v>1.2</v>
      </c>
      <c r="E319" s="592">
        <v>7.41E-10</v>
      </c>
      <c r="F319" s="592"/>
      <c r="G319" s="592">
        <v>7.96012022071461E23</v>
      </c>
      <c r="H319" s="592"/>
      <c r="I319" s="592">
        <v>7.96012022071461E23</v>
      </c>
      <c r="J319" s="592"/>
      <c r="K319" s="592">
        <v>1.08919319657079E-9</v>
      </c>
      <c r="L319" s="592"/>
      <c r="M319" s="592">
        <v>1.08919319657079E-9</v>
      </c>
      <c r="N319" s="448"/>
      <c r="O319" s="448"/>
      <c r="P319" s="448"/>
      <c r="Q319" s="448"/>
      <c r="R319" s="448"/>
      <c r="S319" s="448"/>
      <c r="T319" s="448"/>
      <c r="U319" s="448"/>
      <c r="V319" s="448"/>
    </row>
    <row r="320">
      <c r="A320" s="257" t="s">
        <v>753</v>
      </c>
      <c r="B320" s="257" t="s">
        <v>754</v>
      </c>
      <c r="C320" s="257">
        <v>0.22</v>
      </c>
      <c r="D320" s="257">
        <v>1.08</v>
      </c>
      <c r="E320" s="592">
        <v>1.2E-9</v>
      </c>
      <c r="F320" s="448"/>
      <c r="G320" s="448"/>
      <c r="H320" s="448"/>
      <c r="I320" s="448"/>
      <c r="J320" s="448"/>
      <c r="K320" s="448"/>
      <c r="L320" s="448"/>
      <c r="M320" s="448"/>
      <c r="N320" s="448"/>
      <c r="O320" s="448"/>
      <c r="P320" s="448"/>
      <c r="Q320" s="448"/>
      <c r="R320" s="448"/>
      <c r="S320" s="448"/>
      <c r="T320" s="448"/>
      <c r="U320" s="448"/>
      <c r="V320" s="448"/>
    </row>
    <row r="321">
      <c r="A321" s="257" t="s">
        <v>1345</v>
      </c>
      <c r="B321" s="257" t="s">
        <v>160</v>
      </c>
      <c r="C321" s="257">
        <v>0.1148154</v>
      </c>
      <c r="D321" s="257">
        <v>1.38</v>
      </c>
      <c r="E321" s="592">
        <v>1.32E-10</v>
      </c>
      <c r="F321" s="592"/>
      <c r="G321" s="592">
        <v>2.22647364589125E23</v>
      </c>
      <c r="H321" s="592"/>
      <c r="I321" s="592">
        <v>2.22647364589125E23</v>
      </c>
      <c r="J321" s="592"/>
      <c r="K321" s="592">
        <v>2.78291938278031E-10</v>
      </c>
      <c r="L321" s="592"/>
      <c r="M321" s="592">
        <v>2.78291938278031E-10</v>
      </c>
      <c r="N321" s="448"/>
      <c r="O321" s="448"/>
      <c r="P321" s="448"/>
      <c r="Q321" s="448"/>
      <c r="R321" s="448"/>
      <c r="S321" s="448"/>
      <c r="T321" s="448"/>
      <c r="U321" s="448"/>
      <c r="V321" s="448"/>
    </row>
    <row r="322">
      <c r="A322" s="257" t="s">
        <v>1976</v>
      </c>
      <c r="B322" s="257" t="s">
        <v>160</v>
      </c>
      <c r="C322" s="257">
        <v>0.8128305</v>
      </c>
      <c r="D322" s="257">
        <v>3.23</v>
      </c>
      <c r="E322" s="448"/>
      <c r="F322" s="448"/>
      <c r="G322" s="448"/>
      <c r="H322" s="448"/>
      <c r="I322" s="448"/>
      <c r="J322" s="448"/>
      <c r="K322" s="448"/>
      <c r="L322" s="448"/>
      <c r="M322" s="448"/>
      <c r="N322" s="448"/>
      <c r="O322" s="448"/>
      <c r="P322" s="448"/>
      <c r="Q322" s="448"/>
      <c r="R322" s="448"/>
      <c r="S322" s="448"/>
      <c r="T322" s="448"/>
      <c r="U322" s="448"/>
      <c r="V322" s="448"/>
    </row>
    <row r="323">
      <c r="A323" s="257" t="s">
        <v>1472</v>
      </c>
      <c r="B323" s="257" t="s">
        <v>160</v>
      </c>
      <c r="C323" s="257">
        <v>1.023293</v>
      </c>
      <c r="D323" s="257">
        <v>3.58</v>
      </c>
      <c r="E323" s="592">
        <v>1.58E-7</v>
      </c>
      <c r="F323" s="592"/>
      <c r="G323" s="592">
        <v>1.33500800726756E26</v>
      </c>
      <c r="H323" s="592"/>
      <c r="I323" s="592">
        <v>1.33500800726756E26</v>
      </c>
      <c r="J323" s="592"/>
      <c r="K323" s="592">
        <v>4.85703258899751E-8</v>
      </c>
      <c r="L323" s="592"/>
      <c r="M323" s="592">
        <v>4.85703258899751E-8</v>
      </c>
      <c r="N323" s="448"/>
      <c r="O323" s="448"/>
      <c r="P323" s="448"/>
      <c r="Q323" s="448"/>
      <c r="R323" s="448"/>
      <c r="S323" s="448"/>
      <c r="T323" s="448"/>
      <c r="U323" s="448"/>
      <c r="V323" s="448"/>
    </row>
    <row r="324">
      <c r="A324" s="257" t="s">
        <v>1392</v>
      </c>
      <c r="B324" s="257" t="s">
        <v>160</v>
      </c>
      <c r="C324" s="257">
        <v>0.2951209</v>
      </c>
      <c r="D324" s="257">
        <v>2.21</v>
      </c>
      <c r="E324" s="592">
        <v>3.89E-8</v>
      </c>
      <c r="F324" s="448"/>
      <c r="G324" s="448"/>
      <c r="H324" s="448"/>
      <c r="I324" s="448"/>
      <c r="J324" s="448"/>
      <c r="K324" s="448"/>
      <c r="L324" s="448"/>
      <c r="M324" s="448"/>
      <c r="N324" s="448"/>
      <c r="O324" s="448"/>
      <c r="P324" s="448"/>
      <c r="Q324" s="448"/>
      <c r="R324" s="448"/>
      <c r="S324" s="448"/>
      <c r="T324" s="448"/>
      <c r="U324" s="448"/>
      <c r="V324" s="448"/>
    </row>
    <row r="325">
      <c r="A325" s="257" t="s">
        <v>1316</v>
      </c>
      <c r="B325" s="257" t="s">
        <v>160</v>
      </c>
      <c r="C325" s="257">
        <v>0.397987</v>
      </c>
      <c r="D325" s="257">
        <v>0.4</v>
      </c>
      <c r="E325" s="592">
        <v>2.82E-10</v>
      </c>
      <c r="F325" s="592"/>
      <c r="G325" s="592">
        <v>3.01051492455026E23</v>
      </c>
      <c r="H325" s="592"/>
      <c r="I325" s="592">
        <v>3.01051492455026E23</v>
      </c>
      <c r="J325" s="592"/>
      <c r="K325" s="592">
        <v>3.14655996785533E-11</v>
      </c>
      <c r="L325" s="592"/>
      <c r="M325" s="592">
        <v>3.14655996785533E-11</v>
      </c>
      <c r="N325" s="448"/>
      <c r="O325" s="448"/>
      <c r="P325" s="448"/>
      <c r="Q325" s="448"/>
      <c r="R325" s="448"/>
      <c r="S325" s="448"/>
      <c r="T325" s="448"/>
      <c r="U325" s="448"/>
      <c r="V325" s="448"/>
    </row>
    <row r="326">
      <c r="A326" s="257" t="s">
        <v>1316</v>
      </c>
      <c r="B326" s="257" t="s">
        <v>754</v>
      </c>
      <c r="C326" s="257">
        <v>0.397987</v>
      </c>
      <c r="D326" s="257">
        <v>0.4</v>
      </c>
      <c r="E326" s="592">
        <v>4.78999999999999E-12</v>
      </c>
      <c r="F326" s="592"/>
      <c r="G326" s="592">
        <v>9.37882255000218E22</v>
      </c>
      <c r="H326" s="592"/>
      <c r="I326" s="592">
        <v>9.37882255000218E22</v>
      </c>
      <c r="J326" s="592"/>
      <c r="K326" s="592">
        <v>9.80265114808036E-12</v>
      </c>
      <c r="L326" s="592"/>
      <c r="M326" s="592">
        <v>9.80265114808036E-12</v>
      </c>
      <c r="N326" s="448"/>
      <c r="O326" s="448"/>
      <c r="P326" s="448"/>
      <c r="Q326" s="448"/>
      <c r="R326" s="448"/>
      <c r="S326" s="448"/>
      <c r="T326" s="448"/>
      <c r="U326" s="448"/>
      <c r="V326" s="448"/>
    </row>
    <row r="327">
      <c r="A327" s="257" t="s">
        <v>1399</v>
      </c>
      <c r="B327" s="257" t="s">
        <v>160</v>
      </c>
      <c r="C327" s="257">
        <v>0.331131099999999</v>
      </c>
      <c r="D327" s="257">
        <v>2.34</v>
      </c>
      <c r="E327" s="592">
        <v>8.71E-10</v>
      </c>
      <c r="F327" s="592"/>
      <c r="G327" s="592">
        <v>5.08365027442164E24</v>
      </c>
      <c r="H327" s="592"/>
      <c r="I327" s="592">
        <v>5.08365027442164E24</v>
      </c>
      <c r="J327" s="592"/>
      <c r="K327" s="592">
        <v>3.73590371832668E-9</v>
      </c>
      <c r="L327" s="592"/>
      <c r="M327" s="592">
        <v>3.73590371832668E-9</v>
      </c>
      <c r="N327" s="448"/>
      <c r="O327" s="448"/>
      <c r="P327" s="448"/>
      <c r="Q327" s="448"/>
      <c r="R327" s="448"/>
      <c r="S327" s="448"/>
      <c r="T327" s="448"/>
      <c r="U327" s="448"/>
      <c r="V327" s="448"/>
    </row>
    <row r="328">
      <c r="A328" s="257" t="s">
        <v>1398</v>
      </c>
      <c r="B328" s="257" t="s">
        <v>160</v>
      </c>
      <c r="C328" s="257">
        <v>0.3235937</v>
      </c>
      <c r="D328" s="257">
        <v>2.28</v>
      </c>
      <c r="E328" s="592">
        <v>1.0E-9</v>
      </c>
      <c r="F328" s="592"/>
      <c r="G328" s="592">
        <v>5.22175426880041E24</v>
      </c>
      <c r="H328" s="592"/>
      <c r="I328" s="592">
        <v>5.22175426880041E24</v>
      </c>
      <c r="J328" s="592"/>
      <c r="K328" s="592">
        <v>3.82609142332111E-9</v>
      </c>
      <c r="L328" s="592"/>
      <c r="M328" s="592">
        <v>3.82609142332111E-9</v>
      </c>
      <c r="N328" s="448"/>
      <c r="O328" s="448"/>
      <c r="P328" s="448"/>
      <c r="Q328" s="448"/>
      <c r="R328" s="448"/>
      <c r="S328" s="448"/>
      <c r="T328" s="448"/>
      <c r="U328" s="448"/>
      <c r="V328" s="448"/>
    </row>
    <row r="329">
      <c r="A329" s="257" t="s">
        <v>659</v>
      </c>
      <c r="B329" s="257" t="s">
        <v>1309</v>
      </c>
      <c r="C329" s="257">
        <v>0.058417</v>
      </c>
      <c r="D329" s="257">
        <v>0.4</v>
      </c>
      <c r="E329" s="592">
        <v>6.75999999999999E-10</v>
      </c>
      <c r="F329" s="592"/>
      <c r="G329" s="592">
        <v>3.03187273832856E23</v>
      </c>
      <c r="H329" s="592">
        <v>8.2524942887186E23</v>
      </c>
      <c r="I329" s="592">
        <v>5.64218351352358E23</v>
      </c>
      <c r="J329" s="592"/>
      <c r="K329" s="592">
        <v>2.15891643661683E-10</v>
      </c>
      <c r="L329" s="592">
        <v>5.87638304793199E-10</v>
      </c>
      <c r="M329" s="592">
        <v>4.01764974227441E-10</v>
      </c>
      <c r="N329" s="448"/>
      <c r="O329" s="448"/>
      <c r="P329" s="448"/>
      <c r="Q329" s="448"/>
      <c r="R329" s="448"/>
      <c r="S329" s="448"/>
      <c r="T329" s="448"/>
      <c r="U329" s="448"/>
      <c r="V329" s="448"/>
    </row>
    <row r="330">
      <c r="A330" s="257" t="s">
        <v>659</v>
      </c>
      <c r="B330" s="257" t="s">
        <v>269</v>
      </c>
      <c r="C330" s="257">
        <v>0.058417</v>
      </c>
      <c r="D330" s="257">
        <v>0.4</v>
      </c>
      <c r="E330" s="592">
        <v>1.0E-9</v>
      </c>
      <c r="F330" s="592">
        <v>1.79932045594456E22</v>
      </c>
      <c r="G330" s="592">
        <v>4.42092771496188E23</v>
      </c>
      <c r="H330" s="592"/>
      <c r="I330" s="592">
        <v>2.30042988027817E23</v>
      </c>
      <c r="J330" s="592">
        <v>1.28124853592012E-11</v>
      </c>
      <c r="K330" s="592">
        <v>3.14802576911188E-10</v>
      </c>
      <c r="L330" s="592"/>
      <c r="M330" s="592">
        <v>1.63807531135194E-10</v>
      </c>
      <c r="N330" s="448"/>
      <c r="O330" s="448"/>
      <c r="P330" s="448"/>
      <c r="Q330" s="448"/>
      <c r="R330" s="448"/>
      <c r="S330" s="448"/>
      <c r="T330" s="448"/>
      <c r="U330" s="448"/>
      <c r="V330" s="448"/>
    </row>
    <row r="331">
      <c r="A331" s="257" t="s">
        <v>659</v>
      </c>
      <c r="B331" s="257" t="s">
        <v>269</v>
      </c>
      <c r="C331" s="257">
        <v>0.058417</v>
      </c>
      <c r="D331" s="257">
        <v>0.4</v>
      </c>
      <c r="E331" s="592">
        <v>5.01E-11</v>
      </c>
      <c r="F331" s="592">
        <v>1.79932045594456E22</v>
      </c>
      <c r="G331" s="592"/>
      <c r="H331" s="592"/>
      <c r="I331" s="592">
        <v>1.79932045594456E22</v>
      </c>
      <c r="J331" s="592">
        <v>1.28124853592012E-11</v>
      </c>
      <c r="K331" s="592"/>
      <c r="L331" s="592"/>
      <c r="M331" s="592">
        <v>1.28124853592012E-11</v>
      </c>
      <c r="N331" s="448"/>
      <c r="O331" s="448"/>
      <c r="P331" s="448"/>
      <c r="Q331" s="448"/>
      <c r="R331" s="448"/>
      <c r="S331" s="448"/>
      <c r="T331" s="448"/>
      <c r="U331" s="448"/>
      <c r="V331" s="448"/>
    </row>
    <row r="332">
      <c r="A332" s="257" t="s">
        <v>659</v>
      </c>
      <c r="B332" s="257" t="s">
        <v>754</v>
      </c>
      <c r="C332" s="257">
        <v>0.058417</v>
      </c>
      <c r="D332" s="257">
        <v>0.4</v>
      </c>
      <c r="E332" s="592">
        <v>1.05E-10</v>
      </c>
      <c r="F332" s="592">
        <v>3.26989773510158E23</v>
      </c>
      <c r="G332" s="592"/>
      <c r="H332" s="592"/>
      <c r="I332" s="592">
        <v>3.26989773510158E23</v>
      </c>
      <c r="J332" s="592">
        <v>2.32840774519406E-10</v>
      </c>
      <c r="K332" s="592"/>
      <c r="L332" s="592"/>
      <c r="M332" s="592">
        <v>2.32840774519406E-10</v>
      </c>
      <c r="N332" s="448"/>
      <c r="O332" s="448"/>
      <c r="P332" s="448"/>
      <c r="Q332" s="448"/>
      <c r="R332" s="448"/>
      <c r="S332" s="448"/>
      <c r="T332" s="448"/>
      <c r="U332" s="448"/>
      <c r="V332" s="448"/>
    </row>
    <row r="333">
      <c r="A333" s="257" t="s">
        <v>659</v>
      </c>
      <c r="B333" s="257" t="s">
        <v>160</v>
      </c>
      <c r="C333" s="257">
        <v>0.058417</v>
      </c>
      <c r="D333" s="257">
        <v>0.4</v>
      </c>
      <c r="E333" s="592">
        <v>4.27E-10</v>
      </c>
      <c r="F333" s="592"/>
      <c r="G333" s="592">
        <v>7.94169883932986E23</v>
      </c>
      <c r="H333" s="592"/>
      <c r="I333" s="592">
        <v>7.94169883932986E23</v>
      </c>
      <c r="J333" s="592"/>
      <c r="K333" s="592">
        <v>5.655073823561E-10</v>
      </c>
      <c r="L333" s="592"/>
      <c r="M333" s="592">
        <v>5.655073823561E-10</v>
      </c>
      <c r="N333" s="448"/>
      <c r="O333" s="448"/>
      <c r="P333" s="448"/>
      <c r="Q333" s="448"/>
      <c r="R333" s="448"/>
      <c r="S333" s="448"/>
      <c r="T333" s="448"/>
      <c r="U333" s="448"/>
      <c r="V333" s="448"/>
    </row>
    <row r="334">
      <c r="A334" s="257" t="s">
        <v>1977</v>
      </c>
      <c r="B334" s="257" t="s">
        <v>160</v>
      </c>
      <c r="C334" s="257">
        <v>1.0964782</v>
      </c>
      <c r="D334" s="257">
        <v>3.62</v>
      </c>
      <c r="E334" s="592"/>
      <c r="F334" s="592"/>
      <c r="G334" s="592">
        <v>1.41102244755675E25</v>
      </c>
      <c r="H334" s="592"/>
      <c r="I334" s="592">
        <v>1.41102244755675E25</v>
      </c>
      <c r="J334" s="592"/>
      <c r="K334" s="592">
        <v>4.84447384356416E-9</v>
      </c>
      <c r="L334" s="592"/>
      <c r="M334" s="592">
        <v>4.84447384356416E-9</v>
      </c>
      <c r="N334" s="448"/>
      <c r="O334" s="448"/>
      <c r="P334" s="448"/>
      <c r="Q334" s="448"/>
      <c r="R334" s="448"/>
      <c r="S334" s="448"/>
      <c r="T334" s="448"/>
      <c r="U334" s="448"/>
      <c r="V334" s="448"/>
    </row>
    <row r="335">
      <c r="A335" s="257" t="s">
        <v>1400</v>
      </c>
      <c r="B335" s="257" t="s">
        <v>1309</v>
      </c>
      <c r="C335" s="257">
        <v>0.35</v>
      </c>
      <c r="D335" s="257">
        <v>2.69</v>
      </c>
      <c r="E335" s="592">
        <v>9.33E-9</v>
      </c>
      <c r="F335" s="592"/>
      <c r="G335" s="592">
        <v>2.0980121705497E23</v>
      </c>
      <c r="H335" s="592"/>
      <c r="I335" s="592">
        <v>2.0980121705497E23</v>
      </c>
      <c r="J335" s="592"/>
      <c r="K335" s="592">
        <v>1.67685829038254E-10</v>
      </c>
      <c r="L335" s="592"/>
      <c r="M335" s="592">
        <v>1.67685829038254E-10</v>
      </c>
      <c r="N335" s="448"/>
      <c r="O335" s="448"/>
      <c r="P335" s="448"/>
      <c r="Q335" s="448"/>
      <c r="R335" s="448"/>
      <c r="S335" s="448"/>
      <c r="T335" s="448"/>
      <c r="U335" s="448"/>
      <c r="V335" s="448"/>
    </row>
    <row r="336">
      <c r="A336" s="257" t="s">
        <v>1400</v>
      </c>
      <c r="B336" s="257" t="s">
        <v>160</v>
      </c>
      <c r="C336" s="257">
        <v>0.616595</v>
      </c>
      <c r="D336" s="257">
        <v>2.94</v>
      </c>
      <c r="E336" s="592">
        <v>8.51E-9</v>
      </c>
      <c r="F336" s="592"/>
      <c r="G336" s="592">
        <v>1.38365174298945E25</v>
      </c>
      <c r="H336" s="592"/>
      <c r="I336" s="592">
        <v>1.38365174298945E25</v>
      </c>
      <c r="J336" s="592"/>
      <c r="K336" s="592">
        <v>6.86085514004983E-9</v>
      </c>
      <c r="L336" s="592"/>
      <c r="M336" s="592">
        <v>6.86085514004983E-9</v>
      </c>
      <c r="N336" s="448"/>
      <c r="O336" s="448"/>
      <c r="P336" s="448"/>
      <c r="Q336" s="448"/>
      <c r="R336" s="448"/>
      <c r="S336" s="448"/>
      <c r="T336" s="448"/>
      <c r="U336" s="448"/>
      <c r="V336" s="448"/>
    </row>
    <row r="337">
      <c r="A337" s="257" t="s">
        <v>1373</v>
      </c>
      <c r="B337" s="257" t="s">
        <v>160</v>
      </c>
      <c r="C337" s="257">
        <v>0.2238721</v>
      </c>
      <c r="D337" s="257">
        <v>2.01</v>
      </c>
      <c r="E337" s="592">
        <v>9.77E-10</v>
      </c>
      <c r="F337" s="592"/>
      <c r="G337" s="592">
        <v>2.02127545899587E24</v>
      </c>
      <c r="H337" s="592"/>
      <c r="I337" s="592">
        <v>2.02127545899587E24</v>
      </c>
      <c r="J337" s="592"/>
      <c r="K337" s="592">
        <v>1.88723382103711E-9</v>
      </c>
      <c r="L337" s="592"/>
      <c r="M337" s="592">
        <v>1.88723382103711E-9</v>
      </c>
      <c r="N337" s="448"/>
      <c r="O337" s="448"/>
      <c r="P337" s="448"/>
      <c r="Q337" s="448"/>
      <c r="R337" s="448"/>
      <c r="S337" s="448"/>
      <c r="T337" s="448"/>
      <c r="U337" s="448"/>
      <c r="V337" s="448"/>
    </row>
    <row r="338">
      <c r="A338" s="257" t="s">
        <v>1978</v>
      </c>
      <c r="B338" s="257" t="s">
        <v>160</v>
      </c>
      <c r="C338" s="257">
        <v>0.2754229</v>
      </c>
      <c r="D338" s="257">
        <v>2.16</v>
      </c>
      <c r="E338" s="592"/>
      <c r="F338" s="592"/>
      <c r="G338" s="592">
        <v>1.53548109365782E24</v>
      </c>
      <c r="H338" s="592"/>
      <c r="I338" s="592">
        <v>1.53548109365782E24</v>
      </c>
      <c r="J338" s="592"/>
      <c r="K338" s="592">
        <v>1.2522824701632E-9</v>
      </c>
      <c r="L338" s="592"/>
      <c r="M338" s="592">
        <v>1.2522824701632E-9</v>
      </c>
      <c r="N338" s="448"/>
      <c r="O338" s="448"/>
      <c r="P338" s="448"/>
      <c r="Q338" s="448"/>
      <c r="R338" s="448"/>
      <c r="S338" s="448"/>
      <c r="T338" s="448"/>
      <c r="U338" s="448"/>
      <c r="V338" s="448"/>
    </row>
    <row r="339">
      <c r="A339" s="257" t="s">
        <v>184</v>
      </c>
      <c r="B339" s="257" t="s">
        <v>160</v>
      </c>
      <c r="C339" s="257">
        <v>3.0199517</v>
      </c>
      <c r="D339" s="592"/>
      <c r="E339" s="592">
        <v>1.45E-6</v>
      </c>
      <c r="F339" s="448"/>
      <c r="G339" s="448"/>
      <c r="H339" s="448"/>
      <c r="I339" s="448"/>
      <c r="J339" s="448"/>
      <c r="K339" s="448"/>
      <c r="L339" s="448"/>
      <c r="M339" s="448"/>
      <c r="N339" s="448"/>
      <c r="O339" s="448"/>
      <c r="P339" s="448"/>
      <c r="Q339" s="448"/>
      <c r="R339" s="448"/>
      <c r="S339" s="448"/>
      <c r="T339" s="448"/>
      <c r="U339" s="448"/>
      <c r="V339" s="448"/>
    </row>
    <row r="340">
      <c r="A340" s="257" t="s">
        <v>1468</v>
      </c>
      <c r="B340" s="257" t="s">
        <v>160</v>
      </c>
      <c r="C340" s="257">
        <v>0.9120108</v>
      </c>
      <c r="D340" s="257">
        <v>3.42</v>
      </c>
      <c r="E340" s="592">
        <v>1.45E-9</v>
      </c>
      <c r="F340" s="592"/>
      <c r="G340" s="592">
        <v>4.92755566290283E24</v>
      </c>
      <c r="H340" s="592"/>
      <c r="I340" s="592">
        <v>4.92755566290283E24</v>
      </c>
      <c r="J340" s="592"/>
      <c r="K340" s="592">
        <v>1.92159467771316E-9</v>
      </c>
      <c r="L340" s="592"/>
      <c r="M340" s="592">
        <v>1.92159467771316E-9</v>
      </c>
      <c r="N340" s="448"/>
      <c r="O340" s="448"/>
      <c r="P340" s="448"/>
      <c r="Q340" s="448"/>
      <c r="R340" s="448"/>
      <c r="S340" s="448"/>
      <c r="T340" s="448"/>
      <c r="U340" s="448"/>
      <c r="V340" s="448"/>
    </row>
    <row r="341">
      <c r="A341" s="257" t="s">
        <v>1980</v>
      </c>
      <c r="B341" s="257" t="s">
        <v>160</v>
      </c>
      <c r="C341" s="257">
        <v>0.9120108</v>
      </c>
      <c r="D341" s="257">
        <v>3.38</v>
      </c>
      <c r="E341" s="592"/>
      <c r="F341" s="592"/>
      <c r="G341" s="592">
        <v>1.0702561240815E26</v>
      </c>
      <c r="H341" s="592"/>
      <c r="I341" s="592">
        <v>1.0702561240815E26</v>
      </c>
      <c r="J341" s="592"/>
      <c r="K341" s="592">
        <v>4.12485383743258E-8</v>
      </c>
      <c r="L341" s="592"/>
      <c r="M341" s="592">
        <v>4.12485383743258E-8</v>
      </c>
      <c r="N341" s="448"/>
      <c r="O341" s="448"/>
      <c r="P341" s="448"/>
      <c r="Q341" s="448"/>
      <c r="R341" s="448"/>
      <c r="S341" s="448"/>
      <c r="T341" s="448"/>
      <c r="U341" s="448"/>
      <c r="V341" s="448"/>
    </row>
    <row r="342">
      <c r="A342" s="257" t="s">
        <v>1981</v>
      </c>
      <c r="B342" s="257" t="s">
        <v>160</v>
      </c>
      <c r="C342" s="448"/>
      <c r="D342" s="448"/>
      <c r="E342" s="448"/>
      <c r="F342" s="448"/>
      <c r="G342" s="448"/>
      <c r="H342" s="448"/>
      <c r="I342" s="448"/>
      <c r="J342" s="448"/>
      <c r="K342" s="448"/>
      <c r="L342" s="448"/>
      <c r="M342" s="448"/>
      <c r="N342" s="448"/>
      <c r="O342" s="448"/>
      <c r="P342" s="448"/>
      <c r="Q342" s="448"/>
      <c r="R342" s="448"/>
      <c r="S342" s="448"/>
      <c r="T342" s="448"/>
      <c r="U342" s="448"/>
      <c r="V342" s="448"/>
    </row>
    <row r="343">
      <c r="A343" s="257" t="s">
        <v>1982</v>
      </c>
      <c r="B343" s="257" t="s">
        <v>160</v>
      </c>
      <c r="C343" s="257">
        <v>4.3651583</v>
      </c>
      <c r="D343" s="257">
        <v>6.29</v>
      </c>
      <c r="E343" s="592"/>
      <c r="F343" s="592"/>
      <c r="G343" s="592">
        <v>2.28797382750509E27</v>
      </c>
      <c r="H343" s="592"/>
      <c r="I343" s="592">
        <v>2.28797382750509E27</v>
      </c>
      <c r="J343" s="592"/>
      <c r="K343" s="592">
        <v>3.42851318028253E-7</v>
      </c>
      <c r="L343" s="592"/>
      <c r="M343" s="592">
        <v>3.42851318028253E-7</v>
      </c>
      <c r="N343" s="448"/>
      <c r="O343" s="448"/>
      <c r="P343" s="448"/>
      <c r="Q343" s="448"/>
      <c r="R343" s="448"/>
      <c r="S343" s="448"/>
      <c r="T343" s="448"/>
      <c r="U343" s="448"/>
      <c r="V343" s="448"/>
    </row>
    <row r="344">
      <c r="A344" s="257" t="s">
        <v>1333</v>
      </c>
      <c r="B344" s="257" t="s">
        <v>160</v>
      </c>
      <c r="C344" s="257">
        <v>0.0831763999999999</v>
      </c>
      <c r="D344" s="257">
        <v>1.11</v>
      </c>
      <c r="E344" s="592">
        <v>7.24E-10</v>
      </c>
      <c r="F344" s="592"/>
      <c r="G344" s="592">
        <v>7.67238353234404E23</v>
      </c>
      <c r="H344" s="592"/>
      <c r="I344" s="592">
        <v>7.67238353234404E23</v>
      </c>
      <c r="J344" s="592"/>
      <c r="K344" s="592">
        <v>1.06477363087424E-9</v>
      </c>
      <c r="L344" s="592"/>
      <c r="M344" s="592">
        <v>1.06477363087424E-9</v>
      </c>
      <c r="N344" s="448"/>
      <c r="O344" s="448"/>
      <c r="P344" s="448"/>
      <c r="Q344" s="448"/>
      <c r="R344" s="448"/>
      <c r="S344" s="448"/>
      <c r="T344" s="448"/>
      <c r="U344" s="448"/>
      <c r="V344" s="448"/>
    </row>
    <row r="345">
      <c r="A345" s="257" t="s">
        <v>1333</v>
      </c>
      <c r="B345" s="257" t="s">
        <v>754</v>
      </c>
      <c r="C345" s="257">
        <v>0.51</v>
      </c>
      <c r="D345" s="257">
        <v>1.0</v>
      </c>
      <c r="E345" s="592">
        <v>2.04E-10</v>
      </c>
      <c r="F345" s="592"/>
      <c r="G345" s="592">
        <v>1.65502688697069E24</v>
      </c>
      <c r="H345" s="592"/>
      <c r="I345" s="592">
        <v>1.65502688697069E24</v>
      </c>
      <c r="J345" s="592"/>
      <c r="K345" s="592">
        <v>3.37472975719353E-10</v>
      </c>
      <c r="L345" s="592"/>
      <c r="M345" s="592">
        <v>3.37472975719353E-10</v>
      </c>
      <c r="N345" s="448"/>
      <c r="O345" s="448"/>
      <c r="P345" s="448"/>
      <c r="Q345" s="448"/>
      <c r="R345" s="448"/>
      <c r="S345" s="448"/>
      <c r="T345" s="448"/>
      <c r="U345" s="448"/>
      <c r="V345" s="448"/>
    </row>
    <row r="346">
      <c r="A346" s="257" t="s">
        <v>1333</v>
      </c>
      <c r="B346" s="257" t="s">
        <v>1309</v>
      </c>
      <c r="C346" s="257">
        <v>0.6</v>
      </c>
      <c r="D346" s="257">
        <v>0.6</v>
      </c>
      <c r="E346" s="592">
        <v>1.54999999999999E-11</v>
      </c>
      <c r="F346" s="448"/>
      <c r="G346" s="448"/>
      <c r="H346" s="448"/>
      <c r="I346" s="448"/>
      <c r="J346" s="448"/>
      <c r="K346" s="448"/>
      <c r="L346" s="448"/>
      <c r="M346" s="448"/>
      <c r="N346" s="448"/>
      <c r="O346" s="448"/>
      <c r="P346" s="448"/>
      <c r="Q346" s="448"/>
      <c r="R346" s="448"/>
      <c r="S346" s="448"/>
      <c r="T346" s="448"/>
      <c r="U346" s="448"/>
      <c r="V346" s="448"/>
    </row>
    <row r="347">
      <c r="A347" s="257" t="s">
        <v>1426</v>
      </c>
      <c r="B347" s="257" t="s">
        <v>160</v>
      </c>
      <c r="C347" s="257">
        <v>0.5011872</v>
      </c>
      <c r="D347" s="257">
        <v>2.75</v>
      </c>
      <c r="E347" s="592">
        <v>3.09E-9</v>
      </c>
      <c r="F347" s="592"/>
      <c r="G347" s="592">
        <v>6.40267651929541E24</v>
      </c>
      <c r="H347" s="592"/>
      <c r="I347" s="592">
        <v>6.40267651929541E24</v>
      </c>
      <c r="J347" s="592"/>
      <c r="K347" s="592">
        <v>3.65340994899074E-9</v>
      </c>
      <c r="L347" s="592"/>
      <c r="M347" s="592">
        <v>3.65340994899074E-9</v>
      </c>
      <c r="N347" s="448"/>
      <c r="O347" s="448"/>
      <c r="P347" s="448"/>
      <c r="Q347" s="448"/>
      <c r="R347" s="448"/>
      <c r="S347" s="448"/>
      <c r="T347" s="448"/>
      <c r="U347" s="448"/>
      <c r="V347" s="448"/>
    </row>
    <row r="348">
      <c r="A348" s="257" t="s">
        <v>1372</v>
      </c>
      <c r="B348" s="257" t="s">
        <v>160</v>
      </c>
      <c r="C348" s="257">
        <v>0.2137962</v>
      </c>
      <c r="D348" s="257">
        <v>1.94</v>
      </c>
      <c r="E348" s="592">
        <v>3.02E-9</v>
      </c>
      <c r="F348" s="592"/>
      <c r="G348" s="592">
        <v>4.85621164898899E24</v>
      </c>
      <c r="H348" s="592"/>
      <c r="I348" s="592">
        <v>4.85621164898899E24</v>
      </c>
      <c r="J348" s="592"/>
      <c r="K348" s="592">
        <v>4.58251059788993E-9</v>
      </c>
      <c r="L348" s="592"/>
      <c r="M348" s="592">
        <v>4.58251059788993E-9</v>
      </c>
      <c r="N348" s="448"/>
      <c r="O348" s="448"/>
      <c r="P348" s="448"/>
      <c r="Q348" s="448"/>
      <c r="R348" s="448"/>
      <c r="S348" s="448"/>
      <c r="T348" s="448"/>
      <c r="U348" s="448"/>
      <c r="V348" s="448"/>
    </row>
    <row r="349">
      <c r="A349" s="257" t="s">
        <v>1372</v>
      </c>
      <c r="B349" s="257" t="s">
        <v>754</v>
      </c>
      <c r="C349" s="257">
        <v>0.33</v>
      </c>
      <c r="D349" s="257">
        <v>1.41</v>
      </c>
      <c r="E349" s="592">
        <v>2.29E-10</v>
      </c>
      <c r="F349" s="592">
        <v>3.93243338607088E24</v>
      </c>
      <c r="G349" s="592">
        <v>6.36882686884424E23</v>
      </c>
      <c r="H349" s="592"/>
      <c r="I349" s="592">
        <v>2.28465803647765E24</v>
      </c>
      <c r="J349" s="592">
        <v>1.74731285028451E-9</v>
      </c>
      <c r="K349" s="592">
        <v>2.82988468885108E-10</v>
      </c>
      <c r="L349" s="592"/>
      <c r="M349" s="592">
        <v>1.0151506595848E-9</v>
      </c>
      <c r="N349" s="448"/>
      <c r="O349" s="448"/>
      <c r="P349" s="448"/>
      <c r="Q349" s="448"/>
      <c r="R349" s="448"/>
      <c r="S349" s="448"/>
      <c r="T349" s="448"/>
      <c r="U349" s="448"/>
      <c r="V349" s="448"/>
    </row>
    <row r="350">
      <c r="A350" s="257" t="s">
        <v>1372</v>
      </c>
      <c r="B350" s="257" t="s">
        <v>1309</v>
      </c>
      <c r="C350" s="257">
        <v>0.6</v>
      </c>
      <c r="D350" s="257">
        <v>1.27</v>
      </c>
      <c r="E350" s="592">
        <v>2.33999999999999E-9</v>
      </c>
      <c r="F350" s="592"/>
      <c r="G350" s="592">
        <v>6.78212760920583E23</v>
      </c>
      <c r="H350" s="592">
        <v>4.24288865240381E24</v>
      </c>
      <c r="I350" s="592">
        <v>2.4605507066622E24</v>
      </c>
      <c r="J350" s="592"/>
      <c r="K350" s="592">
        <v>1.49287192608418E-10</v>
      </c>
      <c r="L350" s="592">
        <v>9.33938392146607E-10</v>
      </c>
      <c r="M350" s="592">
        <v>5.41612792377513E-10</v>
      </c>
      <c r="N350" s="448"/>
      <c r="O350" s="448"/>
      <c r="P350" s="448"/>
      <c r="Q350" s="448"/>
      <c r="R350" s="448"/>
      <c r="S350" s="448"/>
      <c r="T350" s="448"/>
      <c r="U350" s="448"/>
      <c r="V350" s="448"/>
    </row>
    <row r="351">
      <c r="A351" s="257" t="s">
        <v>1983</v>
      </c>
      <c r="B351" s="257" t="s">
        <v>160</v>
      </c>
      <c r="C351" s="257"/>
      <c r="D351" s="257">
        <v>2.34</v>
      </c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</row>
    <row r="352">
      <c r="A352" s="257" t="s">
        <v>1365</v>
      </c>
      <c r="B352" s="257" t="s">
        <v>160</v>
      </c>
      <c r="C352" s="257">
        <v>0.1862087</v>
      </c>
      <c r="D352" s="257">
        <v>1.81</v>
      </c>
      <c r="E352" s="592">
        <v>2.57E-9</v>
      </c>
      <c r="F352" s="592"/>
      <c r="G352" s="592">
        <v>2.51080473219592E24</v>
      </c>
      <c r="H352" s="592"/>
      <c r="I352" s="592">
        <v>2.51080473219592E24</v>
      </c>
      <c r="J352" s="592"/>
      <c r="K352" s="592">
        <v>2.53802367400733E-9</v>
      </c>
      <c r="L352" s="592"/>
      <c r="M352" s="592">
        <v>2.53802367400733E-9</v>
      </c>
      <c r="N352" s="448"/>
      <c r="O352" s="448"/>
      <c r="P352" s="448"/>
      <c r="Q352" s="448"/>
      <c r="R352" s="448"/>
      <c r="S352" s="448"/>
      <c r="T352" s="448"/>
      <c r="U352" s="448"/>
      <c r="V352" s="448"/>
    </row>
    <row r="353">
      <c r="A353" s="257" t="s">
        <v>1331</v>
      </c>
      <c r="B353" s="257" t="s">
        <v>160</v>
      </c>
      <c r="C353" s="257">
        <v>0.0831763999999999</v>
      </c>
      <c r="D353" s="257">
        <v>1.12</v>
      </c>
      <c r="E353" s="592">
        <v>1.29E-8</v>
      </c>
      <c r="F353" s="592"/>
      <c r="G353" s="592">
        <v>1.02155478233809E25</v>
      </c>
      <c r="H353" s="592"/>
      <c r="I353" s="592">
        <v>1.02155478233809E25</v>
      </c>
      <c r="J353" s="592"/>
      <c r="K353" s="592">
        <v>1.43048625081571E-8</v>
      </c>
      <c r="L353" s="592"/>
      <c r="M353" s="592">
        <v>1.43048625081571E-8</v>
      </c>
      <c r="N353" s="448"/>
      <c r="O353" s="448"/>
      <c r="P353" s="448"/>
      <c r="Q353" s="448"/>
      <c r="R353" s="448"/>
      <c r="S353" s="448"/>
      <c r="T353" s="448"/>
      <c r="U353" s="448"/>
      <c r="V353" s="448"/>
    </row>
    <row r="354">
      <c r="A354" s="257" t="s">
        <v>1331</v>
      </c>
      <c r="B354" s="257" t="s">
        <v>754</v>
      </c>
      <c r="C354" s="257">
        <v>0.62</v>
      </c>
      <c r="D354" s="257">
        <v>0.56</v>
      </c>
      <c r="E354" s="592">
        <v>2.75E-10</v>
      </c>
      <c r="F354" s="592">
        <v>3.70225864744638E24</v>
      </c>
      <c r="G354" s="592">
        <v>6.39959093240367E24</v>
      </c>
      <c r="H354" s="592">
        <v>5.72324280583622E24</v>
      </c>
      <c r="I354" s="592">
        <v>5.27503079522876E24</v>
      </c>
      <c r="J354" s="592">
        <v>3.47750062889194E-10</v>
      </c>
      <c r="K354" s="592">
        <v>6.01108231793448E-10</v>
      </c>
      <c r="L354" s="592">
        <v>5.37579417103245E-10</v>
      </c>
      <c r="M354" s="592">
        <v>4.95479237261962E-10</v>
      </c>
      <c r="N354" s="448"/>
      <c r="O354" s="448"/>
      <c r="P354" s="448"/>
      <c r="Q354" s="448"/>
      <c r="R354" s="448"/>
      <c r="S354" s="448"/>
      <c r="T354" s="448"/>
      <c r="U354" s="448"/>
      <c r="V354" s="448"/>
    </row>
    <row r="355">
      <c r="A355" s="257" t="s">
        <v>1984</v>
      </c>
      <c r="B355" s="257" t="s">
        <v>160</v>
      </c>
      <c r="C355" s="257"/>
      <c r="D355" s="257">
        <v>2.51</v>
      </c>
      <c r="E355" s="448"/>
      <c r="F355" s="448"/>
      <c r="G355" s="448"/>
      <c r="H355" s="448"/>
      <c r="I355" s="448"/>
      <c r="J355" s="448"/>
      <c r="K355" s="448"/>
      <c r="L355" s="448"/>
      <c r="M355" s="448"/>
      <c r="N355" s="448"/>
      <c r="O355" s="448"/>
      <c r="P355" s="448"/>
      <c r="Q355" s="448"/>
      <c r="R355" s="448"/>
      <c r="S355" s="448"/>
      <c r="T355" s="448"/>
      <c r="U355" s="448"/>
      <c r="V355" s="448"/>
    </row>
    <row r="356">
      <c r="A356" s="257" t="s">
        <v>1420</v>
      </c>
      <c r="B356" s="257" t="s">
        <v>160</v>
      </c>
      <c r="C356" s="257">
        <v>0.4570882</v>
      </c>
      <c r="D356" s="257">
        <v>2.65</v>
      </c>
      <c r="E356" s="592">
        <v>7.93999999999999E-10</v>
      </c>
      <c r="F356" s="592"/>
      <c r="G356" s="592">
        <v>1.56908105564938E24</v>
      </c>
      <c r="H356" s="592"/>
      <c r="I356" s="592">
        <v>1.56908105564938E24</v>
      </c>
      <c r="J356" s="592"/>
      <c r="K356" s="592">
        <v>9.46009214337522E-10</v>
      </c>
      <c r="L356" s="592"/>
      <c r="M356" s="592">
        <v>9.46009214337522E-10</v>
      </c>
      <c r="N356" s="448"/>
      <c r="O356" s="448"/>
      <c r="P356" s="448"/>
      <c r="Q356" s="448"/>
      <c r="R356" s="448"/>
      <c r="S356" s="448"/>
      <c r="T356" s="448"/>
      <c r="U356" s="448"/>
      <c r="V356" s="448"/>
    </row>
    <row r="357">
      <c r="A357" s="257" t="s">
        <v>1986</v>
      </c>
      <c r="B357" s="257" t="s">
        <v>160</v>
      </c>
      <c r="C357" s="257"/>
      <c r="D357" s="257">
        <v>2.94</v>
      </c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</row>
    <row r="358">
      <c r="A358" s="257" t="s">
        <v>1450</v>
      </c>
      <c r="B358" s="257" t="s">
        <v>160</v>
      </c>
      <c r="C358" s="257">
        <v>0.6456542</v>
      </c>
      <c r="D358" s="257">
        <v>2.88</v>
      </c>
      <c r="E358" s="592">
        <v>3.8E-9</v>
      </c>
      <c r="F358" s="592"/>
      <c r="G358" s="592">
        <v>6.00999052807657E24</v>
      </c>
      <c r="H358" s="592"/>
      <c r="I358" s="592">
        <v>6.00999052807657E24</v>
      </c>
      <c r="J358" s="592"/>
      <c r="K358" s="592">
        <v>2.78785651850207E-9</v>
      </c>
      <c r="L358" s="592"/>
      <c r="M358" s="592">
        <v>2.78785651850207E-9</v>
      </c>
      <c r="N358" s="448"/>
      <c r="O358" s="448"/>
      <c r="P358" s="448"/>
      <c r="Q358" s="448"/>
      <c r="R358" s="448"/>
      <c r="S358" s="448"/>
      <c r="T358" s="448"/>
      <c r="U358" s="448"/>
      <c r="V358" s="448"/>
    </row>
    <row r="359">
      <c r="A359" s="257" t="s">
        <v>1988</v>
      </c>
      <c r="B359" s="257" t="s">
        <v>160</v>
      </c>
      <c r="C359" s="448"/>
      <c r="D359" s="448"/>
      <c r="E359" s="448"/>
      <c r="F359" s="448"/>
      <c r="G359" s="448"/>
      <c r="H359" s="448"/>
      <c r="I359" s="448"/>
      <c r="J359" s="448"/>
      <c r="K359" s="448"/>
      <c r="L359" s="448"/>
      <c r="M359" s="448"/>
      <c r="N359" s="448"/>
      <c r="O359" s="448"/>
      <c r="P359" s="448"/>
      <c r="Q359" s="448"/>
      <c r="R359" s="448"/>
      <c r="S359" s="448"/>
      <c r="T359" s="448"/>
      <c r="U359" s="448"/>
      <c r="V359" s="448"/>
    </row>
    <row r="360">
      <c r="A360" s="257" t="s">
        <v>663</v>
      </c>
      <c r="B360" s="257" t="s">
        <v>598</v>
      </c>
      <c r="C360" s="257">
        <v>0.047607</v>
      </c>
      <c r="D360" s="257">
        <v>0.54</v>
      </c>
      <c r="E360" s="592">
        <v>1.0E-12</v>
      </c>
      <c r="F360" s="448"/>
      <c r="G360" s="448"/>
      <c r="H360" s="448"/>
      <c r="I360" s="448"/>
      <c r="J360" s="448"/>
      <c r="K360" s="448"/>
      <c r="L360" s="448"/>
      <c r="M360" s="448"/>
      <c r="N360" s="448"/>
      <c r="O360" s="448"/>
      <c r="P360" s="448"/>
      <c r="Q360" s="448"/>
      <c r="R360" s="448"/>
      <c r="S360" s="448"/>
      <c r="T360" s="448"/>
      <c r="U360" s="448"/>
      <c r="V360" s="448"/>
    </row>
    <row r="361">
      <c r="A361" s="257" t="s">
        <v>663</v>
      </c>
      <c r="B361" s="257" t="s">
        <v>160</v>
      </c>
      <c r="C361" s="257">
        <v>0.047607</v>
      </c>
      <c r="D361" s="257">
        <v>0.54</v>
      </c>
      <c r="E361" s="592">
        <v>4.17E-11</v>
      </c>
      <c r="F361" s="592"/>
      <c r="G361" s="592">
        <v>6.93785931607762E22</v>
      </c>
      <c r="H361" s="592"/>
      <c r="I361" s="592">
        <v>6.93785931607762E22</v>
      </c>
      <c r="J361" s="592"/>
      <c r="K361" s="592">
        <v>8.18375383730762E-11</v>
      </c>
      <c r="L361" s="592"/>
      <c r="M361" s="592">
        <v>8.18375383730762E-11</v>
      </c>
      <c r="N361" s="448"/>
      <c r="O361" s="448"/>
      <c r="P361" s="448"/>
      <c r="Q361" s="448"/>
      <c r="R361" s="448"/>
      <c r="S361" s="448"/>
      <c r="T361" s="448"/>
      <c r="U361" s="448"/>
      <c r="V361" s="448"/>
    </row>
    <row r="362">
      <c r="A362" s="257" t="s">
        <v>173</v>
      </c>
      <c r="B362" s="257" t="s">
        <v>160</v>
      </c>
      <c r="C362" s="257">
        <v>0.1513561</v>
      </c>
      <c r="D362" s="257">
        <v>1.73</v>
      </c>
      <c r="E362" s="592">
        <v>5.37E-8</v>
      </c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</row>
    <row r="363">
      <c r="A363" s="257" t="s">
        <v>1427</v>
      </c>
      <c r="B363" s="257" t="s">
        <v>160</v>
      </c>
      <c r="C363" s="257">
        <v>0.5128614</v>
      </c>
      <c r="D363" s="257">
        <v>2.78</v>
      </c>
      <c r="E363" s="592">
        <v>1.91E-8</v>
      </c>
      <c r="F363" s="592"/>
      <c r="G363" s="592">
        <v>1.85915242305199E25</v>
      </c>
      <c r="H363" s="592"/>
      <c r="I363" s="592">
        <v>1.85915242305199E25</v>
      </c>
      <c r="J363" s="592"/>
      <c r="K363" s="592">
        <v>1.04800632282543E-8</v>
      </c>
      <c r="L363" s="592"/>
      <c r="M363" s="592">
        <v>1.04800632282543E-8</v>
      </c>
      <c r="N363" s="448"/>
      <c r="O363" s="448"/>
      <c r="P363" s="448"/>
      <c r="Q363" s="448"/>
      <c r="R363" s="448"/>
      <c r="S363" s="448"/>
      <c r="T363" s="448"/>
      <c r="U363" s="448"/>
      <c r="V363" s="448"/>
    </row>
    <row r="364">
      <c r="A364" s="257" t="s">
        <v>1406</v>
      </c>
      <c r="B364" s="257" t="s">
        <v>160</v>
      </c>
      <c r="C364" s="257">
        <v>0.3715352</v>
      </c>
      <c r="D364" s="257">
        <v>2.45</v>
      </c>
      <c r="E364" s="592">
        <v>7.93999999999999E-10</v>
      </c>
      <c r="F364" s="592"/>
      <c r="G364" s="592">
        <v>3.54398445430992E24</v>
      </c>
      <c r="H364" s="592"/>
      <c r="I364" s="592">
        <v>3.54398445430992E24</v>
      </c>
      <c r="J364" s="592"/>
      <c r="K364" s="592">
        <v>2.43031210512798E-9</v>
      </c>
      <c r="L364" s="592"/>
      <c r="M364" s="592">
        <v>2.43031210512798E-9</v>
      </c>
      <c r="N364" s="448"/>
      <c r="O364" s="448"/>
      <c r="P364" s="448"/>
      <c r="Q364" s="448"/>
      <c r="R364" s="448"/>
      <c r="S364" s="448"/>
      <c r="T364" s="448"/>
      <c r="U364" s="448"/>
      <c r="V364" s="448"/>
    </row>
    <row r="365">
      <c r="A365" s="257" t="s">
        <v>1387</v>
      </c>
      <c r="B365" s="257" t="s">
        <v>160</v>
      </c>
      <c r="C365" s="257">
        <v>0.2884032</v>
      </c>
      <c r="D365" s="257">
        <v>2.16</v>
      </c>
      <c r="E365" s="592">
        <v>2.18999999999999E-9</v>
      </c>
      <c r="F365" s="592"/>
      <c r="G365" s="592">
        <v>2.63912328438569E24</v>
      </c>
      <c r="H365" s="592"/>
      <c r="I365" s="592">
        <v>2.63912328438569E24</v>
      </c>
      <c r="J365" s="592"/>
      <c r="K365" s="592">
        <v>2.05549998632391E-9</v>
      </c>
      <c r="L365" s="592"/>
      <c r="M365" s="592">
        <v>2.05549998632391E-9</v>
      </c>
      <c r="N365" s="448"/>
      <c r="O365" s="448"/>
      <c r="P365" s="448"/>
      <c r="Q365" s="448"/>
      <c r="R365" s="448"/>
      <c r="S365" s="448"/>
      <c r="T365" s="448"/>
      <c r="U365" s="448"/>
      <c r="V365" s="448"/>
    </row>
    <row r="366">
      <c r="A366" s="257" t="s">
        <v>1444</v>
      </c>
      <c r="B366" s="257" t="s">
        <v>160</v>
      </c>
      <c r="C366" s="257">
        <v>0.6025596</v>
      </c>
      <c r="D366" s="257">
        <v>2.88</v>
      </c>
      <c r="E366" s="592">
        <v>1.55E-9</v>
      </c>
      <c r="F366" s="592"/>
      <c r="G366" s="592">
        <v>2.9089317845315E24</v>
      </c>
      <c r="H366" s="592"/>
      <c r="I366" s="592">
        <v>2.9089317845315E24</v>
      </c>
      <c r="J366" s="592"/>
      <c r="K366" s="592">
        <v>1.44587296799416E-9</v>
      </c>
      <c r="L366" s="592"/>
      <c r="M366" s="592">
        <v>1.44587296799416E-9</v>
      </c>
      <c r="N366" s="448"/>
      <c r="O366" s="448"/>
      <c r="P366" s="448"/>
      <c r="Q366" s="448"/>
      <c r="R366" s="448"/>
      <c r="S366" s="448"/>
      <c r="T366" s="448"/>
      <c r="U366" s="448"/>
      <c r="V366" s="448"/>
    </row>
    <row r="367">
      <c r="A367" s="257" t="s">
        <v>1386</v>
      </c>
      <c r="B367" s="257" t="s">
        <v>160</v>
      </c>
      <c r="C367" s="257">
        <v>0.2818383</v>
      </c>
      <c r="D367" s="257">
        <v>2.13</v>
      </c>
      <c r="E367" s="592">
        <v>5.24999999999999E-10</v>
      </c>
      <c r="F367" s="592"/>
      <c r="G367" s="592">
        <v>1.3799069804249E24</v>
      </c>
      <c r="H367" s="592"/>
      <c r="I367" s="592">
        <v>1.3799069804249E24</v>
      </c>
      <c r="J367" s="592"/>
      <c r="K367" s="592">
        <v>1.08450991771144E-9</v>
      </c>
      <c r="L367" s="592"/>
      <c r="M367" s="592">
        <v>1.08450991771144E-9</v>
      </c>
      <c r="N367" s="448"/>
      <c r="O367" s="448"/>
      <c r="P367" s="448"/>
      <c r="Q367" s="448"/>
      <c r="R367" s="448"/>
      <c r="S367" s="448"/>
      <c r="T367" s="448"/>
      <c r="U367" s="448"/>
      <c r="V367" s="448"/>
    </row>
    <row r="368">
      <c r="A368" s="257" t="s">
        <v>1377</v>
      </c>
      <c r="B368" s="257" t="s">
        <v>160</v>
      </c>
      <c r="C368" s="257">
        <v>0.2398833</v>
      </c>
      <c r="D368" s="257">
        <v>2.01</v>
      </c>
      <c r="E368" s="592">
        <v>4.07E-10</v>
      </c>
      <c r="F368" s="592"/>
      <c r="G368" s="592">
        <v>9.77844569644402E23</v>
      </c>
      <c r="H368" s="592"/>
      <c r="I368" s="592">
        <v>9.77844569644402E23</v>
      </c>
      <c r="J368" s="592"/>
      <c r="K368" s="592">
        <v>8.52059640483559E-10</v>
      </c>
      <c r="L368" s="592"/>
      <c r="M368" s="592">
        <v>8.52059640483559E-10</v>
      </c>
      <c r="N368" s="448"/>
      <c r="O368" s="448"/>
      <c r="P368" s="448"/>
      <c r="Q368" s="448"/>
      <c r="R368" s="448"/>
      <c r="S368" s="448"/>
      <c r="T368" s="448"/>
      <c r="U368" s="448"/>
      <c r="V368" s="448"/>
    </row>
    <row r="369">
      <c r="A369" s="257" t="s">
        <v>1402</v>
      </c>
      <c r="B369" s="257" t="s">
        <v>160</v>
      </c>
      <c r="C369" s="257">
        <v>0.3548134</v>
      </c>
      <c r="D369" s="257">
        <v>2.37</v>
      </c>
      <c r="E369" s="592">
        <v>4.9E-9</v>
      </c>
      <c r="F369" s="592"/>
      <c r="G369" s="592">
        <v>5.65362873033041E24</v>
      </c>
      <c r="H369" s="592"/>
      <c r="I369" s="592">
        <v>5.65362873033041E24</v>
      </c>
      <c r="J369" s="592"/>
      <c r="K369" s="592">
        <v>3.92717036296262E-9</v>
      </c>
      <c r="L369" s="592"/>
      <c r="M369" s="592">
        <v>3.92717036296262E-9</v>
      </c>
      <c r="N369" s="448"/>
      <c r="O369" s="448"/>
      <c r="P369" s="448"/>
      <c r="Q369" s="448"/>
      <c r="R369" s="448"/>
      <c r="S369" s="448"/>
      <c r="T369" s="448"/>
      <c r="U369" s="448"/>
      <c r="V369" s="448"/>
    </row>
    <row r="370">
      <c r="A370" s="257" t="s">
        <v>1415</v>
      </c>
      <c r="B370" s="257" t="s">
        <v>160</v>
      </c>
      <c r="C370" s="257">
        <v>0.4073803</v>
      </c>
      <c r="D370" s="257">
        <v>2.51</v>
      </c>
      <c r="E370" s="592">
        <v>2.23999999999999E-9</v>
      </c>
      <c r="F370" s="592"/>
      <c r="G370" s="592">
        <v>3.47629945689858E24</v>
      </c>
      <c r="H370" s="592"/>
      <c r="I370" s="592">
        <v>3.47629945689858E24</v>
      </c>
      <c r="J370" s="592"/>
      <c r="K370" s="592">
        <v>2.22738351911756E-9</v>
      </c>
      <c r="L370" s="592"/>
      <c r="M370" s="592">
        <v>2.22738351911756E-9</v>
      </c>
      <c r="N370" s="448"/>
      <c r="O370" s="448"/>
      <c r="P370" s="448"/>
      <c r="Q370" s="448"/>
      <c r="R370" s="448"/>
      <c r="S370" s="448"/>
      <c r="T370" s="448"/>
      <c r="U370" s="448"/>
      <c r="V370" s="448"/>
    </row>
    <row r="371">
      <c r="A371" s="257" t="s">
        <v>1462</v>
      </c>
      <c r="B371" s="257" t="s">
        <v>160</v>
      </c>
      <c r="C371" s="257">
        <v>0.8128305</v>
      </c>
      <c r="D371" s="257">
        <v>3.23</v>
      </c>
      <c r="E371" s="592">
        <v>4.07E-8</v>
      </c>
      <c r="F371" s="592"/>
      <c r="G371" s="592">
        <v>5.81779486315986E25</v>
      </c>
      <c r="H371" s="592"/>
      <c r="I371" s="592">
        <v>5.81779486315986E25</v>
      </c>
      <c r="J371" s="592"/>
      <c r="K371" s="592">
        <v>2.40416936197114E-8</v>
      </c>
      <c r="L371" s="592"/>
      <c r="M371" s="592">
        <v>2.40416936197114E-8</v>
      </c>
      <c r="N371" s="448"/>
      <c r="O371" s="448"/>
      <c r="P371" s="448"/>
      <c r="Q371" s="448"/>
      <c r="R371" s="448"/>
      <c r="S371" s="448"/>
      <c r="T371" s="448"/>
      <c r="U371" s="448"/>
      <c r="V371" s="448"/>
    </row>
    <row r="372">
      <c r="A372" s="257" t="s">
        <v>1462</v>
      </c>
      <c r="B372" s="257" t="s">
        <v>1309</v>
      </c>
      <c r="C372" s="257">
        <v>1.0</v>
      </c>
      <c r="D372" s="257">
        <v>2.63</v>
      </c>
      <c r="E372" s="592">
        <v>5.25E-9</v>
      </c>
      <c r="F372" s="448"/>
      <c r="G372" s="448"/>
      <c r="H372" s="448"/>
      <c r="I372" s="448"/>
      <c r="J372" s="448"/>
      <c r="K372" s="448"/>
      <c r="L372" s="448"/>
      <c r="M372" s="448"/>
      <c r="N372" s="448"/>
      <c r="O372" s="448"/>
      <c r="P372" s="448"/>
      <c r="Q372" s="448"/>
      <c r="R372" s="448"/>
      <c r="S372" s="448"/>
      <c r="T372" s="448"/>
      <c r="U372" s="448"/>
      <c r="V372" s="448"/>
    </row>
    <row r="373">
      <c r="A373" s="257" t="s">
        <v>1362</v>
      </c>
      <c r="B373" s="257" t="s">
        <v>160</v>
      </c>
      <c r="C373" s="257">
        <v>0.1737801</v>
      </c>
      <c r="D373" s="257">
        <v>1.79</v>
      </c>
      <c r="E373" s="592">
        <v>1.95E-10</v>
      </c>
      <c r="F373" s="592"/>
      <c r="G373" s="592">
        <v>5.55783459798457E23</v>
      </c>
      <c r="H373" s="592"/>
      <c r="I373" s="592">
        <v>5.55783459798457E23</v>
      </c>
      <c r="J373" s="592"/>
      <c r="K373" s="592">
        <v>5.9533680123722E-10</v>
      </c>
      <c r="L373" s="592"/>
      <c r="M373" s="592">
        <v>5.9533680123722E-10</v>
      </c>
      <c r="N373" s="448"/>
      <c r="O373" s="448"/>
      <c r="P373" s="448"/>
      <c r="Q373" s="448"/>
      <c r="R373" s="448"/>
      <c r="S373" s="448"/>
      <c r="T373" s="448"/>
      <c r="U373" s="448"/>
      <c r="V373" s="448"/>
    </row>
    <row r="374">
      <c r="A374" s="257" t="s">
        <v>167</v>
      </c>
      <c r="B374" s="257" t="s">
        <v>160</v>
      </c>
      <c r="C374" s="257">
        <v>0.1096478</v>
      </c>
      <c r="D374" s="257">
        <v>1.35</v>
      </c>
      <c r="E374" s="592">
        <v>2.88E-9</v>
      </c>
      <c r="F374" s="592"/>
      <c r="G374" s="592">
        <v>6.43542257735942E23</v>
      </c>
      <c r="H374" s="592"/>
      <c r="I374" s="592">
        <v>6.43542257735942E23</v>
      </c>
      <c r="J374" s="592"/>
      <c r="K374" s="592">
        <v>8.23976905650938E-10</v>
      </c>
      <c r="L374" s="592"/>
      <c r="M374" s="592">
        <v>8.23976905650938E-10</v>
      </c>
      <c r="N374" s="448"/>
      <c r="O374" s="448"/>
      <c r="P374" s="448"/>
      <c r="Q374" s="448"/>
      <c r="R374" s="448"/>
      <c r="S374" s="448"/>
      <c r="T374" s="448"/>
      <c r="U374" s="448"/>
      <c r="V374" s="448"/>
    </row>
    <row r="375">
      <c r="A375" s="257" t="s">
        <v>1329</v>
      </c>
      <c r="B375" s="257" t="s">
        <v>160</v>
      </c>
      <c r="C375" s="257">
        <v>0.35929</v>
      </c>
      <c r="D375" s="257">
        <v>0.54</v>
      </c>
      <c r="E375" s="592">
        <v>1.38E-10</v>
      </c>
      <c r="F375" s="592"/>
      <c r="G375" s="592">
        <v>1.41018537762123E23</v>
      </c>
      <c r="H375" s="592"/>
      <c r="I375" s="592">
        <v>1.41018537762123E23</v>
      </c>
      <c r="J375" s="592"/>
      <c r="K375" s="592">
        <v>2.20408815510823E-11</v>
      </c>
      <c r="L375" s="592"/>
      <c r="M375" s="592">
        <v>2.20408815510823E-11</v>
      </c>
      <c r="N375" s="448"/>
      <c r="O375" s="448"/>
      <c r="P375" s="448"/>
      <c r="Q375" s="448"/>
      <c r="R375" s="448"/>
      <c r="S375" s="448"/>
      <c r="T375" s="448"/>
      <c r="U375" s="448"/>
      <c r="V375" s="448"/>
    </row>
    <row r="376">
      <c r="A376" s="257" t="s">
        <v>1320</v>
      </c>
      <c r="B376" s="257" t="s">
        <v>1309</v>
      </c>
      <c r="C376" s="257">
        <v>0.058417</v>
      </c>
      <c r="D376" s="257">
        <v>0.47</v>
      </c>
      <c r="E376" s="592">
        <v>2.24E-10</v>
      </c>
      <c r="F376" s="592"/>
      <c r="G376" s="592">
        <v>4.88560718370123E22</v>
      </c>
      <c r="H376" s="592">
        <v>3.07123690396413E23</v>
      </c>
      <c r="I376" s="592">
        <v>1.77989881116713E23</v>
      </c>
      <c r="J376" s="592"/>
      <c r="K376" s="592">
        <v>4.08772128992253E-11</v>
      </c>
      <c r="L376" s="592">
        <v>2.56966227669966E-10</v>
      </c>
      <c r="M376" s="592">
        <v>1.48921720284596E-10</v>
      </c>
      <c r="N376" s="448"/>
      <c r="O376" s="448"/>
      <c r="P376" s="448"/>
      <c r="Q376" s="448"/>
      <c r="R376" s="448"/>
      <c r="S376" s="448"/>
      <c r="T376" s="448"/>
      <c r="U376" s="448"/>
      <c r="V376" s="448"/>
    </row>
    <row r="377">
      <c r="A377" s="257" t="s">
        <v>1320</v>
      </c>
      <c r="B377" s="257" t="s">
        <v>754</v>
      </c>
      <c r="C377" s="257">
        <v>0.058417</v>
      </c>
      <c r="D377" s="257">
        <v>0.47</v>
      </c>
      <c r="E377" s="592">
        <v>2.75E-10</v>
      </c>
      <c r="F377" s="592">
        <v>3.18827562186807E23</v>
      </c>
      <c r="G377" s="592">
        <v>7.59969112690244E23</v>
      </c>
      <c r="H377" s="592">
        <v>3.88933035610667E23</v>
      </c>
      <c r="I377" s="592">
        <v>4.89243236829239E23</v>
      </c>
      <c r="J377" s="592">
        <v>2.66758698512018E-10</v>
      </c>
      <c r="K377" s="592">
        <v>6.35855852674998E-10</v>
      </c>
      <c r="L377" s="592">
        <v>3.25414997612535E-10</v>
      </c>
      <c r="M377" s="592">
        <v>4.09343182933184E-10</v>
      </c>
      <c r="N377" s="448"/>
      <c r="O377" s="448"/>
      <c r="P377" s="448"/>
      <c r="Q377" s="448"/>
      <c r="R377" s="448"/>
      <c r="S377" s="448"/>
      <c r="T377" s="448"/>
      <c r="U377" s="448"/>
      <c r="V377" s="448"/>
    </row>
    <row r="378">
      <c r="A378" s="257" t="s">
        <v>1320</v>
      </c>
      <c r="B378" s="257" t="s">
        <v>160</v>
      </c>
      <c r="C378" s="257">
        <v>0.058417</v>
      </c>
      <c r="D378" s="257">
        <v>0.47</v>
      </c>
      <c r="E378" s="592">
        <v>3.63E-10</v>
      </c>
      <c r="F378" s="592"/>
      <c r="G378" s="592">
        <v>6.17031170833217E23</v>
      </c>
      <c r="H378" s="592"/>
      <c r="I378" s="592">
        <v>6.17031170833217E23</v>
      </c>
      <c r="J378" s="592"/>
      <c r="K378" s="592">
        <v>5.1626161472318E-10</v>
      </c>
      <c r="L378" s="592"/>
      <c r="M378" s="592">
        <v>5.1626161472318E-10</v>
      </c>
      <c r="N378" s="448"/>
      <c r="O378" s="448"/>
      <c r="P378" s="448"/>
      <c r="Q378" s="448"/>
      <c r="R378" s="448"/>
      <c r="S378" s="448"/>
      <c r="T378" s="448"/>
      <c r="U378" s="448"/>
      <c r="V378" s="448"/>
    </row>
    <row r="379">
      <c r="A379" s="257" t="s">
        <v>182</v>
      </c>
      <c r="B379" s="257" t="s">
        <v>160</v>
      </c>
      <c r="C379" s="257">
        <v>0.6025596</v>
      </c>
      <c r="D379" s="257">
        <v>2.88</v>
      </c>
      <c r="E379" s="592">
        <v>6.76E-8</v>
      </c>
      <c r="F379" s="448"/>
      <c r="G379" s="448"/>
      <c r="H379" s="448"/>
      <c r="I379" s="448"/>
      <c r="J379" s="448"/>
      <c r="K379" s="448"/>
      <c r="L379" s="448"/>
      <c r="M379" s="448"/>
      <c r="N379" s="448"/>
      <c r="O379" s="448"/>
      <c r="P379" s="448"/>
      <c r="Q379" s="448"/>
      <c r="R379" s="448"/>
      <c r="S379" s="448"/>
      <c r="T379" s="448"/>
      <c r="U379" s="448"/>
      <c r="V379" s="448"/>
    </row>
    <row r="380">
      <c r="A380" s="257" t="s">
        <v>1440</v>
      </c>
      <c r="B380" s="257" t="s">
        <v>160</v>
      </c>
      <c r="C380" s="257">
        <v>0.5623413</v>
      </c>
      <c r="D380" s="257">
        <v>2.88</v>
      </c>
      <c r="E380" s="592">
        <v>9.55E-9</v>
      </c>
      <c r="F380" s="592"/>
      <c r="G380" s="592">
        <v>1.54405776832467E25</v>
      </c>
      <c r="H380" s="592"/>
      <c r="I380" s="592">
        <v>1.54405776832467E25</v>
      </c>
      <c r="J380" s="592"/>
      <c r="K380" s="592">
        <v>8.22356586987973E-9</v>
      </c>
      <c r="L380" s="592"/>
      <c r="M380" s="592">
        <v>8.22356586987973E-9</v>
      </c>
      <c r="N380" s="448"/>
      <c r="O380" s="448"/>
      <c r="P380" s="448"/>
      <c r="Q380" s="448"/>
      <c r="R380" s="448"/>
      <c r="S380" s="448"/>
      <c r="T380" s="448"/>
      <c r="U380" s="448"/>
      <c r="V380" s="448"/>
    </row>
    <row r="381">
      <c r="A381" s="257" t="s">
        <v>1440</v>
      </c>
      <c r="B381" s="257" t="s">
        <v>1309</v>
      </c>
      <c r="C381" s="257">
        <v>0.6</v>
      </c>
      <c r="D381" s="257">
        <v>2.23</v>
      </c>
      <c r="E381" s="592">
        <v>1.29E-8</v>
      </c>
      <c r="F381" s="592"/>
      <c r="G381" s="592">
        <v>1.87386565215734E24</v>
      </c>
      <c r="H381" s="592">
        <v>6.22035840808184E24</v>
      </c>
      <c r="I381" s="592">
        <v>4.04711203011959E24</v>
      </c>
      <c r="J381" s="592"/>
      <c r="K381" s="592">
        <v>7.24262812614898E-10</v>
      </c>
      <c r="L381" s="592">
        <v>2.40421412865078E-9</v>
      </c>
      <c r="M381" s="592">
        <v>1.56423847063283E-9</v>
      </c>
      <c r="N381" s="448"/>
      <c r="O381" s="448"/>
      <c r="P381" s="448"/>
      <c r="Q381" s="448"/>
      <c r="R381" s="448"/>
      <c r="S381" s="448"/>
      <c r="T381" s="448"/>
      <c r="U381" s="448"/>
      <c r="V381" s="448"/>
    </row>
    <row r="382">
      <c r="A382" s="257" t="s">
        <v>1326</v>
      </c>
      <c r="B382" s="257" t="s">
        <v>160</v>
      </c>
      <c r="C382" s="257">
        <v>0.325055</v>
      </c>
      <c r="D382" s="257">
        <v>0.69</v>
      </c>
      <c r="E382" s="592">
        <v>2.63E-9</v>
      </c>
      <c r="F382" s="592"/>
      <c r="G382" s="592">
        <v>1.94244040616248E24</v>
      </c>
      <c r="H382" s="592"/>
      <c r="I382" s="592">
        <v>1.94244040616248E24</v>
      </c>
      <c r="J382" s="592"/>
      <c r="K382" s="592">
        <v>4.28789426009813E-10</v>
      </c>
      <c r="L382" s="592"/>
      <c r="M382" s="592">
        <v>4.28789426009813E-10</v>
      </c>
      <c r="N382" s="448"/>
      <c r="O382" s="448"/>
      <c r="P382" s="448"/>
      <c r="Q382" s="448"/>
      <c r="R382" s="448"/>
      <c r="S382" s="448"/>
      <c r="T382" s="448"/>
      <c r="U382" s="448"/>
      <c r="V382" s="448"/>
    </row>
    <row r="383">
      <c r="A383" s="257" t="s">
        <v>1326</v>
      </c>
      <c r="B383" s="257" t="s">
        <v>754</v>
      </c>
      <c r="C383" s="257">
        <v>0.325055</v>
      </c>
      <c r="D383" s="257">
        <v>0.69</v>
      </c>
      <c r="E383" s="592">
        <v>4.57E-11</v>
      </c>
      <c r="F383" s="592">
        <v>8.32126859328238E23</v>
      </c>
      <c r="G383" s="592">
        <v>2.47722085843717E23</v>
      </c>
      <c r="H383" s="592"/>
      <c r="I383" s="592">
        <v>5.39924472585978E23</v>
      </c>
      <c r="J383" s="592">
        <v>1.83690164829106E-10</v>
      </c>
      <c r="K383" s="592">
        <v>5.46841028748636E-11</v>
      </c>
      <c r="L383" s="592"/>
      <c r="M383" s="592">
        <v>1.19187133851985E-10</v>
      </c>
      <c r="N383" s="448"/>
      <c r="O383" s="448"/>
      <c r="P383" s="448"/>
      <c r="Q383" s="448"/>
      <c r="R383" s="448"/>
      <c r="S383" s="448"/>
      <c r="T383" s="448"/>
      <c r="U383" s="448"/>
      <c r="V383" s="448"/>
    </row>
    <row r="384">
      <c r="A384" s="257" t="s">
        <v>1438</v>
      </c>
      <c r="B384" s="257" t="s">
        <v>160</v>
      </c>
      <c r="C384" s="257">
        <v>0.5623413</v>
      </c>
      <c r="D384" s="257">
        <v>2.91</v>
      </c>
      <c r="E384" s="592">
        <v>1.86E-8</v>
      </c>
      <c r="F384" s="592"/>
      <c r="G384" s="592">
        <v>3.06674201834037E25</v>
      </c>
      <c r="H384" s="592"/>
      <c r="I384" s="592">
        <v>3.06674201834037E25</v>
      </c>
      <c r="J384" s="592"/>
      <c r="K384" s="592">
        <v>1.65034360853287E-8</v>
      </c>
      <c r="L384" s="592"/>
      <c r="M384" s="592">
        <v>1.65034360853287E-8</v>
      </c>
      <c r="N384" s="448"/>
      <c r="O384" s="448"/>
      <c r="P384" s="448"/>
      <c r="Q384" s="448"/>
      <c r="R384" s="448"/>
      <c r="S384" s="448"/>
      <c r="T384" s="448"/>
      <c r="U384" s="448"/>
      <c r="V384" s="448"/>
    </row>
    <row r="385">
      <c r="A385" s="257" t="s">
        <v>1438</v>
      </c>
      <c r="B385" s="257" t="s">
        <v>1309</v>
      </c>
      <c r="C385" s="257">
        <v>0.6</v>
      </c>
      <c r="D385" s="257">
        <v>2.43</v>
      </c>
      <c r="E385" s="592">
        <v>6.45999999999999E-9</v>
      </c>
      <c r="F385" s="592"/>
      <c r="G385" s="592">
        <v>1.77696635510692E24</v>
      </c>
      <c r="H385" s="592"/>
      <c r="I385" s="592">
        <v>1.77696635510692E24</v>
      </c>
      <c r="J385" s="592"/>
      <c r="K385" s="592">
        <v>7.48407880300904E-10</v>
      </c>
      <c r="L385" s="592"/>
      <c r="M385" s="592">
        <v>7.48407880300904E-10</v>
      </c>
      <c r="N385" s="448"/>
      <c r="O385" s="448"/>
      <c r="P385" s="448"/>
      <c r="Q385" s="448"/>
      <c r="R385" s="448"/>
      <c r="S385" s="448"/>
      <c r="T385" s="448"/>
      <c r="U385" s="448"/>
      <c r="V385" s="448"/>
    </row>
    <row r="386">
      <c r="A386" s="257" t="s">
        <v>1442</v>
      </c>
      <c r="B386" s="257" t="s">
        <v>160</v>
      </c>
      <c r="C386" s="257">
        <v>0.6025596</v>
      </c>
      <c r="D386" s="257">
        <v>2.91</v>
      </c>
      <c r="E386" s="592">
        <v>5.5E-9</v>
      </c>
      <c r="F386" s="592"/>
      <c r="G386" s="592">
        <v>1.15359569462828E25</v>
      </c>
      <c r="H386" s="592"/>
      <c r="I386" s="592">
        <v>1.15359569462828E25</v>
      </c>
      <c r="J386" s="592"/>
      <c r="K386" s="592">
        <v>5.7936296357107E-9</v>
      </c>
      <c r="L386" s="592"/>
      <c r="M386" s="592">
        <v>5.7936296357107E-9</v>
      </c>
      <c r="N386" s="448"/>
      <c r="O386" s="448"/>
      <c r="P386" s="448"/>
      <c r="Q386" s="448"/>
      <c r="R386" s="448"/>
      <c r="S386" s="448"/>
      <c r="T386" s="448"/>
      <c r="U386" s="448"/>
      <c r="V386" s="448"/>
    </row>
    <row r="387">
      <c r="A387" s="257" t="s">
        <v>1301</v>
      </c>
      <c r="B387" s="257" t="s">
        <v>160</v>
      </c>
      <c r="C387" s="257">
        <v>0.00588839999999999</v>
      </c>
      <c r="D387" s="257">
        <v>0.69</v>
      </c>
      <c r="E387" s="592">
        <v>8.51E-12</v>
      </c>
      <c r="F387" s="592"/>
      <c r="G387" s="592">
        <v>1.30642207390817E22</v>
      </c>
      <c r="H387" s="592"/>
      <c r="I387" s="592">
        <v>1.30642207390817E22</v>
      </c>
      <c r="J387" s="592"/>
      <c r="K387" s="592">
        <v>1.59198664455691E-10</v>
      </c>
      <c r="L387" s="592"/>
      <c r="M387" s="592">
        <v>1.59198664455691E-10</v>
      </c>
      <c r="N387" s="448"/>
      <c r="O387" s="448"/>
      <c r="P387" s="448"/>
      <c r="Q387" s="448"/>
      <c r="R387" s="448"/>
      <c r="S387" s="448"/>
      <c r="T387" s="448"/>
      <c r="U387" s="448"/>
      <c r="V387" s="448"/>
    </row>
    <row r="388">
      <c r="A388" s="257" t="s">
        <v>1991</v>
      </c>
      <c r="B388" s="257" t="s">
        <v>160</v>
      </c>
      <c r="C388" s="257"/>
      <c r="D388" s="257">
        <v>1.88</v>
      </c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</row>
    <row r="389">
      <c r="A389" s="257" t="s">
        <v>1369</v>
      </c>
      <c r="B389" s="257" t="s">
        <v>160</v>
      </c>
      <c r="C389" s="257">
        <v>0.1905461</v>
      </c>
      <c r="D389" s="257">
        <v>1.84</v>
      </c>
      <c r="E389" s="592">
        <v>7.59E-10</v>
      </c>
      <c r="F389" s="592"/>
      <c r="G389" s="592">
        <v>1.69003175934065E24</v>
      </c>
      <c r="H389" s="592"/>
      <c r="I389" s="592">
        <v>1.69003175934065E24</v>
      </c>
      <c r="J389" s="592"/>
      <c r="K389" s="592">
        <v>1.69713639998038E-9</v>
      </c>
      <c r="L389" s="592"/>
      <c r="M389" s="592">
        <v>1.69713639998038E-9</v>
      </c>
      <c r="N389" s="448"/>
      <c r="O389" s="448"/>
      <c r="P389" s="448"/>
      <c r="Q389" s="448"/>
      <c r="R389" s="448"/>
      <c r="S389" s="448"/>
      <c r="T389" s="448"/>
      <c r="U389" s="448"/>
      <c r="V389" s="448"/>
    </row>
    <row r="390">
      <c r="A390" s="257" t="s">
        <v>1317</v>
      </c>
      <c r="B390" s="257" t="s">
        <v>160</v>
      </c>
      <c r="C390" s="257">
        <v>0.0331131</v>
      </c>
      <c r="D390" s="257">
        <v>0.53</v>
      </c>
      <c r="E390" s="592">
        <v>1.62E-9</v>
      </c>
      <c r="F390" s="448"/>
      <c r="G390" s="448"/>
      <c r="H390" s="448"/>
      <c r="I390" s="448"/>
      <c r="J390" s="448"/>
      <c r="K390" s="448"/>
      <c r="L390" s="448"/>
      <c r="M390" s="448"/>
      <c r="N390" s="448"/>
      <c r="O390" s="448"/>
      <c r="P390" s="448"/>
      <c r="Q390" s="448"/>
      <c r="R390" s="448"/>
      <c r="S390" s="448"/>
      <c r="T390" s="448"/>
      <c r="U390" s="448"/>
      <c r="V390" s="448"/>
    </row>
    <row r="391">
      <c r="A391" s="257" t="s">
        <v>1321</v>
      </c>
      <c r="B391" s="257" t="s">
        <v>754</v>
      </c>
      <c r="C391" s="257">
        <v>0.0313899999999999</v>
      </c>
      <c r="D391" s="257">
        <v>0.6</v>
      </c>
      <c r="E391" s="592">
        <v>1.86E-11</v>
      </c>
      <c r="F391" s="592">
        <v>2.06834619182793E22</v>
      </c>
      <c r="G391" s="592"/>
      <c r="H391" s="592"/>
      <c r="I391" s="592">
        <v>2.06834619182793E22</v>
      </c>
      <c r="J391" s="592">
        <v>4.11137687910519E-11</v>
      </c>
      <c r="K391" s="592"/>
      <c r="L391" s="592"/>
      <c r="M391" s="592">
        <v>4.11137687910519E-11</v>
      </c>
      <c r="N391" s="448"/>
      <c r="O391" s="448"/>
      <c r="P391" s="448"/>
      <c r="Q391" s="448"/>
      <c r="R391" s="448"/>
      <c r="S391" s="448"/>
      <c r="T391" s="448"/>
      <c r="U391" s="448"/>
      <c r="V391" s="448"/>
    </row>
    <row r="392">
      <c r="A392" s="257" t="s">
        <v>1321</v>
      </c>
      <c r="B392" s="257" t="s">
        <v>160</v>
      </c>
      <c r="C392" s="257">
        <v>0.0313899999999999</v>
      </c>
      <c r="D392" s="257">
        <v>0.6</v>
      </c>
      <c r="E392" s="592">
        <v>8.32E-11</v>
      </c>
      <c r="F392" s="592"/>
      <c r="G392" s="592">
        <v>2.11742380563529E23</v>
      </c>
      <c r="H392" s="592"/>
      <c r="I392" s="592">
        <v>2.11742380563529E23</v>
      </c>
      <c r="J392" s="592"/>
      <c r="K392" s="592">
        <v>4.20893142170859E-10</v>
      </c>
      <c r="L392" s="592"/>
      <c r="M392" s="592">
        <v>4.20893142170859E-10</v>
      </c>
      <c r="N392" s="448"/>
      <c r="O392" s="448"/>
      <c r="P392" s="448"/>
      <c r="Q392" s="448"/>
      <c r="R392" s="448"/>
      <c r="S392" s="448"/>
      <c r="T392" s="448"/>
      <c r="U392" s="448"/>
      <c r="V392" s="448"/>
    </row>
    <row r="393">
      <c r="A393" s="257" t="s">
        <v>1370</v>
      </c>
      <c r="B393" s="257" t="s">
        <v>160</v>
      </c>
      <c r="C393" s="257">
        <v>0.1905461</v>
      </c>
      <c r="D393" s="257">
        <v>1.86</v>
      </c>
      <c r="E393" s="592">
        <v>2.19E-10</v>
      </c>
      <c r="F393" s="592"/>
      <c r="G393" s="592">
        <v>3.8343675970201E23</v>
      </c>
      <c r="H393" s="592"/>
      <c r="I393" s="592">
        <v>3.8343675970201E23</v>
      </c>
      <c r="J393" s="592"/>
      <c r="K393" s="592">
        <v>3.89233982102325E-10</v>
      </c>
      <c r="L393" s="592"/>
      <c r="M393" s="592">
        <v>3.89233982102325E-10</v>
      </c>
      <c r="N393" s="448"/>
      <c r="O393" s="448"/>
      <c r="P393" s="448"/>
      <c r="Q393" s="448"/>
      <c r="R393" s="448"/>
      <c r="S393" s="448"/>
      <c r="T393" s="448"/>
      <c r="U393" s="448"/>
      <c r="V393" s="448"/>
    </row>
    <row r="394">
      <c r="A394" s="257" t="s">
        <v>1361</v>
      </c>
      <c r="B394" s="257" t="s">
        <v>160</v>
      </c>
      <c r="C394" s="257">
        <v>0.1698244</v>
      </c>
      <c r="D394" s="257">
        <v>1.73</v>
      </c>
      <c r="E394" s="592">
        <v>1.66E-9</v>
      </c>
      <c r="F394" s="592"/>
      <c r="G394" s="592">
        <v>5.91279599077845E24</v>
      </c>
      <c r="H394" s="592"/>
      <c r="I394" s="592">
        <v>5.91279599077845E24</v>
      </c>
      <c r="J394" s="592"/>
      <c r="K394" s="592">
        <v>6.26387427982811E-9</v>
      </c>
      <c r="L394" s="592"/>
      <c r="M394" s="592">
        <v>6.26387427982811E-9</v>
      </c>
      <c r="N394" s="448"/>
      <c r="O394" s="448"/>
      <c r="P394" s="448"/>
      <c r="Q394" s="448"/>
      <c r="R394" s="448"/>
      <c r="S394" s="448"/>
      <c r="T394" s="448"/>
      <c r="U394" s="448"/>
      <c r="V394" s="448"/>
    </row>
    <row r="395">
      <c r="A395" s="257" t="s">
        <v>171</v>
      </c>
      <c r="B395" s="257" t="s">
        <v>160</v>
      </c>
      <c r="C395" s="257">
        <v>0.128825</v>
      </c>
      <c r="D395" s="257">
        <v>1.53</v>
      </c>
      <c r="E395" s="592">
        <v>3.8E-9</v>
      </c>
      <c r="F395" s="592"/>
      <c r="G395" s="592">
        <v>4.44071246636288E23</v>
      </c>
      <c r="H395" s="592"/>
      <c r="I395" s="592">
        <v>4.44071246636288E23</v>
      </c>
      <c r="J395" s="592"/>
      <c r="K395" s="592">
        <v>5.48463911933299E-10</v>
      </c>
      <c r="L395" s="592"/>
      <c r="M395" s="592">
        <v>5.48463911933299E-10</v>
      </c>
      <c r="N395" s="448"/>
      <c r="O395" s="448"/>
      <c r="P395" s="448"/>
      <c r="Q395" s="448"/>
      <c r="R395" s="448"/>
      <c r="S395" s="448"/>
      <c r="T395" s="448"/>
      <c r="U395" s="448"/>
      <c r="V395" s="448"/>
    </row>
    <row r="396">
      <c r="A396" s="257" t="s">
        <v>1993</v>
      </c>
      <c r="B396" s="257" t="s">
        <v>160</v>
      </c>
      <c r="C396" s="448"/>
      <c r="D396" s="448"/>
      <c r="E396" s="448"/>
      <c r="F396" s="448"/>
      <c r="G396" s="448"/>
      <c r="H396" s="448"/>
      <c r="I396" s="448"/>
      <c r="J396" s="448"/>
      <c r="K396" s="448"/>
      <c r="L396" s="448"/>
      <c r="M396" s="448"/>
      <c r="N396" s="448"/>
      <c r="O396" s="448"/>
      <c r="P396" s="448"/>
      <c r="Q396" s="448"/>
      <c r="R396" s="448"/>
      <c r="S396" s="448"/>
      <c r="T396" s="448"/>
      <c r="U396" s="448"/>
      <c r="V396" s="448"/>
    </row>
    <row r="397">
      <c r="A397" s="257" t="s">
        <v>1995</v>
      </c>
      <c r="B397" s="257" t="s">
        <v>160</v>
      </c>
      <c r="C397" s="448"/>
      <c r="D397" s="448"/>
      <c r="E397" s="448"/>
      <c r="F397" s="448"/>
      <c r="G397" s="448"/>
      <c r="H397" s="448"/>
      <c r="I397" s="448"/>
      <c r="J397" s="448"/>
      <c r="K397" s="448"/>
      <c r="L397" s="448"/>
      <c r="M397" s="448"/>
      <c r="N397" s="448"/>
      <c r="O397" s="448"/>
      <c r="P397" s="448"/>
      <c r="Q397" s="448"/>
      <c r="R397" s="448"/>
      <c r="S397" s="448"/>
      <c r="T397" s="448"/>
      <c r="U397" s="448"/>
      <c r="V397" s="448"/>
    </row>
    <row r="398">
      <c r="A398" s="257" t="s">
        <v>1395</v>
      </c>
      <c r="B398" s="257" t="s">
        <v>160</v>
      </c>
      <c r="C398" s="257">
        <v>0.3019952</v>
      </c>
      <c r="D398" s="257">
        <v>2.26</v>
      </c>
      <c r="E398" s="592">
        <v>9.33E-10</v>
      </c>
      <c r="F398" s="592"/>
      <c r="G398" s="592">
        <v>1.52141775942436E24</v>
      </c>
      <c r="H398" s="592"/>
      <c r="I398" s="592">
        <v>1.52141775942436E24</v>
      </c>
      <c r="J398" s="592"/>
      <c r="K398" s="592">
        <v>1.18402535859892E-9</v>
      </c>
      <c r="L398" s="592"/>
      <c r="M398" s="592">
        <v>1.18402535859892E-9</v>
      </c>
      <c r="N398" s="448"/>
      <c r="O398" s="448"/>
      <c r="P398" s="448"/>
      <c r="Q398" s="448"/>
      <c r="R398" s="448"/>
      <c r="S398" s="448"/>
      <c r="T398" s="448"/>
      <c r="U398" s="448"/>
      <c r="V398" s="448"/>
    </row>
    <row r="399">
      <c r="A399" s="257" t="s">
        <v>1344</v>
      </c>
      <c r="B399" s="257" t="s">
        <v>160</v>
      </c>
      <c r="C399" s="257">
        <v>0.1071519</v>
      </c>
      <c r="D399" s="257">
        <v>1.36</v>
      </c>
      <c r="E399" s="592">
        <v>3.31E-11</v>
      </c>
      <c r="F399" s="592"/>
      <c r="G399" s="592">
        <v>8.55159695497607E22</v>
      </c>
      <c r="H399" s="592"/>
      <c r="I399" s="592">
        <v>8.55159695497607E22</v>
      </c>
      <c r="J399" s="592"/>
      <c r="K399" s="592">
        <v>1.12873080944714E-10</v>
      </c>
      <c r="L399" s="592"/>
      <c r="M399" s="592">
        <v>1.12873080944714E-10</v>
      </c>
      <c r="N399" s="448"/>
      <c r="O399" s="448"/>
      <c r="P399" s="448"/>
      <c r="Q399" s="448"/>
      <c r="R399" s="448"/>
      <c r="S399" s="448"/>
      <c r="T399" s="448"/>
      <c r="U399" s="448"/>
      <c r="V399" s="448"/>
    </row>
    <row r="400">
      <c r="A400" s="257" t="s">
        <v>1342</v>
      </c>
      <c r="B400" s="257" t="s">
        <v>160</v>
      </c>
      <c r="C400" s="257">
        <v>0.1071519</v>
      </c>
      <c r="D400" s="257">
        <v>1.36</v>
      </c>
      <c r="E400" s="592">
        <v>5.13E-10</v>
      </c>
      <c r="F400" s="592"/>
      <c r="G400" s="592">
        <v>1.29335092207523E24</v>
      </c>
      <c r="H400" s="592"/>
      <c r="I400" s="592">
        <v>1.29335092207523E24</v>
      </c>
      <c r="J400" s="592"/>
      <c r="K400" s="592">
        <v>1.70710224167396E-9</v>
      </c>
      <c r="L400" s="592"/>
      <c r="M400" s="592">
        <v>1.70710224167396E-9</v>
      </c>
      <c r="N400" s="448"/>
      <c r="O400" s="448"/>
      <c r="P400" s="448"/>
      <c r="Q400" s="448"/>
      <c r="R400" s="448"/>
      <c r="S400" s="448"/>
      <c r="T400" s="448"/>
      <c r="U400" s="448"/>
      <c r="V400" s="448"/>
    </row>
    <row r="401">
      <c r="A401" s="257" t="s">
        <v>1375</v>
      </c>
      <c r="B401" s="257" t="s">
        <v>160</v>
      </c>
      <c r="C401" s="257">
        <v>0.2398833</v>
      </c>
      <c r="D401" s="257">
        <v>2.04</v>
      </c>
      <c r="E401" s="592">
        <v>1.12E-8</v>
      </c>
      <c r="F401" s="592"/>
      <c r="G401" s="592">
        <v>1.30178919786665E25</v>
      </c>
      <c r="H401" s="592"/>
      <c r="I401" s="592">
        <v>1.30178919786665E25</v>
      </c>
      <c r="J401" s="592"/>
      <c r="K401" s="592">
        <v>1.15126404045633E-8</v>
      </c>
      <c r="L401" s="592"/>
      <c r="M401" s="592">
        <v>1.15126404045633E-8</v>
      </c>
      <c r="N401" s="448"/>
      <c r="O401" s="448"/>
      <c r="P401" s="448"/>
      <c r="Q401" s="448"/>
      <c r="R401" s="448"/>
      <c r="S401" s="448"/>
      <c r="T401" s="448"/>
      <c r="U401" s="448"/>
      <c r="V401" s="448"/>
    </row>
    <row r="402">
      <c r="A402" s="257" t="s">
        <v>1353</v>
      </c>
      <c r="B402" s="257" t="s">
        <v>160</v>
      </c>
      <c r="C402" s="257">
        <v>0.1380384</v>
      </c>
      <c r="D402" s="257">
        <v>1.62</v>
      </c>
      <c r="E402" s="592">
        <v>7.93999999999999E-10</v>
      </c>
      <c r="F402" s="592"/>
      <c r="G402" s="592">
        <v>1.03890576827367E24</v>
      </c>
      <c r="H402" s="592"/>
      <c r="I402" s="592">
        <v>1.03890576827367E24</v>
      </c>
      <c r="J402" s="592"/>
      <c r="K402" s="592">
        <v>1.26793029561665E-9</v>
      </c>
      <c r="L402" s="592"/>
      <c r="M402" s="592">
        <v>1.26793029561665E-9</v>
      </c>
      <c r="N402" s="448"/>
      <c r="O402" s="448"/>
      <c r="P402" s="448"/>
      <c r="Q402" s="448"/>
      <c r="R402" s="448"/>
      <c r="S402" s="448"/>
      <c r="T402" s="448"/>
      <c r="U402" s="448"/>
      <c r="V402" s="448"/>
    </row>
    <row r="403">
      <c r="A403" s="257" t="s">
        <v>1996</v>
      </c>
      <c r="B403" s="257" t="s">
        <v>160</v>
      </c>
      <c r="C403" s="257"/>
      <c r="D403" s="257">
        <v>0.91</v>
      </c>
      <c r="E403" s="448"/>
      <c r="F403" s="448"/>
      <c r="G403" s="448"/>
      <c r="H403" s="448"/>
      <c r="I403" s="448"/>
      <c r="J403" s="448"/>
      <c r="K403" s="448"/>
      <c r="L403" s="448"/>
      <c r="M403" s="448"/>
      <c r="N403" s="448"/>
      <c r="O403" s="448"/>
      <c r="P403" s="448"/>
      <c r="Q403" s="448"/>
      <c r="R403" s="448"/>
      <c r="S403" s="448"/>
      <c r="T403" s="448"/>
      <c r="U403" s="448"/>
      <c r="V403" s="448"/>
    </row>
    <row r="404">
      <c r="A404" s="257" t="s">
        <v>1335</v>
      </c>
      <c r="B404" s="257" t="s">
        <v>160</v>
      </c>
      <c r="C404" s="257">
        <v>0.0912011</v>
      </c>
      <c r="D404" s="257">
        <v>1.21</v>
      </c>
      <c r="E404" s="592">
        <v>5.89E-10</v>
      </c>
      <c r="F404" s="592"/>
      <c r="G404" s="592">
        <v>7.21408304415991E23</v>
      </c>
      <c r="H404" s="592"/>
      <c r="I404" s="592">
        <v>7.21408304415991E23</v>
      </c>
      <c r="J404" s="592"/>
      <c r="K404" s="592">
        <v>9.95337930785383E-10</v>
      </c>
      <c r="L404" s="592"/>
      <c r="M404" s="592">
        <v>9.95337930785383E-10</v>
      </c>
      <c r="N404" s="448"/>
      <c r="O404" s="448"/>
      <c r="P404" s="448"/>
      <c r="Q404" s="448"/>
      <c r="R404" s="448"/>
      <c r="S404" s="448"/>
      <c r="T404" s="448"/>
      <c r="U404" s="448"/>
      <c r="V404" s="448"/>
    </row>
    <row r="405">
      <c r="A405" s="257" t="s">
        <v>1324</v>
      </c>
      <c r="B405" s="257" t="s">
        <v>1309</v>
      </c>
      <c r="C405" s="257">
        <v>0.058417</v>
      </c>
      <c r="D405" s="257">
        <v>0.42</v>
      </c>
      <c r="E405" s="592">
        <v>1.32E-9</v>
      </c>
      <c r="F405" s="592"/>
      <c r="G405" s="592">
        <v>1.35473873540778E23</v>
      </c>
      <c r="H405" s="592">
        <v>7.25705962533344E23</v>
      </c>
      <c r="I405" s="592">
        <v>4.30589918037061E23</v>
      </c>
      <c r="J405" s="592"/>
      <c r="K405" s="592">
        <v>1.01290732639591E-10</v>
      </c>
      <c r="L405" s="592">
        <v>5.42593835288809E-10</v>
      </c>
      <c r="M405" s="592">
        <v>3.219422839642E-10</v>
      </c>
      <c r="N405" s="448"/>
      <c r="O405" s="448"/>
      <c r="P405" s="448"/>
      <c r="Q405" s="448"/>
      <c r="R405" s="448"/>
      <c r="S405" s="448"/>
      <c r="T405" s="448"/>
      <c r="U405" s="448"/>
      <c r="V405" s="448"/>
    </row>
    <row r="406">
      <c r="A406" s="257" t="s">
        <v>1324</v>
      </c>
      <c r="B406" s="257" t="s">
        <v>754</v>
      </c>
      <c r="C406" s="257">
        <v>0.058417</v>
      </c>
      <c r="D406" s="257">
        <v>0.42</v>
      </c>
      <c r="E406" s="592">
        <v>5.01E-10</v>
      </c>
      <c r="F406" s="592">
        <v>2.3190019884904E24</v>
      </c>
      <c r="G406" s="592">
        <v>1.28210450959563E24</v>
      </c>
      <c r="H406" s="592"/>
      <c r="I406" s="592">
        <v>1.80055324904301E24</v>
      </c>
      <c r="J406" s="592">
        <v>1.73386501963537E-9</v>
      </c>
      <c r="K406" s="592">
        <v>9.58600368493748E-10</v>
      </c>
      <c r="L406" s="592"/>
      <c r="M406" s="592">
        <v>1.34623269406455E-9</v>
      </c>
      <c r="N406" s="448"/>
      <c r="O406" s="448"/>
      <c r="P406" s="448"/>
      <c r="Q406" s="448"/>
      <c r="R406" s="448"/>
      <c r="S406" s="448"/>
      <c r="T406" s="448"/>
      <c r="U406" s="448"/>
      <c r="V406" s="448"/>
    </row>
    <row r="407">
      <c r="A407" s="257" t="s">
        <v>1324</v>
      </c>
      <c r="B407" s="257" t="s">
        <v>160</v>
      </c>
      <c r="C407" s="257">
        <v>0.058417</v>
      </c>
      <c r="D407" s="257">
        <v>0.42</v>
      </c>
      <c r="E407" s="592">
        <v>4.79E-10</v>
      </c>
      <c r="F407" s="592"/>
      <c r="G407" s="592">
        <v>9.1854840275979E23</v>
      </c>
      <c r="H407" s="592"/>
      <c r="I407" s="592">
        <v>9.1854840275979E23</v>
      </c>
      <c r="J407" s="592"/>
      <c r="K407" s="592">
        <v>6.8677773986037E-10</v>
      </c>
      <c r="L407" s="592"/>
      <c r="M407" s="592">
        <v>6.8677773986037E-10</v>
      </c>
      <c r="N407" s="448"/>
      <c r="O407" s="448"/>
      <c r="P407" s="448"/>
      <c r="Q407" s="448"/>
      <c r="R407" s="448"/>
      <c r="S407" s="448"/>
      <c r="T407" s="448"/>
      <c r="U407" s="448"/>
      <c r="V407" s="448"/>
    </row>
    <row r="408">
      <c r="A408" s="257" t="s">
        <v>1359</v>
      </c>
      <c r="B408" s="257" t="s">
        <v>160</v>
      </c>
      <c r="C408" s="257">
        <v>0.1698244</v>
      </c>
      <c r="D408" s="257">
        <v>1.75</v>
      </c>
      <c r="E408" s="592">
        <v>2.51E-10</v>
      </c>
      <c r="F408" s="592"/>
      <c r="G408" s="592">
        <v>6.42119448848786E23</v>
      </c>
      <c r="H408" s="592"/>
      <c r="I408" s="592">
        <v>6.42119448848786E23</v>
      </c>
      <c r="J408" s="592"/>
      <c r="K408" s="592">
        <v>6.88110060635232E-10</v>
      </c>
      <c r="L408" s="592"/>
      <c r="M408" s="592">
        <v>6.88110060635232E-10</v>
      </c>
      <c r="N408" s="448"/>
      <c r="O408" s="448"/>
      <c r="P408" s="448"/>
      <c r="Q408" s="448"/>
      <c r="R408" s="448"/>
      <c r="S408" s="448"/>
      <c r="T408" s="448"/>
      <c r="U408" s="448"/>
      <c r="V408" s="448"/>
    </row>
    <row r="409">
      <c r="A409" s="257" t="s">
        <v>1409</v>
      </c>
      <c r="B409" s="257" t="s">
        <v>160</v>
      </c>
      <c r="C409" s="257">
        <v>0.3890451</v>
      </c>
      <c r="D409" s="257">
        <v>2.42</v>
      </c>
      <c r="E409" s="592">
        <v>1.62E-9</v>
      </c>
      <c r="F409" s="592"/>
      <c r="G409" s="592">
        <v>3.76032459205638E24</v>
      </c>
      <c r="H409" s="592"/>
      <c r="I409" s="592">
        <v>3.76032459205638E24</v>
      </c>
      <c r="J409" s="592"/>
      <c r="K409" s="592">
        <v>2.4324553361559E-9</v>
      </c>
      <c r="L409" s="592"/>
      <c r="M409" s="592">
        <v>2.4324553361559E-9</v>
      </c>
      <c r="N409" s="448"/>
      <c r="O409" s="448"/>
      <c r="P409" s="448"/>
      <c r="Q409" s="448"/>
      <c r="R409" s="448"/>
      <c r="S409" s="448"/>
      <c r="T409" s="448"/>
      <c r="U409" s="448"/>
      <c r="V409" s="448"/>
    </row>
    <row r="410">
      <c r="A410" s="257" t="s">
        <v>1367</v>
      </c>
      <c r="B410" s="257" t="s">
        <v>160</v>
      </c>
      <c r="C410" s="257">
        <v>0.1905461</v>
      </c>
      <c r="D410" s="257">
        <v>1.86</v>
      </c>
      <c r="E410" s="592">
        <v>3.72E-9</v>
      </c>
      <c r="F410" s="592"/>
      <c r="G410" s="592">
        <v>4.86294542463232E24</v>
      </c>
      <c r="H410" s="592"/>
      <c r="I410" s="592">
        <v>4.86294542463232E24</v>
      </c>
      <c r="J410" s="592"/>
      <c r="K410" s="592">
        <v>4.93646882955859E-9</v>
      </c>
      <c r="L410" s="592"/>
      <c r="M410" s="592">
        <v>4.93646882955859E-9</v>
      </c>
      <c r="N410" s="448"/>
      <c r="O410" s="448"/>
      <c r="P410" s="448"/>
      <c r="Q410" s="448"/>
      <c r="R410" s="448"/>
      <c r="S410" s="448"/>
      <c r="T410" s="448"/>
      <c r="U410" s="448"/>
      <c r="V410" s="448"/>
    </row>
    <row r="411">
      <c r="A411" s="257" t="s">
        <v>1330</v>
      </c>
      <c r="B411" s="257" t="s">
        <v>160</v>
      </c>
      <c r="C411" s="257">
        <v>0.0794328</v>
      </c>
      <c r="D411" s="257">
        <v>1.08</v>
      </c>
      <c r="E411" s="592">
        <v>1.82E-10</v>
      </c>
      <c r="F411" s="592"/>
      <c r="G411" s="592">
        <v>2.64402277415168E23</v>
      </c>
      <c r="H411" s="592"/>
      <c r="I411" s="592">
        <v>2.64402277415168E23</v>
      </c>
      <c r="J411" s="592"/>
      <c r="K411" s="592">
        <v>3.73846396575764E-10</v>
      </c>
      <c r="L411" s="592"/>
      <c r="M411" s="592">
        <v>3.73846396575764E-10</v>
      </c>
      <c r="N411" s="448"/>
      <c r="O411" s="448"/>
      <c r="P411" s="448"/>
      <c r="Q411" s="448"/>
      <c r="R411" s="448"/>
      <c r="S411" s="448"/>
      <c r="T411" s="448"/>
      <c r="U411" s="448"/>
      <c r="V411" s="448"/>
    </row>
    <row r="412">
      <c r="A412" s="257" t="s">
        <v>1476</v>
      </c>
      <c r="B412" s="257" t="s">
        <v>160</v>
      </c>
      <c r="C412" s="257">
        <v>1.1748976</v>
      </c>
      <c r="D412" s="257">
        <v>0.64</v>
      </c>
      <c r="E412" s="592">
        <v>3.02E-9</v>
      </c>
      <c r="F412" s="592"/>
      <c r="G412" s="592">
        <v>9.65393183549007E24</v>
      </c>
      <c r="H412" s="592"/>
      <c r="I412" s="592">
        <v>9.65393183549007E24</v>
      </c>
      <c r="J412" s="592"/>
      <c r="K412" s="592">
        <v>5.46875300320422E-10</v>
      </c>
      <c r="L412" s="592"/>
      <c r="M412" s="592">
        <v>5.46875300320422E-10</v>
      </c>
      <c r="N412" s="448"/>
      <c r="O412" s="448"/>
      <c r="P412" s="448"/>
      <c r="Q412" s="448"/>
      <c r="R412" s="448"/>
      <c r="S412" s="448"/>
      <c r="T412" s="448"/>
      <c r="U412" s="448"/>
      <c r="V412" s="448"/>
    </row>
    <row r="413">
      <c r="A413" s="257" t="s">
        <v>1416</v>
      </c>
      <c r="B413" s="257" t="s">
        <v>160</v>
      </c>
      <c r="C413" s="257">
        <v>0.4168694</v>
      </c>
      <c r="D413" s="257">
        <v>2.48</v>
      </c>
      <c r="E413" s="592">
        <v>4.9E-9</v>
      </c>
      <c r="F413" s="592"/>
      <c r="G413" s="592">
        <v>3.29352665842747E24</v>
      </c>
      <c r="H413" s="592"/>
      <c r="I413" s="592">
        <v>3.29352665842747E24</v>
      </c>
      <c r="J413" s="592"/>
      <c r="K413" s="592">
        <v>2.0375907958094E-9</v>
      </c>
      <c r="L413" s="592"/>
      <c r="M413" s="592">
        <v>2.0375907958094E-9</v>
      </c>
      <c r="N413" s="448"/>
      <c r="O413" s="448"/>
      <c r="P413" s="448"/>
      <c r="Q413" s="448"/>
      <c r="R413" s="448"/>
      <c r="S413" s="448"/>
      <c r="T413" s="448"/>
      <c r="U413" s="448"/>
      <c r="V413" s="448"/>
    </row>
    <row r="414">
      <c r="A414" s="257" t="s">
        <v>1735</v>
      </c>
      <c r="B414" s="257" t="s">
        <v>702</v>
      </c>
      <c r="C414" s="257">
        <v>0.6</v>
      </c>
      <c r="D414" s="257">
        <v>1.61</v>
      </c>
      <c r="E414" s="592">
        <v>4.79E-10</v>
      </c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</row>
    <row r="415">
      <c r="A415" s="257" t="s">
        <v>1709</v>
      </c>
      <c r="B415" s="257" t="s">
        <v>702</v>
      </c>
      <c r="C415" s="257">
        <v>0.3</v>
      </c>
      <c r="D415" s="257">
        <v>1.19</v>
      </c>
      <c r="E415" s="592">
        <v>1.51E-10</v>
      </c>
      <c r="F415" s="448"/>
      <c r="G415" s="448"/>
      <c r="H415" s="448"/>
      <c r="I415" s="448"/>
      <c r="J415" s="448"/>
      <c r="K415" s="448"/>
      <c r="L415" s="448"/>
      <c r="M415" s="448"/>
      <c r="N415" s="448"/>
      <c r="O415" s="448"/>
      <c r="P415" s="448"/>
      <c r="Q415" s="448"/>
      <c r="R415" s="448"/>
      <c r="S415" s="448"/>
      <c r="T415" s="448"/>
      <c r="U415" s="448"/>
      <c r="V415" s="448"/>
    </row>
    <row r="416">
      <c r="A416" s="257" t="s">
        <v>809</v>
      </c>
      <c r="B416" s="257" t="s">
        <v>810</v>
      </c>
      <c r="C416" s="257">
        <v>0.004771</v>
      </c>
      <c r="D416" s="257">
        <v>0.160783999999999</v>
      </c>
      <c r="E416" s="592">
        <v>5.725E-10</v>
      </c>
      <c r="F416" s="448"/>
      <c r="G416" s="448"/>
      <c r="H416" s="448"/>
      <c r="I416" s="448"/>
      <c r="J416" s="448"/>
      <c r="K416" s="448"/>
      <c r="L416" s="448"/>
      <c r="M416" s="448"/>
      <c r="N416" s="448"/>
      <c r="O416" s="448"/>
      <c r="P416" s="448"/>
      <c r="Q416" s="448"/>
      <c r="R416" s="448"/>
      <c r="S416" s="448"/>
      <c r="T416" s="448"/>
      <c r="U416" s="448"/>
      <c r="V416" s="448"/>
    </row>
    <row r="417">
      <c r="A417" s="257" t="s">
        <v>501</v>
      </c>
      <c r="B417" s="257" t="s">
        <v>476</v>
      </c>
      <c r="C417" s="257">
        <v>0.13</v>
      </c>
      <c r="D417" s="257">
        <v>0.83</v>
      </c>
      <c r="E417" s="592">
        <v>5.01E-11</v>
      </c>
      <c r="F417" s="448"/>
      <c r="G417" s="448"/>
      <c r="H417" s="448"/>
      <c r="I417" s="448"/>
      <c r="J417" s="448"/>
      <c r="K417" s="448"/>
      <c r="L417" s="448"/>
      <c r="M417" s="448"/>
      <c r="N417" s="448"/>
      <c r="O417" s="448"/>
      <c r="P417" s="448"/>
      <c r="Q417" s="448"/>
      <c r="R417" s="448"/>
      <c r="S417" s="448"/>
      <c r="T417" s="448"/>
      <c r="U417" s="448"/>
      <c r="V417" s="448"/>
    </row>
    <row r="418">
      <c r="A418" s="257" t="s">
        <v>1648</v>
      </c>
      <c r="B418" s="257" t="s">
        <v>702</v>
      </c>
      <c r="C418" s="257">
        <v>0.09</v>
      </c>
      <c r="D418" s="257">
        <v>0.56</v>
      </c>
      <c r="E418" s="592">
        <v>8.71E-12</v>
      </c>
      <c r="F418" s="448"/>
      <c r="G418" s="448"/>
      <c r="H418" s="448"/>
      <c r="I418" s="448"/>
      <c r="J418" s="448"/>
      <c r="K418" s="448"/>
      <c r="L418" s="448"/>
      <c r="M418" s="448"/>
      <c r="N418" s="448"/>
      <c r="O418" s="448"/>
      <c r="P418" s="448"/>
      <c r="Q418" s="448"/>
      <c r="R418" s="448"/>
      <c r="S418" s="448"/>
      <c r="T418" s="448"/>
      <c r="U418" s="448"/>
      <c r="V418" s="448"/>
    </row>
    <row r="419">
      <c r="A419" s="257" t="s">
        <v>1637</v>
      </c>
      <c r="B419" s="257" t="s">
        <v>702</v>
      </c>
      <c r="C419" s="257">
        <v>0.07</v>
      </c>
      <c r="D419" s="257">
        <v>0.52</v>
      </c>
      <c r="E419" s="592">
        <v>1.48E-11</v>
      </c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</row>
    <row r="420">
      <c r="A420" s="257" t="s">
        <v>260</v>
      </c>
      <c r="B420" s="257" t="s">
        <v>201</v>
      </c>
      <c r="C420" s="257">
        <v>0.057198</v>
      </c>
      <c r="D420" s="592"/>
      <c r="E420" s="592">
        <v>2.0E-11</v>
      </c>
      <c r="F420" s="448"/>
      <c r="G420" s="448"/>
      <c r="H420" s="448"/>
      <c r="I420" s="448"/>
      <c r="J420" s="448"/>
      <c r="K420" s="448"/>
      <c r="L420" s="448"/>
      <c r="M420" s="448"/>
      <c r="N420" s="448"/>
      <c r="O420" s="448"/>
      <c r="P420" s="448"/>
      <c r="Q420" s="448"/>
      <c r="R420" s="448"/>
      <c r="S420" s="448"/>
      <c r="T420" s="448"/>
      <c r="U420" s="448"/>
      <c r="V420" s="448"/>
    </row>
    <row r="421">
      <c r="A421" s="257" t="s">
        <v>260</v>
      </c>
      <c r="B421" s="257" t="s">
        <v>201</v>
      </c>
      <c r="C421" s="257">
        <v>0.057198</v>
      </c>
      <c r="D421" s="592"/>
      <c r="E421" s="592">
        <v>1.26E-11</v>
      </c>
      <c r="F421" s="448"/>
      <c r="G421" s="448"/>
      <c r="H421" s="448"/>
      <c r="I421" s="448"/>
      <c r="J421" s="448"/>
      <c r="K421" s="448"/>
      <c r="L421" s="448"/>
      <c r="M421" s="448"/>
      <c r="N421" s="448"/>
      <c r="O421" s="448"/>
      <c r="P421" s="448"/>
      <c r="Q421" s="448"/>
      <c r="R421" s="448"/>
      <c r="S421" s="448"/>
      <c r="T421" s="448"/>
      <c r="U421" s="448"/>
      <c r="V421" s="448"/>
    </row>
    <row r="422">
      <c r="A422" s="257" t="s">
        <v>392</v>
      </c>
      <c r="B422" s="257" t="s">
        <v>248</v>
      </c>
      <c r="C422" s="257">
        <v>0.13</v>
      </c>
      <c r="D422" s="257">
        <v>1.0</v>
      </c>
      <c r="E422" s="592">
        <v>5.01E-11</v>
      </c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</row>
    <row r="423">
      <c r="A423" s="257" t="s">
        <v>583</v>
      </c>
      <c r="B423" s="257" t="s">
        <v>476</v>
      </c>
      <c r="C423" s="257">
        <v>1.02</v>
      </c>
      <c r="D423" s="257">
        <v>1.13</v>
      </c>
      <c r="E423" s="592">
        <v>2.24E-10</v>
      </c>
      <c r="F423" s="592">
        <v>2.66048806258076E23</v>
      </c>
      <c r="G423" s="592">
        <v>5.67129749408963E24</v>
      </c>
      <c r="H423" s="592">
        <v>6.33446007275531E24</v>
      </c>
      <c r="I423" s="592">
        <v>4.09060212436767E24</v>
      </c>
      <c r="J423" s="592">
        <v>3.06509337814085E-11</v>
      </c>
      <c r="K423" s="592">
        <v>6.53378477396318E-10</v>
      </c>
      <c r="L423" s="592">
        <v>7.29780069160171E-10</v>
      </c>
      <c r="M423" s="592">
        <v>4.71269826779299E-10</v>
      </c>
      <c r="N423" s="448"/>
      <c r="O423" s="448"/>
      <c r="P423" s="448"/>
      <c r="Q423" s="448"/>
      <c r="R423" s="448"/>
      <c r="S423" s="448"/>
      <c r="T423" s="448"/>
      <c r="U423" s="448"/>
      <c r="V423" s="448"/>
    </row>
    <row r="424">
      <c r="A424" s="257" t="s">
        <v>299</v>
      </c>
      <c r="B424" s="257" t="s">
        <v>291</v>
      </c>
      <c r="C424" s="257">
        <v>0.0133602</v>
      </c>
      <c r="D424" s="257">
        <v>0.45</v>
      </c>
      <c r="E424" s="592">
        <v>1.58E-11</v>
      </c>
      <c r="F424" s="448"/>
      <c r="G424" s="448"/>
      <c r="H424" s="448"/>
      <c r="I424" s="448"/>
      <c r="J424" s="448"/>
      <c r="K424" s="448"/>
      <c r="L424" s="448"/>
      <c r="M424" s="448"/>
      <c r="N424" s="448"/>
      <c r="O424" s="448"/>
      <c r="P424" s="448"/>
      <c r="Q424" s="448"/>
      <c r="R424" s="448"/>
      <c r="S424" s="448"/>
      <c r="T424" s="448"/>
      <c r="U424" s="448"/>
      <c r="V424" s="448"/>
    </row>
    <row r="425">
      <c r="A425" s="257" t="s">
        <v>299</v>
      </c>
      <c r="B425" s="257" t="s">
        <v>291</v>
      </c>
      <c r="C425" s="257">
        <v>0.0143145</v>
      </c>
      <c r="D425" s="257">
        <v>0.45</v>
      </c>
      <c r="E425" s="592">
        <v>1.58E-11</v>
      </c>
      <c r="F425" s="592">
        <v>1.53676683711382E20</v>
      </c>
      <c r="G425" s="592"/>
      <c r="H425" s="592"/>
      <c r="I425" s="592">
        <v>1.53676683711382E20</v>
      </c>
      <c r="J425" s="592">
        <v>5.023986161061E-13</v>
      </c>
      <c r="K425" s="592"/>
      <c r="L425" s="592"/>
      <c r="M425" s="592">
        <v>5.023986161061E-13</v>
      </c>
      <c r="N425" s="448"/>
      <c r="O425" s="448"/>
      <c r="P425" s="448"/>
      <c r="Q425" s="448"/>
      <c r="R425" s="448"/>
      <c r="S425" s="448"/>
      <c r="T425" s="448"/>
      <c r="U425" s="448"/>
      <c r="V425" s="448"/>
    </row>
    <row r="426">
      <c r="A426" s="257" t="s">
        <v>524</v>
      </c>
      <c r="B426" s="257" t="s">
        <v>476</v>
      </c>
      <c r="C426" s="257">
        <v>0.19</v>
      </c>
      <c r="D426" s="257">
        <v>1.33</v>
      </c>
      <c r="E426" s="592">
        <v>3.54999999999999E-10</v>
      </c>
      <c r="F426" s="592">
        <v>7.50865169552974E23</v>
      </c>
      <c r="G426" s="592">
        <v>2.98054672320869E23</v>
      </c>
      <c r="H426" s="592">
        <v>3.24198342683639E23</v>
      </c>
      <c r="I426" s="592">
        <v>4.5770606151916E23</v>
      </c>
      <c r="J426" s="592">
        <v>5.46593071874994E-10</v>
      </c>
      <c r="K426" s="592">
        <v>2.16969205040566E-10</v>
      </c>
      <c r="L426" s="592">
        <v>2.36000516750205E-10</v>
      </c>
      <c r="M426" s="592">
        <v>3.33187597888588E-10</v>
      </c>
      <c r="N426" s="448"/>
      <c r="O426" s="448"/>
      <c r="P426" s="448"/>
      <c r="Q426" s="448"/>
      <c r="R426" s="448"/>
      <c r="S426" s="448"/>
      <c r="T426" s="448"/>
      <c r="U426" s="448"/>
      <c r="V426" s="448"/>
    </row>
    <row r="427">
      <c r="A427" s="257" t="s">
        <v>535</v>
      </c>
      <c r="B427" s="257" t="s">
        <v>476</v>
      </c>
      <c r="C427" s="257">
        <v>0.23</v>
      </c>
      <c r="D427" s="257">
        <v>1.54</v>
      </c>
      <c r="E427" s="592">
        <v>8.51E-10</v>
      </c>
      <c r="F427" s="592">
        <v>1.90283297111789E24</v>
      </c>
      <c r="G427" s="592">
        <v>2.01337893270897E24</v>
      </c>
      <c r="H427" s="592">
        <v>1.31816085112355E24</v>
      </c>
      <c r="I427" s="592">
        <v>1.7447909183168E24</v>
      </c>
      <c r="J427" s="592">
        <v>1.32494446839158E-9</v>
      </c>
      <c r="K427" s="592">
        <v>1.40191773012095E-9</v>
      </c>
      <c r="L427" s="592">
        <v>9.1783669647076E-10</v>
      </c>
      <c r="M427" s="592">
        <v>1.21489963166109E-9</v>
      </c>
      <c r="N427" s="448"/>
      <c r="O427" s="448"/>
      <c r="P427" s="448"/>
      <c r="Q427" s="448"/>
      <c r="R427" s="448"/>
      <c r="S427" s="448"/>
      <c r="T427" s="448"/>
      <c r="U427" s="448"/>
      <c r="V427" s="448"/>
    </row>
    <row r="428">
      <c r="A428" s="257" t="s">
        <v>509</v>
      </c>
      <c r="B428" s="257" t="s">
        <v>476</v>
      </c>
      <c r="C428" s="257">
        <v>0.15</v>
      </c>
      <c r="D428" s="257">
        <v>1.18</v>
      </c>
      <c r="E428" s="592">
        <v>2.0E-10</v>
      </c>
      <c r="F428" s="592">
        <v>1.45926902751287E23</v>
      </c>
      <c r="G428" s="592">
        <v>3.90647340932167E23</v>
      </c>
      <c r="H428" s="592">
        <v>4.1000346654966E23</v>
      </c>
      <c r="I428" s="592">
        <v>3.15525903411038E23</v>
      </c>
      <c r="J428" s="592">
        <v>1.19379632213038E-10</v>
      </c>
      <c r="K428" s="592">
        <v>3.19580111728725E-10</v>
      </c>
      <c r="L428" s="592">
        <v>3.35414938026821E-10</v>
      </c>
      <c r="M428" s="592">
        <v>2.58124893989528E-10</v>
      </c>
      <c r="N428" s="448"/>
      <c r="O428" s="448"/>
      <c r="P428" s="448"/>
      <c r="Q428" s="448"/>
      <c r="R428" s="448"/>
      <c r="S428" s="448"/>
      <c r="T428" s="448"/>
      <c r="U428" s="448"/>
      <c r="V428" s="448"/>
    </row>
    <row r="429">
      <c r="A429" s="257" t="s">
        <v>553</v>
      </c>
      <c r="B429" s="257" t="s">
        <v>476</v>
      </c>
      <c r="C429" s="257">
        <v>0.34</v>
      </c>
      <c r="D429" s="257">
        <v>0.58</v>
      </c>
      <c r="E429" s="592">
        <v>1.38E-10</v>
      </c>
      <c r="F429" s="448"/>
      <c r="G429" s="448"/>
      <c r="H429" s="448"/>
      <c r="I429" s="448"/>
      <c r="J429" s="448"/>
      <c r="K429" s="448"/>
      <c r="L429" s="448"/>
      <c r="M429" s="448"/>
      <c r="N429" s="448"/>
      <c r="O429" s="448"/>
      <c r="P429" s="448"/>
      <c r="Q429" s="448"/>
      <c r="R429" s="448"/>
      <c r="S429" s="448"/>
      <c r="T429" s="448"/>
      <c r="U429" s="448"/>
      <c r="V429" s="448"/>
    </row>
    <row r="430">
      <c r="A430" s="257" t="s">
        <v>456</v>
      </c>
      <c r="B430" s="257" t="s">
        <v>306</v>
      </c>
      <c r="C430" s="257">
        <v>0.77</v>
      </c>
      <c r="D430" s="257">
        <v>0.83</v>
      </c>
      <c r="E430" s="592">
        <v>7.93999999999999E-10</v>
      </c>
      <c r="F430" s="592">
        <v>6.74359089967867E25</v>
      </c>
      <c r="G430" s="592"/>
      <c r="H430" s="592"/>
      <c r="I430" s="592">
        <v>6.74359089967867E25</v>
      </c>
      <c r="J430" s="592">
        <v>7.55931958938971E-9</v>
      </c>
      <c r="K430" s="592"/>
      <c r="L430" s="592"/>
      <c r="M430" s="592">
        <v>7.55931958938971E-9</v>
      </c>
      <c r="N430" s="448"/>
      <c r="O430" s="448"/>
      <c r="P430" s="448"/>
      <c r="Q430" s="448"/>
      <c r="R430" s="448"/>
      <c r="S430" s="448"/>
      <c r="T430" s="448"/>
      <c r="U430" s="448"/>
      <c r="V430" s="448"/>
    </row>
    <row r="431">
      <c r="A431" s="257" t="s">
        <v>1390</v>
      </c>
      <c r="B431" s="257" t="s">
        <v>160</v>
      </c>
      <c r="C431" s="257">
        <v>0.2951209</v>
      </c>
      <c r="D431" s="257">
        <v>2.18</v>
      </c>
      <c r="E431" s="592">
        <v>7.08E-10</v>
      </c>
      <c r="F431" s="592"/>
      <c r="G431" s="592">
        <v>1.23648045746354E24</v>
      </c>
      <c r="H431" s="592"/>
      <c r="I431" s="592">
        <v>1.23648045746354E24</v>
      </c>
      <c r="J431" s="592"/>
      <c r="K431" s="592">
        <v>9.49834428225091E-10</v>
      </c>
      <c r="L431" s="592"/>
      <c r="M431" s="592">
        <v>9.49834428225091E-10</v>
      </c>
      <c r="N431" s="448"/>
      <c r="O431" s="448"/>
      <c r="P431" s="448"/>
      <c r="Q431" s="448"/>
      <c r="R431" s="448"/>
      <c r="S431" s="448"/>
      <c r="T431" s="448"/>
      <c r="U431" s="448"/>
      <c r="V431" s="448"/>
    </row>
    <row r="432">
      <c r="A432" s="257" t="s">
        <v>2656</v>
      </c>
      <c r="B432" s="257" t="s">
        <v>306</v>
      </c>
      <c r="C432" s="257">
        <v>0.03689</v>
      </c>
      <c r="D432" s="257">
        <v>0.25</v>
      </c>
      <c r="E432" s="592">
        <v>5.01E-14</v>
      </c>
      <c r="F432" s="592">
        <v>5.25977082997401E20</v>
      </c>
      <c r="G432" s="592"/>
      <c r="H432" s="592"/>
      <c r="I432" s="592">
        <v>5.25977082997401E20</v>
      </c>
      <c r="J432" s="592">
        <v>3.70682684175894E-13</v>
      </c>
      <c r="K432" s="592"/>
      <c r="L432" s="592"/>
      <c r="M432" s="592">
        <v>3.70682684175894E-13</v>
      </c>
      <c r="N432" s="448"/>
      <c r="O432" s="448"/>
      <c r="P432" s="448"/>
      <c r="Q432" s="448"/>
      <c r="R432" s="448"/>
      <c r="S432" s="448"/>
      <c r="T432" s="448"/>
      <c r="U432" s="448"/>
      <c r="V432" s="448"/>
    </row>
    <row r="433">
      <c r="A433" s="257" t="s">
        <v>2659</v>
      </c>
      <c r="B433" s="257" t="s">
        <v>306</v>
      </c>
      <c r="C433" s="257">
        <v>0.0236889999999999</v>
      </c>
      <c r="D433" s="257">
        <v>0.23</v>
      </c>
      <c r="E433" s="592">
        <v>2.51E-13</v>
      </c>
      <c r="F433" s="592">
        <v>1.78424615920846E21</v>
      </c>
      <c r="G433" s="592"/>
      <c r="H433" s="592"/>
      <c r="I433" s="592">
        <v>1.78424615920846E21</v>
      </c>
      <c r="J433" s="592">
        <v>1.80152379241775E-12</v>
      </c>
      <c r="K433" s="592"/>
      <c r="L433" s="592"/>
      <c r="M433" s="592">
        <v>1.80152379241775E-12</v>
      </c>
      <c r="N433" s="448"/>
      <c r="O433" s="448"/>
      <c r="P433" s="448"/>
      <c r="Q433" s="448"/>
      <c r="R433" s="448"/>
      <c r="S433" s="448"/>
      <c r="T433" s="448"/>
      <c r="U433" s="448"/>
      <c r="V433" s="448"/>
    </row>
    <row r="434">
      <c r="A434" s="257" t="s">
        <v>600</v>
      </c>
      <c r="B434" s="257" t="s">
        <v>816</v>
      </c>
      <c r="C434" s="257">
        <v>0.00667939999999999</v>
      </c>
      <c r="D434" s="257">
        <v>0.10049</v>
      </c>
      <c r="E434" s="592">
        <v>1.904E-12</v>
      </c>
      <c r="F434" s="592">
        <v>1.12631484928873E23</v>
      </c>
      <c r="G434" s="592"/>
      <c r="H434" s="592"/>
      <c r="I434" s="592">
        <v>1.12631484928873E23</v>
      </c>
      <c r="J434" s="592">
        <v>1.76217618383383E-10</v>
      </c>
      <c r="K434" s="592"/>
      <c r="L434" s="592"/>
      <c r="M434" s="592">
        <v>1.76217618383383E-10</v>
      </c>
      <c r="N434" s="448"/>
      <c r="O434" s="448"/>
      <c r="P434" s="448"/>
      <c r="Q434" s="448"/>
      <c r="R434" s="448"/>
      <c r="S434" s="448"/>
      <c r="T434" s="448"/>
      <c r="U434" s="448"/>
      <c r="V434" s="448"/>
    </row>
    <row r="435">
      <c r="A435" s="257" t="s">
        <v>600</v>
      </c>
      <c r="B435" s="257" t="s">
        <v>594</v>
      </c>
      <c r="C435" s="257">
        <v>0.0100191</v>
      </c>
      <c r="D435" s="592"/>
      <c r="E435" s="592">
        <v>1.90799999999999E-11</v>
      </c>
      <c r="F435" s="448"/>
      <c r="G435" s="448"/>
      <c r="H435" s="448"/>
      <c r="I435" s="448"/>
      <c r="J435" s="448"/>
      <c r="K435" s="448"/>
      <c r="L435" s="448"/>
      <c r="M435" s="448"/>
      <c r="N435" s="448"/>
      <c r="O435" s="448"/>
      <c r="P435" s="448"/>
      <c r="Q435" s="448"/>
      <c r="R435" s="448"/>
      <c r="S435" s="448"/>
      <c r="T435" s="448"/>
      <c r="U435" s="448"/>
      <c r="V435" s="448"/>
    </row>
    <row r="436">
      <c r="A436" s="257" t="s">
        <v>600</v>
      </c>
      <c r="B436" s="257" t="s">
        <v>807</v>
      </c>
      <c r="C436" s="257">
        <v>0.0114504</v>
      </c>
      <c r="D436" s="592"/>
      <c r="E436" s="592">
        <v>3.817E-11</v>
      </c>
      <c r="F436" s="448"/>
      <c r="G436" s="448"/>
      <c r="H436" s="448"/>
      <c r="I436" s="448"/>
      <c r="J436" s="448"/>
      <c r="K436" s="448"/>
      <c r="L436" s="448"/>
      <c r="M436" s="448"/>
      <c r="N436" s="448"/>
      <c r="O436" s="448"/>
      <c r="P436" s="448"/>
      <c r="Q436" s="448"/>
      <c r="R436" s="448"/>
      <c r="S436" s="448"/>
      <c r="T436" s="448"/>
      <c r="U436" s="448"/>
      <c r="V436" s="448"/>
    </row>
    <row r="437">
      <c r="A437" s="257" t="s">
        <v>600</v>
      </c>
      <c r="B437" s="257" t="s">
        <v>717</v>
      </c>
      <c r="C437" s="257">
        <v>0.0114504</v>
      </c>
      <c r="D437" s="257">
        <v>0.20098</v>
      </c>
      <c r="E437" s="592">
        <v>4.771E-10</v>
      </c>
      <c r="F437" s="592">
        <v>9.74537109607276E20</v>
      </c>
      <c r="G437" s="592"/>
      <c r="H437" s="592"/>
      <c r="I437" s="592">
        <v>9.74537109607276E20</v>
      </c>
      <c r="J437" s="592">
        <v>1.77883099639453E-12</v>
      </c>
      <c r="K437" s="592"/>
      <c r="L437" s="592"/>
      <c r="M437" s="592">
        <v>1.77883099639453E-12</v>
      </c>
      <c r="N437" s="448"/>
      <c r="O437" s="448"/>
      <c r="P437" s="448"/>
      <c r="Q437" s="448"/>
      <c r="R437" s="448"/>
      <c r="S437" s="448"/>
      <c r="T437" s="448"/>
      <c r="U437" s="448"/>
      <c r="V437" s="448"/>
    </row>
    <row r="438">
      <c r="A438" s="257" t="s">
        <v>592</v>
      </c>
      <c r="B438" s="257" t="s">
        <v>594</v>
      </c>
      <c r="C438" s="257">
        <v>0.0041985</v>
      </c>
      <c r="D438" s="592"/>
      <c r="E438" s="592">
        <v>9.542E-12</v>
      </c>
      <c r="F438" s="448"/>
      <c r="G438" s="448"/>
      <c r="H438" s="448"/>
      <c r="I438" s="448"/>
      <c r="J438" s="448"/>
      <c r="K438" s="448"/>
      <c r="L438" s="448"/>
      <c r="M438" s="448"/>
      <c r="N438" s="448"/>
      <c r="O438" s="448"/>
      <c r="P438" s="448"/>
      <c r="Q438" s="448"/>
      <c r="R438" s="448"/>
      <c r="S438" s="448"/>
      <c r="T438" s="448"/>
      <c r="U438" s="448"/>
      <c r="V438" s="448"/>
    </row>
    <row r="439">
      <c r="A439" s="257" t="s">
        <v>592</v>
      </c>
      <c r="B439" s="257" t="s">
        <v>807</v>
      </c>
      <c r="C439" s="257">
        <v>0.009542</v>
      </c>
      <c r="D439" s="592"/>
      <c r="E439" s="592">
        <v>9.542E-12</v>
      </c>
      <c r="F439" s="448"/>
      <c r="G439" s="448"/>
      <c r="H439" s="448"/>
      <c r="I439" s="448"/>
      <c r="J439" s="448"/>
      <c r="K439" s="448"/>
      <c r="L439" s="448"/>
      <c r="M439" s="448"/>
      <c r="N439" s="448"/>
      <c r="O439" s="448"/>
      <c r="P439" s="448"/>
      <c r="Q439" s="448"/>
      <c r="R439" s="448"/>
      <c r="S439" s="448"/>
      <c r="T439" s="448"/>
      <c r="U439" s="448"/>
      <c r="V439" s="448"/>
    </row>
    <row r="440">
      <c r="A440" s="257" t="s">
        <v>560</v>
      </c>
      <c r="B440" s="257" t="s">
        <v>476</v>
      </c>
      <c r="C440" s="257">
        <v>0.46</v>
      </c>
      <c r="D440" s="257">
        <v>1.17</v>
      </c>
      <c r="E440" s="592">
        <v>1.29E-8</v>
      </c>
      <c r="F440" s="592">
        <v>2.21562891731086E25</v>
      </c>
      <c r="G440" s="592">
        <v>1.64647452472374E25</v>
      </c>
      <c r="H440" s="592">
        <v>5.29576208254585E24</v>
      </c>
      <c r="I440" s="592">
        <v>1.46389321676306E25</v>
      </c>
      <c r="J440" s="592">
        <v>5.86042588984236E-9</v>
      </c>
      <c r="K440" s="592">
        <v>4.35499006908074E-9</v>
      </c>
      <c r="L440" s="592">
        <v>1.40074996189638E-9</v>
      </c>
      <c r="M440" s="592">
        <v>3.87205530693982E-9</v>
      </c>
      <c r="N440" s="448"/>
      <c r="O440" s="448"/>
      <c r="P440" s="448"/>
      <c r="Q440" s="448"/>
      <c r="R440" s="448"/>
      <c r="S440" s="448"/>
      <c r="T440" s="448"/>
      <c r="U440" s="448"/>
      <c r="V440" s="448"/>
    </row>
    <row r="441">
      <c r="A441" s="257" t="s">
        <v>588</v>
      </c>
      <c r="B441" s="257" t="s">
        <v>476</v>
      </c>
      <c r="C441" s="257">
        <v>1.47</v>
      </c>
      <c r="D441" s="257">
        <v>1.79</v>
      </c>
      <c r="E441" s="592">
        <v>6.17E-9</v>
      </c>
      <c r="F441" s="592">
        <v>1.65258254706814E25</v>
      </c>
      <c r="G441" s="592">
        <v>2.3909638451844E25</v>
      </c>
      <c r="H441" s="592">
        <v>2.33794212720247E25</v>
      </c>
      <c r="I441" s="592">
        <v>2.12716283981834E25</v>
      </c>
      <c r="J441" s="592">
        <v>2.09268076073588E-9</v>
      </c>
      <c r="K441" s="592">
        <v>3.02769991569213E-9</v>
      </c>
      <c r="L441" s="592">
        <v>2.96055801750446E-9</v>
      </c>
      <c r="M441" s="592">
        <v>2.69364623131082E-9</v>
      </c>
      <c r="N441" s="448"/>
      <c r="O441" s="448"/>
      <c r="P441" s="448"/>
      <c r="Q441" s="448"/>
      <c r="R441" s="448"/>
      <c r="S441" s="448"/>
      <c r="T441" s="448"/>
      <c r="U441" s="448"/>
      <c r="V441" s="448"/>
    </row>
    <row r="442">
      <c r="A442" s="257" t="s">
        <v>1745</v>
      </c>
      <c r="B442" s="257" t="s">
        <v>702</v>
      </c>
      <c r="C442" s="257">
        <v>0.75</v>
      </c>
      <c r="D442" s="257">
        <v>1.64</v>
      </c>
      <c r="E442" s="592">
        <v>6.03E-10</v>
      </c>
      <c r="F442" s="448"/>
      <c r="G442" s="448"/>
      <c r="H442" s="448"/>
      <c r="I442" s="448"/>
      <c r="J442" s="448"/>
      <c r="K442" s="448"/>
      <c r="L442" s="448"/>
      <c r="M442" s="448"/>
      <c r="N442" s="448"/>
      <c r="O442" s="448"/>
      <c r="P442" s="448"/>
      <c r="Q442" s="448"/>
      <c r="R442" s="448"/>
      <c r="S442" s="448"/>
      <c r="T442" s="448"/>
      <c r="U442" s="448"/>
      <c r="V442" s="448"/>
    </row>
    <row r="443">
      <c r="A443" s="257" t="s">
        <v>186</v>
      </c>
      <c r="B443" s="257" t="s">
        <v>2767</v>
      </c>
      <c r="C443" s="257">
        <v>0.013</v>
      </c>
      <c r="D443" s="257">
        <v>0.19</v>
      </c>
      <c r="E443" s="592">
        <v>4.56999999999999E-10</v>
      </c>
      <c r="F443" s="592">
        <v>2.79338508883406E21</v>
      </c>
      <c r="G443" s="592"/>
      <c r="H443" s="592"/>
      <c r="I443" s="592">
        <v>2.79338508883406E21</v>
      </c>
      <c r="J443" s="592">
        <v>4.24565971207159E-12</v>
      </c>
      <c r="K443" s="592"/>
      <c r="L443" s="592"/>
      <c r="M443" s="592">
        <v>4.24565971207159E-12</v>
      </c>
      <c r="N443" s="448"/>
      <c r="O443" s="448"/>
      <c r="P443" s="448"/>
      <c r="Q443" s="448"/>
      <c r="R443" s="448"/>
      <c r="S443" s="448"/>
      <c r="T443" s="448"/>
      <c r="U443" s="448"/>
      <c r="V443" s="448"/>
    </row>
    <row r="444">
      <c r="A444" s="257" t="s">
        <v>186</v>
      </c>
      <c r="B444" s="257" t="s">
        <v>2767</v>
      </c>
      <c r="C444" s="257">
        <v>0.013</v>
      </c>
      <c r="D444" s="257">
        <v>0.19</v>
      </c>
      <c r="E444" s="592">
        <v>4.9E-11</v>
      </c>
      <c r="F444" s="448"/>
      <c r="G444" s="448"/>
      <c r="H444" s="448"/>
      <c r="I444" s="448"/>
      <c r="J444" s="448"/>
      <c r="K444" s="448"/>
      <c r="L444" s="448"/>
      <c r="M444" s="448"/>
      <c r="N444" s="448"/>
      <c r="O444" s="448"/>
      <c r="P444" s="448"/>
      <c r="Q444" s="448"/>
      <c r="R444" s="448"/>
      <c r="S444" s="448"/>
      <c r="T444" s="448"/>
      <c r="U444" s="448"/>
      <c r="V444" s="448"/>
    </row>
    <row r="445">
      <c r="A445" s="257" t="s">
        <v>186</v>
      </c>
      <c r="B445" s="257" t="s">
        <v>2767</v>
      </c>
      <c r="C445" s="257">
        <v>0.013</v>
      </c>
      <c r="D445" s="257">
        <v>0.19</v>
      </c>
      <c r="E445" s="592">
        <v>1.16E-12</v>
      </c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</row>
    <row r="446">
      <c r="A446" s="257" t="s">
        <v>186</v>
      </c>
      <c r="B446" s="257" t="s">
        <v>2767</v>
      </c>
      <c r="C446" s="257">
        <v>0.013</v>
      </c>
      <c r="D446" s="257">
        <v>0.19</v>
      </c>
      <c r="E446" s="592">
        <v>5.99E-13</v>
      </c>
      <c r="F446" s="448"/>
      <c r="G446" s="448"/>
      <c r="H446" s="448"/>
      <c r="I446" s="448"/>
      <c r="J446" s="448"/>
      <c r="K446" s="448"/>
      <c r="L446" s="448"/>
      <c r="M446" s="448"/>
      <c r="N446" s="448"/>
      <c r="O446" s="448"/>
      <c r="P446" s="448"/>
      <c r="Q446" s="448"/>
      <c r="R446" s="448"/>
      <c r="S446" s="448"/>
      <c r="T446" s="448"/>
      <c r="U446" s="448"/>
      <c r="V446" s="448"/>
    </row>
    <row r="447">
      <c r="A447" s="257" t="s">
        <v>186</v>
      </c>
      <c r="B447" s="257" t="s">
        <v>2767</v>
      </c>
      <c r="C447" s="257">
        <v>0.013</v>
      </c>
      <c r="D447" s="257">
        <v>0.19</v>
      </c>
      <c r="E447" s="592">
        <v>1.79E-12</v>
      </c>
      <c r="F447" s="448"/>
      <c r="G447" s="448"/>
      <c r="H447" s="448"/>
      <c r="I447" s="448"/>
      <c r="J447" s="448"/>
      <c r="K447" s="448"/>
      <c r="L447" s="448"/>
      <c r="M447" s="448"/>
      <c r="N447" s="448"/>
      <c r="O447" s="448"/>
      <c r="P447" s="448"/>
      <c r="Q447" s="448"/>
      <c r="R447" s="448"/>
      <c r="S447" s="448"/>
      <c r="T447" s="448"/>
      <c r="U447" s="448"/>
      <c r="V447" s="448"/>
    </row>
    <row r="448">
      <c r="A448" s="257" t="s">
        <v>186</v>
      </c>
      <c r="B448" s="257" t="s">
        <v>2767</v>
      </c>
      <c r="C448" s="257">
        <v>0.013</v>
      </c>
      <c r="D448" s="257">
        <v>0.19</v>
      </c>
      <c r="E448" s="592">
        <v>1.18E-12</v>
      </c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</row>
    <row r="449">
      <c r="A449" s="257" t="s">
        <v>186</v>
      </c>
      <c r="B449" s="257" t="s">
        <v>2767</v>
      </c>
      <c r="C449" s="257">
        <v>0.013</v>
      </c>
      <c r="D449" s="257">
        <v>0.19</v>
      </c>
      <c r="E449" s="592">
        <v>6.28E-12</v>
      </c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</row>
    <row r="450">
      <c r="A450" s="257" t="s">
        <v>186</v>
      </c>
      <c r="B450" s="257" t="s">
        <v>2767</v>
      </c>
      <c r="C450" s="257">
        <v>0.013</v>
      </c>
      <c r="D450" s="257">
        <v>0.19</v>
      </c>
      <c r="E450" s="592">
        <v>4.02E-13</v>
      </c>
      <c r="F450" s="448"/>
      <c r="G450" s="448"/>
      <c r="H450" s="448"/>
      <c r="I450" s="448"/>
      <c r="J450" s="448"/>
      <c r="K450" s="448"/>
      <c r="L450" s="448"/>
      <c r="M450" s="448"/>
      <c r="N450" s="448"/>
      <c r="O450" s="448"/>
      <c r="P450" s="448"/>
      <c r="Q450" s="448"/>
      <c r="R450" s="448"/>
      <c r="S450" s="448"/>
      <c r="T450" s="448"/>
      <c r="U450" s="448"/>
      <c r="V450" s="448"/>
    </row>
    <row r="451">
      <c r="A451" s="257" t="s">
        <v>487</v>
      </c>
      <c r="B451" s="257" t="s">
        <v>476</v>
      </c>
      <c r="C451" s="257">
        <v>0.1</v>
      </c>
      <c r="D451" s="257">
        <v>0.78</v>
      </c>
      <c r="E451" s="592">
        <v>1.58E-11</v>
      </c>
      <c r="F451" s="592">
        <v>2.19343736980703E23</v>
      </c>
      <c r="G451" s="592">
        <v>5.35761316118972E22</v>
      </c>
      <c r="H451" s="592">
        <v>1.19784476029538E23</v>
      </c>
      <c r="I451" s="592">
        <v>1.30901448207379E23</v>
      </c>
      <c r="J451" s="592">
        <v>1.77919670052226E-10</v>
      </c>
      <c r="K451" s="592">
        <v>4.34580343632152E-11</v>
      </c>
      <c r="L451" s="592">
        <v>9.71626304261853E-11</v>
      </c>
      <c r="M451" s="592">
        <v>1.06180111613875E-10</v>
      </c>
      <c r="N451" s="448"/>
      <c r="O451" s="448"/>
      <c r="P451" s="448"/>
      <c r="Q451" s="448"/>
      <c r="R451" s="448"/>
      <c r="S451" s="448"/>
      <c r="T451" s="448"/>
      <c r="U451" s="448"/>
      <c r="V451" s="448"/>
    </row>
    <row r="452">
      <c r="A452" s="257" t="s">
        <v>499</v>
      </c>
      <c r="B452" s="257" t="s">
        <v>476</v>
      </c>
      <c r="C452" s="257">
        <v>0.12</v>
      </c>
      <c r="D452" s="257">
        <v>0.48</v>
      </c>
      <c r="E452" s="592">
        <v>6.30999999999999E-12</v>
      </c>
      <c r="F452" s="592">
        <v>1.16247342862645E22</v>
      </c>
      <c r="G452" s="592">
        <v>2.92285049305389E22</v>
      </c>
      <c r="H452" s="592">
        <v>4.15317903278357E22</v>
      </c>
      <c r="I452" s="592">
        <v>2.74616765148797E22</v>
      </c>
      <c r="J452" s="592">
        <v>4.83556415483658E-12</v>
      </c>
      <c r="K452" s="592">
        <v>1.2158240116385E-11</v>
      </c>
      <c r="L452" s="592">
        <v>1.72760625447384E-11</v>
      </c>
      <c r="M452" s="592">
        <v>1.14232889386533E-11</v>
      </c>
      <c r="N452" s="448"/>
      <c r="O452" s="448"/>
      <c r="P452" s="448"/>
      <c r="Q452" s="448"/>
      <c r="R452" s="448"/>
      <c r="S452" s="448"/>
      <c r="T452" s="448"/>
      <c r="U452" s="448"/>
      <c r="V452" s="448"/>
    </row>
    <row r="453">
      <c r="A453" s="257" t="s">
        <v>522</v>
      </c>
      <c r="B453" s="257" t="s">
        <v>476</v>
      </c>
      <c r="C453" s="257">
        <v>0.19</v>
      </c>
      <c r="D453" s="257">
        <v>0.96</v>
      </c>
      <c r="E453" s="592">
        <v>1.61999999999999E-10</v>
      </c>
      <c r="F453" s="592">
        <v>7.96480036853054E22</v>
      </c>
      <c r="G453" s="592">
        <v>3.08702978654669E23</v>
      </c>
      <c r="H453" s="592">
        <v>3.67329442794451E23</v>
      </c>
      <c r="I453" s="592">
        <v>2.51893475044809E23</v>
      </c>
      <c r="J453" s="592">
        <v>4.1850114507544E-11</v>
      </c>
      <c r="K453" s="592">
        <v>1.62204379366025E-10</v>
      </c>
      <c r="L453" s="592">
        <v>1.9300897111846E-10</v>
      </c>
      <c r="M453" s="592">
        <v>1.32354488330676E-10</v>
      </c>
      <c r="N453" s="448"/>
      <c r="O453" s="448"/>
      <c r="P453" s="448"/>
      <c r="Q453" s="448"/>
      <c r="R453" s="448"/>
      <c r="S453" s="448"/>
      <c r="T453" s="448"/>
      <c r="U453" s="448"/>
      <c r="V453" s="448"/>
    </row>
    <row r="454">
      <c r="A454" s="257" t="s">
        <v>537</v>
      </c>
      <c r="B454" s="257" t="s">
        <v>476</v>
      </c>
      <c r="C454" s="257">
        <v>0.24</v>
      </c>
      <c r="D454" s="257">
        <v>1.2</v>
      </c>
      <c r="E454" s="592">
        <v>2.04E-10</v>
      </c>
      <c r="F454" s="592">
        <v>5.76921213383474E23</v>
      </c>
      <c r="G454" s="592">
        <v>5.10130315850049E23</v>
      </c>
      <c r="H454" s="592">
        <v>1.18139589243219E24</v>
      </c>
      <c r="I454" s="592">
        <v>7.56149140555239E23</v>
      </c>
      <c r="J454" s="592">
        <v>2.9997885015082E-10</v>
      </c>
      <c r="K454" s="592">
        <v>2.65249919791137E-10</v>
      </c>
      <c r="L454" s="592">
        <v>6.14284538622346E-10</v>
      </c>
      <c r="M454" s="592">
        <v>3.93171102854768E-10</v>
      </c>
      <c r="N454" s="448"/>
      <c r="O454" s="448"/>
      <c r="P454" s="448"/>
      <c r="Q454" s="448"/>
      <c r="R454" s="448"/>
      <c r="S454" s="448"/>
      <c r="T454" s="448"/>
      <c r="U454" s="448"/>
      <c r="V454" s="448"/>
    </row>
    <row r="455">
      <c r="A455" s="257" t="s">
        <v>502</v>
      </c>
      <c r="B455" s="257" t="s">
        <v>476</v>
      </c>
      <c r="C455" s="257">
        <v>0.14</v>
      </c>
      <c r="D455" s="257">
        <v>0.91</v>
      </c>
      <c r="E455" s="592">
        <v>1.32E-10</v>
      </c>
      <c r="F455" s="592">
        <v>1.05068155885167E23</v>
      </c>
      <c r="G455" s="592">
        <v>2.88480096483784E23</v>
      </c>
      <c r="H455" s="592">
        <v>3.63266287004072E23</v>
      </c>
      <c r="I455" s="592">
        <v>2.52271513124341E23</v>
      </c>
      <c r="J455" s="592">
        <v>7.10212954843013E-11</v>
      </c>
      <c r="K455" s="592">
        <v>1.94999426811173E-10</v>
      </c>
      <c r="L455" s="592">
        <v>2.45551490758043E-10</v>
      </c>
      <c r="M455" s="592">
        <v>1.70524071017839E-10</v>
      </c>
      <c r="N455" s="448"/>
      <c r="O455" s="448"/>
      <c r="P455" s="448"/>
      <c r="Q455" s="448"/>
      <c r="R455" s="448"/>
      <c r="S455" s="448"/>
      <c r="T455" s="448"/>
      <c r="U455" s="448"/>
      <c r="V455" s="448"/>
    </row>
    <row r="456">
      <c r="A456" s="257" t="s">
        <v>514</v>
      </c>
      <c r="B456" s="257" t="s">
        <v>476</v>
      </c>
      <c r="C456" s="257">
        <v>0.17</v>
      </c>
      <c r="D456" s="257">
        <v>0.23</v>
      </c>
      <c r="E456" s="592">
        <v>3.16E-13</v>
      </c>
      <c r="F456" s="592">
        <v>2.89165191740058E21</v>
      </c>
      <c r="G456" s="592">
        <v>1.25333711396743E22</v>
      </c>
      <c r="H456" s="592">
        <v>2.32105784985992E22</v>
      </c>
      <c r="I456" s="592">
        <v>1.28785338518914E22</v>
      </c>
      <c r="J456" s="592">
        <v>4.06845064357949E-13</v>
      </c>
      <c r="K456" s="592">
        <v>1.76340041388062E-12</v>
      </c>
      <c r="L456" s="592">
        <v>3.26564523420806E-12</v>
      </c>
      <c r="M456" s="592">
        <v>1.81196357081554E-12</v>
      </c>
      <c r="N456" s="448"/>
      <c r="O456" s="448"/>
      <c r="P456" s="448"/>
      <c r="Q456" s="448"/>
      <c r="R456" s="448"/>
      <c r="S456" s="448"/>
      <c r="T456" s="448"/>
      <c r="U456" s="448"/>
      <c r="V456" s="448"/>
    </row>
    <row r="457">
      <c r="A457" s="257" t="s">
        <v>590</v>
      </c>
      <c r="B457" s="257" t="s">
        <v>476</v>
      </c>
      <c r="C457" s="257">
        <v>1.81</v>
      </c>
      <c r="D457" s="257">
        <v>2.41</v>
      </c>
      <c r="E457" s="592">
        <v>8.51E-10</v>
      </c>
      <c r="F457" s="448"/>
      <c r="G457" s="448"/>
      <c r="H457" s="448"/>
      <c r="I457" s="448"/>
      <c r="J457" s="448"/>
      <c r="K457" s="448"/>
      <c r="L457" s="448"/>
      <c r="M457" s="448"/>
      <c r="N457" s="448"/>
      <c r="O457" s="448"/>
      <c r="P457" s="448"/>
      <c r="Q457" s="448"/>
      <c r="R457" s="448"/>
      <c r="S457" s="448"/>
      <c r="T457" s="448"/>
      <c r="U457" s="448"/>
      <c r="V457" s="448"/>
    </row>
    <row r="458">
      <c r="A458" s="257" t="s">
        <v>564</v>
      </c>
      <c r="B458" s="257" t="s">
        <v>476</v>
      </c>
      <c r="C458" s="257">
        <v>0.47</v>
      </c>
      <c r="D458" s="257">
        <v>2.63</v>
      </c>
      <c r="E458" s="592">
        <v>1.91E-8</v>
      </c>
      <c r="F458" s="592">
        <v>1.22552089314906E25</v>
      </c>
      <c r="G458" s="592"/>
      <c r="H458" s="592">
        <v>6.26244653671368E24</v>
      </c>
      <c r="I458" s="592">
        <v>9.25882773410217E24</v>
      </c>
      <c r="J458" s="592">
        <v>7.13153033255657E-9</v>
      </c>
      <c r="K458" s="592"/>
      <c r="L458" s="592">
        <v>3.64423223481961E-9</v>
      </c>
      <c r="M458" s="592">
        <v>5.38788128368809E-9</v>
      </c>
      <c r="N458" s="448"/>
      <c r="O458" s="448"/>
      <c r="P458" s="448"/>
      <c r="Q458" s="448"/>
      <c r="R458" s="448"/>
      <c r="S458" s="448"/>
      <c r="T458" s="448"/>
      <c r="U458" s="448"/>
      <c r="V458" s="448"/>
    </row>
    <row r="459">
      <c r="A459" s="257" t="s">
        <v>527</v>
      </c>
      <c r="B459" s="257" t="s">
        <v>476</v>
      </c>
      <c r="C459" s="257">
        <v>0.2</v>
      </c>
      <c r="D459" s="257">
        <v>1.1</v>
      </c>
      <c r="E459" s="592">
        <v>1.12E-8</v>
      </c>
      <c r="F459" s="592">
        <v>1.94412745264362E24</v>
      </c>
      <c r="G459" s="592"/>
      <c r="H459" s="592">
        <v>8.18603139782171E23</v>
      </c>
      <c r="I459" s="592">
        <v>1.38136529621289E24</v>
      </c>
      <c r="J459" s="592">
        <v>1.11196609638851E-9</v>
      </c>
      <c r="K459" s="592"/>
      <c r="L459" s="592">
        <v>4.68209497580618E-10</v>
      </c>
      <c r="M459" s="592">
        <v>7.90087796984565E-10</v>
      </c>
      <c r="N459" s="448"/>
      <c r="O459" s="448"/>
      <c r="P459" s="448"/>
      <c r="Q459" s="448"/>
      <c r="R459" s="448"/>
      <c r="S459" s="448"/>
      <c r="T459" s="448"/>
      <c r="U459" s="448"/>
      <c r="V459" s="448"/>
    </row>
    <row r="460">
      <c r="A460" s="257" t="s">
        <v>508</v>
      </c>
      <c r="B460" s="257" t="s">
        <v>476</v>
      </c>
      <c r="C460" s="257">
        <v>0.15</v>
      </c>
      <c r="D460" s="257">
        <v>0.84</v>
      </c>
      <c r="E460" s="592">
        <v>3.98E-11</v>
      </c>
      <c r="F460" s="592">
        <v>3.57052730172764E22</v>
      </c>
      <c r="G460" s="592"/>
      <c r="H460" s="592"/>
      <c r="I460" s="592">
        <v>3.57052730172764E22</v>
      </c>
      <c r="J460" s="592">
        <v>2.07933521511111E-11</v>
      </c>
      <c r="K460" s="592"/>
      <c r="L460" s="592"/>
      <c r="M460" s="592">
        <v>2.07933521511111E-11</v>
      </c>
      <c r="N460" s="448"/>
      <c r="O460" s="448"/>
      <c r="P460" s="448"/>
      <c r="Q460" s="448"/>
      <c r="R460" s="448"/>
      <c r="S460" s="448"/>
      <c r="T460" s="448"/>
      <c r="U460" s="448"/>
      <c r="V460" s="448"/>
    </row>
    <row r="461">
      <c r="A461" s="257" t="s">
        <v>489</v>
      </c>
      <c r="B461" s="257" t="s">
        <v>476</v>
      </c>
      <c r="C461" s="257">
        <v>0.1</v>
      </c>
      <c r="D461" s="257">
        <v>1.03</v>
      </c>
      <c r="E461" s="592">
        <v>5.01E-11</v>
      </c>
      <c r="F461" s="592">
        <v>8.40999307618397E21</v>
      </c>
      <c r="G461" s="592"/>
      <c r="H461" s="592"/>
      <c r="I461" s="592">
        <v>8.40999307618397E21</v>
      </c>
      <c r="J461" s="592">
        <v>9.00817856605985E-12</v>
      </c>
      <c r="K461" s="592"/>
      <c r="L461" s="592"/>
      <c r="M461" s="592">
        <v>9.00817856605985E-12</v>
      </c>
      <c r="N461" s="448"/>
      <c r="O461" s="448"/>
      <c r="P461" s="448"/>
      <c r="Q461" s="448"/>
      <c r="R461" s="448"/>
      <c r="S461" s="448"/>
      <c r="T461" s="448"/>
      <c r="U461" s="448"/>
      <c r="V461" s="448"/>
    </row>
    <row r="462">
      <c r="A462" s="257" t="s">
        <v>532</v>
      </c>
      <c r="B462" s="257" t="s">
        <v>476</v>
      </c>
      <c r="C462" s="257">
        <v>0.22</v>
      </c>
      <c r="D462" s="257">
        <v>1.29</v>
      </c>
      <c r="E462" s="592">
        <v>1.51E-10</v>
      </c>
      <c r="F462" s="592">
        <v>8.19313935838483E22</v>
      </c>
      <c r="G462" s="592"/>
      <c r="H462" s="592"/>
      <c r="I462" s="592">
        <v>8.19313935838483E22</v>
      </c>
      <c r="J462" s="592">
        <v>4.99598924620936E-11</v>
      </c>
      <c r="K462" s="592"/>
      <c r="L462" s="592"/>
      <c r="M462" s="592">
        <v>4.99598924620936E-11</v>
      </c>
      <c r="N462" s="448"/>
      <c r="O462" s="448"/>
      <c r="P462" s="448"/>
      <c r="Q462" s="448"/>
      <c r="R462" s="448"/>
      <c r="S462" s="448"/>
      <c r="T462" s="448"/>
      <c r="U462" s="448"/>
      <c r="V462" s="448"/>
    </row>
    <row r="463">
      <c r="A463" s="257" t="s">
        <v>565</v>
      </c>
      <c r="B463" s="257" t="s">
        <v>476</v>
      </c>
      <c r="C463" s="257">
        <v>0.47</v>
      </c>
      <c r="D463" s="257">
        <v>1.91</v>
      </c>
      <c r="E463" s="592">
        <v>1.66E-9</v>
      </c>
      <c r="F463" s="592">
        <v>2.83066867181146E24</v>
      </c>
      <c r="G463" s="592"/>
      <c r="H463" s="592"/>
      <c r="I463" s="592">
        <v>2.83066867181146E24</v>
      </c>
      <c r="J463" s="592">
        <v>1.19626851140181E-9</v>
      </c>
      <c r="K463" s="592"/>
      <c r="L463" s="592"/>
      <c r="M463" s="592">
        <v>1.19626851140181E-9</v>
      </c>
      <c r="N463" s="448"/>
      <c r="O463" s="448"/>
      <c r="P463" s="448"/>
      <c r="Q463" s="448"/>
      <c r="R463" s="448"/>
      <c r="S463" s="448"/>
      <c r="T463" s="448"/>
      <c r="U463" s="448"/>
      <c r="V463" s="448"/>
    </row>
    <row r="464">
      <c r="A464" s="257" t="s">
        <v>513</v>
      </c>
      <c r="B464" s="257" t="s">
        <v>476</v>
      </c>
      <c r="C464" s="257">
        <v>0.16</v>
      </c>
      <c r="D464" s="257">
        <v>0.9</v>
      </c>
      <c r="E464" s="592">
        <v>1.15E-9</v>
      </c>
      <c r="F464" s="592">
        <v>8.81523310361787E23</v>
      </c>
      <c r="G464" s="592"/>
      <c r="H464" s="592">
        <v>2.79427740299285E23</v>
      </c>
      <c r="I464" s="592">
        <v>5.80475525330536E23</v>
      </c>
      <c r="J464" s="592">
        <v>5.15656446235868E-10</v>
      </c>
      <c r="K464" s="592"/>
      <c r="L464" s="592">
        <v>1.63454231837968E-10</v>
      </c>
      <c r="M464" s="592">
        <v>3.39555339036918E-10</v>
      </c>
      <c r="N464" s="448"/>
      <c r="O464" s="448"/>
      <c r="P464" s="448"/>
      <c r="Q464" s="448"/>
      <c r="R464" s="448"/>
      <c r="S464" s="448"/>
      <c r="T464" s="448"/>
      <c r="U464" s="448"/>
      <c r="V464" s="448"/>
    </row>
    <row r="465">
      <c r="A465" s="257" t="s">
        <v>518</v>
      </c>
      <c r="B465" s="257" t="s">
        <v>476</v>
      </c>
      <c r="C465" s="257">
        <v>0.18</v>
      </c>
      <c r="D465" s="257">
        <v>1.43</v>
      </c>
      <c r="E465" s="592">
        <v>3.23999999999999E-10</v>
      </c>
      <c r="F465" s="448"/>
      <c r="G465" s="448"/>
      <c r="H465" s="448"/>
      <c r="I465" s="448"/>
      <c r="J465" s="448"/>
      <c r="K465" s="448"/>
      <c r="L465" s="448"/>
      <c r="M465" s="448"/>
      <c r="N465" s="448"/>
      <c r="O465" s="448"/>
      <c r="P465" s="448"/>
      <c r="Q465" s="448"/>
      <c r="R465" s="448"/>
      <c r="S465" s="448"/>
      <c r="T465" s="448"/>
      <c r="U465" s="448"/>
      <c r="V465" s="448"/>
    </row>
    <row r="466">
      <c r="A466" s="257" t="s">
        <v>543</v>
      </c>
      <c r="B466" s="257" t="s">
        <v>476</v>
      </c>
      <c r="C466" s="257">
        <v>0.25</v>
      </c>
      <c r="D466" s="257">
        <v>1.41</v>
      </c>
      <c r="E466" s="592">
        <v>9.12E-10</v>
      </c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</row>
    <row r="467">
      <c r="A467" s="257" t="s">
        <v>520</v>
      </c>
      <c r="B467" s="257" t="s">
        <v>476</v>
      </c>
      <c r="C467" s="257">
        <v>0.18</v>
      </c>
      <c r="D467" s="257">
        <v>1.11</v>
      </c>
      <c r="E467" s="592">
        <v>1.58E-10</v>
      </c>
      <c r="F467" s="448"/>
      <c r="G467" s="448"/>
      <c r="H467" s="448"/>
      <c r="I467" s="448"/>
      <c r="J467" s="448"/>
      <c r="K467" s="448"/>
      <c r="L467" s="448"/>
      <c r="M467" s="448"/>
      <c r="N467" s="448"/>
      <c r="O467" s="448"/>
      <c r="P467" s="448"/>
      <c r="Q467" s="448"/>
      <c r="R467" s="448"/>
      <c r="S467" s="448"/>
      <c r="T467" s="448"/>
      <c r="U467" s="448"/>
      <c r="V467" s="448"/>
    </row>
    <row r="468">
      <c r="A468" s="257" t="s">
        <v>570</v>
      </c>
      <c r="B468" s="257" t="s">
        <v>476</v>
      </c>
      <c r="C468" s="257">
        <v>0.51</v>
      </c>
      <c r="D468" s="257">
        <v>0.72</v>
      </c>
      <c r="E468" s="592">
        <v>1.82E-10</v>
      </c>
      <c r="F468" s="448"/>
      <c r="G468" s="448"/>
      <c r="H468" s="448"/>
      <c r="I468" s="448"/>
      <c r="J468" s="448"/>
      <c r="K468" s="448"/>
      <c r="L468" s="448"/>
      <c r="M468" s="448"/>
      <c r="N468" s="448"/>
      <c r="O468" s="448"/>
      <c r="P468" s="448"/>
      <c r="Q468" s="448"/>
      <c r="R468" s="448"/>
      <c r="S468" s="448"/>
      <c r="T468" s="448"/>
      <c r="U468" s="448"/>
      <c r="V468" s="448"/>
    </row>
    <row r="469">
      <c r="A469" s="257" t="s">
        <v>544</v>
      </c>
      <c r="B469" s="257" t="s">
        <v>476</v>
      </c>
      <c r="C469" s="257">
        <v>0.26</v>
      </c>
      <c r="D469" s="257">
        <v>1.61</v>
      </c>
      <c r="E469" s="592">
        <v>2.51E-9</v>
      </c>
      <c r="F469" s="448"/>
      <c r="G469" s="448"/>
      <c r="H469" s="448"/>
      <c r="I469" s="448"/>
      <c r="J469" s="448"/>
      <c r="K469" s="448"/>
      <c r="L469" s="448"/>
      <c r="M469" s="448"/>
      <c r="N469" s="448"/>
      <c r="O469" s="448"/>
      <c r="P469" s="448"/>
      <c r="Q469" s="448"/>
      <c r="R469" s="448"/>
      <c r="S469" s="448"/>
      <c r="T469" s="448"/>
      <c r="U469" s="448"/>
      <c r="V469" s="448"/>
    </row>
    <row r="470">
      <c r="A470" s="257" t="s">
        <v>561</v>
      </c>
      <c r="B470" s="257" t="s">
        <v>476</v>
      </c>
      <c r="C470" s="257">
        <v>0.46</v>
      </c>
      <c r="D470" s="257">
        <v>1.4</v>
      </c>
      <c r="E470" s="592">
        <v>7.76E-10</v>
      </c>
      <c r="F470" s="448"/>
      <c r="G470" s="448"/>
      <c r="H470" s="448"/>
      <c r="I470" s="448"/>
      <c r="J470" s="448"/>
      <c r="K470" s="448"/>
      <c r="L470" s="448"/>
      <c r="M470" s="448"/>
      <c r="N470" s="448"/>
      <c r="O470" s="448"/>
      <c r="P470" s="448"/>
      <c r="Q470" s="448"/>
      <c r="R470" s="448"/>
      <c r="S470" s="448"/>
      <c r="T470" s="448"/>
      <c r="U470" s="448"/>
      <c r="V470" s="448"/>
    </row>
    <row r="471">
      <c r="A471" s="257" t="s">
        <v>526</v>
      </c>
      <c r="B471" s="257" t="s">
        <v>476</v>
      </c>
      <c r="C471" s="257">
        <v>0.2</v>
      </c>
      <c r="D471" s="257">
        <v>1.52</v>
      </c>
      <c r="E471" s="592">
        <v>1.95E-10</v>
      </c>
      <c r="F471" s="448"/>
      <c r="G471" s="448"/>
      <c r="H471" s="448"/>
      <c r="I471" s="448"/>
      <c r="J471" s="448"/>
      <c r="K471" s="448"/>
      <c r="L471" s="448"/>
      <c r="M471" s="448"/>
      <c r="N471" s="448"/>
      <c r="O471" s="448"/>
      <c r="P471" s="448"/>
      <c r="Q471" s="448"/>
      <c r="R471" s="448"/>
      <c r="S471" s="448"/>
      <c r="T471" s="448"/>
      <c r="U471" s="448"/>
      <c r="V471" s="448"/>
    </row>
    <row r="472">
      <c r="A472" s="257" t="s">
        <v>523</v>
      </c>
      <c r="B472" s="257" t="s">
        <v>476</v>
      </c>
      <c r="C472" s="257">
        <v>0.19</v>
      </c>
      <c r="D472" s="257">
        <v>0.83</v>
      </c>
      <c r="E472" s="592">
        <v>1.40999999999999E-9</v>
      </c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</row>
    <row r="473">
      <c r="A473" s="257" t="s">
        <v>533</v>
      </c>
      <c r="B473" s="257" t="s">
        <v>476</v>
      </c>
      <c r="C473" s="257">
        <v>0.23</v>
      </c>
      <c r="D473" s="257">
        <v>1.82</v>
      </c>
      <c r="E473" s="592">
        <v>1.02E-9</v>
      </c>
      <c r="F473" s="448"/>
      <c r="G473" s="448"/>
      <c r="H473" s="448"/>
      <c r="I473" s="448"/>
      <c r="J473" s="448"/>
      <c r="K473" s="448"/>
      <c r="L473" s="448"/>
      <c r="M473" s="448"/>
      <c r="N473" s="448"/>
      <c r="O473" s="448"/>
      <c r="P473" s="448"/>
      <c r="Q473" s="448"/>
      <c r="R473" s="448"/>
      <c r="S473" s="448"/>
      <c r="T473" s="448"/>
      <c r="U473" s="448"/>
      <c r="V473" s="448"/>
    </row>
    <row r="474">
      <c r="A474" s="257" t="s">
        <v>530</v>
      </c>
      <c r="B474" s="257" t="s">
        <v>476</v>
      </c>
      <c r="C474" s="257">
        <v>0.22</v>
      </c>
      <c r="D474" s="257">
        <v>1.36</v>
      </c>
      <c r="E474" s="592">
        <v>5.01E-10</v>
      </c>
      <c r="F474" s="448"/>
      <c r="G474" s="448"/>
      <c r="H474" s="448"/>
      <c r="I474" s="448"/>
      <c r="J474" s="448"/>
      <c r="K474" s="448"/>
      <c r="L474" s="448"/>
      <c r="M474" s="448"/>
      <c r="N474" s="448"/>
      <c r="O474" s="448"/>
      <c r="P474" s="448"/>
      <c r="Q474" s="448"/>
      <c r="R474" s="448"/>
      <c r="S474" s="448"/>
      <c r="T474" s="448"/>
      <c r="U474" s="448"/>
      <c r="V474" s="448"/>
    </row>
    <row r="475">
      <c r="A475" s="257" t="s">
        <v>548</v>
      </c>
      <c r="B475" s="257" t="s">
        <v>476</v>
      </c>
      <c r="C475" s="257">
        <v>0.29</v>
      </c>
      <c r="D475" s="257">
        <v>2.0</v>
      </c>
      <c r="E475" s="592">
        <v>2.23999999999999E-9</v>
      </c>
      <c r="F475" s="592">
        <v>8.87126846180643E23</v>
      </c>
      <c r="G475" s="592">
        <v>5.73495814086216E23</v>
      </c>
      <c r="H475" s="592">
        <v>7.17062802078967E23</v>
      </c>
      <c r="I475" s="592">
        <v>7.25895154115276E23</v>
      </c>
      <c r="J475" s="592">
        <v>6.36241280215312E-10</v>
      </c>
      <c r="K475" s="592">
        <v>4.11307258396323E-10</v>
      </c>
      <c r="L475" s="592">
        <v>5.14272515992151E-10</v>
      </c>
      <c r="M475" s="592">
        <v>5.20607018201262E-10</v>
      </c>
      <c r="N475" s="448"/>
      <c r="O475" s="448"/>
      <c r="P475" s="448"/>
      <c r="Q475" s="448"/>
      <c r="R475" s="448"/>
      <c r="S475" s="448"/>
      <c r="T475" s="448"/>
      <c r="U475" s="448"/>
      <c r="V475" s="448"/>
    </row>
    <row r="476">
      <c r="A476" s="257" t="s">
        <v>585</v>
      </c>
      <c r="B476" s="257" t="s">
        <v>476</v>
      </c>
      <c r="C476" s="257">
        <v>1.09</v>
      </c>
      <c r="D476" s="257">
        <v>1.82</v>
      </c>
      <c r="E476" s="592">
        <v>1.07E-9</v>
      </c>
      <c r="F476" s="592">
        <v>3.93462150786852E24</v>
      </c>
      <c r="G476" s="592">
        <v>5.34147603371918E24</v>
      </c>
      <c r="H476" s="592">
        <v>3.06148146431897E24</v>
      </c>
      <c r="I476" s="592">
        <v>4.11252633530222E24</v>
      </c>
      <c r="J476" s="592">
        <v>6.83206477354002E-10</v>
      </c>
      <c r="K476" s="592">
        <v>9.2749226769846E-10</v>
      </c>
      <c r="L476" s="592">
        <v>5.3159470676889E-10</v>
      </c>
      <c r="M476" s="592">
        <v>7.14097817273784E-10</v>
      </c>
      <c r="N476" s="448"/>
      <c r="O476" s="448"/>
      <c r="P476" s="448"/>
      <c r="Q476" s="448"/>
      <c r="R476" s="448"/>
      <c r="S476" s="448"/>
      <c r="T476" s="448"/>
      <c r="U476" s="448"/>
      <c r="V476" s="448"/>
    </row>
    <row r="477">
      <c r="A477" s="257" t="s">
        <v>581</v>
      </c>
      <c r="B477" s="257" t="s">
        <v>476</v>
      </c>
      <c r="C477" s="257">
        <v>0.8</v>
      </c>
      <c r="D477" s="257">
        <v>1.23</v>
      </c>
      <c r="E477" s="592">
        <v>3.89E-9</v>
      </c>
      <c r="F477" s="592">
        <v>7.8307604392287E24</v>
      </c>
      <c r="G477" s="592">
        <v>6.10134520129507E24</v>
      </c>
      <c r="H477" s="592">
        <v>6.27890252944486E24</v>
      </c>
      <c r="I477" s="592">
        <v>6.73700272332287E24</v>
      </c>
      <c r="J477" s="592">
        <v>1.25205436339627E-9</v>
      </c>
      <c r="K477" s="592">
        <v>9.75539469142651E-10</v>
      </c>
      <c r="L477" s="592">
        <v>1.00392897603514E-9</v>
      </c>
      <c r="M477" s="592">
        <v>1.07717426952469E-9</v>
      </c>
      <c r="N477" s="448"/>
      <c r="O477" s="448"/>
      <c r="P477" s="448"/>
      <c r="Q477" s="448"/>
      <c r="R477" s="448"/>
      <c r="S477" s="448"/>
      <c r="T477" s="448"/>
      <c r="U477" s="448"/>
      <c r="V477" s="448"/>
    </row>
    <row r="478">
      <c r="A478" s="257" t="s">
        <v>555</v>
      </c>
      <c r="B478" s="257" t="s">
        <v>476</v>
      </c>
      <c r="C478" s="257">
        <v>0.37</v>
      </c>
      <c r="D478" s="257">
        <v>1.03</v>
      </c>
      <c r="E478" s="592">
        <v>7.08E-10</v>
      </c>
      <c r="F478" s="448"/>
      <c r="G478" s="448"/>
      <c r="H478" s="448"/>
      <c r="I478" s="448"/>
      <c r="J478" s="448"/>
      <c r="K478" s="448"/>
      <c r="L478" s="448"/>
      <c r="M478" s="448"/>
      <c r="N478" s="448"/>
      <c r="O478" s="448"/>
      <c r="P478" s="448"/>
      <c r="Q478" s="448"/>
      <c r="R478" s="448"/>
      <c r="S478" s="448"/>
      <c r="T478" s="448"/>
      <c r="U478" s="448"/>
      <c r="V478" s="448"/>
    </row>
    <row r="479">
      <c r="A479" s="257" t="s">
        <v>549</v>
      </c>
      <c r="B479" s="257" t="s">
        <v>476</v>
      </c>
      <c r="C479" s="257">
        <v>0.3</v>
      </c>
      <c r="D479" s="257">
        <v>1.04</v>
      </c>
      <c r="E479" s="592">
        <v>5.62E-10</v>
      </c>
      <c r="F479" s="592">
        <v>5.07187667517457E23</v>
      </c>
      <c r="G479" s="592">
        <v>2.4512725181333E23</v>
      </c>
      <c r="H479" s="592">
        <v>7.4244546304954E23</v>
      </c>
      <c r="I479" s="592">
        <v>4.98253460793442E23</v>
      </c>
      <c r="J479" s="592">
        <v>1.82845759610842E-10</v>
      </c>
      <c r="K479" s="592">
        <v>8.83706001340896E-11</v>
      </c>
      <c r="L479" s="592">
        <v>2.67658331136856E-10</v>
      </c>
      <c r="M479" s="592">
        <v>1.79624896960596E-10</v>
      </c>
      <c r="N479" s="448"/>
      <c r="O479" s="448"/>
      <c r="P479" s="448"/>
      <c r="Q479" s="448"/>
      <c r="R479" s="448"/>
      <c r="S479" s="448"/>
      <c r="T479" s="448"/>
      <c r="U479" s="448"/>
      <c r="V479" s="448"/>
    </row>
    <row r="480">
      <c r="A480" s="257" t="s">
        <v>578</v>
      </c>
      <c r="B480" s="257" t="s">
        <v>476</v>
      </c>
      <c r="C480" s="257">
        <v>0.76</v>
      </c>
      <c r="D480" s="257">
        <v>1.84</v>
      </c>
      <c r="E480" s="592">
        <v>2.45E-10</v>
      </c>
      <c r="F480" s="592">
        <v>1.32939126354368E24</v>
      </c>
      <c r="G480" s="592">
        <v>1.1511366274345E24</v>
      </c>
      <c r="H480" s="592">
        <v>2.54813899180897E24</v>
      </c>
      <c r="I480" s="592">
        <v>1.67622229426239E24</v>
      </c>
      <c r="J480" s="592">
        <v>3.34704209641994E-10</v>
      </c>
      <c r="K480" s="592">
        <v>2.8982458787067E-10</v>
      </c>
      <c r="L480" s="592">
        <v>6.41551415824648E-10</v>
      </c>
      <c r="M480" s="592">
        <v>4.22026737779104E-10</v>
      </c>
      <c r="N480" s="448"/>
      <c r="O480" s="448"/>
      <c r="P480" s="448"/>
      <c r="Q480" s="448"/>
      <c r="R480" s="448"/>
      <c r="S480" s="448"/>
      <c r="T480" s="448"/>
      <c r="U480" s="448"/>
      <c r="V480" s="448"/>
    </row>
    <row r="481">
      <c r="A481" s="257" t="s">
        <v>550</v>
      </c>
      <c r="B481" s="257" t="s">
        <v>476</v>
      </c>
      <c r="C481" s="257">
        <v>0.31</v>
      </c>
      <c r="D481" s="257">
        <v>1.29</v>
      </c>
      <c r="E481" s="592">
        <v>2.68999999999999E-9</v>
      </c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48"/>
      <c r="R481" s="448"/>
      <c r="S481" s="448"/>
      <c r="T481" s="448"/>
      <c r="U481" s="448"/>
      <c r="V481" s="448"/>
    </row>
    <row r="482">
      <c r="A482" s="257" t="s">
        <v>591</v>
      </c>
      <c r="B482" s="257" t="s">
        <v>476</v>
      </c>
      <c r="C482" s="257">
        <v>2.13</v>
      </c>
      <c r="D482" s="257">
        <v>3.14</v>
      </c>
      <c r="E482" s="592">
        <v>3.8E-9</v>
      </c>
      <c r="F482" s="592">
        <v>3.82808129582649E25</v>
      </c>
      <c r="G482" s="592">
        <v>4.79395623353789E25</v>
      </c>
      <c r="H482" s="592">
        <v>3.08119466275957E25</v>
      </c>
      <c r="I482" s="592">
        <v>3.90107739737465E25</v>
      </c>
      <c r="J482" s="592">
        <v>5.86861095954595E-9</v>
      </c>
      <c r="K482" s="592">
        <v>7.34933819780595E-9</v>
      </c>
      <c r="L482" s="592">
        <v>4.7236020786913E-9</v>
      </c>
      <c r="M482" s="592">
        <v>5.98051707868107E-9</v>
      </c>
      <c r="N482" s="448"/>
      <c r="O482" s="448"/>
      <c r="P482" s="448"/>
      <c r="Q482" s="448"/>
      <c r="R482" s="448"/>
      <c r="S482" s="448"/>
      <c r="T482" s="448"/>
      <c r="U482" s="448"/>
      <c r="V482" s="448"/>
    </row>
    <row r="483">
      <c r="A483" s="257" t="s">
        <v>521</v>
      </c>
      <c r="B483" s="257" t="s">
        <v>476</v>
      </c>
      <c r="C483" s="257">
        <v>0.19</v>
      </c>
      <c r="D483" s="257">
        <v>0.97</v>
      </c>
      <c r="E483" s="592">
        <v>3.31E-10</v>
      </c>
      <c r="F483" s="448"/>
      <c r="G483" s="448"/>
      <c r="H483" s="448"/>
      <c r="I483" s="448"/>
      <c r="J483" s="448"/>
      <c r="K483" s="448"/>
      <c r="L483" s="448"/>
      <c r="M483" s="448"/>
      <c r="N483" s="448"/>
      <c r="O483" s="448"/>
      <c r="P483" s="448"/>
      <c r="Q483" s="448"/>
      <c r="R483" s="448"/>
      <c r="S483" s="448"/>
      <c r="T483" s="448"/>
      <c r="U483" s="448"/>
      <c r="V483" s="448"/>
    </row>
    <row r="484">
      <c r="A484" s="257" t="s">
        <v>557</v>
      </c>
      <c r="B484" s="257" t="s">
        <v>476</v>
      </c>
      <c r="C484" s="257">
        <v>0.42</v>
      </c>
      <c r="D484" s="257">
        <v>1.43</v>
      </c>
      <c r="E484" s="592">
        <v>8.71E-10</v>
      </c>
      <c r="F484" s="448"/>
      <c r="G484" s="448"/>
      <c r="H484" s="448"/>
      <c r="I484" s="448"/>
      <c r="J484" s="448"/>
      <c r="K484" s="448"/>
      <c r="L484" s="448"/>
      <c r="M484" s="448"/>
      <c r="N484" s="448"/>
      <c r="O484" s="448"/>
      <c r="P484" s="448"/>
      <c r="Q484" s="448"/>
      <c r="R484" s="448"/>
      <c r="S484" s="448"/>
      <c r="T484" s="448"/>
      <c r="U484" s="448"/>
      <c r="V484" s="448"/>
    </row>
    <row r="485">
      <c r="A485" s="257" t="s">
        <v>556</v>
      </c>
      <c r="B485" s="257" t="s">
        <v>476</v>
      </c>
      <c r="C485" s="257">
        <v>0.38</v>
      </c>
      <c r="D485" s="257">
        <v>1.29</v>
      </c>
      <c r="E485" s="592">
        <v>2.18999999999999E-9</v>
      </c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</row>
    <row r="486">
      <c r="A486" s="257" t="s">
        <v>582</v>
      </c>
      <c r="B486" s="257" t="s">
        <v>476</v>
      </c>
      <c r="C486" s="257">
        <v>0.82</v>
      </c>
      <c r="D486" s="257">
        <v>1.35</v>
      </c>
      <c r="E486" s="592">
        <v>6.60999999999999E-9</v>
      </c>
      <c r="F486" s="448"/>
      <c r="G486" s="448"/>
      <c r="H486" s="448"/>
      <c r="I486" s="448"/>
      <c r="J486" s="448"/>
      <c r="K486" s="448"/>
      <c r="L486" s="448"/>
      <c r="M486" s="448"/>
      <c r="N486" s="448"/>
      <c r="O486" s="448"/>
      <c r="P486" s="448"/>
      <c r="Q486" s="448"/>
      <c r="R486" s="448"/>
      <c r="S486" s="448"/>
      <c r="T486" s="448"/>
      <c r="U486" s="448"/>
      <c r="V486" s="448"/>
    </row>
    <row r="487">
      <c r="A487" s="257" t="s">
        <v>547</v>
      </c>
      <c r="B487" s="257" t="s">
        <v>476</v>
      </c>
      <c r="C487" s="257">
        <v>0.29</v>
      </c>
      <c r="D487" s="257">
        <v>3.13</v>
      </c>
      <c r="E487" s="592">
        <v>1.38E-8</v>
      </c>
      <c r="F487" s="448"/>
      <c r="G487" s="448"/>
      <c r="H487" s="448"/>
      <c r="I487" s="448"/>
      <c r="J487" s="448"/>
      <c r="K487" s="448"/>
      <c r="L487" s="448"/>
      <c r="M487" s="448"/>
      <c r="N487" s="448"/>
      <c r="O487" s="448"/>
      <c r="P487" s="448"/>
      <c r="Q487" s="448"/>
      <c r="R487" s="448"/>
      <c r="S487" s="448"/>
      <c r="T487" s="448"/>
      <c r="U487" s="448"/>
      <c r="V487" s="448"/>
    </row>
    <row r="488">
      <c r="A488" s="257" t="s">
        <v>540</v>
      </c>
      <c r="B488" s="257" t="s">
        <v>476</v>
      </c>
      <c r="C488" s="257">
        <v>0.25</v>
      </c>
      <c r="D488" s="257">
        <v>1.24</v>
      </c>
      <c r="E488" s="592">
        <v>5.01E-10</v>
      </c>
      <c r="F488" s="592">
        <v>8.10880118835948E23</v>
      </c>
      <c r="G488" s="592">
        <v>8.46132426629895E23</v>
      </c>
      <c r="H488" s="592">
        <v>1.11720474165537E24</v>
      </c>
      <c r="I488" s="592">
        <v>9.24739095707072E23</v>
      </c>
      <c r="J488" s="592">
        <v>4.18256262684709E-10</v>
      </c>
      <c r="K488" s="592">
        <v>4.36439589870081E-10</v>
      </c>
      <c r="L488" s="592">
        <v>5.76260126551394E-10</v>
      </c>
      <c r="M488" s="592">
        <v>4.76985326368728E-10</v>
      </c>
      <c r="N488" s="448"/>
      <c r="O488" s="448"/>
      <c r="P488" s="448"/>
      <c r="Q488" s="448"/>
      <c r="R488" s="448"/>
      <c r="S488" s="448"/>
      <c r="T488" s="448"/>
      <c r="U488" s="448"/>
      <c r="V488" s="448"/>
    </row>
    <row r="489">
      <c r="A489" s="257" t="s">
        <v>579</v>
      </c>
      <c r="B489" s="257" t="s">
        <v>476</v>
      </c>
      <c r="C489" s="257">
        <v>0.79</v>
      </c>
      <c r="D489" s="257">
        <v>1.5</v>
      </c>
      <c r="E489" s="592">
        <v>1.55E-9</v>
      </c>
      <c r="F489" s="592">
        <v>2.27668550857473E24</v>
      </c>
      <c r="G489" s="592">
        <v>8.80038146110052E24</v>
      </c>
      <c r="H489" s="592">
        <v>9.89880368848622E24</v>
      </c>
      <c r="I489" s="592">
        <v>6.99195688605382E24</v>
      </c>
      <c r="J489" s="592">
        <v>4.4954309832426E-10</v>
      </c>
      <c r="K489" s="592">
        <v>1.73767994462053E-9</v>
      </c>
      <c r="L489" s="592">
        <v>1.95456898331623E-9</v>
      </c>
      <c r="M489" s="592">
        <v>1.380597342087E-9</v>
      </c>
      <c r="N489" s="448"/>
      <c r="O489" s="448"/>
      <c r="P489" s="448"/>
      <c r="Q489" s="448"/>
      <c r="R489" s="448"/>
      <c r="S489" s="448"/>
      <c r="T489" s="448"/>
      <c r="U489" s="448"/>
      <c r="V489" s="448"/>
    </row>
    <row r="490">
      <c r="A490" s="257" t="s">
        <v>577</v>
      </c>
      <c r="B490" s="257" t="s">
        <v>476</v>
      </c>
      <c r="C490" s="257">
        <v>0.75</v>
      </c>
      <c r="D490" s="257">
        <v>2.39</v>
      </c>
      <c r="E490" s="592">
        <v>6.46E-8</v>
      </c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</row>
    <row r="491">
      <c r="A491" s="257" t="s">
        <v>516</v>
      </c>
      <c r="B491" s="257" t="s">
        <v>476</v>
      </c>
      <c r="C491" s="257">
        <v>0.18</v>
      </c>
      <c r="D491" s="257">
        <v>1.21</v>
      </c>
      <c r="E491" s="592">
        <v>5.37E-10</v>
      </c>
      <c r="F491" s="448"/>
      <c r="G491" s="448"/>
      <c r="H491" s="448"/>
      <c r="I491" s="448"/>
      <c r="J491" s="448"/>
      <c r="K491" s="448"/>
      <c r="L491" s="448"/>
      <c r="M491" s="448"/>
      <c r="N491" s="448"/>
      <c r="O491" s="448"/>
      <c r="P491" s="448"/>
      <c r="Q491" s="448"/>
      <c r="R491" s="448"/>
      <c r="S491" s="448"/>
      <c r="T491" s="448"/>
      <c r="U491" s="448"/>
      <c r="V491" s="448"/>
    </row>
    <row r="492">
      <c r="A492" s="257" t="s">
        <v>580</v>
      </c>
      <c r="B492" s="257" t="s">
        <v>476</v>
      </c>
      <c r="C492" s="257">
        <v>0.79</v>
      </c>
      <c r="D492" s="257">
        <v>1.64</v>
      </c>
      <c r="E492" s="592">
        <v>2.09E-9</v>
      </c>
      <c r="F492" s="592">
        <v>3.76829802086242E24</v>
      </c>
      <c r="G492" s="592">
        <v>5.61680015348637E24</v>
      </c>
      <c r="H492" s="592">
        <v>7.5884184018407E24</v>
      </c>
      <c r="I492" s="592">
        <v>5.65783885872983E24</v>
      </c>
      <c r="J492" s="592">
        <v>8.13516044143136E-10</v>
      </c>
      <c r="K492" s="592">
        <v>1.21257846813321E-9</v>
      </c>
      <c r="L492" s="592">
        <v>1.63821971759961E-9</v>
      </c>
      <c r="M492" s="592">
        <v>1.22143807662532E-9</v>
      </c>
      <c r="N492" s="448"/>
      <c r="O492" s="448"/>
      <c r="P492" s="448"/>
      <c r="Q492" s="448"/>
      <c r="R492" s="448"/>
      <c r="S492" s="448"/>
      <c r="T492" s="448"/>
      <c r="U492" s="448"/>
      <c r="V492" s="448"/>
    </row>
    <row r="493">
      <c r="A493" s="257" t="s">
        <v>566</v>
      </c>
      <c r="B493" s="257" t="s">
        <v>476</v>
      </c>
      <c r="C493" s="257">
        <v>0.47</v>
      </c>
      <c r="D493" s="257">
        <v>1.36</v>
      </c>
      <c r="E493" s="592">
        <v>1.86E-9</v>
      </c>
      <c r="F493" s="448"/>
      <c r="G493" s="448"/>
      <c r="H493" s="448"/>
      <c r="I493" s="448"/>
      <c r="J493" s="448"/>
      <c r="K493" s="448"/>
      <c r="L493" s="448"/>
      <c r="M493" s="448"/>
      <c r="N493" s="448"/>
      <c r="O493" s="448"/>
      <c r="P493" s="448"/>
      <c r="Q493" s="448"/>
      <c r="R493" s="448"/>
      <c r="S493" s="448"/>
      <c r="T493" s="448"/>
      <c r="U493" s="448"/>
      <c r="V493" s="448"/>
    </row>
    <row r="494">
      <c r="A494" s="257" t="s">
        <v>552</v>
      </c>
      <c r="B494" s="257" t="s">
        <v>476</v>
      </c>
      <c r="C494" s="257">
        <v>0.33</v>
      </c>
      <c r="D494" s="257">
        <v>1.84</v>
      </c>
      <c r="E494" s="592">
        <v>7.08E-10</v>
      </c>
      <c r="F494" s="592">
        <v>1.47396736812136E23</v>
      </c>
      <c r="G494" s="592">
        <v>1.6842787355688E23</v>
      </c>
      <c r="H494" s="592">
        <v>2.1079364418914E23</v>
      </c>
      <c r="I494" s="592">
        <v>1.75539418186052E23</v>
      </c>
      <c r="J494" s="592">
        <v>8.54664913982156E-11</v>
      </c>
      <c r="K494" s="592">
        <v>9.76611810946391E-11</v>
      </c>
      <c r="L494" s="592">
        <v>1.22226540203883E-10</v>
      </c>
      <c r="M494" s="592">
        <v>1.01784737565579E-10</v>
      </c>
      <c r="N494" s="448"/>
      <c r="O494" s="448"/>
      <c r="P494" s="448"/>
      <c r="Q494" s="448"/>
      <c r="R494" s="448"/>
      <c r="S494" s="448"/>
      <c r="T494" s="448"/>
      <c r="U494" s="448"/>
      <c r="V494" s="448"/>
    </row>
    <row r="495">
      <c r="A495" s="257" t="s">
        <v>559</v>
      </c>
      <c r="B495" s="257" t="s">
        <v>476</v>
      </c>
      <c r="C495" s="257">
        <v>0.46</v>
      </c>
      <c r="D495" s="257">
        <v>2.02</v>
      </c>
      <c r="E495" s="592">
        <v>8.91E-10</v>
      </c>
      <c r="F495" s="592">
        <v>8.16481643916575E23</v>
      </c>
      <c r="G495" s="592">
        <v>2.34774793403937E24</v>
      </c>
      <c r="H495" s="592">
        <v>2.50387632229312E24</v>
      </c>
      <c r="I495" s="592">
        <v>1.88936863341635E24</v>
      </c>
      <c r="J495" s="592">
        <v>3.72858533132495E-10</v>
      </c>
      <c r="K495" s="592">
        <v>1.07213414701116E-9</v>
      </c>
      <c r="L495" s="592">
        <v>1.14343250657425E-9</v>
      </c>
      <c r="M495" s="592">
        <v>8.62808395572639E-10</v>
      </c>
      <c r="N495" s="448"/>
      <c r="O495" s="448"/>
      <c r="P495" s="448"/>
      <c r="Q495" s="448"/>
      <c r="R495" s="448"/>
      <c r="S495" s="448"/>
      <c r="T495" s="448"/>
      <c r="U495" s="448"/>
      <c r="V495" s="448"/>
    </row>
    <row r="496">
      <c r="A496" s="257" t="s">
        <v>541</v>
      </c>
      <c r="B496" s="257" t="s">
        <v>476</v>
      </c>
      <c r="C496" s="257">
        <v>0.25</v>
      </c>
      <c r="D496" s="257">
        <v>1.34</v>
      </c>
      <c r="E496" s="592">
        <v>2.75E-10</v>
      </c>
      <c r="F496" s="448"/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48"/>
      <c r="R496" s="448"/>
      <c r="S496" s="448"/>
      <c r="T496" s="448"/>
      <c r="U496" s="448"/>
      <c r="V496" s="448"/>
    </row>
    <row r="497">
      <c r="A497" s="257" t="s">
        <v>576</v>
      </c>
      <c r="B497" s="257" t="s">
        <v>476</v>
      </c>
      <c r="C497" s="257">
        <v>0.74</v>
      </c>
      <c r="D497" s="257">
        <v>3.2</v>
      </c>
      <c r="E497" s="592">
        <v>5.5E-8</v>
      </c>
      <c r="F497" s="592">
        <v>3.22857111283337E25</v>
      </c>
      <c r="G497" s="592">
        <v>2.85484679662146E25</v>
      </c>
      <c r="H497" s="592">
        <v>2.54224448597868E25</v>
      </c>
      <c r="I497" s="592">
        <v>2.87522079847783E25</v>
      </c>
      <c r="J497" s="592">
        <v>1.45188673960716E-8</v>
      </c>
      <c r="K497" s="592">
        <v>1.28382311021396E-8</v>
      </c>
      <c r="L497" s="592">
        <v>1.14324601473394E-8</v>
      </c>
      <c r="M497" s="592">
        <v>1.29298528818502E-8</v>
      </c>
      <c r="N497" s="448"/>
      <c r="O497" s="448"/>
      <c r="P497" s="448"/>
      <c r="Q497" s="448"/>
      <c r="R497" s="448"/>
      <c r="S497" s="448"/>
      <c r="T497" s="448"/>
      <c r="U497" s="448"/>
      <c r="V497" s="448"/>
    </row>
    <row r="498">
      <c r="A498" s="257" t="s">
        <v>531</v>
      </c>
      <c r="B498" s="257" t="s">
        <v>476</v>
      </c>
      <c r="C498" s="257">
        <v>0.22</v>
      </c>
      <c r="D498" s="257">
        <v>0.89</v>
      </c>
      <c r="E498" s="592">
        <v>4.07E-10</v>
      </c>
      <c r="F498" s="448"/>
      <c r="G498" s="448"/>
      <c r="H498" s="448"/>
      <c r="I498" s="448"/>
      <c r="J498" s="448"/>
      <c r="K498" s="448"/>
      <c r="L498" s="448"/>
      <c r="M498" s="448"/>
      <c r="N498" s="448"/>
      <c r="O498" s="448"/>
      <c r="P498" s="448"/>
      <c r="Q498" s="448"/>
      <c r="R498" s="448"/>
      <c r="S498" s="448"/>
      <c r="T498" s="448"/>
      <c r="U498" s="448"/>
      <c r="V498" s="448"/>
    </row>
    <row r="499">
      <c r="A499" s="257" t="s">
        <v>586</v>
      </c>
      <c r="B499" s="257" t="s">
        <v>476</v>
      </c>
      <c r="C499" s="257">
        <v>1.1</v>
      </c>
      <c r="D499" s="257">
        <v>2.69</v>
      </c>
      <c r="E499" s="592">
        <v>7.94E-9</v>
      </c>
      <c r="F499" s="592">
        <v>1.0225509771176E25</v>
      </c>
      <c r="G499" s="592">
        <v>1.18928929349185E25</v>
      </c>
      <c r="H499" s="592">
        <v>1.55786480628568E25</v>
      </c>
      <c r="I499" s="592">
        <v>1.25656835896504E25</v>
      </c>
      <c r="J499" s="592">
        <v>2.60045106933164E-9</v>
      </c>
      <c r="K499" s="592">
        <v>3.02448355555177E-9</v>
      </c>
      <c r="L499" s="592">
        <v>3.96180854748118E-9</v>
      </c>
      <c r="M499" s="592">
        <v>3.19558105745487E-9</v>
      </c>
      <c r="N499" s="448"/>
      <c r="O499" s="448"/>
      <c r="P499" s="448"/>
      <c r="Q499" s="448"/>
      <c r="R499" s="448"/>
      <c r="S499" s="448"/>
      <c r="T499" s="448"/>
      <c r="U499" s="448"/>
      <c r="V499" s="448"/>
    </row>
    <row r="500">
      <c r="A500" s="257" t="s">
        <v>511</v>
      </c>
      <c r="B500" s="257" t="s">
        <v>476</v>
      </c>
      <c r="C500" s="257">
        <v>0.16</v>
      </c>
      <c r="D500" s="257">
        <v>0.17</v>
      </c>
      <c r="E500" s="592">
        <v>3.16E-12</v>
      </c>
      <c r="F500" s="448"/>
      <c r="G500" s="448"/>
      <c r="H500" s="448"/>
      <c r="I500" s="448"/>
      <c r="J500" s="448"/>
      <c r="K500" s="448"/>
      <c r="L500" s="448"/>
      <c r="M500" s="448"/>
      <c r="N500" s="448"/>
      <c r="O500" s="448"/>
      <c r="P500" s="448"/>
      <c r="Q500" s="448"/>
      <c r="R500" s="448"/>
      <c r="S500" s="448"/>
      <c r="T500" s="448"/>
      <c r="U500" s="448"/>
      <c r="V500" s="448"/>
    </row>
    <row r="501">
      <c r="A501" s="257" t="s">
        <v>562</v>
      </c>
      <c r="B501" s="257" t="s">
        <v>476</v>
      </c>
      <c r="C501" s="257">
        <v>0.46</v>
      </c>
      <c r="D501" s="257">
        <v>1.1</v>
      </c>
      <c r="E501" s="592">
        <v>1.55E-9</v>
      </c>
      <c r="F501" s="448"/>
      <c r="G501" s="448"/>
      <c r="H501" s="448"/>
      <c r="I501" s="448"/>
      <c r="J501" s="448"/>
      <c r="K501" s="448"/>
      <c r="L501" s="448"/>
      <c r="M501" s="448"/>
      <c r="N501" s="448"/>
      <c r="O501" s="448"/>
      <c r="P501" s="448"/>
      <c r="Q501" s="448"/>
      <c r="R501" s="448"/>
      <c r="S501" s="448"/>
      <c r="T501" s="448"/>
      <c r="U501" s="448"/>
      <c r="V501" s="448"/>
    </row>
    <row r="502">
      <c r="A502" s="257" t="s">
        <v>428</v>
      </c>
      <c r="B502" s="257" t="s">
        <v>306</v>
      </c>
      <c r="C502" s="257">
        <v>0.37</v>
      </c>
      <c r="D502" s="257">
        <v>0.81</v>
      </c>
      <c r="E502" s="592">
        <v>2.51E-10</v>
      </c>
      <c r="F502" s="592">
        <v>5.61932960404174E23</v>
      </c>
      <c r="G502" s="592"/>
      <c r="H502" s="592"/>
      <c r="I502" s="592">
        <v>5.61932960404174E23</v>
      </c>
      <c r="J502" s="592">
        <v>1.27929860077646E-10</v>
      </c>
      <c r="K502" s="592"/>
      <c r="L502" s="592"/>
      <c r="M502" s="592">
        <v>1.27929860077646E-10</v>
      </c>
      <c r="N502" s="448"/>
      <c r="O502" s="448"/>
      <c r="P502" s="448"/>
      <c r="Q502" s="448"/>
      <c r="R502" s="448"/>
      <c r="S502" s="448"/>
      <c r="T502" s="448"/>
      <c r="U502" s="448"/>
      <c r="V502" s="448"/>
    </row>
    <row r="503">
      <c r="A503" s="257" t="s">
        <v>420</v>
      </c>
      <c r="B503" s="257" t="s">
        <v>306</v>
      </c>
      <c r="C503" s="257">
        <v>0.29</v>
      </c>
      <c r="D503" s="257">
        <v>0.69</v>
      </c>
      <c r="E503" s="592">
        <v>7.94E-12</v>
      </c>
      <c r="F503" s="592">
        <v>2.3292378474284E22</v>
      </c>
      <c r="G503" s="592"/>
      <c r="H503" s="592"/>
      <c r="I503" s="592">
        <v>2.3292378474284E22</v>
      </c>
      <c r="J503" s="592">
        <v>5.76327117527963E-12</v>
      </c>
      <c r="K503" s="592"/>
      <c r="L503" s="592"/>
      <c r="M503" s="592">
        <v>5.76327117527963E-12</v>
      </c>
      <c r="N503" s="448"/>
      <c r="O503" s="448"/>
      <c r="P503" s="448"/>
      <c r="Q503" s="448"/>
      <c r="R503" s="448"/>
      <c r="S503" s="448"/>
      <c r="T503" s="448"/>
      <c r="U503" s="448"/>
      <c r="V503" s="448"/>
    </row>
    <row r="504">
      <c r="A504" s="257" t="s">
        <v>614</v>
      </c>
      <c r="B504" s="257" t="s">
        <v>609</v>
      </c>
      <c r="C504" s="257">
        <v>0.0229032</v>
      </c>
      <c r="D504" s="257">
        <v>0.26</v>
      </c>
      <c r="E504" s="592">
        <v>8.128E-13</v>
      </c>
      <c r="F504" s="592">
        <v>2.39506003093044E21</v>
      </c>
      <c r="G504" s="592"/>
      <c r="H504" s="592"/>
      <c r="I504" s="592">
        <v>2.39506003093044E21</v>
      </c>
      <c r="J504" s="592">
        <v>2.82746806976305E-12</v>
      </c>
      <c r="K504" s="592"/>
      <c r="L504" s="592"/>
      <c r="M504" s="592">
        <v>2.82746806976305E-12</v>
      </c>
      <c r="N504" s="448"/>
      <c r="O504" s="448"/>
      <c r="P504" s="448"/>
      <c r="Q504" s="448"/>
      <c r="R504" s="448"/>
      <c r="S504" s="448"/>
      <c r="T504" s="448"/>
      <c r="U504" s="448"/>
      <c r="V504" s="448"/>
    </row>
    <row r="505">
      <c r="A505" s="257" t="s">
        <v>356</v>
      </c>
      <c r="B505" s="257" t="s">
        <v>306</v>
      </c>
      <c r="C505" s="257">
        <v>0.09</v>
      </c>
      <c r="D505" s="257">
        <v>0.37</v>
      </c>
      <c r="E505" s="592">
        <v>6.31E-13</v>
      </c>
      <c r="F505" s="592">
        <v>1.30068710591254E22</v>
      </c>
      <c r="G505" s="592"/>
      <c r="H505" s="592"/>
      <c r="I505" s="592">
        <v>1.30068710591254E22</v>
      </c>
      <c r="J505" s="592">
        <v>5.56078588483175E-12</v>
      </c>
      <c r="K505" s="592"/>
      <c r="L505" s="592"/>
      <c r="M505" s="592">
        <v>5.56078588483175E-12</v>
      </c>
      <c r="N505" s="448"/>
      <c r="O505" s="448"/>
      <c r="P505" s="448"/>
      <c r="Q505" s="448"/>
      <c r="R505" s="448"/>
      <c r="S505" s="448"/>
      <c r="T505" s="448"/>
      <c r="U505" s="448"/>
      <c r="V505" s="448"/>
    </row>
    <row r="506">
      <c r="A506" s="257" t="s">
        <v>447</v>
      </c>
      <c r="B506" s="257" t="s">
        <v>413</v>
      </c>
      <c r="C506" s="257">
        <v>0.53</v>
      </c>
      <c r="D506" s="257">
        <v>1.74</v>
      </c>
      <c r="E506" s="592">
        <v>3.3E-9</v>
      </c>
      <c r="F506" s="448"/>
      <c r="G506" s="448"/>
      <c r="H506" s="448"/>
      <c r="I506" s="448"/>
      <c r="J506" s="448"/>
      <c r="K506" s="448"/>
      <c r="L506" s="448"/>
      <c r="M506" s="448"/>
      <c r="N506" s="448"/>
      <c r="O506" s="448"/>
      <c r="P506" s="448"/>
      <c r="Q506" s="448"/>
      <c r="R506" s="448"/>
      <c r="S506" s="448"/>
      <c r="T506" s="448"/>
      <c r="U506" s="448"/>
      <c r="V506" s="448"/>
    </row>
    <row r="507">
      <c r="A507" s="257" t="s">
        <v>447</v>
      </c>
      <c r="B507" s="257" t="s">
        <v>1479</v>
      </c>
      <c r="C507" s="257">
        <v>0.53</v>
      </c>
      <c r="D507" s="257">
        <v>1.74</v>
      </c>
      <c r="E507" s="592">
        <v>4.9E-9</v>
      </c>
      <c r="F507" s="592"/>
      <c r="G507" s="592">
        <v>1.00855667020701E25</v>
      </c>
      <c r="H507" s="592">
        <v>3.96835770309163E24</v>
      </c>
      <c r="I507" s="592">
        <v>7.02696220258091E24</v>
      </c>
      <c r="J507" s="592"/>
      <c r="K507" s="592">
        <v>3.44332335427119E-9</v>
      </c>
      <c r="L507" s="592">
        <v>1.35484094853615E-9</v>
      </c>
      <c r="M507" s="592">
        <v>2.39908215140367E-9</v>
      </c>
      <c r="N507" s="448"/>
      <c r="O507" s="448"/>
      <c r="P507" s="448"/>
      <c r="Q507" s="448"/>
      <c r="R507" s="448"/>
      <c r="S507" s="448"/>
      <c r="T507" s="448"/>
      <c r="U507" s="448"/>
      <c r="V507" s="448"/>
    </row>
    <row r="508">
      <c r="A508" s="257" t="s">
        <v>1585</v>
      </c>
      <c r="B508" s="257" t="s">
        <v>1479</v>
      </c>
      <c r="C508" s="257">
        <v>2.4</v>
      </c>
      <c r="D508" s="257">
        <v>2.39</v>
      </c>
      <c r="E508" s="592">
        <v>1.26E-7</v>
      </c>
      <c r="F508" s="592"/>
      <c r="G508" s="592"/>
      <c r="H508" s="592">
        <v>5.58194712562243E27</v>
      </c>
      <c r="I508" s="592">
        <v>5.58194712562243E27</v>
      </c>
      <c r="J508" s="592"/>
      <c r="K508" s="592"/>
      <c r="L508" s="592">
        <v>5.78064768520509E-7</v>
      </c>
      <c r="M508" s="592">
        <v>5.78064768520509E-7</v>
      </c>
      <c r="N508" s="448"/>
      <c r="O508" s="448"/>
      <c r="P508" s="448"/>
      <c r="Q508" s="448"/>
      <c r="R508" s="448"/>
      <c r="S508" s="448"/>
      <c r="T508" s="448"/>
      <c r="U508" s="448"/>
      <c r="V508" s="448"/>
    </row>
    <row r="509">
      <c r="A509" s="257" t="s">
        <v>1568</v>
      </c>
      <c r="B509" s="257" t="s">
        <v>1479</v>
      </c>
      <c r="C509" s="257">
        <v>2.1</v>
      </c>
      <c r="D509" s="257">
        <v>2.7</v>
      </c>
      <c r="E509" s="592">
        <v>4.57E-8</v>
      </c>
      <c r="F509" s="592"/>
      <c r="G509" s="592"/>
      <c r="H509" s="592">
        <v>4.79948674916023E26</v>
      </c>
      <c r="I509" s="592">
        <v>4.79948674916023E26</v>
      </c>
      <c r="J509" s="592"/>
      <c r="K509" s="592"/>
      <c r="L509" s="592">
        <v>6.41716771537834E-8</v>
      </c>
      <c r="M509" s="592">
        <v>6.41716771537834E-8</v>
      </c>
      <c r="N509" s="448"/>
      <c r="O509" s="448"/>
      <c r="P509" s="448"/>
      <c r="Q509" s="448"/>
      <c r="R509" s="448"/>
      <c r="S509" s="448"/>
      <c r="T509" s="448"/>
      <c r="U509" s="448"/>
      <c r="V509" s="448"/>
    </row>
    <row r="510">
      <c r="A510" s="257" t="s">
        <v>442</v>
      </c>
      <c r="B510" s="257" t="s">
        <v>413</v>
      </c>
      <c r="C510" s="257">
        <v>0.49</v>
      </c>
      <c r="D510" s="257">
        <v>1.99</v>
      </c>
      <c r="E510" s="592">
        <v>2.88E-8</v>
      </c>
      <c r="F510" s="448"/>
      <c r="G510" s="448"/>
      <c r="H510" s="448"/>
      <c r="I510" s="448"/>
      <c r="J510" s="448"/>
      <c r="K510" s="448"/>
      <c r="L510" s="448"/>
      <c r="M510" s="448"/>
      <c r="N510" s="448"/>
      <c r="O510" s="448"/>
      <c r="P510" s="448"/>
      <c r="Q510" s="448"/>
      <c r="R510" s="448"/>
      <c r="S510" s="448"/>
      <c r="T510" s="448"/>
      <c r="U510" s="448"/>
      <c r="V510" s="448"/>
    </row>
    <row r="511">
      <c r="A511" s="257" t="s">
        <v>574</v>
      </c>
      <c r="B511" s="257" t="s">
        <v>476</v>
      </c>
      <c r="C511" s="257">
        <v>0.57</v>
      </c>
      <c r="D511" s="257">
        <v>1.61</v>
      </c>
      <c r="E511" s="592">
        <v>7.24E-9</v>
      </c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</row>
    <row r="512">
      <c r="A512" s="257" t="s">
        <v>528</v>
      </c>
      <c r="B512" s="257" t="s">
        <v>476</v>
      </c>
      <c r="C512" s="257">
        <v>0.2</v>
      </c>
      <c r="D512" s="257">
        <v>1.12</v>
      </c>
      <c r="E512" s="592">
        <v>1.82E-10</v>
      </c>
      <c r="F512" s="448"/>
      <c r="G512" s="448"/>
      <c r="H512" s="448"/>
      <c r="I512" s="448"/>
      <c r="J512" s="448"/>
      <c r="K512" s="448"/>
      <c r="L512" s="448"/>
      <c r="M512" s="448"/>
      <c r="N512" s="448"/>
      <c r="O512" s="448"/>
      <c r="P512" s="448"/>
      <c r="Q512" s="448"/>
      <c r="R512" s="448"/>
      <c r="S512" s="448"/>
      <c r="T512" s="448"/>
      <c r="U512" s="448"/>
      <c r="V512" s="448"/>
    </row>
    <row r="513">
      <c r="A513" s="257" t="s">
        <v>1752</v>
      </c>
      <c r="B513" s="257" t="s">
        <v>702</v>
      </c>
      <c r="C513" s="257">
        <v>1.0</v>
      </c>
      <c r="D513" s="257">
        <v>1.43</v>
      </c>
      <c r="E513" s="592">
        <v>6.75999999999999E-10</v>
      </c>
      <c r="F513" s="448"/>
      <c r="G513" s="448"/>
      <c r="H513" s="448"/>
      <c r="I513" s="448"/>
      <c r="J513" s="448"/>
      <c r="K513" s="448"/>
      <c r="L513" s="448"/>
      <c r="M513" s="448"/>
      <c r="N513" s="448"/>
      <c r="O513" s="448"/>
      <c r="P513" s="448"/>
      <c r="Q513" s="448"/>
      <c r="R513" s="448"/>
      <c r="S513" s="448"/>
      <c r="T513" s="448"/>
      <c r="U513" s="448"/>
      <c r="V513" s="448"/>
    </row>
    <row r="514">
      <c r="A514" s="257" t="s">
        <v>2017</v>
      </c>
      <c r="B514" s="257" t="s">
        <v>702</v>
      </c>
      <c r="C514" s="257">
        <v>1.0</v>
      </c>
      <c r="D514" s="257">
        <v>1.74</v>
      </c>
      <c r="E514" s="448"/>
      <c r="F514" s="448"/>
      <c r="G514" s="448"/>
      <c r="H514" s="448"/>
      <c r="I514" s="448"/>
      <c r="J514" s="448"/>
      <c r="K514" s="448"/>
      <c r="L514" s="448"/>
      <c r="M514" s="448"/>
      <c r="N514" s="448"/>
      <c r="O514" s="448"/>
      <c r="P514" s="448"/>
      <c r="Q514" s="448"/>
      <c r="R514" s="448"/>
      <c r="S514" s="448"/>
      <c r="T514" s="448"/>
      <c r="U514" s="448"/>
      <c r="V514" s="448"/>
    </row>
    <row r="515">
      <c r="A515" s="257" t="s">
        <v>1957</v>
      </c>
      <c r="B515" s="257" t="s">
        <v>598</v>
      </c>
      <c r="C515" s="257">
        <v>0.35</v>
      </c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8"/>
      <c r="O515" s="448"/>
      <c r="P515" s="448"/>
      <c r="Q515" s="448"/>
      <c r="R515" s="448"/>
      <c r="S515" s="448"/>
      <c r="T515" s="448"/>
      <c r="U515" s="448"/>
      <c r="V515" s="448"/>
    </row>
    <row r="516">
      <c r="A516" s="257" t="s">
        <v>1957</v>
      </c>
      <c r="B516" s="257" t="s">
        <v>598</v>
      </c>
      <c r="C516" s="257">
        <v>0.73</v>
      </c>
      <c r="D516" s="257">
        <v>1.2</v>
      </c>
      <c r="E516" s="448"/>
      <c r="F516" s="448"/>
      <c r="G516" s="448"/>
      <c r="H516" s="448"/>
      <c r="I516" s="448"/>
      <c r="J516" s="448"/>
      <c r="K516" s="448"/>
      <c r="L516" s="448"/>
      <c r="M516" s="448"/>
      <c r="N516" s="448"/>
      <c r="O516" s="448"/>
      <c r="P516" s="448"/>
      <c r="Q516" s="448"/>
      <c r="R516" s="448"/>
      <c r="S516" s="448"/>
      <c r="T516" s="448"/>
      <c r="U516" s="448"/>
      <c r="V516" s="448"/>
    </row>
    <row r="517">
      <c r="A517" s="257" t="s">
        <v>2003</v>
      </c>
      <c r="B517" s="257" t="s">
        <v>702</v>
      </c>
      <c r="C517" s="257">
        <v>0.75</v>
      </c>
      <c r="D517" s="257">
        <v>3.18</v>
      </c>
      <c r="E517" s="448"/>
      <c r="F517" s="448"/>
      <c r="G517" s="448"/>
      <c r="H517" s="448"/>
      <c r="I517" s="448"/>
      <c r="J517" s="448"/>
      <c r="K517" s="448"/>
      <c r="L517" s="448"/>
      <c r="M517" s="448"/>
      <c r="N517" s="448"/>
      <c r="O517" s="448"/>
      <c r="P517" s="448"/>
      <c r="Q517" s="448"/>
      <c r="R517" s="448"/>
      <c r="S517" s="448"/>
      <c r="T517" s="448"/>
      <c r="U517" s="448"/>
      <c r="V517" s="448"/>
    </row>
    <row r="518">
      <c r="A518" s="257" t="s">
        <v>706</v>
      </c>
      <c r="B518" s="257" t="s">
        <v>702</v>
      </c>
      <c r="C518" s="257">
        <v>0.6</v>
      </c>
      <c r="D518" s="257">
        <v>2.27</v>
      </c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48"/>
      <c r="R518" s="448"/>
      <c r="S518" s="448"/>
      <c r="T518" s="448"/>
      <c r="U518" s="448"/>
      <c r="V518" s="448"/>
    </row>
    <row r="519">
      <c r="A519" s="257" t="s">
        <v>432</v>
      </c>
      <c r="B519" s="257" t="s">
        <v>413</v>
      </c>
      <c r="C519" s="257">
        <v>0.421</v>
      </c>
      <c r="D519" s="257">
        <v>2.6</v>
      </c>
      <c r="E519" s="592">
        <v>6.55999999999999E-8</v>
      </c>
      <c r="F519" s="448"/>
      <c r="G519" s="448"/>
      <c r="H519" s="448"/>
      <c r="I519" s="448"/>
      <c r="J519" s="448"/>
      <c r="K519" s="448"/>
      <c r="L519" s="448"/>
      <c r="M519" s="448"/>
      <c r="N519" s="448"/>
      <c r="O519" s="448"/>
      <c r="P519" s="448"/>
      <c r="Q519" s="448"/>
      <c r="R519" s="448"/>
      <c r="S519" s="448"/>
      <c r="T519" s="448"/>
      <c r="U519" s="448"/>
      <c r="V519" s="448"/>
    </row>
    <row r="520">
      <c r="A520" s="257" t="s">
        <v>1954</v>
      </c>
      <c r="B520" s="257" t="s">
        <v>598</v>
      </c>
      <c r="C520" s="257">
        <v>0.18</v>
      </c>
      <c r="D520" s="257">
        <v>1.2</v>
      </c>
      <c r="E520" s="448"/>
      <c r="F520" s="448"/>
      <c r="G520" s="448"/>
      <c r="H520" s="448"/>
      <c r="I520" s="448"/>
      <c r="J520" s="448"/>
      <c r="K520" s="448"/>
      <c r="L520" s="448"/>
      <c r="M520" s="448"/>
      <c r="N520" s="448"/>
      <c r="O520" s="448"/>
      <c r="P520" s="448"/>
      <c r="Q520" s="448"/>
      <c r="R520" s="448"/>
      <c r="S520" s="448"/>
      <c r="T520" s="448"/>
      <c r="U520" s="448"/>
      <c r="V520" s="448"/>
    </row>
    <row r="521">
      <c r="A521" s="257" t="s">
        <v>1703</v>
      </c>
      <c r="B521" s="257" t="s">
        <v>702</v>
      </c>
      <c r="C521" s="257">
        <v>0.25</v>
      </c>
      <c r="D521" s="257">
        <v>0.61</v>
      </c>
      <c r="E521" s="592">
        <v>4.27E-10</v>
      </c>
      <c r="F521" s="448"/>
      <c r="G521" s="448"/>
      <c r="H521" s="448"/>
      <c r="I521" s="448"/>
      <c r="J521" s="448"/>
      <c r="K521" s="448"/>
      <c r="L521" s="448"/>
      <c r="M521" s="448"/>
      <c r="N521" s="448"/>
      <c r="O521" s="448"/>
      <c r="P521" s="448"/>
      <c r="Q521" s="448"/>
      <c r="R521" s="448"/>
      <c r="S521" s="448"/>
      <c r="T521" s="448"/>
      <c r="U521" s="448"/>
      <c r="V521" s="448"/>
    </row>
    <row r="522">
      <c r="A522" s="257" t="s">
        <v>377</v>
      </c>
      <c r="B522" s="257" t="s">
        <v>352</v>
      </c>
      <c r="C522" s="257">
        <v>0.14</v>
      </c>
      <c r="D522" s="257">
        <v>1.02</v>
      </c>
      <c r="E522" s="592">
        <v>1.06999999999999E-10</v>
      </c>
      <c r="F522" s="592">
        <v>4.47438329122508E22</v>
      </c>
      <c r="G522" s="592">
        <v>2.48250888812955E22</v>
      </c>
      <c r="H522" s="592"/>
      <c r="I522" s="592">
        <v>3.47844608967731E22</v>
      </c>
      <c r="J522" s="592">
        <v>3.39007607518957E-11</v>
      </c>
      <c r="K522" s="592">
        <v>1.88090591268706E-11</v>
      </c>
      <c r="L522" s="592"/>
      <c r="M522" s="592">
        <v>2.63549099393831E-11</v>
      </c>
      <c r="N522" s="448"/>
      <c r="O522" s="448"/>
      <c r="P522" s="448"/>
      <c r="Q522" s="448"/>
      <c r="R522" s="448"/>
      <c r="S522" s="448"/>
      <c r="T522" s="448"/>
      <c r="U522" s="448"/>
      <c r="V522" s="448"/>
    </row>
    <row r="523">
      <c r="A523" s="257" t="s">
        <v>377</v>
      </c>
      <c r="B523" s="257" t="s">
        <v>702</v>
      </c>
      <c r="C523" s="257">
        <v>0.15</v>
      </c>
      <c r="D523" s="257">
        <v>0.92</v>
      </c>
      <c r="E523" s="592">
        <v>4.79E-10</v>
      </c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</row>
    <row r="524">
      <c r="A524" s="257" t="s">
        <v>348</v>
      </c>
      <c r="B524" s="257" t="s">
        <v>352</v>
      </c>
      <c r="C524" s="257">
        <v>0.08</v>
      </c>
      <c r="D524" s="257">
        <v>0.47</v>
      </c>
      <c r="E524" s="592">
        <v>5.37E-11</v>
      </c>
      <c r="F524" s="592">
        <v>1.43573629639907E23</v>
      </c>
      <c r="G524" s="592">
        <v>1.85970292955535E23</v>
      </c>
      <c r="H524" s="592"/>
      <c r="I524" s="592">
        <v>1.64771961297721E23</v>
      </c>
      <c r="J524" s="592">
        <v>8.77175865878755E-11</v>
      </c>
      <c r="K524" s="592">
        <v>1.13620205298239E-10</v>
      </c>
      <c r="L524" s="592"/>
      <c r="M524" s="592">
        <v>1.00668895943057E-10</v>
      </c>
      <c r="N524" s="448"/>
      <c r="O524" s="448"/>
      <c r="P524" s="448"/>
      <c r="Q524" s="448"/>
      <c r="R524" s="448"/>
      <c r="S524" s="448"/>
      <c r="T524" s="448"/>
      <c r="U524" s="448"/>
      <c r="V524" s="448"/>
    </row>
    <row r="525">
      <c r="A525" s="257" t="s">
        <v>348</v>
      </c>
      <c r="B525" s="257" t="s">
        <v>702</v>
      </c>
      <c r="C525" s="257">
        <v>0.1</v>
      </c>
      <c r="D525" s="257">
        <v>0.52</v>
      </c>
      <c r="E525" s="592">
        <v>1.2E-10</v>
      </c>
      <c r="F525" s="448"/>
      <c r="G525" s="448"/>
      <c r="H525" s="448"/>
      <c r="I525" s="448"/>
      <c r="J525" s="448"/>
      <c r="K525" s="448"/>
      <c r="L525" s="448"/>
      <c r="M525" s="448"/>
      <c r="N525" s="448"/>
      <c r="O525" s="448"/>
      <c r="P525" s="448"/>
      <c r="Q525" s="448"/>
      <c r="R525" s="448"/>
      <c r="S525" s="448"/>
      <c r="T525" s="448"/>
      <c r="U525" s="448"/>
      <c r="V525" s="448"/>
    </row>
    <row r="526">
      <c r="A526" s="257" t="s">
        <v>1644</v>
      </c>
      <c r="B526" s="257" t="s">
        <v>702</v>
      </c>
      <c r="C526" s="257">
        <v>0.09</v>
      </c>
      <c r="D526" s="257">
        <v>0.64</v>
      </c>
      <c r="E526" s="592">
        <v>9.33E-11</v>
      </c>
      <c r="F526" s="448"/>
      <c r="G526" s="448"/>
      <c r="H526" s="448"/>
      <c r="I526" s="448"/>
      <c r="J526" s="448"/>
      <c r="K526" s="448"/>
      <c r="L526" s="448"/>
      <c r="M526" s="448"/>
      <c r="N526" s="448"/>
      <c r="O526" s="448"/>
      <c r="P526" s="448"/>
      <c r="Q526" s="448"/>
      <c r="R526" s="448"/>
      <c r="S526" s="448"/>
      <c r="T526" s="448"/>
      <c r="U526" s="448"/>
      <c r="V526" s="448"/>
    </row>
    <row r="527">
      <c r="A527" s="257" t="s">
        <v>1997</v>
      </c>
      <c r="B527" s="257" t="s">
        <v>702</v>
      </c>
      <c r="C527" s="257">
        <v>1.0</v>
      </c>
      <c r="D527" s="257">
        <v>1.34</v>
      </c>
      <c r="E527" s="448"/>
      <c r="F527" s="448"/>
      <c r="G527" s="448"/>
      <c r="H527" s="448"/>
      <c r="I527" s="448"/>
      <c r="J527" s="448"/>
      <c r="K527" s="448"/>
      <c r="L527" s="448"/>
      <c r="M527" s="448"/>
      <c r="N527" s="448"/>
      <c r="O527" s="448"/>
      <c r="P527" s="448"/>
      <c r="Q527" s="448"/>
      <c r="R527" s="448"/>
      <c r="S527" s="448"/>
      <c r="T527" s="448"/>
      <c r="U527" s="448"/>
      <c r="V527" s="448"/>
    </row>
    <row r="528">
      <c r="A528" s="257" t="s">
        <v>1727</v>
      </c>
      <c r="B528" s="257" t="s">
        <v>702</v>
      </c>
      <c r="C528" s="257">
        <v>0.5</v>
      </c>
      <c r="D528" s="257">
        <v>1.49</v>
      </c>
      <c r="E528" s="592">
        <v>6.46E-10</v>
      </c>
      <c r="F528" s="448"/>
      <c r="G528" s="448"/>
      <c r="H528" s="448"/>
      <c r="I528" s="448"/>
      <c r="J528" s="448"/>
      <c r="K528" s="448"/>
      <c r="L528" s="448"/>
      <c r="M528" s="448"/>
      <c r="N528" s="448"/>
      <c r="O528" s="448"/>
      <c r="P528" s="448"/>
      <c r="Q528" s="448"/>
      <c r="R528" s="448"/>
      <c r="S528" s="448"/>
      <c r="T528" s="448"/>
      <c r="U528" s="448"/>
      <c r="V528" s="448"/>
    </row>
    <row r="529">
      <c r="A529" s="257" t="s">
        <v>1729</v>
      </c>
      <c r="B529" s="257" t="s">
        <v>702</v>
      </c>
      <c r="C529" s="257">
        <v>0.55</v>
      </c>
      <c r="D529" s="257">
        <v>1.99</v>
      </c>
      <c r="E529" s="592">
        <v>2.23999999999999E-9</v>
      </c>
      <c r="F529" s="448"/>
      <c r="G529" s="448"/>
      <c r="H529" s="448"/>
      <c r="I529" s="448"/>
      <c r="J529" s="448"/>
      <c r="K529" s="448"/>
      <c r="L529" s="448"/>
      <c r="M529" s="448"/>
      <c r="N529" s="448"/>
      <c r="O529" s="448"/>
      <c r="P529" s="448"/>
      <c r="Q529" s="448"/>
      <c r="R529" s="448"/>
      <c r="S529" s="448"/>
      <c r="T529" s="448"/>
      <c r="U529" s="448"/>
      <c r="V529" s="448"/>
    </row>
    <row r="530">
      <c r="A530" s="257" t="s">
        <v>1540</v>
      </c>
      <c r="B530" s="257" t="s">
        <v>1479</v>
      </c>
      <c r="C530" s="257">
        <v>1.5</v>
      </c>
      <c r="D530" s="257">
        <v>4.5</v>
      </c>
      <c r="E530" s="592">
        <v>7.94E-8</v>
      </c>
      <c r="F530" s="448"/>
      <c r="G530" s="448"/>
      <c r="H530" s="448"/>
      <c r="I530" s="448"/>
      <c r="J530" s="448"/>
      <c r="K530" s="448"/>
      <c r="L530" s="448"/>
      <c r="M530" s="448"/>
      <c r="N530" s="448"/>
      <c r="O530" s="448"/>
      <c r="P530" s="448"/>
      <c r="Q530" s="448"/>
      <c r="R530" s="448"/>
      <c r="S530" s="448"/>
      <c r="T530" s="448"/>
      <c r="U530" s="448"/>
      <c r="V530" s="448"/>
    </row>
    <row r="531">
      <c r="A531" s="257" t="s">
        <v>1482</v>
      </c>
      <c r="B531" s="257" t="s">
        <v>1479</v>
      </c>
      <c r="C531" s="257">
        <v>0.3</v>
      </c>
      <c r="D531" s="257">
        <v>4.15</v>
      </c>
      <c r="E531" s="592">
        <v>2.08999999999999E-7</v>
      </c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</row>
    <row r="532">
      <c r="A532" s="257" t="s">
        <v>1446</v>
      </c>
      <c r="B532" s="257" t="s">
        <v>160</v>
      </c>
      <c r="C532" s="257">
        <v>0.6309573</v>
      </c>
      <c r="D532" s="257">
        <v>3.01</v>
      </c>
      <c r="E532" s="592">
        <v>1.66E-9</v>
      </c>
      <c r="F532" s="592"/>
      <c r="G532" s="592">
        <v>1.87216541644795E24</v>
      </c>
      <c r="H532" s="592"/>
      <c r="I532" s="592">
        <v>1.87216541644795E24</v>
      </c>
      <c r="J532" s="592"/>
      <c r="K532" s="592">
        <v>9.28784305651407E-10</v>
      </c>
      <c r="L532" s="592"/>
      <c r="M532" s="592">
        <v>9.28784305651407E-10</v>
      </c>
      <c r="N532" s="448"/>
      <c r="O532" s="448"/>
      <c r="P532" s="448"/>
      <c r="Q532" s="448"/>
      <c r="R532" s="448"/>
      <c r="S532" s="448"/>
      <c r="T532" s="448"/>
      <c r="U532" s="448"/>
      <c r="V532" s="448"/>
    </row>
    <row r="533">
      <c r="A533" s="257" t="s">
        <v>1451</v>
      </c>
      <c r="B533" s="257" t="s">
        <v>160</v>
      </c>
      <c r="C533" s="257">
        <v>0.676083</v>
      </c>
      <c r="D533" s="257">
        <v>3.08</v>
      </c>
      <c r="E533" s="592">
        <v>2.45E-9</v>
      </c>
      <c r="F533" s="592"/>
      <c r="G533" s="592">
        <v>4.09616561982045E24</v>
      </c>
      <c r="H533" s="592"/>
      <c r="I533" s="592">
        <v>4.09616561982045E24</v>
      </c>
      <c r="J533" s="592"/>
      <c r="K533" s="592">
        <v>1.9405834905147E-9</v>
      </c>
      <c r="L533" s="592"/>
      <c r="M533" s="592">
        <v>1.9405834905147E-9</v>
      </c>
      <c r="N533" s="448"/>
      <c r="O533" s="448"/>
      <c r="P533" s="448"/>
      <c r="Q533" s="448"/>
      <c r="R533" s="448"/>
      <c r="S533" s="448"/>
      <c r="T533" s="448"/>
      <c r="U533" s="448"/>
      <c r="V533" s="448"/>
    </row>
    <row r="534">
      <c r="A534" s="448"/>
      <c r="B534" s="448"/>
      <c r="C534" s="448"/>
      <c r="D534" s="448"/>
      <c r="E534" s="448"/>
      <c r="F534" s="448"/>
      <c r="G534" s="448"/>
      <c r="H534" s="448"/>
      <c r="I534" s="448"/>
      <c r="J534" s="448"/>
      <c r="K534" s="448"/>
      <c r="L534" s="448"/>
      <c r="M534" s="448"/>
      <c r="N534" s="448"/>
      <c r="O534" s="448"/>
      <c r="P534" s="448"/>
      <c r="Q534" s="448"/>
      <c r="R534" s="448"/>
      <c r="S534" s="448"/>
      <c r="T534" s="448"/>
      <c r="U534" s="448"/>
      <c r="V534" s="448"/>
    </row>
    <row r="535">
      <c r="A535" s="448"/>
      <c r="B535" s="448"/>
      <c r="C535" s="448"/>
      <c r="D535" s="448"/>
      <c r="E535" s="448"/>
      <c r="F535" s="448"/>
      <c r="G535" s="448"/>
      <c r="H535" s="448"/>
      <c r="I535" s="448"/>
      <c r="J535" s="448"/>
      <c r="K535" s="448"/>
      <c r="L535" s="448"/>
      <c r="M535" s="448"/>
      <c r="N535" s="448"/>
      <c r="O535" s="448"/>
      <c r="P535" s="448"/>
      <c r="Q535" s="448"/>
      <c r="R535" s="448"/>
      <c r="S535" s="448"/>
      <c r="T535" s="448"/>
      <c r="U535" s="448"/>
      <c r="V535" s="448"/>
    </row>
    <row r="536">
      <c r="A536" s="448"/>
      <c r="B536" s="448"/>
      <c r="C536" s="448"/>
      <c r="D536" s="448"/>
      <c r="E536" s="448"/>
      <c r="F536" s="448"/>
      <c r="G536" s="448"/>
      <c r="H536" s="448"/>
      <c r="I536" s="448"/>
      <c r="J536" s="448"/>
      <c r="K536" s="448"/>
      <c r="L536" s="448"/>
      <c r="M536" s="448"/>
      <c r="N536" s="448"/>
      <c r="O536" s="448"/>
      <c r="P536" s="448"/>
      <c r="Q536" s="448"/>
      <c r="R536" s="448"/>
      <c r="S536" s="448"/>
      <c r="T536" s="448"/>
      <c r="U536" s="448"/>
      <c r="V536" s="448"/>
    </row>
    <row r="537">
      <c r="A537" s="448"/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</row>
    <row r="538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</row>
    <row r="539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8"/>
      <c r="O539" s="448"/>
      <c r="P539" s="448"/>
      <c r="Q539" s="448"/>
      <c r="R539" s="448"/>
      <c r="S539" s="448"/>
      <c r="T539" s="448"/>
      <c r="U539" s="448"/>
      <c r="V539" s="448"/>
    </row>
    <row r="540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448"/>
      <c r="O540" s="448"/>
      <c r="P540" s="448"/>
      <c r="Q540" s="448"/>
      <c r="R540" s="448"/>
      <c r="S540" s="448"/>
      <c r="T540" s="448"/>
      <c r="U540" s="448"/>
      <c r="V540" s="448"/>
    </row>
    <row r="541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448"/>
      <c r="O541" s="448"/>
      <c r="P541" s="448"/>
      <c r="Q541" s="448"/>
      <c r="R541" s="448"/>
      <c r="S541" s="448"/>
      <c r="T541" s="448"/>
      <c r="U541" s="448"/>
      <c r="V541" s="448"/>
    </row>
    <row r="54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448"/>
      <c r="O542" s="448"/>
      <c r="P542" s="448"/>
      <c r="Q542" s="448"/>
      <c r="R542" s="448"/>
      <c r="S542" s="448"/>
      <c r="T542" s="448"/>
      <c r="U542" s="448"/>
      <c r="V542" s="448"/>
    </row>
    <row r="543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448"/>
      <c r="O543" s="448"/>
      <c r="P543" s="448"/>
      <c r="Q543" s="448"/>
      <c r="R543" s="448"/>
      <c r="S543" s="448"/>
      <c r="T543" s="448"/>
      <c r="U543" s="448"/>
      <c r="V543" s="448"/>
    </row>
    <row r="544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</row>
    <row r="545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</row>
    <row r="546">
      <c r="A546" s="448"/>
      <c r="B546" s="448"/>
      <c r="C546" s="448"/>
      <c r="D546" s="448"/>
      <c r="E546" s="448"/>
      <c r="F546" s="448"/>
      <c r="G546" s="448"/>
      <c r="H546" s="448"/>
      <c r="I546" s="448"/>
      <c r="J546" s="448"/>
      <c r="K546" s="448"/>
      <c r="L546" s="448"/>
      <c r="M546" s="448"/>
      <c r="N546" s="448"/>
      <c r="O546" s="448"/>
      <c r="P546" s="448"/>
      <c r="Q546" s="448"/>
      <c r="R546" s="448"/>
      <c r="S546" s="448"/>
      <c r="T546" s="448"/>
      <c r="U546" s="448"/>
      <c r="V546" s="448"/>
    </row>
    <row r="547">
      <c r="A547" s="448"/>
      <c r="B547" s="448"/>
      <c r="C547" s="448"/>
      <c r="D547" s="448"/>
      <c r="E547" s="448"/>
      <c r="F547" s="448"/>
      <c r="G547" s="448"/>
      <c r="H547" s="448"/>
      <c r="I547" s="448"/>
      <c r="J547" s="448"/>
      <c r="K547" s="448"/>
      <c r="L547" s="448"/>
      <c r="M547" s="448"/>
      <c r="N547" s="448"/>
      <c r="O547" s="448"/>
      <c r="P547" s="448"/>
      <c r="Q547" s="448"/>
      <c r="R547" s="448"/>
      <c r="S547" s="448"/>
      <c r="T547" s="448"/>
      <c r="U547" s="448"/>
      <c r="V547" s="448"/>
    </row>
    <row r="548">
      <c r="A548" s="448"/>
      <c r="B548" s="448"/>
      <c r="C548" s="448"/>
      <c r="D548" s="448"/>
      <c r="E548" s="448"/>
      <c r="F548" s="448"/>
      <c r="G548" s="448"/>
      <c r="H548" s="448"/>
      <c r="I548" s="448"/>
      <c r="J548" s="448"/>
      <c r="K548" s="448"/>
      <c r="L548" s="448"/>
      <c r="M548" s="448"/>
      <c r="N548" s="448"/>
      <c r="O548" s="448"/>
      <c r="P548" s="448"/>
      <c r="Q548" s="448"/>
      <c r="R548" s="448"/>
      <c r="S548" s="448"/>
      <c r="T548" s="448"/>
      <c r="U548" s="448"/>
      <c r="V548" s="448"/>
    </row>
    <row r="549">
      <c r="A549" s="448"/>
      <c r="B549" s="448"/>
      <c r="C549" s="448"/>
      <c r="D549" s="448"/>
      <c r="E549" s="448"/>
      <c r="F549" s="448"/>
      <c r="G549" s="448"/>
      <c r="H549" s="448"/>
      <c r="I549" s="448"/>
      <c r="J549" s="448"/>
      <c r="K549" s="448"/>
      <c r="L549" s="448"/>
      <c r="M549" s="448"/>
      <c r="N549" s="448"/>
      <c r="O549" s="448"/>
      <c r="P549" s="448"/>
      <c r="Q549" s="448"/>
      <c r="R549" s="448"/>
      <c r="S549" s="448"/>
      <c r="T549" s="448"/>
      <c r="U549" s="448"/>
      <c r="V549" s="448"/>
    </row>
    <row r="550">
      <c r="A550" s="448"/>
      <c r="B550" s="448"/>
      <c r="C550" s="448"/>
      <c r="D550" s="448"/>
      <c r="E550" s="448"/>
      <c r="F550" s="448"/>
      <c r="G550" s="448"/>
      <c r="H550" s="448"/>
      <c r="I550" s="448"/>
      <c r="J550" s="448"/>
      <c r="K550" s="448"/>
      <c r="L550" s="448"/>
      <c r="M550" s="448"/>
      <c r="N550" s="448"/>
      <c r="O550" s="448"/>
      <c r="P550" s="448"/>
      <c r="Q550" s="448"/>
      <c r="R550" s="448"/>
      <c r="S550" s="448"/>
      <c r="T550" s="448"/>
      <c r="U550" s="448"/>
      <c r="V550" s="448"/>
    </row>
    <row r="551">
      <c r="A551" s="448"/>
      <c r="B551" s="448"/>
      <c r="C551" s="448"/>
      <c r="D551" s="448"/>
      <c r="E551" s="448"/>
      <c r="F551" s="448"/>
      <c r="G551" s="448"/>
      <c r="H551" s="448"/>
      <c r="I551" s="448"/>
      <c r="J551" s="448"/>
      <c r="K551" s="448"/>
      <c r="L551" s="448"/>
      <c r="M551" s="448"/>
      <c r="N551" s="448"/>
      <c r="O551" s="448"/>
      <c r="P551" s="448"/>
      <c r="Q551" s="448"/>
      <c r="R551" s="448"/>
      <c r="S551" s="448"/>
      <c r="T551" s="448"/>
      <c r="U551" s="448"/>
      <c r="V551" s="448"/>
    </row>
    <row r="552">
      <c r="A552" s="448"/>
      <c r="B552" s="448"/>
      <c r="C552" s="448"/>
      <c r="D552" s="448"/>
      <c r="E552" s="448"/>
      <c r="F552" s="448"/>
      <c r="G552" s="448"/>
      <c r="H552" s="448"/>
      <c r="I552" s="448"/>
      <c r="J552" s="448"/>
      <c r="K552" s="448"/>
      <c r="L552" s="448"/>
      <c r="M552" s="448"/>
      <c r="N552" s="448"/>
      <c r="O552" s="448"/>
      <c r="P552" s="448"/>
      <c r="Q552" s="448"/>
      <c r="R552" s="448"/>
      <c r="S552" s="448"/>
      <c r="T552" s="448"/>
      <c r="U552" s="448"/>
      <c r="V552" s="448"/>
    </row>
    <row r="553">
      <c r="A553" s="448"/>
      <c r="B553" s="448"/>
      <c r="C553" s="448"/>
      <c r="D553" s="448"/>
      <c r="E553" s="448"/>
      <c r="F553" s="448"/>
      <c r="G553" s="448"/>
      <c r="H553" s="448"/>
      <c r="I553" s="448"/>
      <c r="J553" s="448"/>
      <c r="K553" s="448"/>
      <c r="L553" s="448"/>
      <c r="M553" s="448"/>
      <c r="N553" s="448"/>
      <c r="O553" s="448"/>
      <c r="P553" s="448"/>
      <c r="Q553" s="448"/>
      <c r="R553" s="448"/>
      <c r="S553" s="448"/>
      <c r="T553" s="448"/>
      <c r="U553" s="448"/>
      <c r="V553" s="448"/>
    </row>
    <row r="554">
      <c r="A554" s="448"/>
      <c r="B554" s="448"/>
      <c r="C554" s="448"/>
      <c r="D554" s="448"/>
      <c r="E554" s="448"/>
      <c r="F554" s="448"/>
      <c r="G554" s="448"/>
      <c r="H554" s="448"/>
      <c r="I554" s="448"/>
      <c r="J554" s="448"/>
      <c r="K554" s="448"/>
      <c r="L554" s="448"/>
      <c r="M554" s="448"/>
      <c r="N554" s="448"/>
      <c r="O554" s="448"/>
      <c r="P554" s="448"/>
      <c r="Q554" s="448"/>
      <c r="R554" s="448"/>
      <c r="S554" s="448"/>
      <c r="T554" s="448"/>
      <c r="U554" s="448"/>
      <c r="V554" s="448"/>
    </row>
    <row r="555">
      <c r="A555" s="448"/>
      <c r="B555" s="448"/>
      <c r="C555" s="448"/>
      <c r="D555" s="448"/>
      <c r="E555" s="448"/>
      <c r="F555" s="448"/>
      <c r="G555" s="448"/>
      <c r="H555" s="448"/>
      <c r="I555" s="448"/>
      <c r="J555" s="448"/>
      <c r="K555" s="448"/>
      <c r="L555" s="448"/>
      <c r="M555" s="448"/>
      <c r="N555" s="448"/>
      <c r="O555" s="448"/>
      <c r="P555" s="448"/>
      <c r="Q555" s="448"/>
      <c r="R555" s="448"/>
      <c r="S555" s="448"/>
      <c r="T555" s="448"/>
      <c r="U555" s="448"/>
      <c r="V555" s="448"/>
    </row>
    <row r="556">
      <c r="A556" s="448"/>
      <c r="B556" s="448"/>
      <c r="C556" s="448"/>
      <c r="D556" s="448"/>
      <c r="E556" s="448"/>
      <c r="F556" s="448"/>
      <c r="G556" s="448"/>
      <c r="H556" s="448"/>
      <c r="I556" s="448"/>
      <c r="J556" s="448"/>
      <c r="K556" s="448"/>
      <c r="L556" s="448"/>
      <c r="M556" s="448"/>
      <c r="N556" s="448"/>
      <c r="O556" s="448"/>
      <c r="P556" s="448"/>
      <c r="Q556" s="448"/>
      <c r="R556" s="448"/>
      <c r="S556" s="448"/>
      <c r="T556" s="448"/>
      <c r="U556" s="448"/>
      <c r="V556" s="448"/>
    </row>
    <row r="557">
      <c r="A557" s="448"/>
      <c r="B557" s="448"/>
      <c r="C557" s="448"/>
      <c r="D557" s="448"/>
      <c r="E557" s="448"/>
      <c r="F557" s="448"/>
      <c r="G557" s="448"/>
      <c r="H557" s="448"/>
      <c r="I557" s="448"/>
      <c r="J557" s="448"/>
      <c r="K557" s="448"/>
      <c r="L557" s="448"/>
      <c r="M557" s="448"/>
      <c r="N557" s="448"/>
      <c r="O557" s="448"/>
      <c r="P557" s="448"/>
      <c r="Q557" s="448"/>
      <c r="R557" s="448"/>
      <c r="S557" s="448"/>
      <c r="T557" s="448"/>
      <c r="U557" s="448"/>
      <c r="V557" s="448"/>
    </row>
    <row r="558">
      <c r="A558" s="448"/>
      <c r="B558" s="448"/>
      <c r="C558" s="448"/>
      <c r="D558" s="448"/>
      <c r="E558" s="448"/>
      <c r="F558" s="448"/>
      <c r="G558" s="448"/>
      <c r="H558" s="448"/>
      <c r="I558" s="448"/>
      <c r="J558" s="448"/>
      <c r="K558" s="448"/>
      <c r="L558" s="448"/>
      <c r="M558" s="448"/>
      <c r="N558" s="448"/>
      <c r="O558" s="448"/>
      <c r="P558" s="448"/>
      <c r="Q558" s="448"/>
      <c r="R558" s="448"/>
      <c r="S558" s="448"/>
      <c r="T558" s="448"/>
      <c r="U558" s="448"/>
      <c r="V558" s="448"/>
    </row>
    <row r="559">
      <c r="A559" s="448"/>
      <c r="B559" s="448"/>
      <c r="C559" s="448"/>
      <c r="D559" s="448"/>
      <c r="E559" s="448"/>
      <c r="F559" s="448"/>
      <c r="G559" s="448"/>
      <c r="H559" s="448"/>
      <c r="I559" s="448"/>
      <c r="J559" s="448"/>
      <c r="K559" s="448"/>
      <c r="L559" s="448"/>
      <c r="M559" s="448"/>
      <c r="N559" s="448"/>
      <c r="O559" s="448"/>
      <c r="P559" s="448"/>
      <c r="Q559" s="448"/>
      <c r="R559" s="448"/>
      <c r="S559" s="448"/>
      <c r="T559" s="448"/>
      <c r="U559" s="448"/>
      <c r="V559" s="448"/>
    </row>
    <row r="560">
      <c r="A560" s="448"/>
      <c r="B560" s="448"/>
      <c r="C560" s="448"/>
      <c r="D560" s="448"/>
      <c r="E560" s="448"/>
      <c r="F560" s="448"/>
      <c r="G560" s="448"/>
      <c r="H560" s="448"/>
      <c r="I560" s="448"/>
      <c r="J560" s="448"/>
      <c r="K560" s="448"/>
      <c r="L560" s="448"/>
      <c r="M560" s="448"/>
      <c r="N560" s="448"/>
      <c r="O560" s="448"/>
      <c r="P560" s="448"/>
      <c r="Q560" s="448"/>
      <c r="R560" s="448"/>
      <c r="S560" s="448"/>
      <c r="T560" s="448"/>
      <c r="U560" s="448"/>
      <c r="V560" s="448"/>
    </row>
    <row r="561">
      <c r="A561" s="448"/>
      <c r="B561" s="448"/>
      <c r="C561" s="448"/>
      <c r="D561" s="448"/>
      <c r="E561" s="448"/>
      <c r="F561" s="448"/>
      <c r="G561" s="448"/>
      <c r="H561" s="448"/>
      <c r="I561" s="448"/>
      <c r="J561" s="448"/>
      <c r="K561" s="448"/>
      <c r="L561" s="448"/>
      <c r="M561" s="448"/>
      <c r="N561" s="448"/>
      <c r="O561" s="448"/>
      <c r="P561" s="448"/>
      <c r="Q561" s="448"/>
      <c r="R561" s="448"/>
      <c r="S561" s="448"/>
      <c r="T561" s="448"/>
      <c r="U561" s="448"/>
      <c r="V561" s="448"/>
    </row>
    <row r="562">
      <c r="A562" s="448"/>
      <c r="B562" s="448"/>
      <c r="C562" s="448"/>
      <c r="D562" s="448"/>
      <c r="E562" s="448"/>
      <c r="F562" s="448"/>
      <c r="G562" s="448"/>
      <c r="H562" s="448"/>
      <c r="I562" s="448"/>
      <c r="J562" s="448"/>
      <c r="K562" s="448"/>
      <c r="L562" s="448"/>
      <c r="M562" s="448"/>
      <c r="N562" s="448"/>
      <c r="O562" s="448"/>
      <c r="P562" s="448"/>
      <c r="Q562" s="448"/>
      <c r="R562" s="448"/>
      <c r="S562" s="448"/>
      <c r="T562" s="448"/>
      <c r="U562" s="448"/>
      <c r="V562" s="448"/>
    </row>
    <row r="563">
      <c r="A563" s="448"/>
      <c r="B563" s="448"/>
      <c r="C563" s="448"/>
      <c r="D563" s="448"/>
      <c r="E563" s="448"/>
      <c r="F563" s="448"/>
      <c r="G563" s="448"/>
      <c r="H563" s="448"/>
      <c r="I563" s="448"/>
      <c r="J563" s="448"/>
      <c r="K563" s="448"/>
      <c r="L563" s="448"/>
      <c r="M563" s="448"/>
      <c r="N563" s="448"/>
      <c r="O563" s="448"/>
      <c r="P563" s="448"/>
      <c r="Q563" s="448"/>
      <c r="R563" s="448"/>
      <c r="S563" s="448"/>
      <c r="T563" s="448"/>
      <c r="U563" s="448"/>
      <c r="V563" s="448"/>
    </row>
    <row r="564">
      <c r="A564" s="448"/>
      <c r="B564" s="448"/>
      <c r="C564" s="448"/>
      <c r="D564" s="448"/>
      <c r="E564" s="448"/>
      <c r="F564" s="448"/>
      <c r="G564" s="448"/>
      <c r="H564" s="448"/>
      <c r="I564" s="448"/>
      <c r="J564" s="448"/>
      <c r="K564" s="448"/>
      <c r="L564" s="448"/>
      <c r="M564" s="448"/>
      <c r="N564" s="448"/>
      <c r="O564" s="448"/>
      <c r="P564" s="448"/>
      <c r="Q564" s="448"/>
      <c r="R564" s="448"/>
      <c r="S564" s="448"/>
      <c r="T564" s="448"/>
      <c r="U564" s="448"/>
      <c r="V564" s="448"/>
    </row>
    <row r="565">
      <c r="A565" s="448"/>
      <c r="B565" s="448"/>
      <c r="C565" s="448"/>
      <c r="D565" s="448"/>
      <c r="E565" s="448"/>
      <c r="F565" s="448"/>
      <c r="G565" s="448"/>
      <c r="H565" s="448"/>
      <c r="I565" s="448"/>
      <c r="J565" s="448"/>
      <c r="K565" s="448"/>
      <c r="L565" s="448"/>
      <c r="M565" s="448"/>
      <c r="N565" s="448"/>
      <c r="O565" s="448"/>
      <c r="P565" s="448"/>
      <c r="Q565" s="448"/>
      <c r="R565" s="448"/>
      <c r="S565" s="448"/>
      <c r="T565" s="448"/>
      <c r="U565" s="448"/>
      <c r="V565" s="448"/>
    </row>
    <row r="566">
      <c r="A566" s="448"/>
      <c r="B566" s="448"/>
      <c r="C566" s="448"/>
      <c r="D566" s="448"/>
      <c r="E566" s="448"/>
      <c r="F566" s="448"/>
      <c r="G566" s="448"/>
      <c r="H566" s="448"/>
      <c r="I566" s="448"/>
      <c r="J566" s="448"/>
      <c r="K566" s="448"/>
      <c r="L566" s="448"/>
      <c r="M566" s="448"/>
      <c r="N566" s="448"/>
      <c r="O566" s="448"/>
      <c r="P566" s="448"/>
      <c r="Q566" s="448"/>
      <c r="R566" s="448"/>
      <c r="S566" s="448"/>
      <c r="T566" s="448"/>
      <c r="U566" s="448"/>
      <c r="V566" s="448"/>
    </row>
    <row r="567">
      <c r="A567" s="448"/>
      <c r="B567" s="448"/>
      <c r="C567" s="448"/>
      <c r="D567" s="448"/>
      <c r="E567" s="448"/>
      <c r="F567" s="448"/>
      <c r="G567" s="448"/>
      <c r="H567" s="448"/>
      <c r="I567" s="448"/>
      <c r="J567" s="448"/>
      <c r="K567" s="448"/>
      <c r="L567" s="448"/>
      <c r="M567" s="448"/>
      <c r="N567" s="448"/>
      <c r="O567" s="448"/>
      <c r="P567" s="448"/>
      <c r="Q567" s="448"/>
      <c r="R567" s="448"/>
      <c r="S567" s="448"/>
      <c r="T567" s="448"/>
      <c r="U567" s="448"/>
      <c r="V567" s="448"/>
    </row>
    <row r="568">
      <c r="A568" s="448"/>
      <c r="B568" s="448"/>
      <c r="C568" s="448"/>
      <c r="D568" s="448"/>
      <c r="E568" s="448"/>
      <c r="F568" s="448"/>
      <c r="G568" s="448"/>
      <c r="H568" s="448"/>
      <c r="I568" s="448"/>
      <c r="J568" s="448"/>
      <c r="K568" s="448"/>
      <c r="L568" s="448"/>
      <c r="M568" s="448"/>
      <c r="N568" s="448"/>
      <c r="O568" s="448"/>
      <c r="P568" s="448"/>
      <c r="Q568" s="448"/>
      <c r="R568" s="448"/>
      <c r="S568" s="448"/>
      <c r="T568" s="448"/>
      <c r="U568" s="448"/>
      <c r="V568" s="448"/>
    </row>
    <row r="569">
      <c r="A569" s="448"/>
      <c r="B569" s="448"/>
      <c r="C569" s="448"/>
      <c r="D569" s="448"/>
      <c r="E569" s="448"/>
      <c r="F569" s="448"/>
      <c r="G569" s="448"/>
      <c r="H569" s="448"/>
      <c r="I569" s="448"/>
      <c r="J569" s="448"/>
      <c r="K569" s="448"/>
      <c r="L569" s="448"/>
      <c r="M569" s="448"/>
      <c r="N569" s="448"/>
      <c r="O569" s="448"/>
      <c r="P569" s="448"/>
      <c r="Q569" s="448"/>
      <c r="R569" s="448"/>
      <c r="S569" s="448"/>
      <c r="T569" s="448"/>
      <c r="U569" s="448"/>
      <c r="V569" s="448"/>
    </row>
    <row r="570">
      <c r="A570" s="448"/>
      <c r="B570" s="448"/>
      <c r="C570" s="448"/>
      <c r="D570" s="448"/>
      <c r="E570" s="448"/>
      <c r="F570" s="448"/>
      <c r="G570" s="448"/>
      <c r="H570" s="448"/>
      <c r="I570" s="448"/>
      <c r="J570" s="448"/>
      <c r="K570" s="448"/>
      <c r="L570" s="448"/>
      <c r="M570" s="448"/>
      <c r="N570" s="448"/>
      <c r="O570" s="448"/>
      <c r="P570" s="448"/>
      <c r="Q570" s="448"/>
      <c r="R570" s="448"/>
      <c r="S570" s="448"/>
      <c r="T570" s="448"/>
      <c r="U570" s="448"/>
      <c r="V570" s="448"/>
    </row>
    <row r="571">
      <c r="A571" s="448"/>
      <c r="B571" s="448"/>
      <c r="C571" s="448"/>
      <c r="D571" s="448"/>
      <c r="E571" s="448"/>
      <c r="F571" s="448"/>
      <c r="G571" s="448"/>
      <c r="H571" s="448"/>
      <c r="I571" s="448"/>
      <c r="J571" s="448"/>
      <c r="K571" s="448"/>
      <c r="L571" s="448"/>
      <c r="M571" s="448"/>
      <c r="N571" s="448"/>
      <c r="O571" s="448"/>
      <c r="P571" s="448"/>
      <c r="Q571" s="448"/>
      <c r="R571" s="448"/>
      <c r="S571" s="448"/>
      <c r="T571" s="448"/>
      <c r="U571" s="448"/>
      <c r="V571" s="448"/>
    </row>
    <row r="572">
      <c r="A572" s="448"/>
      <c r="B572" s="448"/>
      <c r="C572" s="448"/>
      <c r="D572" s="448"/>
      <c r="E572" s="448"/>
      <c r="F572" s="448"/>
      <c r="G572" s="448"/>
      <c r="H572" s="448"/>
      <c r="I572" s="448"/>
      <c r="J572" s="448"/>
      <c r="K572" s="448"/>
      <c r="L572" s="448"/>
      <c r="M572" s="448"/>
      <c r="N572" s="448"/>
      <c r="O572" s="448"/>
      <c r="P572" s="448"/>
      <c r="Q572" s="448"/>
      <c r="R572" s="448"/>
      <c r="S572" s="448"/>
      <c r="T572" s="448"/>
      <c r="U572" s="448"/>
      <c r="V572" s="448"/>
    </row>
    <row r="573">
      <c r="A573" s="448"/>
      <c r="B573" s="448"/>
      <c r="C573" s="448"/>
      <c r="D573" s="448"/>
      <c r="E573" s="448"/>
      <c r="F573" s="448"/>
      <c r="G573" s="448"/>
      <c r="H573" s="448"/>
      <c r="I573" s="448"/>
      <c r="J573" s="448"/>
      <c r="K573" s="448"/>
      <c r="L573" s="448"/>
      <c r="M573" s="448"/>
      <c r="N573" s="448"/>
      <c r="O573" s="448"/>
      <c r="P573" s="448"/>
      <c r="Q573" s="448"/>
      <c r="R573" s="448"/>
      <c r="S573" s="448"/>
      <c r="T573" s="448"/>
      <c r="U573" s="448"/>
      <c r="V573" s="448"/>
    </row>
    <row r="574">
      <c r="A574" s="448"/>
      <c r="B574" s="448"/>
      <c r="C574" s="448"/>
      <c r="D574" s="448"/>
      <c r="E574" s="448"/>
      <c r="F574" s="448"/>
      <c r="G574" s="448"/>
      <c r="H574" s="448"/>
      <c r="I574" s="448"/>
      <c r="J574" s="448"/>
      <c r="K574" s="448"/>
      <c r="L574" s="448"/>
      <c r="M574" s="448"/>
      <c r="N574" s="448"/>
      <c r="O574" s="448"/>
      <c r="P574" s="448"/>
      <c r="Q574" s="448"/>
      <c r="R574" s="448"/>
      <c r="S574" s="448"/>
      <c r="T574" s="448"/>
      <c r="U574" s="448"/>
      <c r="V574" s="448"/>
    </row>
    <row r="575">
      <c r="A575" s="448"/>
      <c r="B575" s="448"/>
      <c r="C575" s="448"/>
      <c r="D575" s="448"/>
      <c r="E575" s="448"/>
      <c r="F575" s="448"/>
      <c r="G575" s="448"/>
      <c r="H575" s="448"/>
      <c r="I575" s="448"/>
      <c r="J575" s="448"/>
      <c r="K575" s="448"/>
      <c r="L575" s="448"/>
      <c r="M575" s="448"/>
      <c r="N575" s="448"/>
      <c r="O575" s="448"/>
      <c r="P575" s="448"/>
      <c r="Q575" s="448"/>
      <c r="R575" s="448"/>
      <c r="S575" s="448"/>
      <c r="T575" s="448"/>
      <c r="U575" s="448"/>
      <c r="V575" s="448"/>
    </row>
    <row r="576">
      <c r="A576" s="448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48"/>
      <c r="M576" s="448"/>
      <c r="N576" s="448"/>
      <c r="O576" s="448"/>
      <c r="P576" s="448"/>
      <c r="Q576" s="448"/>
      <c r="R576" s="448"/>
      <c r="S576" s="448"/>
      <c r="T576" s="448"/>
      <c r="U576" s="448"/>
      <c r="V576" s="448"/>
    </row>
    <row r="577">
      <c r="A577" s="448"/>
      <c r="B577" s="448"/>
      <c r="C577" s="448"/>
      <c r="D577" s="448"/>
      <c r="E577" s="448"/>
      <c r="F577" s="448"/>
      <c r="G577" s="448"/>
      <c r="H577" s="448"/>
      <c r="I577" s="448"/>
      <c r="J577" s="448"/>
      <c r="K577" s="448"/>
      <c r="L577" s="448"/>
      <c r="M577" s="448"/>
      <c r="N577" s="448"/>
      <c r="O577" s="448"/>
      <c r="P577" s="448"/>
      <c r="Q577" s="448"/>
      <c r="R577" s="448"/>
      <c r="S577" s="448"/>
      <c r="T577" s="448"/>
      <c r="U577" s="448"/>
      <c r="V577" s="448"/>
    </row>
    <row r="578">
      <c r="A578" s="448"/>
      <c r="B578" s="448"/>
      <c r="C578" s="448"/>
      <c r="D578" s="448"/>
      <c r="E578" s="448"/>
      <c r="F578" s="448"/>
      <c r="G578" s="448"/>
      <c r="H578" s="448"/>
      <c r="I578" s="448"/>
      <c r="J578" s="448"/>
      <c r="K578" s="448"/>
      <c r="L578" s="448"/>
      <c r="M578" s="448"/>
      <c r="N578" s="448"/>
      <c r="O578" s="448"/>
      <c r="P578" s="448"/>
      <c r="Q578" s="448"/>
      <c r="R578" s="448"/>
      <c r="S578" s="448"/>
      <c r="T578" s="448"/>
      <c r="U578" s="448"/>
      <c r="V578" s="448"/>
    </row>
    <row r="579">
      <c r="A579" s="448"/>
      <c r="B579" s="448"/>
      <c r="C579" s="448"/>
      <c r="D579" s="448"/>
      <c r="E579" s="448"/>
      <c r="F579" s="448"/>
      <c r="G579" s="448"/>
      <c r="H579" s="448"/>
      <c r="I579" s="448"/>
      <c r="J579" s="448"/>
      <c r="K579" s="448"/>
      <c r="L579" s="448"/>
      <c r="M579" s="448"/>
      <c r="N579" s="448"/>
      <c r="O579" s="448"/>
      <c r="P579" s="448"/>
      <c r="Q579" s="448"/>
      <c r="R579" s="448"/>
      <c r="S579" s="448"/>
      <c r="T579" s="448"/>
      <c r="U579" s="448"/>
      <c r="V579" s="448"/>
    </row>
    <row r="580">
      <c r="A580" s="448"/>
      <c r="B580" s="448"/>
      <c r="C580" s="448"/>
      <c r="D580" s="448"/>
      <c r="E580" s="448"/>
      <c r="F580" s="448"/>
      <c r="G580" s="448"/>
      <c r="H580" s="448"/>
      <c r="I580" s="448"/>
      <c r="J580" s="448"/>
      <c r="K580" s="448"/>
      <c r="L580" s="448"/>
      <c r="M580" s="448"/>
      <c r="N580" s="448"/>
      <c r="O580" s="448"/>
      <c r="P580" s="448"/>
      <c r="Q580" s="448"/>
      <c r="R580" s="448"/>
      <c r="S580" s="448"/>
      <c r="T580" s="448"/>
      <c r="U580" s="448"/>
      <c r="V580" s="448"/>
    </row>
    <row r="581">
      <c r="A581" s="448"/>
      <c r="B581" s="448"/>
      <c r="C581" s="448"/>
      <c r="D581" s="448"/>
      <c r="E581" s="448"/>
      <c r="F581" s="448"/>
      <c r="G581" s="448"/>
      <c r="H581" s="448"/>
      <c r="I581" s="448"/>
      <c r="J581" s="448"/>
      <c r="K581" s="448"/>
      <c r="L581" s="448"/>
      <c r="M581" s="448"/>
      <c r="N581" s="448"/>
      <c r="O581" s="448"/>
      <c r="P581" s="448"/>
      <c r="Q581" s="448"/>
      <c r="R581" s="448"/>
      <c r="S581" s="448"/>
      <c r="T581" s="448"/>
      <c r="U581" s="448"/>
      <c r="V581" s="448"/>
    </row>
    <row r="582">
      <c r="A582" s="448"/>
      <c r="B582" s="448"/>
      <c r="C582" s="448"/>
      <c r="D582" s="448"/>
      <c r="E582" s="448"/>
      <c r="F582" s="448"/>
      <c r="G582" s="448"/>
      <c r="H582" s="448"/>
      <c r="I582" s="448"/>
      <c r="J582" s="448"/>
      <c r="K582" s="448"/>
      <c r="L582" s="448"/>
      <c r="M582" s="448"/>
      <c r="N582" s="448"/>
      <c r="O582" s="448"/>
      <c r="P582" s="448"/>
      <c r="Q582" s="448"/>
      <c r="R582" s="448"/>
      <c r="S582" s="448"/>
      <c r="T582" s="448"/>
      <c r="U582" s="448"/>
      <c r="V582" s="448"/>
    </row>
    <row r="583">
      <c r="A583" s="448"/>
      <c r="B583" s="448"/>
      <c r="C583" s="448"/>
      <c r="D583" s="448"/>
      <c r="E583" s="448"/>
      <c r="F583" s="448"/>
      <c r="G583" s="448"/>
      <c r="H583" s="448"/>
      <c r="I583" s="448"/>
      <c r="J583" s="448"/>
      <c r="K583" s="448"/>
      <c r="L583" s="448"/>
      <c r="M583" s="448"/>
      <c r="N583" s="448"/>
      <c r="O583" s="448"/>
      <c r="P583" s="448"/>
      <c r="Q583" s="448"/>
      <c r="R583" s="448"/>
      <c r="S583" s="448"/>
      <c r="T583" s="448"/>
      <c r="U583" s="448"/>
      <c r="V583" s="448"/>
    </row>
    <row r="584">
      <c r="A584" s="4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  <c r="V584" s="448"/>
    </row>
    <row r="585">
      <c r="A585" s="448"/>
      <c r="B585" s="448"/>
      <c r="C585" s="448"/>
      <c r="D585" s="448"/>
      <c r="E585" s="448"/>
      <c r="F585" s="448"/>
      <c r="G585" s="448"/>
      <c r="H585" s="448"/>
      <c r="I585" s="448"/>
      <c r="J585" s="448"/>
      <c r="K585" s="448"/>
      <c r="L585" s="448"/>
      <c r="M585" s="448"/>
      <c r="N585" s="448"/>
      <c r="O585" s="448"/>
      <c r="P585" s="448"/>
      <c r="Q585" s="448"/>
      <c r="R585" s="448"/>
      <c r="S585" s="448"/>
      <c r="T585" s="448"/>
      <c r="U585" s="448"/>
      <c r="V585" s="448"/>
    </row>
    <row r="586">
      <c r="A586" s="448"/>
      <c r="B586" s="448"/>
      <c r="C586" s="448"/>
      <c r="D586" s="448"/>
      <c r="E586" s="448"/>
      <c r="F586" s="448"/>
      <c r="G586" s="448"/>
      <c r="H586" s="448"/>
      <c r="I586" s="448"/>
      <c r="J586" s="448"/>
      <c r="K586" s="448"/>
      <c r="L586" s="448"/>
      <c r="M586" s="448"/>
      <c r="N586" s="448"/>
      <c r="O586" s="448"/>
      <c r="P586" s="448"/>
      <c r="Q586" s="448"/>
      <c r="R586" s="448"/>
      <c r="S586" s="448"/>
      <c r="T586" s="448"/>
      <c r="U586" s="448"/>
      <c r="V586" s="448"/>
    </row>
    <row r="587">
      <c r="A587" s="448"/>
      <c r="B587" s="448"/>
      <c r="C587" s="448"/>
      <c r="D587" s="448"/>
      <c r="E587" s="448"/>
      <c r="F587" s="448"/>
      <c r="G587" s="448"/>
      <c r="H587" s="448"/>
      <c r="I587" s="448"/>
      <c r="J587" s="448"/>
      <c r="K587" s="448"/>
      <c r="L587" s="448"/>
      <c r="M587" s="448"/>
      <c r="N587" s="448"/>
      <c r="O587" s="448"/>
      <c r="P587" s="448"/>
      <c r="Q587" s="448"/>
      <c r="R587" s="448"/>
      <c r="S587" s="448"/>
      <c r="T587" s="448"/>
      <c r="U587" s="448"/>
      <c r="V587" s="448"/>
    </row>
    <row r="588">
      <c r="A588" s="448"/>
      <c r="B588" s="448"/>
      <c r="C588" s="448"/>
      <c r="D588" s="448"/>
      <c r="E588" s="448"/>
      <c r="F588" s="448"/>
      <c r="G588" s="448"/>
      <c r="H588" s="448"/>
      <c r="I588" s="448"/>
      <c r="J588" s="448"/>
      <c r="K588" s="448"/>
      <c r="L588" s="448"/>
      <c r="M588" s="448"/>
      <c r="N588" s="448"/>
      <c r="O588" s="448"/>
      <c r="P588" s="448"/>
      <c r="Q588" s="448"/>
      <c r="R588" s="448"/>
      <c r="S588" s="448"/>
      <c r="T588" s="448"/>
      <c r="U588" s="448"/>
      <c r="V588" s="448"/>
    </row>
    <row r="589">
      <c r="A589" s="448"/>
      <c r="B589" s="448"/>
      <c r="C589" s="448"/>
      <c r="D589" s="448"/>
      <c r="E589" s="448"/>
      <c r="F589" s="448"/>
      <c r="G589" s="448"/>
      <c r="H589" s="448"/>
      <c r="I589" s="448"/>
      <c r="J589" s="448"/>
      <c r="K589" s="448"/>
      <c r="L589" s="448"/>
      <c r="M589" s="448"/>
      <c r="N589" s="448"/>
      <c r="O589" s="448"/>
      <c r="P589" s="448"/>
      <c r="Q589" s="448"/>
      <c r="R589" s="448"/>
      <c r="S589" s="448"/>
      <c r="T589" s="448"/>
      <c r="U589" s="448"/>
      <c r="V589" s="448"/>
    </row>
    <row r="590">
      <c r="A590" s="448"/>
      <c r="B590" s="448"/>
      <c r="C590" s="448"/>
      <c r="D590" s="448"/>
      <c r="E590" s="448"/>
      <c r="F590" s="448"/>
      <c r="G590" s="448"/>
      <c r="H590" s="448"/>
      <c r="I590" s="448"/>
      <c r="J590" s="448"/>
      <c r="K590" s="448"/>
      <c r="L590" s="448"/>
      <c r="M590" s="448"/>
      <c r="N590" s="448"/>
      <c r="O590" s="448"/>
      <c r="P590" s="448"/>
      <c r="Q590" s="448"/>
      <c r="R590" s="448"/>
      <c r="S590" s="448"/>
      <c r="T590" s="448"/>
      <c r="U590" s="448"/>
      <c r="V590" s="448"/>
    </row>
    <row r="591">
      <c r="A591" s="448"/>
      <c r="B591" s="448"/>
      <c r="C591" s="448"/>
      <c r="D591" s="448"/>
      <c r="E591" s="448"/>
      <c r="F591" s="448"/>
      <c r="G591" s="448"/>
      <c r="H591" s="448"/>
      <c r="I591" s="448"/>
      <c r="J591" s="448"/>
      <c r="K591" s="448"/>
      <c r="L591" s="448"/>
      <c r="M591" s="448"/>
      <c r="N591" s="448"/>
      <c r="O591" s="448"/>
      <c r="P591" s="448"/>
      <c r="Q591" s="448"/>
      <c r="R591" s="448"/>
      <c r="S591" s="448"/>
      <c r="T591" s="448"/>
      <c r="U591" s="448"/>
      <c r="V591" s="448"/>
    </row>
    <row r="592">
      <c r="A592" s="448"/>
      <c r="B592" s="448"/>
      <c r="C592" s="448"/>
      <c r="D592" s="448"/>
      <c r="E592" s="448"/>
      <c r="F592" s="448"/>
      <c r="G592" s="448"/>
      <c r="H592" s="448"/>
      <c r="I592" s="448"/>
      <c r="J592" s="448"/>
      <c r="K592" s="448"/>
      <c r="L592" s="448"/>
      <c r="M592" s="448"/>
      <c r="N592" s="448"/>
      <c r="O592" s="448"/>
      <c r="P592" s="448"/>
      <c r="Q592" s="448"/>
      <c r="R592" s="448"/>
      <c r="S592" s="448"/>
      <c r="T592" s="448"/>
      <c r="U592" s="448"/>
      <c r="V592" s="448"/>
    </row>
    <row r="593">
      <c r="A593" s="448"/>
      <c r="B593" s="448"/>
      <c r="C593" s="448"/>
      <c r="D593" s="448"/>
      <c r="E593" s="448"/>
      <c r="F593" s="448"/>
      <c r="G593" s="448"/>
      <c r="H593" s="448"/>
      <c r="I593" s="448"/>
      <c r="J593" s="448"/>
      <c r="K593" s="448"/>
      <c r="L593" s="448"/>
      <c r="M593" s="448"/>
      <c r="N593" s="448"/>
      <c r="O593" s="448"/>
      <c r="P593" s="448"/>
      <c r="Q593" s="448"/>
      <c r="R593" s="448"/>
      <c r="S593" s="448"/>
      <c r="T593" s="448"/>
      <c r="U593" s="448"/>
      <c r="V593" s="448"/>
    </row>
    <row r="594">
      <c r="A594" s="448"/>
      <c r="B594" s="448"/>
      <c r="C594" s="448"/>
      <c r="D594" s="448"/>
      <c r="E594" s="448"/>
      <c r="F594" s="448"/>
      <c r="G594" s="448"/>
      <c r="H594" s="448"/>
      <c r="I594" s="448"/>
      <c r="J594" s="448"/>
      <c r="K594" s="448"/>
      <c r="L594" s="448"/>
      <c r="M594" s="448"/>
      <c r="N594" s="448"/>
      <c r="O594" s="448"/>
      <c r="P594" s="448"/>
      <c r="Q594" s="448"/>
      <c r="R594" s="448"/>
      <c r="S594" s="448"/>
      <c r="T594" s="448"/>
      <c r="U594" s="448"/>
      <c r="V594" s="448"/>
    </row>
    <row r="595">
      <c r="A595" s="448"/>
      <c r="B595" s="448"/>
      <c r="C595" s="448"/>
      <c r="D595" s="448"/>
      <c r="E595" s="448"/>
      <c r="F595" s="448"/>
      <c r="G595" s="448"/>
      <c r="H595" s="448"/>
      <c r="I595" s="448"/>
      <c r="J595" s="448"/>
      <c r="K595" s="448"/>
      <c r="L595" s="448"/>
      <c r="M595" s="448"/>
      <c r="N595" s="448"/>
      <c r="O595" s="448"/>
      <c r="P595" s="448"/>
      <c r="Q595" s="448"/>
      <c r="R595" s="448"/>
      <c r="S595" s="448"/>
      <c r="T595" s="448"/>
      <c r="U595" s="448"/>
      <c r="V595" s="448"/>
    </row>
    <row r="596">
      <c r="A596" s="448"/>
      <c r="B596" s="448"/>
      <c r="C596" s="448"/>
      <c r="D596" s="448"/>
      <c r="E596" s="448"/>
      <c r="F596" s="448"/>
      <c r="G596" s="448"/>
      <c r="H596" s="448"/>
      <c r="I596" s="448"/>
      <c r="J596" s="448"/>
      <c r="K596" s="448"/>
      <c r="L596" s="448"/>
      <c r="M596" s="448"/>
      <c r="N596" s="448"/>
      <c r="O596" s="448"/>
      <c r="P596" s="448"/>
      <c r="Q596" s="448"/>
      <c r="R596" s="448"/>
      <c r="S596" s="448"/>
      <c r="T596" s="448"/>
      <c r="U596" s="448"/>
      <c r="V596" s="448"/>
    </row>
    <row r="597">
      <c r="A597" s="448"/>
      <c r="B597" s="448"/>
      <c r="C597" s="448"/>
      <c r="D597" s="448"/>
      <c r="E597" s="448"/>
      <c r="F597" s="448"/>
      <c r="G597" s="448"/>
      <c r="H597" s="448"/>
      <c r="I597" s="448"/>
      <c r="J597" s="448"/>
      <c r="K597" s="448"/>
      <c r="L597" s="448"/>
      <c r="M597" s="448"/>
      <c r="N597" s="448"/>
      <c r="O597" s="448"/>
      <c r="P597" s="448"/>
      <c r="Q597" s="448"/>
      <c r="R597" s="448"/>
      <c r="S597" s="448"/>
      <c r="T597" s="448"/>
      <c r="U597" s="448"/>
      <c r="V597" s="448"/>
    </row>
    <row r="598">
      <c r="A598" s="448"/>
      <c r="B598" s="448"/>
      <c r="C598" s="448"/>
      <c r="D598" s="448"/>
      <c r="E598" s="448"/>
      <c r="F598" s="448"/>
      <c r="G598" s="448"/>
      <c r="H598" s="448"/>
      <c r="I598" s="448"/>
      <c r="J598" s="448"/>
      <c r="K598" s="448"/>
      <c r="L598" s="448"/>
      <c r="M598" s="448"/>
      <c r="N598" s="448"/>
      <c r="O598" s="448"/>
      <c r="P598" s="448"/>
      <c r="Q598" s="448"/>
      <c r="R598" s="448"/>
      <c r="S598" s="448"/>
      <c r="T598" s="448"/>
      <c r="U598" s="448"/>
      <c r="V598" s="448"/>
    </row>
    <row r="599">
      <c r="A599" s="448"/>
      <c r="B599" s="448"/>
      <c r="C599" s="448"/>
      <c r="D599" s="448"/>
      <c r="E599" s="448"/>
      <c r="F599" s="448"/>
      <c r="G599" s="448"/>
      <c r="H599" s="448"/>
      <c r="I599" s="448"/>
      <c r="J599" s="448"/>
      <c r="K599" s="448"/>
      <c r="L599" s="448"/>
      <c r="M599" s="448"/>
      <c r="N599" s="448"/>
      <c r="O599" s="448"/>
      <c r="P599" s="448"/>
      <c r="Q599" s="448"/>
      <c r="R599" s="448"/>
      <c r="S599" s="448"/>
      <c r="T599" s="448"/>
      <c r="U599" s="448"/>
      <c r="V599" s="448"/>
    </row>
    <row r="600">
      <c r="A600" s="448"/>
      <c r="B600" s="448"/>
      <c r="C600" s="448"/>
      <c r="D600" s="448"/>
      <c r="E600" s="448"/>
      <c r="F600" s="448"/>
      <c r="G600" s="448"/>
      <c r="H600" s="448"/>
      <c r="I600" s="448"/>
      <c r="J600" s="448"/>
      <c r="K600" s="448"/>
      <c r="L600" s="448"/>
      <c r="M600" s="448"/>
      <c r="N600" s="448"/>
      <c r="O600" s="448"/>
      <c r="P600" s="448"/>
      <c r="Q600" s="448"/>
      <c r="R600" s="448"/>
      <c r="S600" s="448"/>
      <c r="T600" s="448"/>
      <c r="U600" s="448"/>
      <c r="V600" s="448"/>
    </row>
    <row r="601">
      <c r="A601" s="448"/>
      <c r="B601" s="448"/>
      <c r="C601" s="448"/>
      <c r="D601" s="448"/>
      <c r="E601" s="448"/>
      <c r="F601" s="448"/>
      <c r="G601" s="448"/>
      <c r="H601" s="448"/>
      <c r="I601" s="448"/>
      <c r="J601" s="448"/>
      <c r="K601" s="448"/>
      <c r="L601" s="448"/>
      <c r="M601" s="448"/>
      <c r="N601" s="448"/>
      <c r="O601" s="448"/>
      <c r="P601" s="448"/>
      <c r="Q601" s="448"/>
      <c r="R601" s="448"/>
      <c r="S601" s="448"/>
      <c r="T601" s="448"/>
      <c r="U601" s="448"/>
      <c r="V601" s="448"/>
    </row>
    <row r="602">
      <c r="A602" s="448"/>
      <c r="B602" s="448"/>
      <c r="C602" s="448"/>
      <c r="D602" s="448"/>
      <c r="E602" s="448"/>
      <c r="F602" s="448"/>
      <c r="G602" s="448"/>
      <c r="H602" s="448"/>
      <c r="I602" s="448"/>
      <c r="J602" s="448"/>
      <c r="K602" s="448"/>
      <c r="L602" s="448"/>
      <c r="M602" s="448"/>
      <c r="N602" s="448"/>
      <c r="O602" s="448"/>
      <c r="P602" s="448"/>
      <c r="Q602" s="448"/>
      <c r="R602" s="448"/>
      <c r="S602" s="448"/>
      <c r="T602" s="448"/>
      <c r="U602" s="448"/>
      <c r="V602" s="448"/>
    </row>
    <row r="603">
      <c r="A603" s="448"/>
      <c r="B603" s="448"/>
      <c r="C603" s="448"/>
      <c r="D603" s="448"/>
      <c r="E603" s="448"/>
      <c r="F603" s="448"/>
      <c r="G603" s="448"/>
      <c r="H603" s="448"/>
      <c r="I603" s="448"/>
      <c r="J603" s="448"/>
      <c r="K603" s="448"/>
      <c r="L603" s="448"/>
      <c r="M603" s="448"/>
      <c r="N603" s="448"/>
      <c r="O603" s="448"/>
      <c r="P603" s="448"/>
      <c r="Q603" s="448"/>
      <c r="R603" s="448"/>
      <c r="S603" s="448"/>
      <c r="T603" s="448"/>
      <c r="U603" s="448"/>
      <c r="V603" s="448"/>
    </row>
    <row r="604">
      <c r="A604" s="448"/>
      <c r="B604" s="448"/>
      <c r="C604" s="448"/>
      <c r="D604" s="448"/>
      <c r="E604" s="448"/>
      <c r="F604" s="448"/>
      <c r="G604" s="448"/>
      <c r="H604" s="448"/>
      <c r="I604" s="448"/>
      <c r="J604" s="448"/>
      <c r="K604" s="448"/>
      <c r="L604" s="448"/>
      <c r="M604" s="448"/>
      <c r="N604" s="448"/>
      <c r="O604" s="448"/>
      <c r="P604" s="448"/>
      <c r="Q604" s="448"/>
      <c r="R604" s="448"/>
      <c r="S604" s="448"/>
      <c r="T604" s="448"/>
      <c r="U604" s="448"/>
      <c r="V604" s="448"/>
    </row>
    <row r="605">
      <c r="A605" s="448"/>
      <c r="B605" s="448"/>
      <c r="C605" s="448"/>
      <c r="D605" s="448"/>
      <c r="E605" s="448"/>
      <c r="F605" s="448"/>
      <c r="G605" s="448"/>
      <c r="H605" s="448"/>
      <c r="I605" s="448"/>
      <c r="J605" s="448"/>
      <c r="K605" s="448"/>
      <c r="L605" s="448"/>
      <c r="M605" s="448"/>
      <c r="N605" s="448"/>
      <c r="O605" s="448"/>
      <c r="P605" s="448"/>
      <c r="Q605" s="448"/>
      <c r="R605" s="448"/>
      <c r="S605" s="448"/>
      <c r="T605" s="448"/>
      <c r="U605" s="448"/>
      <c r="V605" s="448"/>
    </row>
    <row r="606">
      <c r="A606" s="448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48"/>
      <c r="M606" s="448"/>
      <c r="N606" s="448"/>
      <c r="O606" s="448"/>
      <c r="P606" s="448"/>
      <c r="Q606" s="448"/>
      <c r="R606" s="448"/>
      <c r="S606" s="448"/>
      <c r="T606" s="448"/>
      <c r="U606" s="448"/>
      <c r="V606" s="448"/>
    </row>
    <row r="607">
      <c r="A607" s="448"/>
      <c r="B607" s="448"/>
      <c r="C607" s="448"/>
      <c r="D607" s="448"/>
      <c r="E607" s="448"/>
      <c r="F607" s="448"/>
      <c r="G607" s="448"/>
      <c r="H607" s="448"/>
      <c r="I607" s="448"/>
      <c r="J607" s="448"/>
      <c r="K607" s="448"/>
      <c r="L607" s="448"/>
      <c r="M607" s="448"/>
      <c r="N607" s="448"/>
      <c r="O607" s="448"/>
      <c r="P607" s="448"/>
      <c r="Q607" s="448"/>
      <c r="R607" s="448"/>
      <c r="S607" s="448"/>
      <c r="T607" s="448"/>
      <c r="U607" s="448"/>
      <c r="V607" s="448"/>
    </row>
    <row r="608">
      <c r="A608" s="448"/>
      <c r="B608" s="448"/>
      <c r="C608" s="448"/>
      <c r="D608" s="448"/>
      <c r="E608" s="448"/>
      <c r="F608" s="448"/>
      <c r="G608" s="448"/>
      <c r="H608" s="448"/>
      <c r="I608" s="448"/>
      <c r="J608" s="448"/>
      <c r="K608" s="448"/>
      <c r="L608" s="448"/>
      <c r="M608" s="448"/>
      <c r="N608" s="448"/>
      <c r="O608" s="448"/>
      <c r="P608" s="448"/>
      <c r="Q608" s="448"/>
      <c r="R608" s="448"/>
      <c r="S608" s="448"/>
      <c r="T608" s="448"/>
      <c r="U608" s="448"/>
      <c r="V608" s="448"/>
    </row>
    <row r="609">
      <c r="A609" s="448"/>
      <c r="B609" s="448"/>
      <c r="C609" s="448"/>
      <c r="D609" s="448"/>
      <c r="E609" s="448"/>
      <c r="F609" s="448"/>
      <c r="G609" s="448"/>
      <c r="H609" s="448"/>
      <c r="I609" s="448"/>
      <c r="J609" s="448"/>
      <c r="K609" s="448"/>
      <c r="L609" s="448"/>
      <c r="M609" s="448"/>
      <c r="N609" s="448"/>
      <c r="O609" s="448"/>
      <c r="P609" s="448"/>
      <c r="Q609" s="448"/>
      <c r="R609" s="448"/>
      <c r="S609" s="448"/>
      <c r="T609" s="448"/>
      <c r="U609" s="448"/>
      <c r="V609" s="448"/>
    </row>
    <row r="610">
      <c r="A610" s="448"/>
      <c r="B610" s="448"/>
      <c r="C610" s="448"/>
      <c r="D610" s="448"/>
      <c r="E610" s="448"/>
      <c r="F610" s="448"/>
      <c r="G610" s="448"/>
      <c r="H610" s="448"/>
      <c r="I610" s="448"/>
      <c r="J610" s="448"/>
      <c r="K610" s="448"/>
      <c r="L610" s="448"/>
      <c r="M610" s="448"/>
      <c r="N610" s="448"/>
      <c r="O610" s="448"/>
      <c r="P610" s="448"/>
      <c r="Q610" s="448"/>
      <c r="R610" s="448"/>
      <c r="S610" s="448"/>
      <c r="T610" s="448"/>
      <c r="U610" s="448"/>
      <c r="V610" s="448"/>
    </row>
    <row r="611">
      <c r="A611" s="448"/>
      <c r="B611" s="448"/>
      <c r="C611" s="448"/>
      <c r="D611" s="448"/>
      <c r="E611" s="448"/>
      <c r="F611" s="448"/>
      <c r="G611" s="448"/>
      <c r="H611" s="448"/>
      <c r="I611" s="448"/>
      <c r="J611" s="448"/>
      <c r="K611" s="448"/>
      <c r="L611" s="448"/>
      <c r="M611" s="448"/>
      <c r="N611" s="448"/>
      <c r="O611" s="448"/>
      <c r="P611" s="448"/>
      <c r="Q611" s="448"/>
      <c r="R611" s="448"/>
      <c r="S611" s="448"/>
      <c r="T611" s="448"/>
      <c r="U611" s="448"/>
      <c r="V611" s="448"/>
    </row>
    <row r="612">
      <c r="A612" s="448"/>
      <c r="B612" s="448"/>
      <c r="C612" s="448"/>
      <c r="D612" s="448"/>
      <c r="E612" s="448"/>
      <c r="F612" s="448"/>
      <c r="G612" s="448"/>
      <c r="H612" s="448"/>
      <c r="I612" s="448"/>
      <c r="J612" s="448"/>
      <c r="K612" s="448"/>
      <c r="L612" s="448"/>
      <c r="M612" s="448"/>
      <c r="N612" s="448"/>
      <c r="O612" s="448"/>
      <c r="P612" s="448"/>
      <c r="Q612" s="448"/>
      <c r="R612" s="448"/>
      <c r="S612" s="448"/>
      <c r="T612" s="448"/>
      <c r="U612" s="448"/>
      <c r="V612" s="448"/>
    </row>
    <row r="613">
      <c r="A613" s="448"/>
      <c r="B613" s="448"/>
      <c r="C613" s="448"/>
      <c r="D613" s="448"/>
      <c r="E613" s="448"/>
      <c r="F613" s="448"/>
      <c r="G613" s="448"/>
      <c r="H613" s="448"/>
      <c r="I613" s="448"/>
      <c r="J613" s="448"/>
      <c r="K613" s="448"/>
      <c r="L613" s="448"/>
      <c r="M613" s="448"/>
      <c r="N613" s="448"/>
      <c r="O613" s="448"/>
      <c r="P613" s="448"/>
      <c r="Q613" s="448"/>
      <c r="R613" s="448"/>
      <c r="S613" s="448"/>
      <c r="T613" s="448"/>
      <c r="U613" s="448"/>
      <c r="V613" s="448"/>
    </row>
    <row r="614">
      <c r="A614" s="448"/>
      <c r="B614" s="448"/>
      <c r="C614" s="448"/>
      <c r="D614" s="448"/>
      <c r="E614" s="448"/>
      <c r="F614" s="448"/>
      <c r="G614" s="448"/>
      <c r="H614" s="448"/>
      <c r="I614" s="448"/>
      <c r="J614" s="448"/>
      <c r="K614" s="448"/>
      <c r="L614" s="448"/>
      <c r="M614" s="448"/>
      <c r="N614" s="448"/>
      <c r="O614" s="448"/>
      <c r="P614" s="448"/>
      <c r="Q614" s="448"/>
      <c r="R614" s="448"/>
      <c r="S614" s="448"/>
      <c r="T614" s="448"/>
      <c r="U614" s="448"/>
      <c r="V614" s="448"/>
    </row>
    <row r="615">
      <c r="A615" s="448"/>
      <c r="B615" s="448"/>
      <c r="C615" s="448"/>
      <c r="D615" s="448"/>
      <c r="E615" s="448"/>
      <c r="F615" s="448"/>
      <c r="G615" s="448"/>
      <c r="H615" s="448"/>
      <c r="I615" s="448"/>
      <c r="J615" s="448"/>
      <c r="K615" s="448"/>
      <c r="L615" s="448"/>
      <c r="M615" s="448"/>
      <c r="N615" s="448"/>
      <c r="O615" s="448"/>
      <c r="P615" s="448"/>
      <c r="Q615" s="448"/>
      <c r="R615" s="448"/>
      <c r="S615" s="448"/>
      <c r="T615" s="448"/>
      <c r="U615" s="448"/>
      <c r="V615" s="448"/>
    </row>
    <row r="616">
      <c r="A616" s="448"/>
      <c r="B616" s="448"/>
      <c r="C616" s="448"/>
      <c r="D616" s="448"/>
      <c r="E616" s="448"/>
      <c r="F616" s="448"/>
      <c r="G616" s="448"/>
      <c r="H616" s="448"/>
      <c r="I616" s="448"/>
      <c r="J616" s="448"/>
      <c r="K616" s="448"/>
      <c r="L616" s="448"/>
      <c r="M616" s="448"/>
      <c r="N616" s="448"/>
      <c r="O616" s="448"/>
      <c r="P616" s="448"/>
      <c r="Q616" s="448"/>
      <c r="R616" s="448"/>
      <c r="S616" s="448"/>
      <c r="T616" s="448"/>
      <c r="U616" s="448"/>
      <c r="V616" s="448"/>
    </row>
    <row r="617">
      <c r="A617" s="448"/>
      <c r="B617" s="448"/>
      <c r="C617" s="448"/>
      <c r="D617" s="448"/>
      <c r="E617" s="448"/>
      <c r="F617" s="448"/>
      <c r="G617" s="448"/>
      <c r="H617" s="448"/>
      <c r="I617" s="448"/>
      <c r="J617" s="448"/>
      <c r="K617" s="448"/>
      <c r="L617" s="448"/>
      <c r="M617" s="448"/>
      <c r="N617" s="448"/>
      <c r="O617" s="448"/>
      <c r="P617" s="448"/>
      <c r="Q617" s="448"/>
      <c r="R617" s="448"/>
      <c r="S617" s="448"/>
      <c r="T617" s="448"/>
      <c r="U617" s="448"/>
      <c r="V617" s="448"/>
    </row>
    <row r="618">
      <c r="A618" s="448"/>
      <c r="B618" s="448"/>
      <c r="C618" s="448"/>
      <c r="D618" s="448"/>
      <c r="E618" s="448"/>
      <c r="F618" s="448"/>
      <c r="G618" s="448"/>
      <c r="H618" s="448"/>
      <c r="I618" s="448"/>
      <c r="J618" s="448"/>
      <c r="K618" s="448"/>
      <c r="L618" s="448"/>
      <c r="M618" s="448"/>
      <c r="N618" s="448"/>
      <c r="O618" s="448"/>
      <c r="P618" s="448"/>
      <c r="Q618" s="448"/>
      <c r="R618" s="448"/>
      <c r="S618" s="448"/>
      <c r="T618" s="448"/>
      <c r="U618" s="448"/>
      <c r="V618" s="448"/>
    </row>
    <row r="619">
      <c r="A619" s="448"/>
      <c r="B619" s="448"/>
      <c r="C619" s="448"/>
      <c r="D619" s="448"/>
      <c r="E619" s="448"/>
      <c r="F619" s="448"/>
      <c r="G619" s="448"/>
      <c r="H619" s="448"/>
      <c r="I619" s="448"/>
      <c r="J619" s="448"/>
      <c r="K619" s="448"/>
      <c r="L619" s="448"/>
      <c r="M619" s="448"/>
      <c r="N619" s="448"/>
      <c r="O619" s="448"/>
      <c r="P619" s="448"/>
      <c r="Q619" s="448"/>
      <c r="R619" s="448"/>
      <c r="S619" s="448"/>
      <c r="T619" s="448"/>
      <c r="U619" s="448"/>
      <c r="V619" s="448"/>
    </row>
    <row r="620">
      <c r="A620" s="448"/>
      <c r="B620" s="448"/>
      <c r="C620" s="448"/>
      <c r="D620" s="448"/>
      <c r="E620" s="448"/>
      <c r="F620" s="448"/>
      <c r="G620" s="448"/>
      <c r="H620" s="448"/>
      <c r="I620" s="448"/>
      <c r="J620" s="448"/>
      <c r="K620" s="448"/>
      <c r="L620" s="448"/>
      <c r="M620" s="448"/>
      <c r="N620" s="448"/>
      <c r="O620" s="448"/>
      <c r="P620" s="448"/>
      <c r="Q620" s="448"/>
      <c r="R620" s="448"/>
      <c r="S620" s="448"/>
      <c r="T620" s="448"/>
      <c r="U620" s="448"/>
      <c r="V620" s="448"/>
    </row>
    <row r="621">
      <c r="A621" s="448"/>
      <c r="B621" s="448"/>
      <c r="C621" s="448"/>
      <c r="D621" s="448"/>
      <c r="E621" s="448"/>
      <c r="F621" s="448"/>
      <c r="G621" s="448"/>
      <c r="H621" s="448"/>
      <c r="I621" s="448"/>
      <c r="J621" s="448"/>
      <c r="K621" s="448"/>
      <c r="L621" s="448"/>
      <c r="M621" s="448"/>
      <c r="N621" s="448"/>
      <c r="O621" s="448"/>
      <c r="P621" s="448"/>
      <c r="Q621" s="448"/>
      <c r="R621" s="448"/>
      <c r="S621" s="448"/>
      <c r="T621" s="448"/>
      <c r="U621" s="448"/>
      <c r="V621" s="448"/>
    </row>
    <row r="622">
      <c r="A622" s="448"/>
      <c r="B622" s="448"/>
      <c r="C622" s="448"/>
      <c r="D622" s="448"/>
      <c r="E622" s="448"/>
      <c r="F622" s="448"/>
      <c r="G622" s="448"/>
      <c r="H622" s="448"/>
      <c r="I622" s="448"/>
      <c r="J622" s="448"/>
      <c r="K622" s="448"/>
      <c r="L622" s="448"/>
      <c r="M622" s="448"/>
      <c r="N622" s="448"/>
      <c r="O622" s="448"/>
      <c r="P622" s="448"/>
      <c r="Q622" s="448"/>
      <c r="R622" s="448"/>
      <c r="S622" s="448"/>
      <c r="T622" s="448"/>
      <c r="U622" s="448"/>
      <c r="V622" s="448"/>
    </row>
    <row r="623">
      <c r="A623" s="448"/>
      <c r="B623" s="448"/>
      <c r="C623" s="448"/>
      <c r="D623" s="448"/>
      <c r="E623" s="448"/>
      <c r="F623" s="448"/>
      <c r="G623" s="448"/>
      <c r="H623" s="448"/>
      <c r="I623" s="448"/>
      <c r="J623" s="448"/>
      <c r="K623" s="448"/>
      <c r="L623" s="448"/>
      <c r="M623" s="448"/>
      <c r="N623" s="448"/>
      <c r="O623" s="448"/>
      <c r="P623" s="448"/>
      <c r="Q623" s="448"/>
      <c r="R623" s="448"/>
      <c r="S623" s="448"/>
      <c r="T623" s="448"/>
      <c r="U623" s="448"/>
      <c r="V623" s="448"/>
    </row>
    <row r="624">
      <c r="A624" s="448"/>
      <c r="B624" s="448"/>
      <c r="C624" s="448"/>
      <c r="D624" s="448"/>
      <c r="E624" s="448"/>
      <c r="F624" s="448"/>
      <c r="G624" s="448"/>
      <c r="H624" s="448"/>
      <c r="I624" s="448"/>
      <c r="J624" s="448"/>
      <c r="K624" s="448"/>
      <c r="L624" s="448"/>
      <c r="M624" s="448"/>
      <c r="N624" s="448"/>
      <c r="O624" s="448"/>
      <c r="P624" s="448"/>
      <c r="Q624" s="448"/>
      <c r="R624" s="448"/>
      <c r="S624" s="448"/>
      <c r="T624" s="448"/>
      <c r="U624" s="448"/>
      <c r="V624" s="448"/>
    </row>
    <row r="625">
      <c r="A625" s="448"/>
      <c r="B625" s="448"/>
      <c r="C625" s="448"/>
      <c r="D625" s="448"/>
      <c r="E625" s="448"/>
      <c r="F625" s="448"/>
      <c r="G625" s="448"/>
      <c r="H625" s="448"/>
      <c r="I625" s="448"/>
      <c r="J625" s="448"/>
      <c r="K625" s="448"/>
      <c r="L625" s="448"/>
      <c r="M625" s="448"/>
      <c r="N625" s="448"/>
      <c r="O625" s="448"/>
      <c r="P625" s="448"/>
      <c r="Q625" s="448"/>
      <c r="R625" s="448"/>
      <c r="S625" s="448"/>
      <c r="T625" s="448"/>
      <c r="U625" s="448"/>
      <c r="V625" s="448"/>
    </row>
    <row r="626">
      <c r="A626" s="448"/>
      <c r="B626" s="448"/>
      <c r="C626" s="448"/>
      <c r="D626" s="448"/>
      <c r="E626" s="448"/>
      <c r="F626" s="448"/>
      <c r="G626" s="448"/>
      <c r="H626" s="448"/>
      <c r="I626" s="448"/>
      <c r="J626" s="448"/>
      <c r="K626" s="448"/>
      <c r="L626" s="448"/>
      <c r="M626" s="448"/>
      <c r="N626" s="448"/>
      <c r="O626" s="448"/>
      <c r="P626" s="448"/>
      <c r="Q626" s="448"/>
      <c r="R626" s="448"/>
      <c r="S626" s="448"/>
      <c r="T626" s="448"/>
      <c r="U626" s="448"/>
      <c r="V626" s="448"/>
    </row>
    <row r="627">
      <c r="A627" s="448"/>
      <c r="B627" s="448"/>
      <c r="C627" s="448"/>
      <c r="D627" s="448"/>
      <c r="E627" s="448"/>
      <c r="F627" s="448"/>
      <c r="G627" s="448"/>
      <c r="H627" s="448"/>
      <c r="I627" s="448"/>
      <c r="J627" s="448"/>
      <c r="K627" s="448"/>
      <c r="L627" s="448"/>
      <c r="M627" s="448"/>
      <c r="N627" s="448"/>
      <c r="O627" s="448"/>
      <c r="P627" s="448"/>
      <c r="Q627" s="448"/>
      <c r="R627" s="448"/>
      <c r="S627" s="448"/>
      <c r="T627" s="448"/>
      <c r="U627" s="448"/>
      <c r="V627" s="448"/>
    </row>
    <row r="628">
      <c r="A628" s="448"/>
      <c r="B628" s="448"/>
      <c r="C628" s="448"/>
      <c r="D628" s="448"/>
      <c r="E628" s="448"/>
      <c r="F628" s="448"/>
      <c r="G628" s="448"/>
      <c r="H628" s="448"/>
      <c r="I628" s="448"/>
      <c r="J628" s="448"/>
      <c r="K628" s="448"/>
      <c r="L628" s="448"/>
      <c r="M628" s="448"/>
      <c r="N628" s="448"/>
      <c r="O628" s="448"/>
      <c r="P628" s="448"/>
      <c r="Q628" s="448"/>
      <c r="R628" s="448"/>
      <c r="S628" s="448"/>
      <c r="T628" s="448"/>
      <c r="U628" s="448"/>
      <c r="V628" s="448"/>
    </row>
    <row r="629">
      <c r="A629" s="448"/>
      <c r="B629" s="448"/>
      <c r="C629" s="448"/>
      <c r="D629" s="448"/>
      <c r="E629" s="448"/>
      <c r="F629" s="448"/>
      <c r="G629" s="448"/>
      <c r="H629" s="448"/>
      <c r="I629" s="448"/>
      <c r="J629" s="448"/>
      <c r="K629" s="448"/>
      <c r="L629" s="448"/>
      <c r="M629" s="448"/>
      <c r="N629" s="448"/>
      <c r="O629" s="448"/>
      <c r="P629" s="448"/>
      <c r="Q629" s="448"/>
      <c r="R629" s="448"/>
      <c r="S629" s="448"/>
      <c r="T629" s="448"/>
      <c r="U629" s="448"/>
      <c r="V629" s="448"/>
    </row>
    <row r="630">
      <c r="A630" s="448"/>
      <c r="B630" s="448"/>
      <c r="C630" s="448"/>
      <c r="D630" s="448"/>
      <c r="E630" s="448"/>
      <c r="F630" s="448"/>
      <c r="G630" s="448"/>
      <c r="H630" s="448"/>
      <c r="I630" s="448"/>
      <c r="J630" s="448"/>
      <c r="K630" s="448"/>
      <c r="L630" s="448"/>
      <c r="M630" s="448"/>
      <c r="N630" s="448"/>
      <c r="O630" s="448"/>
      <c r="P630" s="448"/>
      <c r="Q630" s="448"/>
      <c r="R630" s="448"/>
      <c r="S630" s="448"/>
      <c r="T630" s="448"/>
      <c r="U630" s="448"/>
      <c r="V630" s="448"/>
    </row>
    <row r="631">
      <c r="A631" s="448"/>
      <c r="B631" s="448"/>
      <c r="C631" s="448"/>
      <c r="D631" s="448"/>
      <c r="E631" s="448"/>
      <c r="F631" s="448"/>
      <c r="G631" s="448"/>
      <c r="H631" s="448"/>
      <c r="I631" s="448"/>
      <c r="J631" s="448"/>
      <c r="K631" s="448"/>
      <c r="L631" s="448"/>
      <c r="M631" s="448"/>
      <c r="N631" s="448"/>
      <c r="O631" s="448"/>
      <c r="P631" s="448"/>
      <c r="Q631" s="448"/>
      <c r="R631" s="448"/>
      <c r="S631" s="448"/>
      <c r="T631" s="448"/>
      <c r="U631" s="448"/>
      <c r="V631" s="448"/>
    </row>
    <row r="632">
      <c r="A632" s="448"/>
      <c r="B632" s="448"/>
      <c r="C632" s="448"/>
      <c r="D632" s="448"/>
      <c r="E632" s="448"/>
      <c r="F632" s="448"/>
      <c r="G632" s="448"/>
      <c r="H632" s="448"/>
      <c r="I632" s="448"/>
      <c r="J632" s="448"/>
      <c r="K632" s="448"/>
      <c r="L632" s="448"/>
      <c r="M632" s="448"/>
      <c r="N632" s="448"/>
      <c r="O632" s="448"/>
      <c r="P632" s="448"/>
      <c r="Q632" s="448"/>
      <c r="R632" s="448"/>
      <c r="S632" s="448"/>
      <c r="T632" s="448"/>
      <c r="U632" s="448"/>
      <c r="V632" s="448"/>
    </row>
    <row r="633">
      <c r="A633" s="448"/>
      <c r="B633" s="448"/>
      <c r="C633" s="448"/>
      <c r="D633" s="448"/>
      <c r="E633" s="448"/>
      <c r="F633" s="448"/>
      <c r="G633" s="448"/>
      <c r="H633" s="448"/>
      <c r="I633" s="448"/>
      <c r="J633" s="448"/>
      <c r="K633" s="448"/>
      <c r="L633" s="448"/>
      <c r="M633" s="448"/>
      <c r="N633" s="448"/>
      <c r="O633" s="448"/>
      <c r="P633" s="448"/>
      <c r="Q633" s="448"/>
      <c r="R633" s="448"/>
      <c r="S633" s="448"/>
      <c r="T633" s="448"/>
      <c r="U633" s="448"/>
      <c r="V633" s="448"/>
    </row>
    <row r="634">
      <c r="A634" s="448"/>
      <c r="B634" s="448"/>
      <c r="C634" s="448"/>
      <c r="D634" s="448"/>
      <c r="E634" s="448"/>
      <c r="F634" s="448"/>
      <c r="G634" s="448"/>
      <c r="H634" s="448"/>
      <c r="I634" s="448"/>
      <c r="J634" s="448"/>
      <c r="K634" s="448"/>
      <c r="L634" s="448"/>
      <c r="M634" s="448"/>
      <c r="N634" s="448"/>
      <c r="O634" s="448"/>
      <c r="P634" s="448"/>
      <c r="Q634" s="448"/>
      <c r="R634" s="448"/>
      <c r="S634" s="448"/>
      <c r="T634" s="448"/>
      <c r="U634" s="448"/>
      <c r="V634" s="448"/>
    </row>
    <row r="635">
      <c r="A635" s="448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48"/>
      <c r="M635" s="448"/>
      <c r="N635" s="448"/>
      <c r="O635" s="448"/>
      <c r="P635" s="448"/>
      <c r="Q635" s="448"/>
      <c r="R635" s="448"/>
      <c r="S635" s="448"/>
      <c r="T635" s="448"/>
      <c r="U635" s="448"/>
      <c r="V635" s="448"/>
    </row>
    <row r="636">
      <c r="A636" s="448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48"/>
      <c r="M636" s="448"/>
      <c r="N636" s="448"/>
      <c r="O636" s="448"/>
      <c r="P636" s="448"/>
      <c r="Q636" s="448"/>
      <c r="R636" s="448"/>
      <c r="S636" s="448"/>
      <c r="T636" s="448"/>
      <c r="U636" s="448"/>
      <c r="V636" s="448"/>
    </row>
    <row r="637">
      <c r="A637" s="448"/>
      <c r="B637" s="448"/>
      <c r="C637" s="448"/>
      <c r="D637" s="448"/>
      <c r="E637" s="448"/>
      <c r="F637" s="448"/>
      <c r="G637" s="448"/>
      <c r="H637" s="448"/>
      <c r="I637" s="448"/>
      <c r="J637" s="448"/>
      <c r="K637" s="448"/>
      <c r="L637" s="448"/>
      <c r="M637" s="448"/>
      <c r="N637" s="448"/>
      <c r="O637" s="448"/>
      <c r="P637" s="448"/>
      <c r="Q637" s="448"/>
      <c r="R637" s="448"/>
      <c r="S637" s="448"/>
      <c r="T637" s="448"/>
      <c r="U637" s="448"/>
      <c r="V637" s="448"/>
    </row>
    <row r="638">
      <c r="A638" s="448"/>
      <c r="B638" s="448"/>
      <c r="C638" s="448"/>
      <c r="D638" s="448"/>
      <c r="E638" s="448"/>
      <c r="F638" s="448"/>
      <c r="G638" s="448"/>
      <c r="H638" s="448"/>
      <c r="I638" s="448"/>
      <c r="J638" s="448"/>
      <c r="K638" s="448"/>
      <c r="L638" s="448"/>
      <c r="M638" s="448"/>
      <c r="N638" s="448"/>
      <c r="O638" s="448"/>
      <c r="P638" s="448"/>
      <c r="Q638" s="448"/>
      <c r="R638" s="448"/>
      <c r="S638" s="448"/>
      <c r="T638" s="448"/>
      <c r="U638" s="448"/>
      <c r="V638" s="448"/>
    </row>
    <row r="639">
      <c r="A639" s="448"/>
      <c r="B639" s="448"/>
      <c r="C639" s="448"/>
      <c r="D639" s="448"/>
      <c r="E639" s="448"/>
      <c r="F639" s="448"/>
      <c r="G639" s="448"/>
      <c r="H639" s="448"/>
      <c r="I639" s="448"/>
      <c r="J639" s="448"/>
      <c r="K639" s="448"/>
      <c r="L639" s="448"/>
      <c r="M639" s="448"/>
      <c r="N639" s="448"/>
      <c r="O639" s="448"/>
      <c r="P639" s="448"/>
      <c r="Q639" s="448"/>
      <c r="R639" s="448"/>
      <c r="S639" s="448"/>
      <c r="T639" s="448"/>
      <c r="U639" s="448"/>
      <c r="V639" s="448"/>
    </row>
    <row r="640">
      <c r="A640" s="448"/>
      <c r="B640" s="448"/>
      <c r="C640" s="448"/>
      <c r="D640" s="448"/>
      <c r="E640" s="448"/>
      <c r="F640" s="448"/>
      <c r="G640" s="448"/>
      <c r="H640" s="448"/>
      <c r="I640" s="448"/>
      <c r="J640" s="448"/>
      <c r="K640" s="448"/>
      <c r="L640" s="448"/>
      <c r="M640" s="448"/>
      <c r="N640" s="448"/>
      <c r="O640" s="448"/>
      <c r="P640" s="448"/>
      <c r="Q640" s="448"/>
      <c r="R640" s="448"/>
      <c r="S640" s="448"/>
      <c r="T640" s="448"/>
      <c r="U640" s="448"/>
      <c r="V640" s="448"/>
    </row>
    <row r="641">
      <c r="A641" s="448"/>
      <c r="B641" s="448"/>
      <c r="C641" s="448"/>
      <c r="D641" s="448"/>
      <c r="E641" s="448"/>
      <c r="F641" s="448"/>
      <c r="G641" s="448"/>
      <c r="H641" s="448"/>
      <c r="I641" s="448"/>
      <c r="J641" s="448"/>
      <c r="K641" s="448"/>
      <c r="L641" s="448"/>
      <c r="M641" s="448"/>
      <c r="N641" s="448"/>
      <c r="O641" s="448"/>
      <c r="P641" s="448"/>
      <c r="Q641" s="448"/>
      <c r="R641" s="448"/>
      <c r="S641" s="448"/>
      <c r="T641" s="448"/>
      <c r="U641" s="448"/>
      <c r="V641" s="448"/>
    </row>
    <row r="642">
      <c r="A642" s="448"/>
      <c r="B642" s="448"/>
      <c r="C642" s="448"/>
      <c r="D642" s="448"/>
      <c r="E642" s="448"/>
      <c r="F642" s="448"/>
      <c r="G642" s="448"/>
      <c r="H642" s="448"/>
      <c r="I642" s="448"/>
      <c r="J642" s="448"/>
      <c r="K642" s="448"/>
      <c r="L642" s="448"/>
      <c r="M642" s="448"/>
      <c r="N642" s="448"/>
      <c r="O642" s="448"/>
      <c r="P642" s="448"/>
      <c r="Q642" s="448"/>
      <c r="R642" s="448"/>
      <c r="S642" s="448"/>
      <c r="T642" s="448"/>
      <c r="U642" s="448"/>
      <c r="V642" s="448"/>
    </row>
    <row r="643">
      <c r="A643" s="448"/>
      <c r="B643" s="448"/>
      <c r="C643" s="448"/>
      <c r="D643" s="448"/>
      <c r="E643" s="448"/>
      <c r="F643" s="448"/>
      <c r="G643" s="448"/>
      <c r="H643" s="448"/>
      <c r="I643" s="448"/>
      <c r="J643" s="448"/>
      <c r="K643" s="448"/>
      <c r="L643" s="448"/>
      <c r="M643" s="448"/>
      <c r="N643" s="448"/>
      <c r="O643" s="448"/>
      <c r="P643" s="448"/>
      <c r="Q643" s="448"/>
      <c r="R643" s="448"/>
      <c r="S643" s="448"/>
      <c r="T643" s="448"/>
      <c r="U643" s="448"/>
      <c r="V643" s="448"/>
    </row>
    <row r="644">
      <c r="A644" s="448"/>
      <c r="B644" s="448"/>
      <c r="C644" s="448"/>
      <c r="D644" s="448"/>
      <c r="E644" s="448"/>
      <c r="F644" s="448"/>
      <c r="G644" s="448"/>
      <c r="H644" s="448"/>
      <c r="I644" s="448"/>
      <c r="J644" s="448"/>
      <c r="K644" s="448"/>
      <c r="L644" s="448"/>
      <c r="M644" s="448"/>
      <c r="N644" s="448"/>
      <c r="O644" s="448"/>
      <c r="P644" s="448"/>
      <c r="Q644" s="448"/>
      <c r="R644" s="448"/>
      <c r="S644" s="448"/>
      <c r="T644" s="448"/>
      <c r="U644" s="448"/>
      <c r="V644" s="448"/>
    </row>
    <row r="645">
      <c r="A645" s="448"/>
      <c r="B645" s="448"/>
      <c r="C645" s="448"/>
      <c r="D645" s="448"/>
      <c r="E645" s="448"/>
      <c r="F645" s="448"/>
      <c r="G645" s="448"/>
      <c r="H645" s="448"/>
      <c r="I645" s="448"/>
      <c r="J645" s="448"/>
      <c r="K645" s="448"/>
      <c r="L645" s="448"/>
      <c r="M645" s="448"/>
      <c r="N645" s="448"/>
      <c r="O645" s="448"/>
      <c r="P645" s="448"/>
      <c r="Q645" s="448"/>
      <c r="R645" s="448"/>
      <c r="S645" s="448"/>
      <c r="T645" s="448"/>
      <c r="U645" s="448"/>
      <c r="V645" s="448"/>
    </row>
    <row r="646">
      <c r="A646" s="448"/>
      <c r="B646" s="448"/>
      <c r="C646" s="448"/>
      <c r="D646" s="448"/>
      <c r="E646" s="448"/>
      <c r="F646" s="448"/>
      <c r="G646" s="448"/>
      <c r="H646" s="448"/>
      <c r="I646" s="448"/>
      <c r="J646" s="448"/>
      <c r="K646" s="448"/>
      <c r="L646" s="448"/>
      <c r="M646" s="448"/>
      <c r="N646" s="448"/>
      <c r="O646" s="448"/>
      <c r="P646" s="448"/>
      <c r="Q646" s="448"/>
      <c r="R646" s="448"/>
      <c r="S646" s="448"/>
      <c r="T646" s="448"/>
      <c r="U646" s="448"/>
      <c r="V646" s="448"/>
    </row>
    <row r="647">
      <c r="A647" s="448"/>
      <c r="B647" s="448"/>
      <c r="C647" s="448"/>
      <c r="D647" s="448"/>
      <c r="E647" s="448"/>
      <c r="F647" s="448"/>
      <c r="G647" s="448"/>
      <c r="H647" s="448"/>
      <c r="I647" s="448"/>
      <c r="J647" s="448"/>
      <c r="K647" s="448"/>
      <c r="L647" s="448"/>
      <c r="M647" s="448"/>
      <c r="N647" s="448"/>
      <c r="O647" s="448"/>
      <c r="P647" s="448"/>
      <c r="Q647" s="448"/>
      <c r="R647" s="448"/>
      <c r="S647" s="448"/>
      <c r="T647" s="448"/>
      <c r="U647" s="448"/>
      <c r="V647" s="448"/>
    </row>
    <row r="648">
      <c r="A648" s="448"/>
      <c r="B648" s="448"/>
      <c r="C648" s="448"/>
      <c r="D648" s="448"/>
      <c r="E648" s="448"/>
      <c r="F648" s="448"/>
      <c r="G648" s="448"/>
      <c r="H648" s="448"/>
      <c r="I648" s="448"/>
      <c r="J648" s="448"/>
      <c r="K648" s="448"/>
      <c r="L648" s="448"/>
      <c r="M648" s="448"/>
      <c r="N648" s="448"/>
      <c r="O648" s="448"/>
      <c r="P648" s="448"/>
      <c r="Q648" s="448"/>
      <c r="R648" s="448"/>
      <c r="S648" s="448"/>
      <c r="T648" s="448"/>
      <c r="U648" s="448"/>
      <c r="V648" s="448"/>
    </row>
    <row r="649">
      <c r="A649" s="448"/>
      <c r="B649" s="448"/>
      <c r="C649" s="448"/>
      <c r="D649" s="448"/>
      <c r="E649" s="448"/>
      <c r="F649" s="448"/>
      <c r="G649" s="448"/>
      <c r="H649" s="448"/>
      <c r="I649" s="448"/>
      <c r="J649" s="448"/>
      <c r="K649" s="448"/>
      <c r="L649" s="448"/>
      <c r="M649" s="448"/>
      <c r="N649" s="448"/>
      <c r="O649" s="448"/>
      <c r="P649" s="448"/>
      <c r="Q649" s="448"/>
      <c r="R649" s="448"/>
      <c r="S649" s="448"/>
      <c r="T649" s="448"/>
      <c r="U649" s="448"/>
      <c r="V649" s="448"/>
    </row>
    <row r="650">
      <c r="A650" s="448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48"/>
      <c r="M650" s="448"/>
      <c r="N650" s="448"/>
      <c r="O650" s="448"/>
      <c r="P650" s="448"/>
      <c r="Q650" s="448"/>
      <c r="R650" s="448"/>
      <c r="S650" s="448"/>
      <c r="T650" s="448"/>
      <c r="U650" s="448"/>
      <c r="V650" s="448"/>
    </row>
    <row r="651">
      <c r="A651" s="448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48"/>
      <c r="M651" s="448"/>
      <c r="N651" s="448"/>
      <c r="O651" s="448"/>
      <c r="P651" s="448"/>
      <c r="Q651" s="448"/>
      <c r="R651" s="448"/>
      <c r="S651" s="448"/>
      <c r="T651" s="448"/>
      <c r="U651" s="448"/>
      <c r="V651" s="448"/>
    </row>
    <row r="652">
      <c r="A652" s="448"/>
      <c r="B652" s="448"/>
      <c r="C652" s="448"/>
      <c r="D652" s="448"/>
      <c r="E652" s="448"/>
      <c r="F652" s="448"/>
      <c r="G652" s="448"/>
      <c r="H652" s="448"/>
      <c r="I652" s="448"/>
      <c r="J652" s="448"/>
      <c r="K652" s="448"/>
      <c r="L652" s="448"/>
      <c r="M652" s="448"/>
      <c r="N652" s="448"/>
      <c r="O652" s="448"/>
      <c r="P652" s="448"/>
      <c r="Q652" s="448"/>
      <c r="R652" s="448"/>
      <c r="S652" s="448"/>
      <c r="T652" s="448"/>
      <c r="U652" s="448"/>
      <c r="V652" s="448"/>
    </row>
    <row r="653">
      <c r="A653" s="448"/>
      <c r="B653" s="448"/>
      <c r="C653" s="448"/>
      <c r="D653" s="448"/>
      <c r="E653" s="448"/>
      <c r="F653" s="448"/>
      <c r="G653" s="448"/>
      <c r="H653" s="448"/>
      <c r="I653" s="448"/>
      <c r="J653" s="448"/>
      <c r="K653" s="448"/>
      <c r="L653" s="448"/>
      <c r="M653" s="448"/>
      <c r="N653" s="448"/>
      <c r="O653" s="448"/>
      <c r="P653" s="448"/>
      <c r="Q653" s="448"/>
      <c r="R653" s="448"/>
      <c r="S653" s="448"/>
      <c r="T653" s="448"/>
      <c r="U653" s="448"/>
      <c r="V653" s="448"/>
    </row>
    <row r="654">
      <c r="A654" s="448"/>
      <c r="B654" s="448"/>
      <c r="C654" s="448"/>
      <c r="D654" s="448"/>
      <c r="E654" s="448"/>
      <c r="F654" s="448"/>
      <c r="G654" s="448"/>
      <c r="H654" s="448"/>
      <c r="I654" s="448"/>
      <c r="J654" s="448"/>
      <c r="K654" s="448"/>
      <c r="L654" s="448"/>
      <c r="M654" s="448"/>
      <c r="N654" s="448"/>
      <c r="O654" s="448"/>
      <c r="P654" s="448"/>
      <c r="Q654" s="448"/>
      <c r="R654" s="448"/>
      <c r="S654" s="448"/>
      <c r="T654" s="448"/>
      <c r="U654" s="448"/>
      <c r="V654" s="448"/>
    </row>
    <row r="655">
      <c r="A655" s="448"/>
      <c r="B655" s="448"/>
      <c r="C655" s="448"/>
      <c r="D655" s="448"/>
      <c r="E655" s="448"/>
      <c r="F655" s="448"/>
      <c r="G655" s="448"/>
      <c r="H655" s="448"/>
      <c r="I655" s="448"/>
      <c r="J655" s="448"/>
      <c r="K655" s="448"/>
      <c r="L655" s="448"/>
      <c r="M655" s="448"/>
      <c r="N655" s="448"/>
      <c r="O655" s="448"/>
      <c r="P655" s="448"/>
      <c r="Q655" s="448"/>
      <c r="R655" s="448"/>
      <c r="S655" s="448"/>
      <c r="T655" s="448"/>
      <c r="U655" s="448"/>
      <c r="V655" s="448"/>
    </row>
    <row r="656">
      <c r="A656" s="448"/>
      <c r="B656" s="448"/>
      <c r="C656" s="448"/>
      <c r="D656" s="448"/>
      <c r="E656" s="448"/>
      <c r="F656" s="448"/>
      <c r="G656" s="448"/>
      <c r="H656" s="448"/>
      <c r="I656" s="448"/>
      <c r="J656" s="448"/>
      <c r="K656" s="448"/>
      <c r="L656" s="448"/>
      <c r="M656" s="448"/>
      <c r="N656" s="448"/>
      <c r="O656" s="448"/>
      <c r="P656" s="448"/>
      <c r="Q656" s="448"/>
      <c r="R656" s="448"/>
      <c r="S656" s="448"/>
      <c r="T656" s="448"/>
      <c r="U656" s="448"/>
      <c r="V656" s="448"/>
    </row>
    <row r="657">
      <c r="A657" s="448"/>
      <c r="B657" s="448"/>
      <c r="C657" s="448"/>
      <c r="D657" s="448"/>
      <c r="E657" s="448"/>
      <c r="F657" s="448"/>
      <c r="G657" s="448"/>
      <c r="H657" s="448"/>
      <c r="I657" s="448"/>
      <c r="J657" s="448"/>
      <c r="K657" s="448"/>
      <c r="L657" s="448"/>
      <c r="M657" s="448"/>
      <c r="N657" s="448"/>
      <c r="O657" s="448"/>
      <c r="P657" s="448"/>
      <c r="Q657" s="448"/>
      <c r="R657" s="448"/>
      <c r="S657" s="448"/>
      <c r="T657" s="448"/>
      <c r="U657" s="448"/>
      <c r="V657" s="448"/>
    </row>
    <row r="658">
      <c r="A658" s="448"/>
      <c r="B658" s="448"/>
      <c r="C658" s="448"/>
      <c r="D658" s="448"/>
      <c r="E658" s="448"/>
      <c r="F658" s="448"/>
      <c r="G658" s="448"/>
      <c r="H658" s="448"/>
      <c r="I658" s="448"/>
      <c r="J658" s="448"/>
      <c r="K658" s="448"/>
      <c r="L658" s="448"/>
      <c r="M658" s="448"/>
      <c r="N658" s="448"/>
      <c r="O658" s="448"/>
      <c r="P658" s="448"/>
      <c r="Q658" s="448"/>
      <c r="R658" s="448"/>
      <c r="S658" s="448"/>
      <c r="T658" s="448"/>
      <c r="U658" s="448"/>
      <c r="V658" s="448"/>
    </row>
    <row r="659">
      <c r="A659" s="448"/>
      <c r="B659" s="448"/>
      <c r="C659" s="448"/>
      <c r="D659" s="448"/>
      <c r="E659" s="448"/>
      <c r="F659" s="448"/>
      <c r="G659" s="448"/>
      <c r="H659" s="448"/>
      <c r="I659" s="448"/>
      <c r="J659" s="448"/>
      <c r="K659" s="448"/>
      <c r="L659" s="448"/>
      <c r="M659" s="448"/>
      <c r="N659" s="448"/>
      <c r="O659" s="448"/>
      <c r="P659" s="448"/>
      <c r="Q659" s="448"/>
      <c r="R659" s="448"/>
      <c r="S659" s="448"/>
      <c r="T659" s="448"/>
      <c r="U659" s="448"/>
      <c r="V659" s="448"/>
    </row>
    <row r="660">
      <c r="A660" s="448"/>
      <c r="B660" s="448"/>
      <c r="C660" s="448"/>
      <c r="D660" s="448"/>
      <c r="E660" s="448"/>
      <c r="F660" s="448"/>
      <c r="G660" s="448"/>
      <c r="H660" s="448"/>
      <c r="I660" s="448"/>
      <c r="J660" s="448"/>
      <c r="K660" s="448"/>
      <c r="L660" s="448"/>
      <c r="M660" s="448"/>
      <c r="N660" s="448"/>
      <c r="O660" s="448"/>
      <c r="P660" s="448"/>
      <c r="Q660" s="448"/>
      <c r="R660" s="448"/>
      <c r="S660" s="448"/>
      <c r="T660" s="448"/>
      <c r="U660" s="448"/>
      <c r="V660" s="448"/>
    </row>
    <row r="661">
      <c r="A661" s="448"/>
      <c r="B661" s="448"/>
      <c r="C661" s="448"/>
      <c r="D661" s="448"/>
      <c r="E661" s="448"/>
      <c r="F661" s="448"/>
      <c r="G661" s="448"/>
      <c r="H661" s="448"/>
      <c r="I661" s="448"/>
      <c r="J661" s="448"/>
      <c r="K661" s="448"/>
      <c r="L661" s="448"/>
      <c r="M661" s="448"/>
      <c r="N661" s="448"/>
      <c r="O661" s="448"/>
      <c r="P661" s="448"/>
      <c r="Q661" s="448"/>
      <c r="R661" s="448"/>
      <c r="S661" s="448"/>
      <c r="T661" s="448"/>
      <c r="U661" s="448"/>
      <c r="V661" s="448"/>
    </row>
    <row r="662">
      <c r="A662" s="448"/>
      <c r="B662" s="448"/>
      <c r="C662" s="448"/>
      <c r="D662" s="448"/>
      <c r="E662" s="448"/>
      <c r="F662" s="448"/>
      <c r="G662" s="448"/>
      <c r="H662" s="448"/>
      <c r="I662" s="448"/>
      <c r="J662" s="448"/>
      <c r="K662" s="448"/>
      <c r="L662" s="448"/>
      <c r="M662" s="448"/>
      <c r="N662" s="448"/>
      <c r="O662" s="448"/>
      <c r="P662" s="448"/>
      <c r="Q662" s="448"/>
      <c r="R662" s="448"/>
      <c r="S662" s="448"/>
      <c r="T662" s="448"/>
      <c r="U662" s="448"/>
      <c r="V662" s="448"/>
    </row>
    <row r="663">
      <c r="A663" s="448"/>
      <c r="B663" s="448"/>
      <c r="C663" s="448"/>
      <c r="D663" s="448"/>
      <c r="E663" s="448"/>
      <c r="F663" s="448"/>
      <c r="G663" s="448"/>
      <c r="H663" s="448"/>
      <c r="I663" s="448"/>
      <c r="J663" s="448"/>
      <c r="K663" s="448"/>
      <c r="L663" s="448"/>
      <c r="M663" s="448"/>
      <c r="N663" s="448"/>
      <c r="O663" s="448"/>
      <c r="P663" s="448"/>
      <c r="Q663" s="448"/>
      <c r="R663" s="448"/>
      <c r="S663" s="448"/>
      <c r="T663" s="448"/>
      <c r="U663" s="448"/>
      <c r="V663" s="448"/>
    </row>
    <row r="664">
      <c r="A664" s="448"/>
      <c r="B664" s="448"/>
      <c r="C664" s="448"/>
      <c r="D664" s="448"/>
      <c r="E664" s="448"/>
      <c r="F664" s="448"/>
      <c r="G664" s="448"/>
      <c r="H664" s="448"/>
      <c r="I664" s="448"/>
      <c r="J664" s="448"/>
      <c r="K664" s="448"/>
      <c r="L664" s="448"/>
      <c r="M664" s="448"/>
      <c r="N664" s="448"/>
      <c r="O664" s="448"/>
      <c r="P664" s="448"/>
      <c r="Q664" s="448"/>
      <c r="R664" s="448"/>
      <c r="S664" s="448"/>
      <c r="T664" s="448"/>
      <c r="U664" s="448"/>
      <c r="V664" s="448"/>
    </row>
    <row r="665">
      <c r="A665" s="448"/>
      <c r="B665" s="448"/>
      <c r="C665" s="448"/>
      <c r="D665" s="448"/>
      <c r="E665" s="448"/>
      <c r="F665" s="448"/>
      <c r="G665" s="448"/>
      <c r="H665" s="448"/>
      <c r="I665" s="448"/>
      <c r="J665" s="448"/>
      <c r="K665" s="448"/>
      <c r="L665" s="448"/>
      <c r="M665" s="448"/>
      <c r="N665" s="448"/>
      <c r="O665" s="448"/>
      <c r="P665" s="448"/>
      <c r="Q665" s="448"/>
      <c r="R665" s="448"/>
      <c r="S665" s="448"/>
      <c r="T665" s="448"/>
      <c r="U665" s="448"/>
      <c r="V665" s="448"/>
    </row>
    <row r="666">
      <c r="A666" s="448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48"/>
      <c r="M666" s="448"/>
      <c r="N666" s="448"/>
      <c r="O666" s="448"/>
      <c r="P666" s="448"/>
      <c r="Q666" s="448"/>
      <c r="R666" s="448"/>
      <c r="S666" s="448"/>
      <c r="T666" s="448"/>
      <c r="U666" s="448"/>
      <c r="V666" s="448"/>
    </row>
    <row r="667">
      <c r="A667" s="448"/>
      <c r="B667" s="448"/>
      <c r="C667" s="448"/>
      <c r="D667" s="448"/>
      <c r="E667" s="448"/>
      <c r="F667" s="448"/>
      <c r="G667" s="448"/>
      <c r="H667" s="448"/>
      <c r="I667" s="448"/>
      <c r="J667" s="448"/>
      <c r="K667" s="448"/>
      <c r="L667" s="448"/>
      <c r="M667" s="448"/>
      <c r="N667" s="448"/>
      <c r="O667" s="448"/>
      <c r="P667" s="448"/>
      <c r="Q667" s="448"/>
      <c r="R667" s="448"/>
      <c r="S667" s="448"/>
      <c r="T667" s="448"/>
      <c r="U667" s="448"/>
      <c r="V667" s="448"/>
    </row>
    <row r="668">
      <c r="A668" s="448"/>
      <c r="B668" s="448"/>
      <c r="C668" s="448"/>
      <c r="D668" s="448"/>
      <c r="E668" s="448"/>
      <c r="F668" s="448"/>
      <c r="G668" s="448"/>
      <c r="H668" s="448"/>
      <c r="I668" s="448"/>
      <c r="J668" s="448"/>
      <c r="K668" s="448"/>
      <c r="L668" s="448"/>
      <c r="M668" s="448"/>
      <c r="N668" s="448"/>
      <c r="O668" s="448"/>
      <c r="P668" s="448"/>
      <c r="Q668" s="448"/>
      <c r="R668" s="448"/>
      <c r="S668" s="448"/>
      <c r="T668" s="448"/>
      <c r="U668" s="448"/>
      <c r="V668" s="448"/>
    </row>
    <row r="669">
      <c r="A669" s="448"/>
      <c r="B669" s="448"/>
      <c r="C669" s="448"/>
      <c r="D669" s="448"/>
      <c r="E669" s="448"/>
      <c r="F669" s="448"/>
      <c r="G669" s="448"/>
      <c r="H669" s="448"/>
      <c r="I669" s="448"/>
      <c r="J669" s="448"/>
      <c r="K669" s="448"/>
      <c r="L669" s="448"/>
      <c r="M669" s="448"/>
      <c r="N669" s="448"/>
      <c r="O669" s="448"/>
      <c r="P669" s="448"/>
      <c r="Q669" s="448"/>
      <c r="R669" s="448"/>
      <c r="S669" s="448"/>
      <c r="T669" s="448"/>
      <c r="U669" s="448"/>
      <c r="V669" s="448"/>
    </row>
    <row r="670">
      <c r="A670" s="448"/>
      <c r="B670" s="448"/>
      <c r="C670" s="448"/>
      <c r="D670" s="448"/>
      <c r="E670" s="448"/>
      <c r="F670" s="448"/>
      <c r="G670" s="448"/>
      <c r="H670" s="448"/>
      <c r="I670" s="448"/>
      <c r="J670" s="448"/>
      <c r="K670" s="448"/>
      <c r="L670" s="448"/>
      <c r="M670" s="448"/>
      <c r="N670" s="448"/>
      <c r="O670" s="448"/>
      <c r="P670" s="448"/>
      <c r="Q670" s="448"/>
      <c r="R670" s="448"/>
      <c r="S670" s="448"/>
      <c r="T670" s="448"/>
      <c r="U670" s="448"/>
      <c r="V670" s="448"/>
    </row>
    <row r="671">
      <c r="A671" s="448"/>
      <c r="B671" s="448"/>
      <c r="C671" s="448"/>
      <c r="D671" s="448"/>
      <c r="E671" s="448"/>
      <c r="F671" s="448"/>
      <c r="G671" s="448"/>
      <c r="H671" s="448"/>
      <c r="I671" s="448"/>
      <c r="J671" s="448"/>
      <c r="K671" s="448"/>
      <c r="L671" s="448"/>
      <c r="M671" s="448"/>
      <c r="N671" s="448"/>
      <c r="O671" s="448"/>
      <c r="P671" s="448"/>
      <c r="Q671" s="448"/>
      <c r="R671" s="448"/>
      <c r="S671" s="448"/>
      <c r="T671" s="448"/>
      <c r="U671" s="448"/>
      <c r="V671" s="448"/>
    </row>
    <row r="672">
      <c r="A672" s="448"/>
      <c r="B672" s="448"/>
      <c r="C672" s="448"/>
      <c r="D672" s="448"/>
      <c r="E672" s="448"/>
      <c r="F672" s="448"/>
      <c r="G672" s="448"/>
      <c r="H672" s="448"/>
      <c r="I672" s="448"/>
      <c r="J672" s="448"/>
      <c r="K672" s="448"/>
      <c r="L672" s="448"/>
      <c r="M672" s="448"/>
      <c r="N672" s="448"/>
      <c r="O672" s="448"/>
      <c r="P672" s="448"/>
      <c r="Q672" s="448"/>
      <c r="R672" s="448"/>
      <c r="S672" s="448"/>
      <c r="T672" s="448"/>
      <c r="U672" s="448"/>
      <c r="V672" s="448"/>
    </row>
    <row r="673">
      <c r="A673" s="448"/>
      <c r="B673" s="448"/>
      <c r="C673" s="448"/>
      <c r="D673" s="448"/>
      <c r="E673" s="448"/>
      <c r="F673" s="448"/>
      <c r="G673" s="448"/>
      <c r="H673" s="448"/>
      <c r="I673" s="448"/>
      <c r="J673" s="448"/>
      <c r="K673" s="448"/>
      <c r="L673" s="448"/>
      <c r="M673" s="448"/>
      <c r="N673" s="448"/>
      <c r="O673" s="448"/>
      <c r="P673" s="448"/>
      <c r="Q673" s="448"/>
      <c r="R673" s="448"/>
      <c r="S673" s="448"/>
      <c r="T673" s="448"/>
      <c r="U673" s="448"/>
      <c r="V673" s="448"/>
    </row>
    <row r="674">
      <c r="A674" s="448"/>
      <c r="B674" s="448"/>
      <c r="C674" s="448"/>
      <c r="D674" s="448"/>
      <c r="E674" s="448"/>
      <c r="F674" s="448"/>
      <c r="G674" s="448"/>
      <c r="H674" s="448"/>
      <c r="I674" s="448"/>
      <c r="J674" s="448"/>
      <c r="K674" s="448"/>
      <c r="L674" s="448"/>
      <c r="M674" s="448"/>
      <c r="N674" s="448"/>
      <c r="O674" s="448"/>
      <c r="P674" s="448"/>
      <c r="Q674" s="448"/>
      <c r="R674" s="448"/>
      <c r="S674" s="448"/>
      <c r="T674" s="448"/>
      <c r="U674" s="448"/>
      <c r="V674" s="448"/>
    </row>
    <row r="675">
      <c r="A675" s="448"/>
      <c r="B675" s="448"/>
      <c r="C675" s="448"/>
      <c r="D675" s="448"/>
      <c r="E675" s="448"/>
      <c r="F675" s="448"/>
      <c r="G675" s="448"/>
      <c r="H675" s="448"/>
      <c r="I675" s="448"/>
      <c r="J675" s="448"/>
      <c r="K675" s="448"/>
      <c r="L675" s="448"/>
      <c r="M675" s="448"/>
      <c r="N675" s="448"/>
      <c r="O675" s="448"/>
      <c r="P675" s="448"/>
      <c r="Q675" s="448"/>
      <c r="R675" s="448"/>
      <c r="S675" s="448"/>
      <c r="T675" s="448"/>
      <c r="U675" s="448"/>
      <c r="V675" s="448"/>
    </row>
    <row r="676">
      <c r="A676" s="448"/>
      <c r="B676" s="448"/>
      <c r="C676" s="448"/>
      <c r="D676" s="448"/>
      <c r="E676" s="448"/>
      <c r="F676" s="448"/>
      <c r="G676" s="448"/>
      <c r="H676" s="448"/>
      <c r="I676" s="448"/>
      <c r="J676" s="448"/>
      <c r="K676" s="448"/>
      <c r="L676" s="448"/>
      <c r="M676" s="448"/>
      <c r="N676" s="448"/>
      <c r="O676" s="448"/>
      <c r="P676" s="448"/>
      <c r="Q676" s="448"/>
      <c r="R676" s="448"/>
      <c r="S676" s="448"/>
      <c r="T676" s="448"/>
      <c r="U676" s="448"/>
      <c r="V676" s="448"/>
    </row>
    <row r="677">
      <c r="A677" s="448"/>
      <c r="B677" s="448"/>
      <c r="C677" s="448"/>
      <c r="D677" s="448"/>
      <c r="E677" s="448"/>
      <c r="F677" s="448"/>
      <c r="G677" s="448"/>
      <c r="H677" s="448"/>
      <c r="I677" s="448"/>
      <c r="J677" s="448"/>
      <c r="K677" s="448"/>
      <c r="L677" s="448"/>
      <c r="M677" s="448"/>
      <c r="N677" s="448"/>
      <c r="O677" s="448"/>
      <c r="P677" s="448"/>
      <c r="Q677" s="448"/>
      <c r="R677" s="448"/>
      <c r="S677" s="448"/>
      <c r="T677" s="448"/>
      <c r="U677" s="448"/>
      <c r="V677" s="448"/>
    </row>
    <row r="678">
      <c r="A678" s="448"/>
      <c r="B678" s="448"/>
      <c r="C678" s="448"/>
      <c r="D678" s="448"/>
      <c r="E678" s="448"/>
      <c r="F678" s="448"/>
      <c r="G678" s="448"/>
      <c r="H678" s="448"/>
      <c r="I678" s="448"/>
      <c r="J678" s="448"/>
      <c r="K678" s="448"/>
      <c r="L678" s="448"/>
      <c r="M678" s="448"/>
      <c r="N678" s="448"/>
      <c r="O678" s="448"/>
      <c r="P678" s="448"/>
      <c r="Q678" s="448"/>
      <c r="R678" s="448"/>
      <c r="S678" s="448"/>
      <c r="T678" s="448"/>
      <c r="U678" s="448"/>
      <c r="V678" s="448"/>
    </row>
    <row r="679">
      <c r="A679" s="448"/>
      <c r="B679" s="448"/>
      <c r="C679" s="448"/>
      <c r="D679" s="448"/>
      <c r="E679" s="448"/>
      <c r="F679" s="448"/>
      <c r="G679" s="448"/>
      <c r="H679" s="448"/>
      <c r="I679" s="448"/>
      <c r="J679" s="448"/>
      <c r="K679" s="448"/>
      <c r="L679" s="448"/>
      <c r="M679" s="448"/>
      <c r="N679" s="448"/>
      <c r="O679" s="448"/>
      <c r="P679" s="448"/>
      <c r="Q679" s="448"/>
      <c r="R679" s="448"/>
      <c r="S679" s="448"/>
      <c r="T679" s="448"/>
      <c r="U679" s="448"/>
      <c r="V679" s="448"/>
    </row>
    <row r="680">
      <c r="A680" s="448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48"/>
      <c r="M680" s="448"/>
      <c r="N680" s="448"/>
      <c r="O680" s="448"/>
      <c r="P680" s="448"/>
      <c r="Q680" s="448"/>
      <c r="R680" s="448"/>
      <c r="S680" s="448"/>
      <c r="T680" s="448"/>
      <c r="U680" s="448"/>
      <c r="V680" s="448"/>
    </row>
    <row r="681">
      <c r="A681" s="448"/>
      <c r="B681" s="448"/>
      <c r="C681" s="448"/>
      <c r="D681" s="448"/>
      <c r="E681" s="448"/>
      <c r="F681" s="448"/>
      <c r="G681" s="448"/>
      <c r="H681" s="448"/>
      <c r="I681" s="448"/>
      <c r="J681" s="448"/>
      <c r="K681" s="448"/>
      <c r="L681" s="448"/>
      <c r="M681" s="448"/>
      <c r="N681" s="448"/>
      <c r="O681" s="448"/>
      <c r="P681" s="448"/>
      <c r="Q681" s="448"/>
      <c r="R681" s="448"/>
      <c r="S681" s="448"/>
      <c r="T681" s="448"/>
      <c r="U681" s="448"/>
      <c r="V681" s="448"/>
    </row>
    <row r="682">
      <c r="A682" s="448"/>
      <c r="B682" s="448"/>
      <c r="C682" s="448"/>
      <c r="D682" s="448"/>
      <c r="E682" s="448"/>
      <c r="F682" s="448"/>
      <c r="G682" s="448"/>
      <c r="H682" s="448"/>
      <c r="I682" s="448"/>
      <c r="J682" s="448"/>
      <c r="K682" s="448"/>
      <c r="L682" s="448"/>
      <c r="M682" s="448"/>
      <c r="N682" s="448"/>
      <c r="O682" s="448"/>
      <c r="P682" s="448"/>
      <c r="Q682" s="448"/>
      <c r="R682" s="448"/>
      <c r="S682" s="448"/>
      <c r="T682" s="448"/>
      <c r="U682" s="448"/>
      <c r="V682" s="448"/>
    </row>
    <row r="683">
      <c r="A683" s="448"/>
      <c r="B683" s="448"/>
      <c r="C683" s="448"/>
      <c r="D683" s="448"/>
      <c r="E683" s="448"/>
      <c r="F683" s="448"/>
      <c r="G683" s="448"/>
      <c r="H683" s="448"/>
      <c r="I683" s="448"/>
      <c r="J683" s="448"/>
      <c r="K683" s="448"/>
      <c r="L683" s="448"/>
      <c r="M683" s="448"/>
      <c r="N683" s="448"/>
      <c r="O683" s="448"/>
      <c r="P683" s="448"/>
      <c r="Q683" s="448"/>
      <c r="R683" s="448"/>
      <c r="S683" s="448"/>
      <c r="T683" s="448"/>
      <c r="U683" s="448"/>
      <c r="V683" s="448"/>
    </row>
    <row r="684">
      <c r="A684" s="448"/>
      <c r="B684" s="448"/>
      <c r="C684" s="448"/>
      <c r="D684" s="448"/>
      <c r="E684" s="448"/>
      <c r="F684" s="448"/>
      <c r="G684" s="448"/>
      <c r="H684" s="448"/>
      <c r="I684" s="448"/>
      <c r="J684" s="448"/>
      <c r="K684" s="448"/>
      <c r="L684" s="448"/>
      <c r="M684" s="448"/>
      <c r="N684" s="448"/>
      <c r="O684" s="448"/>
      <c r="P684" s="448"/>
      <c r="Q684" s="448"/>
      <c r="R684" s="448"/>
      <c r="S684" s="448"/>
      <c r="T684" s="448"/>
      <c r="U684" s="448"/>
      <c r="V684" s="448"/>
    </row>
    <row r="685">
      <c r="A685" s="448"/>
      <c r="B685" s="448"/>
      <c r="C685" s="448"/>
      <c r="D685" s="448"/>
      <c r="E685" s="448"/>
      <c r="F685" s="448"/>
      <c r="G685" s="448"/>
      <c r="H685" s="448"/>
      <c r="I685" s="448"/>
      <c r="J685" s="448"/>
      <c r="K685" s="448"/>
      <c r="L685" s="448"/>
      <c r="M685" s="448"/>
      <c r="N685" s="448"/>
      <c r="O685" s="448"/>
      <c r="P685" s="448"/>
      <c r="Q685" s="448"/>
      <c r="R685" s="448"/>
      <c r="S685" s="448"/>
      <c r="T685" s="448"/>
      <c r="U685" s="448"/>
      <c r="V685" s="448"/>
    </row>
    <row r="686">
      <c r="A686" s="448"/>
      <c r="B686" s="448"/>
      <c r="C686" s="448"/>
      <c r="D686" s="448"/>
      <c r="E686" s="448"/>
      <c r="F686" s="448"/>
      <c r="G686" s="448"/>
      <c r="H686" s="448"/>
      <c r="I686" s="448"/>
      <c r="J686" s="448"/>
      <c r="K686" s="448"/>
      <c r="L686" s="448"/>
      <c r="M686" s="448"/>
      <c r="N686" s="448"/>
      <c r="O686" s="448"/>
      <c r="P686" s="448"/>
      <c r="Q686" s="448"/>
      <c r="R686" s="448"/>
      <c r="S686" s="448"/>
      <c r="T686" s="448"/>
      <c r="U686" s="448"/>
      <c r="V686" s="448"/>
    </row>
    <row r="687">
      <c r="A687" s="448"/>
      <c r="B687" s="448"/>
      <c r="C687" s="448"/>
      <c r="D687" s="448"/>
      <c r="E687" s="448"/>
      <c r="F687" s="448"/>
      <c r="G687" s="448"/>
      <c r="H687" s="448"/>
      <c r="I687" s="448"/>
      <c r="J687" s="448"/>
      <c r="K687" s="448"/>
      <c r="L687" s="448"/>
      <c r="M687" s="448"/>
      <c r="N687" s="448"/>
      <c r="O687" s="448"/>
      <c r="P687" s="448"/>
      <c r="Q687" s="448"/>
      <c r="R687" s="448"/>
      <c r="S687" s="448"/>
      <c r="T687" s="448"/>
      <c r="U687" s="448"/>
      <c r="V687" s="448"/>
    </row>
    <row r="688">
      <c r="A688" s="448"/>
      <c r="B688" s="448"/>
      <c r="C688" s="448"/>
      <c r="D688" s="448"/>
      <c r="E688" s="448"/>
      <c r="F688" s="448"/>
      <c r="G688" s="448"/>
      <c r="H688" s="448"/>
      <c r="I688" s="448"/>
      <c r="J688" s="448"/>
      <c r="K688" s="448"/>
      <c r="L688" s="448"/>
      <c r="M688" s="448"/>
      <c r="N688" s="448"/>
      <c r="O688" s="448"/>
      <c r="P688" s="448"/>
      <c r="Q688" s="448"/>
      <c r="R688" s="448"/>
      <c r="S688" s="448"/>
      <c r="T688" s="448"/>
      <c r="U688" s="448"/>
      <c r="V688" s="448"/>
    </row>
    <row r="689">
      <c r="A689" s="448"/>
      <c r="B689" s="448"/>
      <c r="C689" s="448"/>
      <c r="D689" s="448"/>
      <c r="E689" s="448"/>
      <c r="F689" s="448"/>
      <c r="G689" s="448"/>
      <c r="H689" s="448"/>
      <c r="I689" s="448"/>
      <c r="J689" s="448"/>
      <c r="K689" s="448"/>
      <c r="L689" s="448"/>
      <c r="M689" s="448"/>
      <c r="N689" s="448"/>
      <c r="O689" s="448"/>
      <c r="P689" s="448"/>
      <c r="Q689" s="448"/>
      <c r="R689" s="448"/>
      <c r="S689" s="448"/>
      <c r="T689" s="448"/>
      <c r="U689" s="448"/>
      <c r="V689" s="448"/>
    </row>
    <row r="690">
      <c r="A690" s="448"/>
      <c r="B690" s="448"/>
      <c r="C690" s="448"/>
      <c r="D690" s="448"/>
      <c r="E690" s="448"/>
      <c r="F690" s="448"/>
      <c r="G690" s="448"/>
      <c r="H690" s="448"/>
      <c r="I690" s="448"/>
      <c r="J690" s="448"/>
      <c r="K690" s="448"/>
      <c r="L690" s="448"/>
      <c r="M690" s="448"/>
      <c r="N690" s="448"/>
      <c r="O690" s="448"/>
      <c r="P690" s="448"/>
      <c r="Q690" s="448"/>
      <c r="R690" s="448"/>
      <c r="S690" s="448"/>
      <c r="T690" s="448"/>
      <c r="U690" s="448"/>
      <c r="V690" s="448"/>
    </row>
    <row r="691">
      <c r="A691" s="448"/>
      <c r="B691" s="448"/>
      <c r="C691" s="448"/>
      <c r="D691" s="448"/>
      <c r="E691" s="448"/>
      <c r="F691" s="448"/>
      <c r="G691" s="448"/>
      <c r="H691" s="448"/>
      <c r="I691" s="448"/>
      <c r="J691" s="448"/>
      <c r="K691" s="448"/>
      <c r="L691" s="448"/>
      <c r="M691" s="448"/>
      <c r="N691" s="448"/>
      <c r="O691" s="448"/>
      <c r="P691" s="448"/>
      <c r="Q691" s="448"/>
      <c r="R691" s="448"/>
      <c r="S691" s="448"/>
      <c r="T691" s="448"/>
      <c r="U691" s="448"/>
      <c r="V691" s="448"/>
    </row>
    <row r="692">
      <c r="A692" s="448"/>
      <c r="B692" s="448"/>
      <c r="C692" s="448"/>
      <c r="D692" s="448"/>
      <c r="E692" s="448"/>
      <c r="F692" s="448"/>
      <c r="G692" s="448"/>
      <c r="H692" s="448"/>
      <c r="I692" s="448"/>
      <c r="J692" s="448"/>
      <c r="K692" s="448"/>
      <c r="L692" s="448"/>
      <c r="M692" s="448"/>
      <c r="N692" s="448"/>
      <c r="O692" s="448"/>
      <c r="P692" s="448"/>
      <c r="Q692" s="448"/>
      <c r="R692" s="448"/>
      <c r="S692" s="448"/>
      <c r="T692" s="448"/>
      <c r="U692" s="448"/>
      <c r="V692" s="448"/>
    </row>
    <row r="693">
      <c r="A693" s="448"/>
      <c r="B693" s="448"/>
      <c r="C693" s="448"/>
      <c r="D693" s="448"/>
      <c r="E693" s="448"/>
      <c r="F693" s="448"/>
      <c r="G693" s="448"/>
      <c r="H693" s="448"/>
      <c r="I693" s="448"/>
      <c r="J693" s="448"/>
      <c r="K693" s="448"/>
      <c r="L693" s="448"/>
      <c r="M693" s="448"/>
      <c r="N693" s="448"/>
      <c r="O693" s="448"/>
      <c r="P693" s="448"/>
      <c r="Q693" s="448"/>
      <c r="R693" s="448"/>
      <c r="S693" s="448"/>
      <c r="T693" s="448"/>
      <c r="U693" s="448"/>
      <c r="V693" s="448"/>
    </row>
    <row r="694">
      <c r="A694" s="448"/>
      <c r="B694" s="448"/>
      <c r="C694" s="448"/>
      <c r="D694" s="448"/>
      <c r="E694" s="448"/>
      <c r="F694" s="448"/>
      <c r="G694" s="448"/>
      <c r="H694" s="448"/>
      <c r="I694" s="448"/>
      <c r="J694" s="448"/>
      <c r="K694" s="448"/>
      <c r="L694" s="448"/>
      <c r="M694" s="448"/>
      <c r="N694" s="448"/>
      <c r="O694" s="448"/>
      <c r="P694" s="448"/>
      <c r="Q694" s="448"/>
      <c r="R694" s="448"/>
      <c r="S694" s="448"/>
      <c r="T694" s="448"/>
      <c r="U694" s="448"/>
      <c r="V694" s="448"/>
    </row>
    <row r="695">
      <c r="A695" s="448"/>
      <c r="B695" s="448"/>
      <c r="C695" s="448"/>
      <c r="D695" s="448"/>
      <c r="E695" s="448"/>
      <c r="F695" s="448"/>
      <c r="G695" s="448"/>
      <c r="H695" s="448"/>
      <c r="I695" s="448"/>
      <c r="J695" s="448"/>
      <c r="K695" s="448"/>
      <c r="L695" s="448"/>
      <c r="M695" s="448"/>
      <c r="N695" s="448"/>
      <c r="O695" s="448"/>
      <c r="P695" s="448"/>
      <c r="Q695" s="448"/>
      <c r="R695" s="448"/>
      <c r="S695" s="448"/>
      <c r="T695" s="448"/>
      <c r="U695" s="448"/>
      <c r="V695" s="448"/>
    </row>
    <row r="696">
      <c r="A696" s="448"/>
      <c r="B696" s="448"/>
      <c r="C696" s="448"/>
      <c r="D696" s="448"/>
      <c r="E696" s="448"/>
      <c r="F696" s="448"/>
      <c r="G696" s="448"/>
      <c r="H696" s="448"/>
      <c r="I696" s="448"/>
      <c r="J696" s="448"/>
      <c r="K696" s="448"/>
      <c r="L696" s="448"/>
      <c r="M696" s="448"/>
      <c r="N696" s="448"/>
      <c r="O696" s="448"/>
      <c r="P696" s="448"/>
      <c r="Q696" s="448"/>
      <c r="R696" s="448"/>
      <c r="S696" s="448"/>
      <c r="T696" s="448"/>
      <c r="U696" s="448"/>
      <c r="V696" s="448"/>
    </row>
    <row r="697">
      <c r="A697" s="448"/>
      <c r="B697" s="448"/>
      <c r="C697" s="448"/>
      <c r="D697" s="448"/>
      <c r="E697" s="448"/>
      <c r="F697" s="448"/>
      <c r="G697" s="448"/>
      <c r="H697" s="448"/>
      <c r="I697" s="448"/>
      <c r="J697" s="448"/>
      <c r="K697" s="448"/>
      <c r="L697" s="448"/>
      <c r="M697" s="448"/>
      <c r="N697" s="448"/>
      <c r="O697" s="448"/>
      <c r="P697" s="448"/>
      <c r="Q697" s="448"/>
      <c r="R697" s="448"/>
      <c r="S697" s="448"/>
      <c r="T697" s="448"/>
      <c r="U697" s="448"/>
      <c r="V697" s="448"/>
    </row>
    <row r="698">
      <c r="A698" s="448"/>
      <c r="B698" s="448"/>
      <c r="C698" s="448"/>
      <c r="D698" s="448"/>
      <c r="E698" s="448"/>
      <c r="F698" s="448"/>
      <c r="G698" s="448"/>
      <c r="H698" s="448"/>
      <c r="I698" s="448"/>
      <c r="J698" s="448"/>
      <c r="K698" s="448"/>
      <c r="L698" s="448"/>
      <c r="M698" s="448"/>
      <c r="N698" s="448"/>
      <c r="O698" s="448"/>
      <c r="P698" s="448"/>
      <c r="Q698" s="448"/>
      <c r="R698" s="448"/>
      <c r="S698" s="448"/>
      <c r="T698" s="448"/>
      <c r="U698" s="448"/>
      <c r="V698" s="448"/>
    </row>
    <row r="699">
      <c r="A699" s="448"/>
      <c r="B699" s="448"/>
      <c r="C699" s="448"/>
      <c r="D699" s="448"/>
      <c r="E699" s="448"/>
      <c r="F699" s="448"/>
      <c r="G699" s="448"/>
      <c r="H699" s="448"/>
      <c r="I699" s="448"/>
      <c r="J699" s="448"/>
      <c r="K699" s="448"/>
      <c r="L699" s="448"/>
      <c r="M699" s="448"/>
      <c r="N699" s="448"/>
      <c r="O699" s="448"/>
      <c r="P699" s="448"/>
      <c r="Q699" s="448"/>
      <c r="R699" s="448"/>
      <c r="S699" s="448"/>
      <c r="T699" s="448"/>
      <c r="U699" s="448"/>
      <c r="V699" s="448"/>
    </row>
    <row r="700">
      <c r="A700" s="448"/>
      <c r="B700" s="448"/>
      <c r="C700" s="448"/>
      <c r="D700" s="448"/>
      <c r="E700" s="448"/>
      <c r="F700" s="448"/>
      <c r="G700" s="448"/>
      <c r="H700" s="448"/>
      <c r="I700" s="448"/>
      <c r="J700" s="448"/>
      <c r="K700" s="448"/>
      <c r="L700" s="448"/>
      <c r="M700" s="448"/>
      <c r="N700" s="448"/>
      <c r="O700" s="448"/>
      <c r="P700" s="448"/>
      <c r="Q700" s="448"/>
      <c r="R700" s="448"/>
      <c r="S700" s="448"/>
      <c r="T700" s="448"/>
      <c r="U700" s="448"/>
      <c r="V700" s="448"/>
    </row>
    <row r="701">
      <c r="A701" s="448"/>
      <c r="B701" s="448"/>
      <c r="C701" s="448"/>
      <c r="D701" s="448"/>
      <c r="E701" s="448"/>
      <c r="F701" s="448"/>
      <c r="G701" s="448"/>
      <c r="H701" s="448"/>
      <c r="I701" s="448"/>
      <c r="J701" s="448"/>
      <c r="K701" s="448"/>
      <c r="L701" s="448"/>
      <c r="M701" s="448"/>
      <c r="N701" s="448"/>
      <c r="O701" s="448"/>
      <c r="P701" s="448"/>
      <c r="Q701" s="448"/>
      <c r="R701" s="448"/>
      <c r="S701" s="448"/>
      <c r="T701" s="448"/>
      <c r="U701" s="448"/>
      <c r="V701" s="448"/>
    </row>
    <row r="702">
      <c r="A702" s="448"/>
      <c r="B702" s="448"/>
      <c r="C702" s="448"/>
      <c r="D702" s="448"/>
      <c r="E702" s="448"/>
      <c r="F702" s="448"/>
      <c r="G702" s="448"/>
      <c r="H702" s="448"/>
      <c r="I702" s="448"/>
      <c r="J702" s="448"/>
      <c r="K702" s="448"/>
      <c r="L702" s="448"/>
      <c r="M702" s="448"/>
      <c r="N702" s="448"/>
      <c r="O702" s="448"/>
      <c r="P702" s="448"/>
      <c r="Q702" s="448"/>
      <c r="R702" s="448"/>
      <c r="S702" s="448"/>
      <c r="T702" s="448"/>
      <c r="U702" s="448"/>
      <c r="V702" s="448"/>
    </row>
    <row r="703">
      <c r="A703" s="448"/>
      <c r="B703" s="448"/>
      <c r="C703" s="448"/>
      <c r="D703" s="448"/>
      <c r="E703" s="448"/>
      <c r="F703" s="448"/>
      <c r="G703" s="448"/>
      <c r="H703" s="448"/>
      <c r="I703" s="448"/>
      <c r="J703" s="448"/>
      <c r="K703" s="448"/>
      <c r="L703" s="448"/>
      <c r="M703" s="448"/>
      <c r="N703" s="448"/>
      <c r="O703" s="448"/>
      <c r="P703" s="448"/>
      <c r="Q703" s="448"/>
      <c r="R703" s="448"/>
      <c r="S703" s="448"/>
      <c r="T703" s="448"/>
      <c r="U703" s="448"/>
      <c r="V703" s="448"/>
    </row>
    <row r="704">
      <c r="A704" s="448"/>
      <c r="B704" s="448"/>
      <c r="C704" s="448"/>
      <c r="D704" s="448"/>
      <c r="E704" s="448"/>
      <c r="F704" s="448"/>
      <c r="G704" s="448"/>
      <c r="H704" s="448"/>
      <c r="I704" s="448"/>
      <c r="J704" s="448"/>
      <c r="K704" s="448"/>
      <c r="L704" s="448"/>
      <c r="M704" s="448"/>
      <c r="N704" s="448"/>
      <c r="O704" s="448"/>
      <c r="P704" s="448"/>
      <c r="Q704" s="448"/>
      <c r="R704" s="448"/>
      <c r="S704" s="448"/>
      <c r="T704" s="448"/>
      <c r="U704" s="448"/>
      <c r="V704" s="448"/>
    </row>
    <row r="705">
      <c r="A705" s="448"/>
      <c r="B705" s="448"/>
      <c r="C705" s="448"/>
      <c r="D705" s="448"/>
      <c r="E705" s="448"/>
      <c r="F705" s="448"/>
      <c r="G705" s="448"/>
      <c r="H705" s="448"/>
      <c r="I705" s="448"/>
      <c r="J705" s="448"/>
      <c r="K705" s="448"/>
      <c r="L705" s="448"/>
      <c r="M705" s="448"/>
      <c r="N705" s="448"/>
      <c r="O705" s="448"/>
      <c r="P705" s="448"/>
      <c r="Q705" s="448"/>
      <c r="R705" s="448"/>
      <c r="S705" s="448"/>
      <c r="T705" s="448"/>
      <c r="U705" s="448"/>
      <c r="V705" s="448"/>
    </row>
    <row r="706">
      <c r="A706" s="448"/>
      <c r="B706" s="448"/>
      <c r="C706" s="448"/>
      <c r="D706" s="448"/>
      <c r="E706" s="448"/>
      <c r="F706" s="448"/>
      <c r="G706" s="448"/>
      <c r="H706" s="448"/>
      <c r="I706" s="448"/>
      <c r="J706" s="448"/>
      <c r="K706" s="448"/>
      <c r="L706" s="448"/>
      <c r="M706" s="448"/>
      <c r="N706" s="448"/>
      <c r="O706" s="448"/>
      <c r="P706" s="448"/>
      <c r="Q706" s="448"/>
      <c r="R706" s="448"/>
      <c r="S706" s="448"/>
      <c r="T706" s="448"/>
      <c r="U706" s="448"/>
      <c r="V706" s="448"/>
    </row>
    <row r="707">
      <c r="A707" s="448"/>
      <c r="B707" s="448"/>
      <c r="C707" s="448"/>
      <c r="D707" s="448"/>
      <c r="E707" s="448"/>
      <c r="F707" s="448"/>
      <c r="G707" s="448"/>
      <c r="H707" s="448"/>
      <c r="I707" s="448"/>
      <c r="J707" s="448"/>
      <c r="K707" s="448"/>
      <c r="L707" s="448"/>
      <c r="M707" s="448"/>
      <c r="N707" s="448"/>
      <c r="O707" s="448"/>
      <c r="P707" s="448"/>
      <c r="Q707" s="448"/>
      <c r="R707" s="448"/>
      <c r="S707" s="448"/>
      <c r="T707" s="448"/>
      <c r="U707" s="448"/>
      <c r="V707" s="448"/>
    </row>
    <row r="708">
      <c r="A708" s="448"/>
      <c r="B708" s="448"/>
      <c r="C708" s="448"/>
      <c r="D708" s="448"/>
      <c r="E708" s="448"/>
      <c r="F708" s="448"/>
      <c r="G708" s="448"/>
      <c r="H708" s="448"/>
      <c r="I708" s="448"/>
      <c r="J708" s="448"/>
      <c r="K708" s="448"/>
      <c r="L708" s="448"/>
      <c r="M708" s="448"/>
      <c r="N708" s="448"/>
      <c r="O708" s="448"/>
      <c r="P708" s="448"/>
      <c r="Q708" s="448"/>
      <c r="R708" s="448"/>
      <c r="S708" s="448"/>
      <c r="T708" s="448"/>
      <c r="U708" s="448"/>
      <c r="V708" s="448"/>
    </row>
    <row r="709">
      <c r="A709" s="448"/>
      <c r="B709" s="448"/>
      <c r="C709" s="448"/>
      <c r="D709" s="448"/>
      <c r="E709" s="448"/>
      <c r="F709" s="448"/>
      <c r="G709" s="448"/>
      <c r="H709" s="448"/>
      <c r="I709" s="448"/>
      <c r="J709" s="448"/>
      <c r="K709" s="448"/>
      <c r="L709" s="448"/>
      <c r="M709" s="448"/>
      <c r="N709" s="448"/>
      <c r="O709" s="448"/>
      <c r="P709" s="448"/>
      <c r="Q709" s="448"/>
      <c r="R709" s="448"/>
      <c r="S709" s="448"/>
      <c r="T709" s="448"/>
      <c r="U709" s="448"/>
      <c r="V709" s="448"/>
    </row>
    <row r="710">
      <c r="A710" s="448"/>
      <c r="B710" s="448"/>
      <c r="C710" s="448"/>
      <c r="D710" s="448"/>
      <c r="E710" s="448"/>
      <c r="F710" s="448"/>
      <c r="G710" s="448"/>
      <c r="H710" s="448"/>
      <c r="I710" s="448"/>
      <c r="J710" s="448"/>
      <c r="K710" s="448"/>
      <c r="L710" s="448"/>
      <c r="M710" s="448"/>
      <c r="N710" s="448"/>
      <c r="O710" s="448"/>
      <c r="P710" s="448"/>
      <c r="Q710" s="448"/>
      <c r="R710" s="448"/>
      <c r="S710" s="448"/>
      <c r="T710" s="448"/>
      <c r="U710" s="448"/>
      <c r="V710" s="448"/>
    </row>
    <row r="711">
      <c r="A711" s="448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48"/>
      <c r="M711" s="448"/>
      <c r="N711" s="448"/>
      <c r="O711" s="448"/>
      <c r="P711" s="448"/>
      <c r="Q711" s="448"/>
      <c r="R711" s="448"/>
      <c r="S711" s="448"/>
      <c r="T711" s="448"/>
      <c r="U711" s="448"/>
      <c r="V711" s="448"/>
    </row>
    <row r="712">
      <c r="A712" s="448"/>
      <c r="B712" s="448"/>
      <c r="C712" s="448"/>
      <c r="D712" s="448"/>
      <c r="E712" s="448"/>
      <c r="F712" s="448"/>
      <c r="G712" s="448"/>
      <c r="H712" s="448"/>
      <c r="I712" s="448"/>
      <c r="J712" s="448"/>
      <c r="K712" s="448"/>
      <c r="L712" s="448"/>
      <c r="M712" s="448"/>
      <c r="N712" s="448"/>
      <c r="O712" s="448"/>
      <c r="P712" s="448"/>
      <c r="Q712" s="448"/>
      <c r="R712" s="448"/>
      <c r="S712" s="448"/>
      <c r="T712" s="448"/>
      <c r="U712" s="448"/>
      <c r="V712" s="448"/>
    </row>
    <row r="713">
      <c r="A713" s="448"/>
      <c r="B713" s="448"/>
      <c r="C713" s="448"/>
      <c r="D713" s="448"/>
      <c r="E713" s="448"/>
      <c r="F713" s="448"/>
      <c r="G713" s="448"/>
      <c r="H713" s="448"/>
      <c r="I713" s="448"/>
      <c r="J713" s="448"/>
      <c r="K713" s="448"/>
      <c r="L713" s="448"/>
      <c r="M713" s="448"/>
      <c r="N713" s="448"/>
      <c r="O713" s="448"/>
      <c r="P713" s="448"/>
      <c r="Q713" s="448"/>
      <c r="R713" s="448"/>
      <c r="S713" s="448"/>
      <c r="T713" s="448"/>
      <c r="U713" s="448"/>
      <c r="V713" s="448"/>
    </row>
    <row r="714">
      <c r="A714" s="448"/>
      <c r="B714" s="448"/>
      <c r="C714" s="448"/>
      <c r="D714" s="448"/>
      <c r="E714" s="448"/>
      <c r="F714" s="448"/>
      <c r="G714" s="448"/>
      <c r="H714" s="448"/>
      <c r="I714" s="448"/>
      <c r="J714" s="448"/>
      <c r="K714" s="448"/>
      <c r="L714" s="448"/>
      <c r="M714" s="448"/>
      <c r="N714" s="448"/>
      <c r="O714" s="448"/>
      <c r="P714" s="448"/>
      <c r="Q714" s="448"/>
      <c r="R714" s="448"/>
      <c r="S714" s="448"/>
      <c r="T714" s="448"/>
      <c r="U714" s="448"/>
      <c r="V714" s="448"/>
    </row>
    <row r="715">
      <c r="A715" s="448"/>
      <c r="B715" s="448"/>
      <c r="C715" s="448"/>
      <c r="D715" s="448"/>
      <c r="E715" s="448"/>
      <c r="F715" s="448"/>
      <c r="G715" s="448"/>
      <c r="H715" s="448"/>
      <c r="I715" s="448"/>
      <c r="J715" s="448"/>
      <c r="K715" s="448"/>
      <c r="L715" s="448"/>
      <c r="M715" s="448"/>
      <c r="N715" s="448"/>
      <c r="O715" s="448"/>
      <c r="P715" s="448"/>
      <c r="Q715" s="448"/>
      <c r="R715" s="448"/>
      <c r="S715" s="448"/>
      <c r="T715" s="448"/>
      <c r="U715" s="448"/>
      <c r="V715" s="448"/>
    </row>
    <row r="716">
      <c r="A716" s="448"/>
      <c r="B716" s="448"/>
      <c r="C716" s="448"/>
      <c r="D716" s="448"/>
      <c r="E716" s="448"/>
      <c r="F716" s="448"/>
      <c r="G716" s="448"/>
      <c r="H716" s="448"/>
      <c r="I716" s="448"/>
      <c r="J716" s="448"/>
      <c r="K716" s="448"/>
      <c r="L716" s="448"/>
      <c r="M716" s="448"/>
      <c r="N716" s="448"/>
      <c r="O716" s="448"/>
      <c r="P716" s="448"/>
      <c r="Q716" s="448"/>
      <c r="R716" s="448"/>
      <c r="S716" s="448"/>
      <c r="T716" s="448"/>
      <c r="U716" s="448"/>
      <c r="V716" s="448"/>
    </row>
    <row r="717">
      <c r="A717" s="448"/>
      <c r="B717" s="448"/>
      <c r="C717" s="448"/>
      <c r="D717" s="448"/>
      <c r="E717" s="448"/>
      <c r="F717" s="448"/>
      <c r="G717" s="448"/>
      <c r="H717" s="448"/>
      <c r="I717" s="448"/>
      <c r="J717" s="448"/>
      <c r="K717" s="448"/>
      <c r="L717" s="448"/>
      <c r="M717" s="448"/>
      <c r="N717" s="448"/>
      <c r="O717" s="448"/>
      <c r="P717" s="448"/>
      <c r="Q717" s="448"/>
      <c r="R717" s="448"/>
      <c r="S717" s="448"/>
      <c r="T717" s="448"/>
      <c r="U717" s="448"/>
      <c r="V717" s="448"/>
    </row>
    <row r="718">
      <c r="A718" s="448"/>
      <c r="B718" s="448"/>
      <c r="C718" s="448"/>
      <c r="D718" s="448"/>
      <c r="E718" s="448"/>
      <c r="F718" s="448"/>
      <c r="G718" s="448"/>
      <c r="H718" s="448"/>
      <c r="I718" s="448"/>
      <c r="J718" s="448"/>
      <c r="K718" s="448"/>
      <c r="L718" s="448"/>
      <c r="M718" s="448"/>
      <c r="N718" s="448"/>
      <c r="O718" s="448"/>
      <c r="P718" s="448"/>
      <c r="Q718" s="448"/>
      <c r="R718" s="448"/>
      <c r="S718" s="448"/>
      <c r="T718" s="448"/>
      <c r="U718" s="448"/>
      <c r="V718" s="448"/>
    </row>
    <row r="719">
      <c r="A719" s="448"/>
      <c r="B719" s="448"/>
      <c r="C719" s="448"/>
      <c r="D719" s="448"/>
      <c r="E719" s="448"/>
      <c r="F719" s="448"/>
      <c r="G719" s="448"/>
      <c r="H719" s="448"/>
      <c r="I719" s="448"/>
      <c r="J719" s="448"/>
      <c r="K719" s="448"/>
      <c r="L719" s="448"/>
      <c r="M719" s="448"/>
      <c r="N719" s="448"/>
      <c r="O719" s="448"/>
      <c r="P719" s="448"/>
      <c r="Q719" s="448"/>
      <c r="R719" s="448"/>
      <c r="S719" s="448"/>
      <c r="T719" s="448"/>
      <c r="U719" s="448"/>
      <c r="V719" s="448"/>
    </row>
    <row r="720">
      <c r="A720" s="448"/>
      <c r="B720" s="448"/>
      <c r="C720" s="448"/>
      <c r="D720" s="448"/>
      <c r="E720" s="448"/>
      <c r="F720" s="448"/>
      <c r="G720" s="448"/>
      <c r="H720" s="448"/>
      <c r="I720" s="448"/>
      <c r="J720" s="448"/>
      <c r="K720" s="448"/>
      <c r="L720" s="448"/>
      <c r="M720" s="448"/>
      <c r="N720" s="448"/>
      <c r="O720" s="448"/>
      <c r="P720" s="448"/>
      <c r="Q720" s="448"/>
      <c r="R720" s="448"/>
      <c r="S720" s="448"/>
      <c r="T720" s="448"/>
      <c r="U720" s="448"/>
      <c r="V720" s="448"/>
    </row>
    <row r="721">
      <c r="A721" s="448"/>
      <c r="B721" s="448"/>
      <c r="C721" s="448"/>
      <c r="D721" s="448"/>
      <c r="E721" s="448"/>
      <c r="F721" s="448"/>
      <c r="G721" s="448"/>
      <c r="H721" s="448"/>
      <c r="I721" s="448"/>
      <c r="J721" s="448"/>
      <c r="K721" s="448"/>
      <c r="L721" s="448"/>
      <c r="M721" s="448"/>
      <c r="N721" s="448"/>
      <c r="O721" s="448"/>
      <c r="P721" s="448"/>
      <c r="Q721" s="448"/>
      <c r="R721" s="448"/>
      <c r="S721" s="448"/>
      <c r="T721" s="448"/>
      <c r="U721" s="448"/>
      <c r="V721" s="448"/>
    </row>
    <row r="722">
      <c r="A722" s="448"/>
      <c r="B722" s="448"/>
      <c r="C722" s="448"/>
      <c r="D722" s="448"/>
      <c r="E722" s="448"/>
      <c r="F722" s="448"/>
      <c r="G722" s="448"/>
      <c r="H722" s="448"/>
      <c r="I722" s="448"/>
      <c r="J722" s="448"/>
      <c r="K722" s="448"/>
      <c r="L722" s="448"/>
      <c r="M722" s="448"/>
      <c r="N722" s="448"/>
      <c r="O722" s="448"/>
      <c r="P722" s="448"/>
      <c r="Q722" s="448"/>
      <c r="R722" s="448"/>
      <c r="S722" s="448"/>
      <c r="T722" s="448"/>
      <c r="U722" s="448"/>
      <c r="V722" s="448"/>
    </row>
    <row r="723">
      <c r="A723" s="448"/>
      <c r="B723" s="448"/>
      <c r="C723" s="448"/>
      <c r="D723" s="448"/>
      <c r="E723" s="448"/>
      <c r="F723" s="448"/>
      <c r="G723" s="448"/>
      <c r="H723" s="448"/>
      <c r="I723" s="448"/>
      <c r="J723" s="448"/>
      <c r="K723" s="448"/>
      <c r="L723" s="448"/>
      <c r="M723" s="448"/>
      <c r="N723" s="448"/>
      <c r="O723" s="448"/>
      <c r="P723" s="448"/>
      <c r="Q723" s="448"/>
      <c r="R723" s="448"/>
      <c r="S723" s="448"/>
      <c r="T723" s="448"/>
      <c r="U723" s="448"/>
      <c r="V723" s="448"/>
    </row>
    <row r="724">
      <c r="A724" s="448"/>
      <c r="B724" s="448"/>
      <c r="C724" s="448"/>
      <c r="D724" s="448"/>
      <c r="E724" s="448"/>
      <c r="F724" s="448"/>
      <c r="G724" s="448"/>
      <c r="H724" s="448"/>
      <c r="I724" s="448"/>
      <c r="J724" s="448"/>
      <c r="K724" s="448"/>
      <c r="L724" s="448"/>
      <c r="M724" s="448"/>
      <c r="N724" s="448"/>
      <c r="O724" s="448"/>
      <c r="P724" s="448"/>
      <c r="Q724" s="448"/>
      <c r="R724" s="448"/>
      <c r="S724" s="448"/>
      <c r="T724" s="448"/>
      <c r="U724" s="448"/>
      <c r="V724" s="448"/>
    </row>
    <row r="725">
      <c r="A725" s="448"/>
      <c r="B725" s="448"/>
      <c r="C725" s="448"/>
      <c r="D725" s="448"/>
      <c r="E725" s="448"/>
      <c r="F725" s="448"/>
      <c r="G725" s="448"/>
      <c r="H725" s="448"/>
      <c r="I725" s="448"/>
      <c r="J725" s="448"/>
      <c r="K725" s="448"/>
      <c r="L725" s="448"/>
      <c r="M725" s="448"/>
      <c r="N725" s="448"/>
      <c r="O725" s="448"/>
      <c r="P725" s="448"/>
      <c r="Q725" s="448"/>
      <c r="R725" s="448"/>
      <c r="S725" s="448"/>
      <c r="T725" s="448"/>
      <c r="U725" s="448"/>
      <c r="V725" s="448"/>
    </row>
    <row r="726">
      <c r="A726" s="448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48"/>
      <c r="M726" s="448"/>
      <c r="N726" s="448"/>
      <c r="O726" s="448"/>
      <c r="P726" s="448"/>
      <c r="Q726" s="448"/>
      <c r="R726" s="448"/>
      <c r="S726" s="448"/>
      <c r="T726" s="448"/>
      <c r="U726" s="448"/>
      <c r="V726" s="448"/>
    </row>
    <row r="727">
      <c r="A727" s="448"/>
      <c r="B727" s="448"/>
      <c r="C727" s="448"/>
      <c r="D727" s="448"/>
      <c r="E727" s="448"/>
      <c r="F727" s="448"/>
      <c r="G727" s="448"/>
      <c r="H727" s="448"/>
      <c r="I727" s="448"/>
      <c r="J727" s="448"/>
      <c r="K727" s="448"/>
      <c r="L727" s="448"/>
      <c r="M727" s="448"/>
      <c r="N727" s="448"/>
      <c r="O727" s="448"/>
      <c r="P727" s="448"/>
      <c r="Q727" s="448"/>
      <c r="R727" s="448"/>
      <c r="S727" s="448"/>
      <c r="T727" s="448"/>
      <c r="U727" s="448"/>
      <c r="V727" s="448"/>
    </row>
    <row r="728">
      <c r="A728" s="448"/>
      <c r="B728" s="448"/>
      <c r="C728" s="448"/>
      <c r="D728" s="448"/>
      <c r="E728" s="448"/>
      <c r="F728" s="448"/>
      <c r="G728" s="448"/>
      <c r="H728" s="448"/>
      <c r="I728" s="448"/>
      <c r="J728" s="448"/>
      <c r="K728" s="448"/>
      <c r="L728" s="448"/>
      <c r="M728" s="448"/>
      <c r="N728" s="448"/>
      <c r="O728" s="448"/>
      <c r="P728" s="448"/>
      <c r="Q728" s="448"/>
      <c r="R728" s="448"/>
      <c r="S728" s="448"/>
      <c r="T728" s="448"/>
      <c r="U728" s="448"/>
      <c r="V728" s="448"/>
    </row>
    <row r="729">
      <c r="A729" s="448"/>
      <c r="B729" s="448"/>
      <c r="C729" s="448"/>
      <c r="D729" s="448"/>
      <c r="E729" s="448"/>
      <c r="F729" s="448"/>
      <c r="G729" s="448"/>
      <c r="H729" s="448"/>
      <c r="I729" s="448"/>
      <c r="J729" s="448"/>
      <c r="K729" s="448"/>
      <c r="L729" s="448"/>
      <c r="M729" s="448"/>
      <c r="N729" s="448"/>
      <c r="O729" s="448"/>
      <c r="P729" s="448"/>
      <c r="Q729" s="448"/>
      <c r="R729" s="448"/>
      <c r="S729" s="448"/>
      <c r="T729" s="448"/>
      <c r="U729" s="448"/>
      <c r="V729" s="448"/>
    </row>
    <row r="730">
      <c r="A730" s="448"/>
      <c r="B730" s="448"/>
      <c r="C730" s="448"/>
      <c r="D730" s="448"/>
      <c r="E730" s="448"/>
      <c r="F730" s="448"/>
      <c r="G730" s="448"/>
      <c r="H730" s="448"/>
      <c r="I730" s="448"/>
      <c r="J730" s="448"/>
      <c r="K730" s="448"/>
      <c r="L730" s="448"/>
      <c r="M730" s="448"/>
      <c r="N730" s="448"/>
      <c r="O730" s="448"/>
      <c r="P730" s="448"/>
      <c r="Q730" s="448"/>
      <c r="R730" s="448"/>
      <c r="S730" s="448"/>
      <c r="T730" s="448"/>
      <c r="U730" s="448"/>
      <c r="V730" s="448"/>
    </row>
    <row r="731">
      <c r="A731" s="448"/>
      <c r="B731" s="448"/>
      <c r="C731" s="448"/>
      <c r="D731" s="448"/>
      <c r="E731" s="448"/>
      <c r="F731" s="448"/>
      <c r="G731" s="448"/>
      <c r="H731" s="448"/>
      <c r="I731" s="448"/>
      <c r="J731" s="448"/>
      <c r="K731" s="448"/>
      <c r="L731" s="448"/>
      <c r="M731" s="448"/>
      <c r="N731" s="448"/>
      <c r="O731" s="448"/>
      <c r="P731" s="448"/>
      <c r="Q731" s="448"/>
      <c r="R731" s="448"/>
      <c r="S731" s="448"/>
      <c r="T731" s="448"/>
      <c r="U731" s="448"/>
      <c r="V731" s="448"/>
    </row>
    <row r="732">
      <c r="A732" s="448"/>
      <c r="B732" s="448"/>
      <c r="C732" s="448"/>
      <c r="D732" s="448"/>
      <c r="E732" s="448"/>
      <c r="F732" s="448"/>
      <c r="G732" s="448"/>
      <c r="H732" s="448"/>
      <c r="I732" s="448"/>
      <c r="J732" s="448"/>
      <c r="K732" s="448"/>
      <c r="L732" s="448"/>
      <c r="M732" s="448"/>
      <c r="N732" s="448"/>
      <c r="O732" s="448"/>
      <c r="P732" s="448"/>
      <c r="Q732" s="448"/>
      <c r="R732" s="448"/>
      <c r="S732" s="448"/>
      <c r="T732" s="448"/>
      <c r="U732" s="448"/>
      <c r="V732" s="448"/>
    </row>
    <row r="733">
      <c r="A733" s="448"/>
      <c r="B733" s="448"/>
      <c r="C733" s="448"/>
      <c r="D733" s="448"/>
      <c r="E733" s="448"/>
      <c r="F733" s="448"/>
      <c r="G733" s="448"/>
      <c r="H733" s="448"/>
      <c r="I733" s="448"/>
      <c r="J733" s="448"/>
      <c r="K733" s="448"/>
      <c r="L733" s="448"/>
      <c r="M733" s="448"/>
      <c r="N733" s="448"/>
      <c r="O733" s="448"/>
      <c r="P733" s="448"/>
      <c r="Q733" s="448"/>
      <c r="R733" s="448"/>
      <c r="S733" s="448"/>
      <c r="T733" s="448"/>
      <c r="U733" s="448"/>
      <c r="V733" s="448"/>
    </row>
    <row r="734">
      <c r="A734" s="448"/>
      <c r="B734" s="448"/>
      <c r="C734" s="448"/>
      <c r="D734" s="448"/>
      <c r="E734" s="448"/>
      <c r="F734" s="448"/>
      <c r="G734" s="448"/>
      <c r="H734" s="448"/>
      <c r="I734" s="448"/>
      <c r="J734" s="448"/>
      <c r="K734" s="448"/>
      <c r="L734" s="448"/>
      <c r="M734" s="448"/>
      <c r="N734" s="448"/>
      <c r="O734" s="448"/>
      <c r="P734" s="448"/>
      <c r="Q734" s="448"/>
      <c r="R734" s="448"/>
      <c r="S734" s="448"/>
      <c r="T734" s="448"/>
      <c r="U734" s="448"/>
      <c r="V734" s="448"/>
    </row>
    <row r="735">
      <c r="A735" s="448"/>
      <c r="B735" s="448"/>
      <c r="C735" s="448"/>
      <c r="D735" s="448"/>
      <c r="E735" s="448"/>
      <c r="F735" s="448"/>
      <c r="G735" s="448"/>
      <c r="H735" s="448"/>
      <c r="I735" s="448"/>
      <c r="J735" s="448"/>
      <c r="K735" s="448"/>
      <c r="L735" s="448"/>
      <c r="M735" s="448"/>
      <c r="N735" s="448"/>
      <c r="O735" s="448"/>
      <c r="P735" s="448"/>
      <c r="Q735" s="448"/>
      <c r="R735" s="448"/>
      <c r="S735" s="448"/>
      <c r="T735" s="448"/>
      <c r="U735" s="448"/>
      <c r="V735" s="448"/>
    </row>
    <row r="736">
      <c r="A736" s="448"/>
      <c r="B736" s="448"/>
      <c r="C736" s="448"/>
      <c r="D736" s="448"/>
      <c r="E736" s="448"/>
      <c r="F736" s="448"/>
      <c r="G736" s="448"/>
      <c r="H736" s="448"/>
      <c r="I736" s="448"/>
      <c r="J736" s="448"/>
      <c r="K736" s="448"/>
      <c r="L736" s="448"/>
      <c r="M736" s="448"/>
      <c r="N736" s="448"/>
      <c r="O736" s="448"/>
      <c r="P736" s="448"/>
      <c r="Q736" s="448"/>
      <c r="R736" s="448"/>
      <c r="S736" s="448"/>
      <c r="T736" s="448"/>
      <c r="U736" s="448"/>
      <c r="V736" s="448"/>
    </row>
    <row r="737">
      <c r="A737" s="448"/>
      <c r="B737" s="448"/>
      <c r="C737" s="448"/>
      <c r="D737" s="448"/>
      <c r="E737" s="448"/>
      <c r="F737" s="448"/>
      <c r="G737" s="448"/>
      <c r="H737" s="448"/>
      <c r="I737" s="448"/>
      <c r="J737" s="448"/>
      <c r="K737" s="448"/>
      <c r="L737" s="448"/>
      <c r="M737" s="448"/>
      <c r="N737" s="448"/>
      <c r="O737" s="448"/>
      <c r="P737" s="448"/>
      <c r="Q737" s="448"/>
      <c r="R737" s="448"/>
      <c r="S737" s="448"/>
      <c r="T737" s="448"/>
      <c r="U737" s="448"/>
      <c r="V737" s="448"/>
    </row>
    <row r="738">
      <c r="A738" s="448"/>
      <c r="B738" s="448"/>
      <c r="C738" s="448"/>
      <c r="D738" s="448"/>
      <c r="E738" s="448"/>
      <c r="F738" s="448"/>
      <c r="G738" s="448"/>
      <c r="H738" s="448"/>
      <c r="I738" s="448"/>
      <c r="J738" s="448"/>
      <c r="K738" s="448"/>
      <c r="L738" s="448"/>
      <c r="M738" s="448"/>
      <c r="N738" s="448"/>
      <c r="O738" s="448"/>
      <c r="P738" s="448"/>
      <c r="Q738" s="448"/>
      <c r="R738" s="448"/>
      <c r="S738" s="448"/>
      <c r="T738" s="448"/>
      <c r="U738" s="448"/>
      <c r="V738" s="448"/>
    </row>
    <row r="739">
      <c r="A739" s="448"/>
      <c r="B739" s="448"/>
      <c r="C739" s="448"/>
      <c r="D739" s="448"/>
      <c r="E739" s="448"/>
      <c r="F739" s="448"/>
      <c r="G739" s="448"/>
      <c r="H739" s="448"/>
      <c r="I739" s="448"/>
      <c r="J739" s="448"/>
      <c r="K739" s="448"/>
      <c r="L739" s="448"/>
      <c r="M739" s="448"/>
      <c r="N739" s="448"/>
      <c r="O739" s="448"/>
      <c r="P739" s="448"/>
      <c r="Q739" s="448"/>
      <c r="R739" s="448"/>
      <c r="S739" s="448"/>
      <c r="T739" s="448"/>
      <c r="U739" s="448"/>
      <c r="V739" s="448"/>
    </row>
    <row r="740">
      <c r="A740" s="448"/>
      <c r="B740" s="448"/>
      <c r="C740" s="448"/>
      <c r="D740" s="448"/>
      <c r="E740" s="448"/>
      <c r="F740" s="448"/>
      <c r="G740" s="448"/>
      <c r="H740" s="448"/>
      <c r="I740" s="448"/>
      <c r="J740" s="448"/>
      <c r="K740" s="448"/>
      <c r="L740" s="448"/>
      <c r="M740" s="448"/>
      <c r="N740" s="448"/>
      <c r="O740" s="448"/>
      <c r="P740" s="448"/>
      <c r="Q740" s="448"/>
      <c r="R740" s="448"/>
      <c r="S740" s="448"/>
      <c r="T740" s="448"/>
      <c r="U740" s="448"/>
      <c r="V740" s="448"/>
    </row>
    <row r="741">
      <c r="A741" s="448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48"/>
      <c r="M741" s="448"/>
      <c r="N741" s="448"/>
      <c r="O741" s="448"/>
      <c r="P741" s="448"/>
      <c r="Q741" s="448"/>
      <c r="R741" s="448"/>
      <c r="S741" s="448"/>
      <c r="T741" s="448"/>
      <c r="U741" s="448"/>
      <c r="V741" s="448"/>
    </row>
    <row r="742">
      <c r="A742" s="448"/>
      <c r="B742" s="448"/>
      <c r="C742" s="448"/>
      <c r="D742" s="448"/>
      <c r="E742" s="448"/>
      <c r="F742" s="448"/>
      <c r="G742" s="448"/>
      <c r="H742" s="448"/>
      <c r="I742" s="448"/>
      <c r="J742" s="448"/>
      <c r="K742" s="448"/>
      <c r="L742" s="448"/>
      <c r="M742" s="448"/>
      <c r="N742" s="448"/>
      <c r="O742" s="448"/>
      <c r="P742" s="448"/>
      <c r="Q742" s="448"/>
      <c r="R742" s="448"/>
      <c r="S742" s="448"/>
      <c r="T742" s="448"/>
      <c r="U742" s="448"/>
      <c r="V742" s="448"/>
    </row>
    <row r="743">
      <c r="A743" s="448"/>
      <c r="B743" s="448"/>
      <c r="C743" s="448"/>
      <c r="D743" s="448"/>
      <c r="E743" s="448"/>
      <c r="F743" s="448"/>
      <c r="G743" s="448"/>
      <c r="H743" s="448"/>
      <c r="I743" s="448"/>
      <c r="J743" s="448"/>
      <c r="K743" s="448"/>
      <c r="L743" s="448"/>
      <c r="M743" s="448"/>
      <c r="N743" s="448"/>
      <c r="O743" s="448"/>
      <c r="P743" s="448"/>
      <c r="Q743" s="448"/>
      <c r="R743" s="448"/>
      <c r="S743" s="448"/>
      <c r="T743" s="448"/>
      <c r="U743" s="448"/>
      <c r="V743" s="448"/>
    </row>
    <row r="744">
      <c r="A744" s="448"/>
      <c r="B744" s="448"/>
      <c r="C744" s="448"/>
      <c r="D744" s="448"/>
      <c r="E744" s="448"/>
      <c r="F744" s="448"/>
      <c r="G744" s="448"/>
      <c r="H744" s="448"/>
      <c r="I744" s="448"/>
      <c r="J744" s="448"/>
      <c r="K744" s="448"/>
      <c r="L744" s="448"/>
      <c r="M744" s="448"/>
      <c r="N744" s="448"/>
      <c r="O744" s="448"/>
      <c r="P744" s="448"/>
      <c r="Q744" s="448"/>
      <c r="R744" s="448"/>
      <c r="S744" s="448"/>
      <c r="T744" s="448"/>
      <c r="U744" s="448"/>
      <c r="V744" s="448"/>
    </row>
    <row r="745">
      <c r="A745" s="448"/>
      <c r="B745" s="448"/>
      <c r="C745" s="448"/>
      <c r="D745" s="448"/>
      <c r="E745" s="448"/>
      <c r="F745" s="448"/>
      <c r="G745" s="448"/>
      <c r="H745" s="448"/>
      <c r="I745" s="448"/>
      <c r="J745" s="448"/>
      <c r="K745" s="448"/>
      <c r="L745" s="448"/>
      <c r="M745" s="448"/>
      <c r="N745" s="448"/>
      <c r="O745" s="448"/>
      <c r="P745" s="448"/>
      <c r="Q745" s="448"/>
      <c r="R745" s="448"/>
      <c r="S745" s="448"/>
      <c r="T745" s="448"/>
      <c r="U745" s="448"/>
      <c r="V745" s="448"/>
    </row>
    <row r="746">
      <c r="A746" s="448"/>
      <c r="B746" s="448"/>
      <c r="C746" s="448"/>
      <c r="D746" s="448"/>
      <c r="E746" s="448"/>
      <c r="F746" s="448"/>
      <c r="G746" s="448"/>
      <c r="H746" s="448"/>
      <c r="I746" s="448"/>
      <c r="J746" s="448"/>
      <c r="K746" s="448"/>
      <c r="L746" s="448"/>
      <c r="M746" s="448"/>
      <c r="N746" s="448"/>
      <c r="O746" s="448"/>
      <c r="P746" s="448"/>
      <c r="Q746" s="448"/>
      <c r="R746" s="448"/>
      <c r="S746" s="448"/>
      <c r="T746" s="448"/>
      <c r="U746" s="448"/>
      <c r="V746" s="448"/>
    </row>
    <row r="747">
      <c r="A747" s="448"/>
      <c r="B747" s="448"/>
      <c r="C747" s="448"/>
      <c r="D747" s="448"/>
      <c r="E747" s="448"/>
      <c r="F747" s="448"/>
      <c r="G747" s="448"/>
      <c r="H747" s="448"/>
      <c r="I747" s="448"/>
      <c r="J747" s="448"/>
      <c r="K747" s="448"/>
      <c r="L747" s="448"/>
      <c r="M747" s="448"/>
      <c r="N747" s="448"/>
      <c r="O747" s="448"/>
      <c r="P747" s="448"/>
      <c r="Q747" s="448"/>
      <c r="R747" s="448"/>
      <c r="S747" s="448"/>
      <c r="T747" s="448"/>
      <c r="U747" s="448"/>
      <c r="V747" s="448"/>
    </row>
    <row r="748">
      <c r="A748" s="448"/>
      <c r="B748" s="448"/>
      <c r="C748" s="448"/>
      <c r="D748" s="448"/>
      <c r="E748" s="448"/>
      <c r="F748" s="448"/>
      <c r="G748" s="448"/>
      <c r="H748" s="448"/>
      <c r="I748" s="448"/>
      <c r="J748" s="448"/>
      <c r="K748" s="448"/>
      <c r="L748" s="448"/>
      <c r="M748" s="448"/>
      <c r="N748" s="448"/>
      <c r="O748" s="448"/>
      <c r="P748" s="448"/>
      <c r="Q748" s="448"/>
      <c r="R748" s="448"/>
      <c r="S748" s="448"/>
      <c r="T748" s="448"/>
      <c r="U748" s="448"/>
      <c r="V748" s="448"/>
    </row>
    <row r="749">
      <c r="A749" s="448"/>
      <c r="B749" s="448"/>
      <c r="C749" s="448"/>
      <c r="D749" s="448"/>
      <c r="E749" s="448"/>
      <c r="F749" s="448"/>
      <c r="G749" s="448"/>
      <c r="H749" s="448"/>
      <c r="I749" s="448"/>
      <c r="J749" s="448"/>
      <c r="K749" s="448"/>
      <c r="L749" s="448"/>
      <c r="M749" s="448"/>
      <c r="N749" s="448"/>
      <c r="O749" s="448"/>
      <c r="P749" s="448"/>
      <c r="Q749" s="448"/>
      <c r="R749" s="448"/>
      <c r="S749" s="448"/>
      <c r="T749" s="448"/>
      <c r="U749" s="448"/>
      <c r="V749" s="448"/>
    </row>
    <row r="750">
      <c r="A750" s="448"/>
      <c r="B750" s="448"/>
      <c r="C750" s="448"/>
      <c r="D750" s="448"/>
      <c r="E750" s="448"/>
      <c r="F750" s="448"/>
      <c r="G750" s="448"/>
      <c r="H750" s="448"/>
      <c r="I750" s="448"/>
      <c r="J750" s="448"/>
      <c r="K750" s="448"/>
      <c r="L750" s="448"/>
      <c r="M750" s="448"/>
      <c r="N750" s="448"/>
      <c r="O750" s="448"/>
      <c r="P750" s="448"/>
      <c r="Q750" s="448"/>
      <c r="R750" s="448"/>
      <c r="S750" s="448"/>
      <c r="T750" s="448"/>
      <c r="U750" s="448"/>
      <c r="V750" s="448"/>
    </row>
    <row r="751">
      <c r="A751" s="448"/>
      <c r="B751" s="448"/>
      <c r="C751" s="448"/>
      <c r="D751" s="448"/>
      <c r="E751" s="448"/>
      <c r="F751" s="448"/>
      <c r="G751" s="448"/>
      <c r="H751" s="448"/>
      <c r="I751" s="448"/>
      <c r="J751" s="448"/>
      <c r="K751" s="448"/>
      <c r="L751" s="448"/>
      <c r="M751" s="448"/>
      <c r="N751" s="448"/>
      <c r="O751" s="448"/>
      <c r="P751" s="448"/>
      <c r="Q751" s="448"/>
      <c r="R751" s="448"/>
      <c r="S751" s="448"/>
      <c r="T751" s="448"/>
      <c r="U751" s="448"/>
      <c r="V751" s="448"/>
    </row>
    <row r="752">
      <c r="A752" s="448"/>
      <c r="B752" s="448"/>
      <c r="C752" s="448"/>
      <c r="D752" s="448"/>
      <c r="E752" s="448"/>
      <c r="F752" s="448"/>
      <c r="G752" s="448"/>
      <c r="H752" s="448"/>
      <c r="I752" s="448"/>
      <c r="J752" s="448"/>
      <c r="K752" s="448"/>
      <c r="L752" s="448"/>
      <c r="M752" s="448"/>
      <c r="N752" s="448"/>
      <c r="O752" s="448"/>
      <c r="P752" s="448"/>
      <c r="Q752" s="448"/>
      <c r="R752" s="448"/>
      <c r="S752" s="448"/>
      <c r="T752" s="448"/>
      <c r="U752" s="448"/>
      <c r="V752" s="448"/>
    </row>
    <row r="753">
      <c r="A753" s="448"/>
      <c r="B753" s="448"/>
      <c r="C753" s="448"/>
      <c r="D753" s="448"/>
      <c r="E753" s="448"/>
      <c r="F753" s="448"/>
      <c r="G753" s="448"/>
      <c r="H753" s="448"/>
      <c r="I753" s="448"/>
      <c r="J753" s="448"/>
      <c r="K753" s="448"/>
      <c r="L753" s="448"/>
      <c r="M753" s="448"/>
      <c r="N753" s="448"/>
      <c r="O753" s="448"/>
      <c r="P753" s="448"/>
      <c r="Q753" s="448"/>
      <c r="R753" s="448"/>
      <c r="S753" s="448"/>
      <c r="T753" s="448"/>
      <c r="U753" s="448"/>
      <c r="V753" s="448"/>
    </row>
    <row r="754">
      <c r="A754" s="448"/>
      <c r="B754" s="448"/>
      <c r="C754" s="448"/>
      <c r="D754" s="448"/>
      <c r="E754" s="448"/>
      <c r="F754" s="448"/>
      <c r="G754" s="448"/>
      <c r="H754" s="448"/>
      <c r="I754" s="448"/>
      <c r="J754" s="448"/>
      <c r="K754" s="448"/>
      <c r="L754" s="448"/>
      <c r="M754" s="448"/>
      <c r="N754" s="448"/>
      <c r="O754" s="448"/>
      <c r="P754" s="448"/>
      <c r="Q754" s="448"/>
      <c r="R754" s="448"/>
      <c r="S754" s="448"/>
      <c r="T754" s="448"/>
      <c r="U754" s="448"/>
      <c r="V754" s="448"/>
    </row>
    <row r="755">
      <c r="A755" s="448"/>
      <c r="B755" s="448"/>
      <c r="C755" s="448"/>
      <c r="D755" s="448"/>
      <c r="E755" s="448"/>
      <c r="F755" s="448"/>
      <c r="G755" s="448"/>
      <c r="H755" s="448"/>
      <c r="I755" s="448"/>
      <c r="J755" s="448"/>
      <c r="K755" s="448"/>
      <c r="L755" s="448"/>
      <c r="M755" s="448"/>
      <c r="N755" s="448"/>
      <c r="O755" s="448"/>
      <c r="P755" s="448"/>
      <c r="Q755" s="448"/>
      <c r="R755" s="448"/>
      <c r="S755" s="448"/>
      <c r="T755" s="448"/>
      <c r="U755" s="448"/>
      <c r="V755" s="448"/>
    </row>
    <row r="756">
      <c r="A756" s="448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48"/>
      <c r="M756" s="448"/>
      <c r="N756" s="448"/>
      <c r="O756" s="448"/>
      <c r="P756" s="448"/>
      <c r="Q756" s="448"/>
      <c r="R756" s="448"/>
      <c r="S756" s="448"/>
      <c r="T756" s="448"/>
      <c r="U756" s="448"/>
      <c r="V756" s="448"/>
    </row>
    <row r="757">
      <c r="A757" s="448"/>
      <c r="B757" s="448"/>
      <c r="C757" s="448"/>
      <c r="D757" s="448"/>
      <c r="E757" s="448"/>
      <c r="F757" s="448"/>
      <c r="G757" s="448"/>
      <c r="H757" s="448"/>
      <c r="I757" s="448"/>
      <c r="J757" s="448"/>
      <c r="K757" s="448"/>
      <c r="L757" s="448"/>
      <c r="M757" s="448"/>
      <c r="N757" s="448"/>
      <c r="O757" s="448"/>
      <c r="P757" s="448"/>
      <c r="Q757" s="448"/>
      <c r="R757" s="448"/>
      <c r="S757" s="448"/>
      <c r="T757" s="448"/>
      <c r="U757" s="448"/>
      <c r="V757" s="448"/>
    </row>
    <row r="758">
      <c r="A758" s="448"/>
      <c r="B758" s="448"/>
      <c r="C758" s="448"/>
      <c r="D758" s="448"/>
      <c r="E758" s="448"/>
      <c r="F758" s="448"/>
      <c r="G758" s="448"/>
      <c r="H758" s="448"/>
      <c r="I758" s="448"/>
      <c r="J758" s="448"/>
      <c r="K758" s="448"/>
      <c r="L758" s="448"/>
      <c r="M758" s="448"/>
      <c r="N758" s="448"/>
      <c r="O758" s="448"/>
      <c r="P758" s="448"/>
      <c r="Q758" s="448"/>
      <c r="R758" s="448"/>
      <c r="S758" s="448"/>
      <c r="T758" s="448"/>
      <c r="U758" s="448"/>
      <c r="V758" s="448"/>
    </row>
    <row r="759">
      <c r="A759" s="448"/>
      <c r="B759" s="448"/>
      <c r="C759" s="448"/>
      <c r="D759" s="448"/>
      <c r="E759" s="448"/>
      <c r="F759" s="448"/>
      <c r="G759" s="448"/>
      <c r="H759" s="448"/>
      <c r="I759" s="448"/>
      <c r="J759" s="448"/>
      <c r="K759" s="448"/>
      <c r="L759" s="448"/>
      <c r="M759" s="448"/>
      <c r="N759" s="448"/>
      <c r="O759" s="448"/>
      <c r="P759" s="448"/>
      <c r="Q759" s="448"/>
      <c r="R759" s="448"/>
      <c r="S759" s="448"/>
      <c r="T759" s="448"/>
      <c r="U759" s="448"/>
      <c r="V759" s="448"/>
    </row>
    <row r="760">
      <c r="A760" s="448"/>
      <c r="B760" s="448"/>
      <c r="C760" s="448"/>
      <c r="D760" s="448"/>
      <c r="E760" s="448"/>
      <c r="F760" s="448"/>
      <c r="G760" s="448"/>
      <c r="H760" s="448"/>
      <c r="I760" s="448"/>
      <c r="J760" s="448"/>
      <c r="K760" s="448"/>
      <c r="L760" s="448"/>
      <c r="M760" s="448"/>
      <c r="N760" s="448"/>
      <c r="O760" s="448"/>
      <c r="P760" s="448"/>
      <c r="Q760" s="448"/>
      <c r="R760" s="448"/>
      <c r="S760" s="448"/>
      <c r="T760" s="448"/>
      <c r="U760" s="448"/>
      <c r="V760" s="448"/>
    </row>
    <row r="761">
      <c r="A761" s="448"/>
      <c r="B761" s="448"/>
      <c r="C761" s="448"/>
      <c r="D761" s="448"/>
      <c r="E761" s="448"/>
      <c r="F761" s="448"/>
      <c r="G761" s="448"/>
      <c r="H761" s="448"/>
      <c r="I761" s="448"/>
      <c r="J761" s="448"/>
      <c r="K761" s="448"/>
      <c r="L761" s="448"/>
      <c r="M761" s="448"/>
      <c r="N761" s="448"/>
      <c r="O761" s="448"/>
      <c r="P761" s="448"/>
      <c r="Q761" s="448"/>
      <c r="R761" s="448"/>
      <c r="S761" s="448"/>
      <c r="T761" s="448"/>
      <c r="U761" s="448"/>
      <c r="V761" s="448"/>
    </row>
    <row r="762">
      <c r="A762" s="448"/>
      <c r="B762" s="448"/>
      <c r="C762" s="448"/>
      <c r="D762" s="448"/>
      <c r="E762" s="448"/>
      <c r="F762" s="448"/>
      <c r="G762" s="448"/>
      <c r="H762" s="448"/>
      <c r="I762" s="448"/>
      <c r="J762" s="448"/>
      <c r="K762" s="448"/>
      <c r="L762" s="448"/>
      <c r="M762" s="448"/>
      <c r="N762" s="448"/>
      <c r="O762" s="448"/>
      <c r="P762" s="448"/>
      <c r="Q762" s="448"/>
      <c r="R762" s="448"/>
      <c r="S762" s="448"/>
      <c r="T762" s="448"/>
      <c r="U762" s="448"/>
      <c r="V762" s="448"/>
    </row>
    <row r="763">
      <c r="A763" s="448"/>
      <c r="B763" s="448"/>
      <c r="C763" s="448"/>
      <c r="D763" s="448"/>
      <c r="E763" s="448"/>
      <c r="F763" s="448"/>
      <c r="G763" s="448"/>
      <c r="H763" s="448"/>
      <c r="I763" s="448"/>
      <c r="J763" s="448"/>
      <c r="K763" s="448"/>
      <c r="L763" s="448"/>
      <c r="M763" s="448"/>
      <c r="N763" s="448"/>
      <c r="O763" s="448"/>
      <c r="P763" s="448"/>
      <c r="Q763" s="448"/>
      <c r="R763" s="448"/>
      <c r="S763" s="448"/>
      <c r="T763" s="448"/>
      <c r="U763" s="448"/>
      <c r="V763" s="448"/>
    </row>
    <row r="764">
      <c r="A764" s="448"/>
      <c r="B764" s="448"/>
      <c r="C764" s="448"/>
      <c r="D764" s="448"/>
      <c r="E764" s="448"/>
      <c r="F764" s="448"/>
      <c r="G764" s="448"/>
      <c r="H764" s="448"/>
      <c r="I764" s="448"/>
      <c r="J764" s="448"/>
      <c r="K764" s="448"/>
      <c r="L764" s="448"/>
      <c r="M764" s="448"/>
      <c r="N764" s="448"/>
      <c r="O764" s="448"/>
      <c r="P764" s="448"/>
      <c r="Q764" s="448"/>
      <c r="R764" s="448"/>
      <c r="S764" s="448"/>
      <c r="T764" s="448"/>
      <c r="U764" s="448"/>
      <c r="V764" s="448"/>
    </row>
    <row r="765">
      <c r="A765" s="448"/>
      <c r="B765" s="448"/>
      <c r="C765" s="448"/>
      <c r="D765" s="448"/>
      <c r="E765" s="448"/>
      <c r="F765" s="448"/>
      <c r="G765" s="448"/>
      <c r="H765" s="448"/>
      <c r="I765" s="448"/>
      <c r="J765" s="448"/>
      <c r="K765" s="448"/>
      <c r="L765" s="448"/>
      <c r="M765" s="448"/>
      <c r="N765" s="448"/>
      <c r="O765" s="448"/>
      <c r="P765" s="448"/>
      <c r="Q765" s="448"/>
      <c r="R765" s="448"/>
      <c r="S765" s="448"/>
      <c r="T765" s="448"/>
      <c r="U765" s="448"/>
      <c r="V765" s="448"/>
    </row>
    <row r="766">
      <c r="A766" s="448"/>
      <c r="B766" s="448"/>
      <c r="C766" s="448"/>
      <c r="D766" s="448"/>
      <c r="E766" s="448"/>
      <c r="F766" s="448"/>
      <c r="G766" s="448"/>
      <c r="H766" s="448"/>
      <c r="I766" s="448"/>
      <c r="J766" s="448"/>
      <c r="K766" s="448"/>
      <c r="L766" s="448"/>
      <c r="M766" s="448"/>
      <c r="N766" s="448"/>
      <c r="O766" s="448"/>
      <c r="P766" s="448"/>
      <c r="Q766" s="448"/>
      <c r="R766" s="448"/>
      <c r="S766" s="448"/>
      <c r="T766" s="448"/>
      <c r="U766" s="448"/>
      <c r="V766" s="448"/>
    </row>
    <row r="767">
      <c r="A767" s="448"/>
      <c r="B767" s="448"/>
      <c r="C767" s="448"/>
      <c r="D767" s="448"/>
      <c r="E767" s="448"/>
      <c r="F767" s="448"/>
      <c r="G767" s="448"/>
      <c r="H767" s="448"/>
      <c r="I767" s="448"/>
      <c r="J767" s="448"/>
      <c r="K767" s="448"/>
      <c r="L767" s="448"/>
      <c r="M767" s="448"/>
      <c r="N767" s="448"/>
      <c r="O767" s="448"/>
      <c r="P767" s="448"/>
      <c r="Q767" s="448"/>
      <c r="R767" s="448"/>
      <c r="S767" s="448"/>
      <c r="T767" s="448"/>
      <c r="U767" s="448"/>
      <c r="V767" s="448"/>
    </row>
    <row r="768">
      <c r="A768" s="448"/>
      <c r="B768" s="448"/>
      <c r="C768" s="448"/>
      <c r="D768" s="448"/>
      <c r="E768" s="448"/>
      <c r="F768" s="448"/>
      <c r="G768" s="448"/>
      <c r="H768" s="448"/>
      <c r="I768" s="448"/>
      <c r="J768" s="448"/>
      <c r="K768" s="448"/>
      <c r="L768" s="448"/>
      <c r="M768" s="448"/>
      <c r="N768" s="448"/>
      <c r="O768" s="448"/>
      <c r="P768" s="448"/>
      <c r="Q768" s="448"/>
      <c r="R768" s="448"/>
      <c r="S768" s="448"/>
      <c r="T768" s="448"/>
      <c r="U768" s="448"/>
      <c r="V768" s="448"/>
    </row>
    <row r="769">
      <c r="A769" s="448"/>
      <c r="B769" s="448"/>
      <c r="C769" s="448"/>
      <c r="D769" s="448"/>
      <c r="E769" s="448"/>
      <c r="F769" s="448"/>
      <c r="G769" s="448"/>
      <c r="H769" s="448"/>
      <c r="I769" s="448"/>
      <c r="J769" s="448"/>
      <c r="K769" s="448"/>
      <c r="L769" s="448"/>
      <c r="M769" s="448"/>
      <c r="N769" s="448"/>
      <c r="O769" s="448"/>
      <c r="P769" s="448"/>
      <c r="Q769" s="448"/>
      <c r="R769" s="448"/>
      <c r="S769" s="448"/>
      <c r="T769" s="448"/>
      <c r="U769" s="448"/>
      <c r="V769" s="448"/>
    </row>
    <row r="770">
      <c r="A770" s="448"/>
      <c r="B770" s="448"/>
      <c r="C770" s="448"/>
      <c r="D770" s="448"/>
      <c r="E770" s="448"/>
      <c r="F770" s="448"/>
      <c r="G770" s="448"/>
      <c r="H770" s="448"/>
      <c r="I770" s="448"/>
      <c r="J770" s="448"/>
      <c r="K770" s="448"/>
      <c r="L770" s="448"/>
      <c r="M770" s="448"/>
      <c r="N770" s="448"/>
      <c r="O770" s="448"/>
      <c r="P770" s="448"/>
      <c r="Q770" s="448"/>
      <c r="R770" s="448"/>
      <c r="S770" s="448"/>
      <c r="T770" s="448"/>
      <c r="U770" s="448"/>
      <c r="V770" s="448"/>
    </row>
    <row r="771">
      <c r="A771" s="448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48"/>
      <c r="M771" s="448"/>
      <c r="N771" s="448"/>
      <c r="O771" s="448"/>
      <c r="P771" s="448"/>
      <c r="Q771" s="448"/>
      <c r="R771" s="448"/>
      <c r="S771" s="448"/>
      <c r="T771" s="448"/>
      <c r="U771" s="448"/>
      <c r="V771" s="448"/>
    </row>
    <row r="772">
      <c r="A772" s="448"/>
      <c r="B772" s="448"/>
      <c r="C772" s="448"/>
      <c r="D772" s="448"/>
      <c r="E772" s="448"/>
      <c r="F772" s="448"/>
      <c r="G772" s="448"/>
      <c r="H772" s="448"/>
      <c r="I772" s="448"/>
      <c r="J772" s="448"/>
      <c r="K772" s="448"/>
      <c r="L772" s="448"/>
      <c r="M772" s="448"/>
      <c r="N772" s="448"/>
      <c r="O772" s="448"/>
      <c r="P772" s="448"/>
      <c r="Q772" s="448"/>
      <c r="R772" s="448"/>
      <c r="S772" s="448"/>
      <c r="T772" s="448"/>
      <c r="U772" s="448"/>
      <c r="V772" s="448"/>
    </row>
    <row r="773">
      <c r="A773" s="448"/>
      <c r="B773" s="448"/>
      <c r="C773" s="448"/>
      <c r="D773" s="448"/>
      <c r="E773" s="448"/>
      <c r="F773" s="448"/>
      <c r="G773" s="448"/>
      <c r="H773" s="448"/>
      <c r="I773" s="448"/>
      <c r="J773" s="448"/>
      <c r="K773" s="448"/>
      <c r="L773" s="448"/>
      <c r="M773" s="448"/>
      <c r="N773" s="448"/>
      <c r="O773" s="448"/>
      <c r="P773" s="448"/>
      <c r="Q773" s="448"/>
      <c r="R773" s="448"/>
      <c r="S773" s="448"/>
      <c r="T773" s="448"/>
      <c r="U773" s="448"/>
      <c r="V773" s="448"/>
    </row>
    <row r="774">
      <c r="A774" s="448"/>
      <c r="B774" s="448"/>
      <c r="C774" s="448"/>
      <c r="D774" s="448"/>
      <c r="E774" s="448"/>
      <c r="F774" s="448"/>
      <c r="G774" s="448"/>
      <c r="H774" s="448"/>
      <c r="I774" s="448"/>
      <c r="J774" s="448"/>
      <c r="K774" s="448"/>
      <c r="L774" s="448"/>
      <c r="M774" s="448"/>
      <c r="N774" s="448"/>
      <c r="O774" s="448"/>
      <c r="P774" s="448"/>
      <c r="Q774" s="448"/>
      <c r="R774" s="448"/>
      <c r="S774" s="448"/>
      <c r="T774" s="448"/>
      <c r="U774" s="448"/>
      <c r="V774" s="448"/>
    </row>
    <row r="775">
      <c r="A775" s="448"/>
      <c r="B775" s="448"/>
      <c r="C775" s="448"/>
      <c r="D775" s="448"/>
      <c r="E775" s="448"/>
      <c r="F775" s="448"/>
      <c r="G775" s="448"/>
      <c r="H775" s="448"/>
      <c r="I775" s="448"/>
      <c r="J775" s="448"/>
      <c r="K775" s="448"/>
      <c r="L775" s="448"/>
      <c r="M775" s="448"/>
      <c r="N775" s="448"/>
      <c r="O775" s="448"/>
      <c r="P775" s="448"/>
      <c r="Q775" s="448"/>
      <c r="R775" s="448"/>
      <c r="S775" s="448"/>
      <c r="T775" s="448"/>
      <c r="U775" s="448"/>
      <c r="V775" s="448"/>
    </row>
    <row r="776">
      <c r="A776" s="448"/>
      <c r="B776" s="448"/>
      <c r="C776" s="448"/>
      <c r="D776" s="448"/>
      <c r="E776" s="448"/>
      <c r="F776" s="448"/>
      <c r="G776" s="448"/>
      <c r="H776" s="448"/>
      <c r="I776" s="448"/>
      <c r="J776" s="448"/>
      <c r="K776" s="448"/>
      <c r="L776" s="448"/>
      <c r="M776" s="448"/>
      <c r="N776" s="448"/>
      <c r="O776" s="448"/>
      <c r="P776" s="448"/>
      <c r="Q776" s="448"/>
      <c r="R776" s="448"/>
      <c r="S776" s="448"/>
      <c r="T776" s="448"/>
      <c r="U776" s="448"/>
      <c r="V776" s="448"/>
    </row>
    <row r="777">
      <c r="A777" s="448"/>
      <c r="B777" s="448"/>
      <c r="C777" s="448"/>
      <c r="D777" s="448"/>
      <c r="E777" s="448"/>
      <c r="F777" s="448"/>
      <c r="G777" s="448"/>
      <c r="H777" s="448"/>
      <c r="I777" s="448"/>
      <c r="J777" s="448"/>
      <c r="K777" s="448"/>
      <c r="L777" s="448"/>
      <c r="M777" s="448"/>
      <c r="N777" s="448"/>
      <c r="O777" s="448"/>
      <c r="P777" s="448"/>
      <c r="Q777" s="448"/>
      <c r="R777" s="448"/>
      <c r="S777" s="448"/>
      <c r="T777" s="448"/>
      <c r="U777" s="448"/>
      <c r="V777" s="448"/>
    </row>
    <row r="778">
      <c r="A778" s="448"/>
      <c r="B778" s="448"/>
      <c r="C778" s="448"/>
      <c r="D778" s="448"/>
      <c r="E778" s="448"/>
      <c r="F778" s="448"/>
      <c r="G778" s="448"/>
      <c r="H778" s="448"/>
      <c r="I778" s="448"/>
      <c r="J778" s="448"/>
      <c r="K778" s="448"/>
      <c r="L778" s="448"/>
      <c r="M778" s="448"/>
      <c r="N778" s="448"/>
      <c r="O778" s="448"/>
      <c r="P778" s="448"/>
      <c r="Q778" s="448"/>
      <c r="R778" s="448"/>
      <c r="S778" s="448"/>
      <c r="T778" s="448"/>
      <c r="U778" s="448"/>
      <c r="V778" s="448"/>
    </row>
    <row r="779">
      <c r="A779" s="448"/>
      <c r="B779" s="448"/>
      <c r="C779" s="448"/>
      <c r="D779" s="448"/>
      <c r="E779" s="448"/>
      <c r="F779" s="448"/>
      <c r="G779" s="448"/>
      <c r="H779" s="448"/>
      <c r="I779" s="448"/>
      <c r="J779" s="448"/>
      <c r="K779" s="448"/>
      <c r="L779" s="448"/>
      <c r="M779" s="448"/>
      <c r="N779" s="448"/>
      <c r="O779" s="448"/>
      <c r="P779" s="448"/>
      <c r="Q779" s="448"/>
      <c r="R779" s="448"/>
      <c r="S779" s="448"/>
      <c r="T779" s="448"/>
      <c r="U779" s="448"/>
      <c r="V779" s="448"/>
    </row>
    <row r="780">
      <c r="A780" s="448"/>
      <c r="B780" s="448"/>
      <c r="C780" s="448"/>
      <c r="D780" s="448"/>
      <c r="E780" s="448"/>
      <c r="F780" s="448"/>
      <c r="G780" s="448"/>
      <c r="H780" s="448"/>
      <c r="I780" s="448"/>
      <c r="J780" s="448"/>
      <c r="K780" s="448"/>
      <c r="L780" s="448"/>
      <c r="M780" s="448"/>
      <c r="N780" s="448"/>
      <c r="O780" s="448"/>
      <c r="P780" s="448"/>
      <c r="Q780" s="448"/>
      <c r="R780" s="448"/>
      <c r="S780" s="448"/>
      <c r="T780" s="448"/>
      <c r="U780" s="448"/>
      <c r="V780" s="448"/>
    </row>
    <row r="781">
      <c r="A781" s="448"/>
      <c r="B781" s="448"/>
      <c r="C781" s="448"/>
      <c r="D781" s="448"/>
      <c r="E781" s="448"/>
      <c r="F781" s="448"/>
      <c r="G781" s="448"/>
      <c r="H781" s="448"/>
      <c r="I781" s="448"/>
      <c r="J781" s="448"/>
      <c r="K781" s="448"/>
      <c r="L781" s="448"/>
      <c r="M781" s="448"/>
      <c r="N781" s="448"/>
      <c r="O781" s="448"/>
      <c r="P781" s="448"/>
      <c r="Q781" s="448"/>
      <c r="R781" s="448"/>
      <c r="S781" s="448"/>
      <c r="T781" s="448"/>
      <c r="U781" s="448"/>
      <c r="V781" s="448"/>
    </row>
    <row r="782">
      <c r="A782" s="448"/>
      <c r="B782" s="448"/>
      <c r="C782" s="448"/>
      <c r="D782" s="448"/>
      <c r="E782" s="448"/>
      <c r="F782" s="448"/>
      <c r="G782" s="448"/>
      <c r="H782" s="448"/>
      <c r="I782" s="448"/>
      <c r="J782" s="448"/>
      <c r="K782" s="448"/>
      <c r="L782" s="448"/>
      <c r="M782" s="448"/>
      <c r="N782" s="448"/>
      <c r="O782" s="448"/>
      <c r="P782" s="448"/>
      <c r="Q782" s="448"/>
      <c r="R782" s="448"/>
      <c r="S782" s="448"/>
      <c r="T782" s="448"/>
      <c r="U782" s="448"/>
      <c r="V782" s="448"/>
    </row>
    <row r="783">
      <c r="A783" s="448"/>
      <c r="B783" s="448"/>
      <c r="C783" s="448"/>
      <c r="D783" s="448"/>
      <c r="E783" s="448"/>
      <c r="F783" s="448"/>
      <c r="G783" s="448"/>
      <c r="H783" s="448"/>
      <c r="I783" s="448"/>
      <c r="J783" s="448"/>
      <c r="K783" s="448"/>
      <c r="L783" s="448"/>
      <c r="M783" s="448"/>
      <c r="N783" s="448"/>
      <c r="O783" s="448"/>
      <c r="P783" s="448"/>
      <c r="Q783" s="448"/>
      <c r="R783" s="448"/>
      <c r="S783" s="448"/>
      <c r="T783" s="448"/>
      <c r="U783" s="448"/>
      <c r="V783" s="448"/>
    </row>
    <row r="784">
      <c r="A784" s="448"/>
      <c r="B784" s="448"/>
      <c r="C784" s="448"/>
      <c r="D784" s="448"/>
      <c r="E784" s="448"/>
      <c r="F784" s="448"/>
      <c r="G784" s="448"/>
      <c r="H784" s="448"/>
      <c r="I784" s="448"/>
      <c r="J784" s="448"/>
      <c r="K784" s="448"/>
      <c r="L784" s="448"/>
      <c r="M784" s="448"/>
      <c r="N784" s="448"/>
      <c r="O784" s="448"/>
      <c r="P784" s="448"/>
      <c r="Q784" s="448"/>
      <c r="R784" s="448"/>
      <c r="S784" s="448"/>
      <c r="T784" s="448"/>
      <c r="U784" s="448"/>
      <c r="V784" s="448"/>
    </row>
    <row r="785">
      <c r="A785" s="448"/>
      <c r="B785" s="448"/>
      <c r="C785" s="448"/>
      <c r="D785" s="448"/>
      <c r="E785" s="448"/>
      <c r="F785" s="448"/>
      <c r="G785" s="448"/>
      <c r="H785" s="448"/>
      <c r="I785" s="448"/>
      <c r="J785" s="448"/>
      <c r="K785" s="448"/>
      <c r="L785" s="448"/>
      <c r="M785" s="448"/>
      <c r="N785" s="448"/>
      <c r="O785" s="448"/>
      <c r="P785" s="448"/>
      <c r="Q785" s="448"/>
      <c r="R785" s="448"/>
      <c r="S785" s="448"/>
      <c r="T785" s="448"/>
      <c r="U785" s="448"/>
      <c r="V785" s="448"/>
    </row>
    <row r="786">
      <c r="A786" s="448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48"/>
      <c r="M786" s="448"/>
      <c r="N786" s="448"/>
      <c r="O786" s="448"/>
      <c r="P786" s="448"/>
      <c r="Q786" s="448"/>
      <c r="R786" s="448"/>
      <c r="S786" s="448"/>
      <c r="T786" s="448"/>
      <c r="U786" s="448"/>
      <c r="V786" s="448"/>
    </row>
    <row r="787">
      <c r="A787" s="448"/>
      <c r="B787" s="448"/>
      <c r="C787" s="448"/>
      <c r="D787" s="448"/>
      <c r="E787" s="448"/>
      <c r="F787" s="448"/>
      <c r="G787" s="448"/>
      <c r="H787" s="448"/>
      <c r="I787" s="448"/>
      <c r="J787" s="448"/>
      <c r="K787" s="448"/>
      <c r="L787" s="448"/>
      <c r="M787" s="448"/>
      <c r="N787" s="448"/>
      <c r="O787" s="448"/>
      <c r="P787" s="448"/>
      <c r="Q787" s="448"/>
      <c r="R787" s="448"/>
      <c r="S787" s="448"/>
      <c r="T787" s="448"/>
      <c r="U787" s="448"/>
      <c r="V787" s="448"/>
    </row>
    <row r="788">
      <c r="A788" s="448"/>
      <c r="B788" s="448"/>
      <c r="C788" s="448"/>
      <c r="D788" s="448"/>
      <c r="E788" s="448"/>
      <c r="F788" s="448"/>
      <c r="G788" s="448"/>
      <c r="H788" s="448"/>
      <c r="I788" s="448"/>
      <c r="J788" s="448"/>
      <c r="K788" s="448"/>
      <c r="L788" s="448"/>
      <c r="M788" s="448"/>
      <c r="N788" s="448"/>
      <c r="O788" s="448"/>
      <c r="P788" s="448"/>
      <c r="Q788" s="448"/>
      <c r="R788" s="448"/>
      <c r="S788" s="448"/>
      <c r="T788" s="448"/>
      <c r="U788" s="448"/>
      <c r="V788" s="448"/>
    </row>
    <row r="789">
      <c r="A789" s="448"/>
      <c r="B789" s="448"/>
      <c r="C789" s="448"/>
      <c r="D789" s="448"/>
      <c r="E789" s="448"/>
      <c r="F789" s="448"/>
      <c r="G789" s="448"/>
      <c r="H789" s="448"/>
      <c r="I789" s="448"/>
      <c r="J789" s="448"/>
      <c r="K789" s="448"/>
      <c r="L789" s="448"/>
      <c r="M789" s="448"/>
      <c r="N789" s="448"/>
      <c r="O789" s="448"/>
      <c r="P789" s="448"/>
      <c r="Q789" s="448"/>
      <c r="R789" s="448"/>
      <c r="S789" s="448"/>
      <c r="T789" s="448"/>
      <c r="U789" s="448"/>
      <c r="V789" s="448"/>
    </row>
    <row r="790">
      <c r="A790" s="448"/>
      <c r="B790" s="448"/>
      <c r="C790" s="448"/>
      <c r="D790" s="448"/>
      <c r="E790" s="448"/>
      <c r="F790" s="448"/>
      <c r="G790" s="448"/>
      <c r="H790" s="448"/>
      <c r="I790" s="448"/>
      <c r="J790" s="448"/>
      <c r="K790" s="448"/>
      <c r="L790" s="448"/>
      <c r="M790" s="448"/>
      <c r="N790" s="448"/>
      <c r="O790" s="448"/>
      <c r="P790" s="448"/>
      <c r="Q790" s="448"/>
      <c r="R790" s="448"/>
      <c r="S790" s="448"/>
      <c r="T790" s="448"/>
      <c r="U790" s="448"/>
      <c r="V790" s="448"/>
    </row>
    <row r="791">
      <c r="A791" s="448"/>
      <c r="B791" s="448"/>
      <c r="C791" s="448"/>
      <c r="D791" s="448"/>
      <c r="E791" s="448"/>
      <c r="F791" s="448"/>
      <c r="G791" s="448"/>
      <c r="H791" s="448"/>
      <c r="I791" s="448"/>
      <c r="J791" s="448"/>
      <c r="K791" s="448"/>
      <c r="L791" s="448"/>
      <c r="M791" s="448"/>
      <c r="N791" s="448"/>
      <c r="O791" s="448"/>
      <c r="P791" s="448"/>
      <c r="Q791" s="448"/>
      <c r="R791" s="448"/>
      <c r="S791" s="448"/>
      <c r="T791" s="448"/>
      <c r="U791" s="448"/>
      <c r="V791" s="448"/>
    </row>
    <row r="792">
      <c r="A792" s="448"/>
      <c r="B792" s="448"/>
      <c r="C792" s="448"/>
      <c r="D792" s="448"/>
      <c r="E792" s="448"/>
      <c r="F792" s="448"/>
      <c r="G792" s="448"/>
      <c r="H792" s="448"/>
      <c r="I792" s="448"/>
      <c r="J792" s="448"/>
      <c r="K792" s="448"/>
      <c r="L792" s="448"/>
      <c r="M792" s="448"/>
      <c r="N792" s="448"/>
      <c r="O792" s="448"/>
      <c r="P792" s="448"/>
      <c r="Q792" s="448"/>
      <c r="R792" s="448"/>
      <c r="S792" s="448"/>
      <c r="T792" s="448"/>
      <c r="U792" s="448"/>
      <c r="V792" s="448"/>
    </row>
    <row r="793">
      <c r="A793" s="448"/>
      <c r="B793" s="448"/>
      <c r="C793" s="448"/>
      <c r="D793" s="448"/>
      <c r="E793" s="448"/>
      <c r="F793" s="448"/>
      <c r="G793" s="448"/>
      <c r="H793" s="448"/>
      <c r="I793" s="448"/>
      <c r="J793" s="448"/>
      <c r="K793" s="448"/>
      <c r="L793" s="448"/>
      <c r="M793" s="448"/>
      <c r="N793" s="448"/>
      <c r="O793" s="448"/>
      <c r="P793" s="448"/>
      <c r="Q793" s="448"/>
      <c r="R793" s="448"/>
      <c r="S793" s="448"/>
      <c r="T793" s="448"/>
      <c r="U793" s="448"/>
      <c r="V793" s="448"/>
    </row>
    <row r="794">
      <c r="A794" s="448"/>
      <c r="B794" s="448"/>
      <c r="C794" s="448"/>
      <c r="D794" s="448"/>
      <c r="E794" s="448"/>
      <c r="F794" s="448"/>
      <c r="G794" s="448"/>
      <c r="H794" s="448"/>
      <c r="I794" s="448"/>
      <c r="J794" s="448"/>
      <c r="K794" s="448"/>
      <c r="L794" s="448"/>
      <c r="M794" s="448"/>
      <c r="N794" s="448"/>
      <c r="O794" s="448"/>
      <c r="P794" s="448"/>
      <c r="Q794" s="448"/>
      <c r="R794" s="448"/>
      <c r="S794" s="448"/>
      <c r="T794" s="448"/>
      <c r="U794" s="448"/>
      <c r="V794" s="448"/>
    </row>
    <row r="795">
      <c r="A795" s="448"/>
      <c r="B795" s="448"/>
      <c r="C795" s="448"/>
      <c r="D795" s="448"/>
      <c r="E795" s="448"/>
      <c r="F795" s="448"/>
      <c r="G795" s="448"/>
      <c r="H795" s="448"/>
      <c r="I795" s="448"/>
      <c r="J795" s="448"/>
      <c r="K795" s="448"/>
      <c r="L795" s="448"/>
      <c r="M795" s="448"/>
      <c r="N795" s="448"/>
      <c r="O795" s="448"/>
      <c r="P795" s="448"/>
      <c r="Q795" s="448"/>
      <c r="R795" s="448"/>
      <c r="S795" s="448"/>
      <c r="T795" s="448"/>
      <c r="U795" s="448"/>
      <c r="V795" s="448"/>
    </row>
    <row r="796">
      <c r="A796" s="448"/>
      <c r="B796" s="448"/>
      <c r="C796" s="448"/>
      <c r="D796" s="448"/>
      <c r="E796" s="448"/>
      <c r="F796" s="448"/>
      <c r="G796" s="448"/>
      <c r="H796" s="448"/>
      <c r="I796" s="448"/>
      <c r="J796" s="448"/>
      <c r="K796" s="448"/>
      <c r="L796" s="448"/>
      <c r="M796" s="448"/>
      <c r="N796" s="448"/>
      <c r="O796" s="448"/>
      <c r="P796" s="448"/>
      <c r="Q796" s="448"/>
      <c r="R796" s="448"/>
      <c r="S796" s="448"/>
      <c r="T796" s="448"/>
      <c r="U796" s="448"/>
      <c r="V796" s="448"/>
    </row>
    <row r="797">
      <c r="A797" s="448"/>
      <c r="B797" s="448"/>
      <c r="C797" s="448"/>
      <c r="D797" s="448"/>
      <c r="E797" s="448"/>
      <c r="F797" s="448"/>
      <c r="G797" s="448"/>
      <c r="H797" s="448"/>
      <c r="I797" s="448"/>
      <c r="J797" s="448"/>
      <c r="K797" s="448"/>
      <c r="L797" s="448"/>
      <c r="M797" s="448"/>
      <c r="N797" s="448"/>
      <c r="O797" s="448"/>
      <c r="P797" s="448"/>
      <c r="Q797" s="448"/>
      <c r="R797" s="448"/>
      <c r="S797" s="448"/>
      <c r="T797" s="448"/>
      <c r="U797" s="448"/>
      <c r="V797" s="448"/>
    </row>
    <row r="798">
      <c r="A798" s="448"/>
      <c r="B798" s="448"/>
      <c r="C798" s="448"/>
      <c r="D798" s="448"/>
      <c r="E798" s="448"/>
      <c r="F798" s="448"/>
      <c r="G798" s="448"/>
      <c r="H798" s="448"/>
      <c r="I798" s="448"/>
      <c r="J798" s="448"/>
      <c r="K798" s="448"/>
      <c r="L798" s="448"/>
      <c r="M798" s="448"/>
      <c r="N798" s="448"/>
      <c r="O798" s="448"/>
      <c r="P798" s="448"/>
      <c r="Q798" s="448"/>
      <c r="R798" s="448"/>
      <c r="S798" s="448"/>
      <c r="T798" s="448"/>
      <c r="U798" s="448"/>
      <c r="V798" s="448"/>
    </row>
    <row r="799">
      <c r="A799" s="448"/>
      <c r="B799" s="448"/>
      <c r="C799" s="448"/>
      <c r="D799" s="448"/>
      <c r="E799" s="448"/>
      <c r="F799" s="448"/>
      <c r="G799" s="448"/>
      <c r="H799" s="448"/>
      <c r="I799" s="448"/>
      <c r="J799" s="448"/>
      <c r="K799" s="448"/>
      <c r="L799" s="448"/>
      <c r="M799" s="448"/>
      <c r="N799" s="448"/>
      <c r="O799" s="448"/>
      <c r="P799" s="448"/>
      <c r="Q799" s="448"/>
      <c r="R799" s="448"/>
      <c r="S799" s="448"/>
      <c r="T799" s="448"/>
      <c r="U799" s="448"/>
      <c r="V799" s="448"/>
    </row>
    <row r="800">
      <c r="A800" s="448"/>
      <c r="B800" s="448"/>
      <c r="C800" s="448"/>
      <c r="D800" s="448"/>
      <c r="E800" s="448"/>
      <c r="F800" s="448"/>
      <c r="G800" s="448"/>
      <c r="H800" s="448"/>
      <c r="I800" s="448"/>
      <c r="J800" s="448"/>
      <c r="K800" s="448"/>
      <c r="L800" s="448"/>
      <c r="M800" s="448"/>
      <c r="N800" s="448"/>
      <c r="O800" s="448"/>
      <c r="P800" s="448"/>
      <c r="Q800" s="448"/>
      <c r="R800" s="448"/>
      <c r="S800" s="448"/>
      <c r="T800" s="448"/>
      <c r="U800" s="448"/>
      <c r="V800" s="448"/>
    </row>
    <row r="801">
      <c r="A801" s="448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48"/>
      <c r="M801" s="448"/>
      <c r="N801" s="448"/>
      <c r="O801" s="448"/>
      <c r="P801" s="448"/>
      <c r="Q801" s="448"/>
      <c r="R801" s="448"/>
      <c r="S801" s="448"/>
      <c r="T801" s="448"/>
      <c r="U801" s="448"/>
      <c r="V801" s="448"/>
    </row>
    <row r="802">
      <c r="A802" s="448"/>
      <c r="B802" s="448"/>
      <c r="C802" s="448"/>
      <c r="D802" s="448"/>
      <c r="E802" s="448"/>
      <c r="F802" s="448"/>
      <c r="G802" s="448"/>
      <c r="H802" s="448"/>
      <c r="I802" s="448"/>
      <c r="J802" s="448"/>
      <c r="K802" s="448"/>
      <c r="L802" s="448"/>
      <c r="M802" s="448"/>
      <c r="N802" s="448"/>
      <c r="O802" s="448"/>
      <c r="P802" s="448"/>
      <c r="Q802" s="448"/>
      <c r="R802" s="448"/>
      <c r="S802" s="448"/>
      <c r="T802" s="448"/>
      <c r="U802" s="448"/>
      <c r="V802" s="448"/>
    </row>
    <row r="803">
      <c r="A803" s="448"/>
      <c r="B803" s="448"/>
      <c r="C803" s="448"/>
      <c r="D803" s="448"/>
      <c r="E803" s="448"/>
      <c r="F803" s="448"/>
      <c r="G803" s="448"/>
      <c r="H803" s="448"/>
      <c r="I803" s="448"/>
      <c r="J803" s="448"/>
      <c r="K803" s="448"/>
      <c r="L803" s="448"/>
      <c r="M803" s="448"/>
      <c r="N803" s="448"/>
      <c r="O803" s="448"/>
      <c r="P803" s="448"/>
      <c r="Q803" s="448"/>
      <c r="R803" s="448"/>
      <c r="S803" s="448"/>
      <c r="T803" s="448"/>
      <c r="U803" s="448"/>
      <c r="V803" s="448"/>
    </row>
    <row r="804">
      <c r="A804" s="448"/>
      <c r="B804" s="448"/>
      <c r="C804" s="448"/>
      <c r="D804" s="448"/>
      <c r="E804" s="448"/>
      <c r="F804" s="448"/>
      <c r="G804" s="448"/>
      <c r="H804" s="448"/>
      <c r="I804" s="448"/>
      <c r="J804" s="448"/>
      <c r="K804" s="448"/>
      <c r="L804" s="448"/>
      <c r="M804" s="448"/>
      <c r="N804" s="448"/>
      <c r="O804" s="448"/>
      <c r="P804" s="448"/>
      <c r="Q804" s="448"/>
      <c r="R804" s="448"/>
      <c r="S804" s="448"/>
      <c r="T804" s="448"/>
      <c r="U804" s="448"/>
      <c r="V804" s="448"/>
    </row>
    <row r="805">
      <c r="A805" s="448"/>
      <c r="B805" s="448"/>
      <c r="C805" s="448"/>
      <c r="D805" s="448"/>
      <c r="E805" s="448"/>
      <c r="F805" s="448"/>
      <c r="G805" s="448"/>
      <c r="H805" s="448"/>
      <c r="I805" s="448"/>
      <c r="J805" s="448"/>
      <c r="K805" s="448"/>
      <c r="L805" s="448"/>
      <c r="M805" s="448"/>
      <c r="N805" s="448"/>
      <c r="O805" s="448"/>
      <c r="P805" s="448"/>
      <c r="Q805" s="448"/>
      <c r="R805" s="448"/>
      <c r="S805" s="448"/>
      <c r="T805" s="448"/>
      <c r="U805" s="448"/>
      <c r="V805" s="448"/>
    </row>
    <row r="806">
      <c r="A806" s="448"/>
      <c r="B806" s="448"/>
      <c r="C806" s="448"/>
      <c r="D806" s="448"/>
      <c r="E806" s="448"/>
      <c r="F806" s="448"/>
      <c r="G806" s="448"/>
      <c r="H806" s="448"/>
      <c r="I806" s="448"/>
      <c r="J806" s="448"/>
      <c r="K806" s="448"/>
      <c r="L806" s="448"/>
      <c r="M806" s="448"/>
      <c r="N806" s="448"/>
      <c r="O806" s="448"/>
      <c r="P806" s="448"/>
      <c r="Q806" s="448"/>
      <c r="R806" s="448"/>
      <c r="S806" s="448"/>
      <c r="T806" s="448"/>
      <c r="U806" s="448"/>
      <c r="V806" s="448"/>
    </row>
    <row r="807">
      <c r="A807" s="448"/>
      <c r="B807" s="448"/>
      <c r="C807" s="448"/>
      <c r="D807" s="448"/>
      <c r="E807" s="448"/>
      <c r="F807" s="448"/>
      <c r="G807" s="448"/>
      <c r="H807" s="448"/>
      <c r="I807" s="448"/>
      <c r="J807" s="448"/>
      <c r="K807" s="448"/>
      <c r="L807" s="448"/>
      <c r="M807" s="448"/>
      <c r="N807" s="448"/>
      <c r="O807" s="448"/>
      <c r="P807" s="448"/>
      <c r="Q807" s="448"/>
      <c r="R807" s="448"/>
      <c r="S807" s="448"/>
      <c r="T807" s="448"/>
      <c r="U807" s="448"/>
      <c r="V807" s="448"/>
    </row>
    <row r="808">
      <c r="A808" s="448"/>
      <c r="B808" s="448"/>
      <c r="C808" s="448"/>
      <c r="D808" s="448"/>
      <c r="E808" s="448"/>
      <c r="F808" s="448"/>
      <c r="G808" s="448"/>
      <c r="H808" s="448"/>
      <c r="I808" s="448"/>
      <c r="J808" s="448"/>
      <c r="K808" s="448"/>
      <c r="L808" s="448"/>
      <c r="M808" s="448"/>
      <c r="N808" s="448"/>
      <c r="O808" s="448"/>
      <c r="P808" s="448"/>
      <c r="Q808" s="448"/>
      <c r="R808" s="448"/>
      <c r="S808" s="448"/>
      <c r="T808" s="448"/>
      <c r="U808" s="448"/>
      <c r="V808" s="448"/>
    </row>
    <row r="809">
      <c r="A809" s="448"/>
      <c r="B809" s="448"/>
      <c r="C809" s="448"/>
      <c r="D809" s="448"/>
      <c r="E809" s="448"/>
      <c r="F809" s="448"/>
      <c r="G809" s="448"/>
      <c r="H809" s="448"/>
      <c r="I809" s="448"/>
      <c r="J809" s="448"/>
      <c r="K809" s="448"/>
      <c r="L809" s="448"/>
      <c r="M809" s="448"/>
      <c r="N809" s="448"/>
      <c r="O809" s="448"/>
      <c r="P809" s="448"/>
      <c r="Q809" s="448"/>
      <c r="R809" s="448"/>
      <c r="S809" s="448"/>
      <c r="T809" s="448"/>
      <c r="U809" s="448"/>
      <c r="V809" s="448"/>
    </row>
    <row r="810">
      <c r="A810" s="448"/>
      <c r="B810" s="448"/>
      <c r="C810" s="448"/>
      <c r="D810" s="448"/>
      <c r="E810" s="448"/>
      <c r="F810" s="448"/>
      <c r="G810" s="448"/>
      <c r="H810" s="448"/>
      <c r="I810" s="448"/>
      <c r="J810" s="448"/>
      <c r="K810" s="448"/>
      <c r="L810" s="448"/>
      <c r="M810" s="448"/>
      <c r="N810" s="448"/>
      <c r="O810" s="448"/>
      <c r="P810" s="448"/>
      <c r="Q810" s="448"/>
      <c r="R810" s="448"/>
      <c r="S810" s="448"/>
      <c r="T810" s="448"/>
      <c r="U810" s="448"/>
      <c r="V810" s="448"/>
    </row>
    <row r="811">
      <c r="A811" s="448"/>
      <c r="B811" s="448"/>
      <c r="C811" s="448"/>
      <c r="D811" s="448"/>
      <c r="E811" s="448"/>
      <c r="F811" s="448"/>
      <c r="G811" s="448"/>
      <c r="H811" s="448"/>
      <c r="I811" s="448"/>
      <c r="J811" s="448"/>
      <c r="K811" s="448"/>
      <c r="L811" s="448"/>
      <c r="M811" s="448"/>
      <c r="N811" s="448"/>
      <c r="O811" s="448"/>
      <c r="P811" s="448"/>
      <c r="Q811" s="448"/>
      <c r="R811" s="448"/>
      <c r="S811" s="448"/>
      <c r="T811" s="448"/>
      <c r="U811" s="448"/>
      <c r="V811" s="448"/>
    </row>
    <row r="812">
      <c r="A812" s="448"/>
      <c r="B812" s="448"/>
      <c r="C812" s="448"/>
      <c r="D812" s="448"/>
      <c r="E812" s="448"/>
      <c r="F812" s="448"/>
      <c r="G812" s="448"/>
      <c r="H812" s="448"/>
      <c r="I812" s="448"/>
      <c r="J812" s="448"/>
      <c r="K812" s="448"/>
      <c r="L812" s="448"/>
      <c r="M812" s="448"/>
      <c r="N812" s="448"/>
      <c r="O812" s="448"/>
      <c r="P812" s="448"/>
      <c r="Q812" s="448"/>
      <c r="R812" s="448"/>
      <c r="S812" s="448"/>
      <c r="T812" s="448"/>
      <c r="U812" s="448"/>
      <c r="V812" s="448"/>
    </row>
    <row r="813">
      <c r="A813" s="448"/>
      <c r="B813" s="448"/>
      <c r="C813" s="448"/>
      <c r="D813" s="448"/>
      <c r="E813" s="448"/>
      <c r="F813" s="448"/>
      <c r="G813" s="448"/>
      <c r="H813" s="448"/>
      <c r="I813" s="448"/>
      <c r="J813" s="448"/>
      <c r="K813" s="448"/>
      <c r="L813" s="448"/>
      <c r="M813" s="448"/>
      <c r="N813" s="448"/>
      <c r="O813" s="448"/>
      <c r="P813" s="448"/>
      <c r="Q813" s="448"/>
      <c r="R813" s="448"/>
      <c r="S813" s="448"/>
      <c r="T813" s="448"/>
      <c r="U813" s="448"/>
      <c r="V813" s="448"/>
    </row>
    <row r="814">
      <c r="A814" s="448"/>
      <c r="B814" s="448"/>
      <c r="C814" s="448"/>
      <c r="D814" s="448"/>
      <c r="E814" s="448"/>
      <c r="F814" s="448"/>
      <c r="G814" s="448"/>
      <c r="H814" s="448"/>
      <c r="I814" s="448"/>
      <c r="J814" s="448"/>
      <c r="K814" s="448"/>
      <c r="L814" s="448"/>
      <c r="M814" s="448"/>
      <c r="N814" s="448"/>
      <c r="O814" s="448"/>
      <c r="P814" s="448"/>
      <c r="Q814" s="448"/>
      <c r="R814" s="448"/>
      <c r="S814" s="448"/>
      <c r="T814" s="448"/>
      <c r="U814" s="448"/>
      <c r="V814" s="448"/>
    </row>
    <row r="815">
      <c r="A815" s="448"/>
      <c r="B815" s="448"/>
      <c r="C815" s="448"/>
      <c r="D815" s="448"/>
      <c r="E815" s="448"/>
      <c r="F815" s="448"/>
      <c r="G815" s="448"/>
      <c r="H815" s="448"/>
      <c r="I815" s="448"/>
      <c r="J815" s="448"/>
      <c r="K815" s="448"/>
      <c r="L815" s="448"/>
      <c r="M815" s="448"/>
      <c r="N815" s="448"/>
      <c r="O815" s="448"/>
      <c r="P815" s="448"/>
      <c r="Q815" s="448"/>
      <c r="R815" s="448"/>
      <c r="S815" s="448"/>
      <c r="T815" s="448"/>
      <c r="U815" s="448"/>
      <c r="V815" s="448"/>
    </row>
    <row r="816">
      <c r="A816" s="448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48"/>
      <c r="M816" s="448"/>
      <c r="N816" s="448"/>
      <c r="O816" s="448"/>
      <c r="P816" s="448"/>
      <c r="Q816" s="448"/>
      <c r="R816" s="448"/>
      <c r="S816" s="448"/>
      <c r="T816" s="448"/>
      <c r="U816" s="448"/>
      <c r="V816" s="448"/>
    </row>
    <row r="817">
      <c r="A817" s="448"/>
      <c r="B817" s="448"/>
      <c r="C817" s="448"/>
      <c r="D817" s="448"/>
      <c r="E817" s="448"/>
      <c r="F817" s="448"/>
      <c r="G817" s="448"/>
      <c r="H817" s="448"/>
      <c r="I817" s="448"/>
      <c r="J817" s="448"/>
      <c r="K817" s="448"/>
      <c r="L817" s="448"/>
      <c r="M817" s="448"/>
      <c r="N817" s="448"/>
      <c r="O817" s="448"/>
      <c r="P817" s="448"/>
      <c r="Q817" s="448"/>
      <c r="R817" s="448"/>
      <c r="S817" s="448"/>
      <c r="T817" s="448"/>
      <c r="U817" s="448"/>
      <c r="V817" s="448"/>
    </row>
    <row r="818">
      <c r="A818" s="448"/>
      <c r="B818" s="448"/>
      <c r="C818" s="448"/>
      <c r="D818" s="448"/>
      <c r="E818" s="448"/>
      <c r="F818" s="448"/>
      <c r="G818" s="448"/>
      <c r="H818" s="448"/>
      <c r="I818" s="448"/>
      <c r="J818" s="448"/>
      <c r="K818" s="448"/>
      <c r="L818" s="448"/>
      <c r="M818" s="448"/>
      <c r="N818" s="448"/>
      <c r="O818" s="448"/>
      <c r="P818" s="448"/>
      <c r="Q818" s="448"/>
      <c r="R818" s="448"/>
      <c r="S818" s="448"/>
      <c r="T818" s="448"/>
      <c r="U818" s="448"/>
      <c r="V818" s="448"/>
    </row>
    <row r="819">
      <c r="A819" s="448"/>
      <c r="B819" s="448"/>
      <c r="C819" s="448"/>
      <c r="D819" s="448"/>
      <c r="E819" s="448"/>
      <c r="F819" s="448"/>
      <c r="G819" s="448"/>
      <c r="H819" s="448"/>
      <c r="I819" s="448"/>
      <c r="J819" s="448"/>
      <c r="K819" s="448"/>
      <c r="L819" s="448"/>
      <c r="M819" s="448"/>
      <c r="N819" s="448"/>
      <c r="O819" s="448"/>
      <c r="P819" s="448"/>
      <c r="Q819" s="448"/>
      <c r="R819" s="448"/>
      <c r="S819" s="448"/>
      <c r="T819" s="448"/>
      <c r="U819" s="448"/>
      <c r="V819" s="448"/>
    </row>
    <row r="820">
      <c r="A820" s="448"/>
      <c r="B820" s="448"/>
      <c r="C820" s="448"/>
      <c r="D820" s="448"/>
      <c r="E820" s="448"/>
      <c r="F820" s="448"/>
      <c r="G820" s="448"/>
      <c r="H820" s="448"/>
      <c r="I820" s="448"/>
      <c r="J820" s="448"/>
      <c r="K820" s="448"/>
      <c r="L820" s="448"/>
      <c r="M820" s="448"/>
      <c r="N820" s="448"/>
      <c r="O820" s="448"/>
      <c r="P820" s="448"/>
      <c r="Q820" s="448"/>
      <c r="R820" s="448"/>
      <c r="S820" s="448"/>
      <c r="T820" s="448"/>
      <c r="U820" s="448"/>
      <c r="V820" s="448"/>
    </row>
    <row r="821">
      <c r="A821" s="448"/>
      <c r="B821" s="448"/>
      <c r="C821" s="448"/>
      <c r="D821" s="448"/>
      <c r="E821" s="448"/>
      <c r="F821" s="448"/>
      <c r="G821" s="448"/>
      <c r="H821" s="448"/>
      <c r="I821" s="448"/>
      <c r="J821" s="448"/>
      <c r="K821" s="448"/>
      <c r="L821" s="448"/>
      <c r="M821" s="448"/>
      <c r="N821" s="448"/>
      <c r="O821" s="448"/>
      <c r="P821" s="448"/>
      <c r="Q821" s="448"/>
      <c r="R821" s="448"/>
      <c r="S821" s="448"/>
      <c r="T821" s="448"/>
      <c r="U821" s="448"/>
      <c r="V821" s="448"/>
    </row>
    <row r="822">
      <c r="A822" s="448"/>
      <c r="B822" s="448"/>
      <c r="C822" s="448"/>
      <c r="D822" s="448"/>
      <c r="E822" s="448"/>
      <c r="F822" s="448"/>
      <c r="G822" s="448"/>
      <c r="H822" s="448"/>
      <c r="I822" s="448"/>
      <c r="J822" s="448"/>
      <c r="K822" s="448"/>
      <c r="L822" s="448"/>
      <c r="M822" s="448"/>
      <c r="N822" s="448"/>
      <c r="O822" s="448"/>
      <c r="P822" s="448"/>
      <c r="Q822" s="448"/>
      <c r="R822" s="448"/>
      <c r="S822" s="448"/>
      <c r="T822" s="448"/>
      <c r="U822" s="448"/>
      <c r="V822" s="448"/>
    </row>
    <row r="823">
      <c r="A823" s="448"/>
      <c r="B823" s="448"/>
      <c r="C823" s="448"/>
      <c r="D823" s="448"/>
      <c r="E823" s="448"/>
      <c r="F823" s="448"/>
      <c r="G823" s="448"/>
      <c r="H823" s="448"/>
      <c r="I823" s="448"/>
      <c r="J823" s="448"/>
      <c r="K823" s="448"/>
      <c r="L823" s="448"/>
      <c r="M823" s="448"/>
      <c r="N823" s="448"/>
      <c r="O823" s="448"/>
      <c r="P823" s="448"/>
      <c r="Q823" s="448"/>
      <c r="R823" s="448"/>
      <c r="S823" s="448"/>
      <c r="T823" s="448"/>
      <c r="U823" s="448"/>
      <c r="V823" s="448"/>
    </row>
    <row r="824">
      <c r="A824" s="448"/>
      <c r="B824" s="448"/>
      <c r="C824" s="448"/>
      <c r="D824" s="448"/>
      <c r="E824" s="448"/>
      <c r="F824" s="448"/>
      <c r="G824" s="448"/>
      <c r="H824" s="448"/>
      <c r="I824" s="448"/>
      <c r="J824" s="448"/>
      <c r="K824" s="448"/>
      <c r="L824" s="448"/>
      <c r="M824" s="448"/>
      <c r="N824" s="448"/>
      <c r="O824" s="448"/>
      <c r="P824" s="448"/>
      <c r="Q824" s="448"/>
      <c r="R824" s="448"/>
      <c r="S824" s="448"/>
      <c r="T824" s="448"/>
      <c r="U824" s="448"/>
      <c r="V824" s="448"/>
    </row>
    <row r="825">
      <c r="A825" s="448"/>
      <c r="B825" s="448"/>
      <c r="C825" s="448"/>
      <c r="D825" s="448"/>
      <c r="E825" s="448"/>
      <c r="F825" s="448"/>
      <c r="G825" s="448"/>
      <c r="H825" s="448"/>
      <c r="I825" s="448"/>
      <c r="J825" s="448"/>
      <c r="K825" s="448"/>
      <c r="L825" s="448"/>
      <c r="M825" s="448"/>
      <c r="N825" s="448"/>
      <c r="O825" s="448"/>
      <c r="P825" s="448"/>
      <c r="Q825" s="448"/>
      <c r="R825" s="448"/>
      <c r="S825" s="448"/>
      <c r="T825" s="448"/>
      <c r="U825" s="448"/>
      <c r="V825" s="448"/>
    </row>
    <row r="826">
      <c r="A826" s="448"/>
      <c r="B826" s="448"/>
      <c r="C826" s="448"/>
      <c r="D826" s="448"/>
      <c r="E826" s="448"/>
      <c r="F826" s="448"/>
      <c r="G826" s="448"/>
      <c r="H826" s="448"/>
      <c r="I826" s="448"/>
      <c r="J826" s="448"/>
      <c r="K826" s="448"/>
      <c r="L826" s="448"/>
      <c r="M826" s="448"/>
      <c r="N826" s="448"/>
      <c r="O826" s="448"/>
      <c r="P826" s="448"/>
      <c r="Q826" s="448"/>
      <c r="R826" s="448"/>
      <c r="S826" s="448"/>
      <c r="T826" s="448"/>
      <c r="U826" s="448"/>
      <c r="V826" s="448"/>
    </row>
    <row r="827">
      <c r="A827" s="448"/>
      <c r="B827" s="448"/>
      <c r="C827" s="448"/>
      <c r="D827" s="448"/>
      <c r="E827" s="448"/>
      <c r="F827" s="448"/>
      <c r="G827" s="448"/>
      <c r="H827" s="448"/>
      <c r="I827" s="448"/>
      <c r="J827" s="448"/>
      <c r="K827" s="448"/>
      <c r="L827" s="448"/>
      <c r="M827" s="448"/>
      <c r="N827" s="448"/>
      <c r="O827" s="448"/>
      <c r="P827" s="448"/>
      <c r="Q827" s="448"/>
      <c r="R827" s="448"/>
      <c r="S827" s="448"/>
      <c r="T827" s="448"/>
      <c r="U827" s="448"/>
      <c r="V827" s="448"/>
    </row>
    <row r="828">
      <c r="A828" s="448"/>
      <c r="B828" s="448"/>
      <c r="C828" s="448"/>
      <c r="D828" s="448"/>
      <c r="E828" s="448"/>
      <c r="F828" s="448"/>
      <c r="G828" s="448"/>
      <c r="H828" s="448"/>
      <c r="I828" s="448"/>
      <c r="J828" s="448"/>
      <c r="K828" s="448"/>
      <c r="L828" s="448"/>
      <c r="M828" s="448"/>
      <c r="N828" s="448"/>
      <c r="O828" s="448"/>
      <c r="P828" s="448"/>
      <c r="Q828" s="448"/>
      <c r="R828" s="448"/>
      <c r="S828" s="448"/>
      <c r="T828" s="448"/>
      <c r="U828" s="448"/>
      <c r="V828" s="448"/>
    </row>
    <row r="829">
      <c r="A829" s="448"/>
      <c r="B829" s="448"/>
      <c r="C829" s="448"/>
      <c r="D829" s="448"/>
      <c r="E829" s="448"/>
      <c r="F829" s="448"/>
      <c r="G829" s="448"/>
      <c r="H829" s="448"/>
      <c r="I829" s="448"/>
      <c r="J829" s="448"/>
      <c r="K829" s="448"/>
      <c r="L829" s="448"/>
      <c r="M829" s="448"/>
      <c r="N829" s="448"/>
      <c r="O829" s="448"/>
      <c r="P829" s="448"/>
      <c r="Q829" s="448"/>
      <c r="R829" s="448"/>
      <c r="S829" s="448"/>
      <c r="T829" s="448"/>
      <c r="U829" s="448"/>
      <c r="V829" s="448"/>
    </row>
    <row r="830">
      <c r="A830" s="448"/>
      <c r="B830" s="448"/>
      <c r="C830" s="448"/>
      <c r="D830" s="448"/>
      <c r="E830" s="448"/>
      <c r="F830" s="448"/>
      <c r="G830" s="448"/>
      <c r="H830" s="448"/>
      <c r="I830" s="448"/>
      <c r="J830" s="448"/>
      <c r="K830" s="448"/>
      <c r="L830" s="448"/>
      <c r="M830" s="448"/>
      <c r="N830" s="448"/>
      <c r="O830" s="448"/>
      <c r="P830" s="448"/>
      <c r="Q830" s="448"/>
      <c r="R830" s="448"/>
      <c r="S830" s="448"/>
      <c r="T830" s="448"/>
      <c r="U830" s="448"/>
      <c r="V830" s="448"/>
    </row>
    <row r="831">
      <c r="A831" s="448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48"/>
      <c r="M831" s="448"/>
      <c r="N831" s="448"/>
      <c r="O831" s="448"/>
      <c r="P831" s="448"/>
      <c r="Q831" s="448"/>
      <c r="R831" s="448"/>
      <c r="S831" s="448"/>
      <c r="T831" s="448"/>
      <c r="U831" s="448"/>
      <c r="V831" s="448"/>
    </row>
    <row r="832">
      <c r="A832" s="448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48"/>
      <c r="M832" s="448"/>
      <c r="N832" s="448"/>
      <c r="O832" s="448"/>
      <c r="P832" s="448"/>
      <c r="Q832" s="448"/>
      <c r="R832" s="448"/>
      <c r="S832" s="448"/>
      <c r="T832" s="448"/>
      <c r="U832" s="448"/>
      <c r="V832" s="448"/>
    </row>
    <row r="833">
      <c r="A833" s="448"/>
      <c r="B833" s="448"/>
      <c r="C833" s="448"/>
      <c r="D833" s="448"/>
      <c r="E833" s="448"/>
      <c r="F833" s="448"/>
      <c r="G833" s="448"/>
      <c r="H833" s="448"/>
      <c r="I833" s="448"/>
      <c r="J833" s="448"/>
      <c r="K833" s="448"/>
      <c r="L833" s="448"/>
      <c r="M833" s="448"/>
      <c r="N833" s="448"/>
      <c r="O833" s="448"/>
      <c r="P833" s="448"/>
      <c r="Q833" s="448"/>
      <c r="R833" s="448"/>
      <c r="S833" s="448"/>
      <c r="T833" s="448"/>
      <c r="U833" s="448"/>
      <c r="V833" s="448"/>
    </row>
    <row r="834">
      <c r="A834" s="448"/>
      <c r="B834" s="448"/>
      <c r="C834" s="448"/>
      <c r="D834" s="448"/>
      <c r="E834" s="448"/>
      <c r="F834" s="448"/>
      <c r="G834" s="448"/>
      <c r="H834" s="448"/>
      <c r="I834" s="448"/>
      <c r="J834" s="448"/>
      <c r="K834" s="448"/>
      <c r="L834" s="448"/>
      <c r="M834" s="448"/>
      <c r="N834" s="448"/>
      <c r="O834" s="448"/>
      <c r="P834" s="448"/>
      <c r="Q834" s="448"/>
      <c r="R834" s="448"/>
      <c r="S834" s="448"/>
      <c r="T834" s="448"/>
      <c r="U834" s="448"/>
      <c r="V834" s="448"/>
    </row>
    <row r="835">
      <c r="A835" s="448"/>
      <c r="B835" s="448"/>
      <c r="C835" s="448"/>
      <c r="D835" s="448"/>
      <c r="E835" s="448"/>
      <c r="F835" s="448"/>
      <c r="G835" s="448"/>
      <c r="H835" s="448"/>
      <c r="I835" s="448"/>
      <c r="J835" s="448"/>
      <c r="K835" s="448"/>
      <c r="L835" s="448"/>
      <c r="M835" s="448"/>
      <c r="N835" s="448"/>
      <c r="O835" s="448"/>
      <c r="P835" s="448"/>
      <c r="Q835" s="448"/>
      <c r="R835" s="448"/>
      <c r="S835" s="448"/>
      <c r="T835" s="448"/>
      <c r="U835" s="448"/>
      <c r="V835" s="448"/>
    </row>
    <row r="836">
      <c r="A836" s="448"/>
      <c r="B836" s="448"/>
      <c r="C836" s="448"/>
      <c r="D836" s="448"/>
      <c r="E836" s="448"/>
      <c r="F836" s="448"/>
      <c r="G836" s="448"/>
      <c r="H836" s="448"/>
      <c r="I836" s="448"/>
      <c r="J836" s="448"/>
      <c r="K836" s="448"/>
      <c r="L836" s="448"/>
      <c r="M836" s="448"/>
      <c r="N836" s="448"/>
      <c r="O836" s="448"/>
      <c r="P836" s="448"/>
      <c r="Q836" s="448"/>
      <c r="R836" s="448"/>
      <c r="S836" s="448"/>
      <c r="T836" s="448"/>
      <c r="U836" s="448"/>
      <c r="V836" s="448"/>
    </row>
    <row r="837">
      <c r="A837" s="448"/>
      <c r="B837" s="448"/>
      <c r="C837" s="448"/>
      <c r="D837" s="448"/>
      <c r="E837" s="448"/>
      <c r="F837" s="448"/>
      <c r="G837" s="448"/>
      <c r="H837" s="448"/>
      <c r="I837" s="448"/>
      <c r="J837" s="448"/>
      <c r="K837" s="448"/>
      <c r="L837" s="448"/>
      <c r="M837" s="448"/>
      <c r="N837" s="448"/>
      <c r="O837" s="448"/>
      <c r="P837" s="448"/>
      <c r="Q837" s="448"/>
      <c r="R837" s="448"/>
      <c r="S837" s="448"/>
      <c r="T837" s="448"/>
      <c r="U837" s="448"/>
      <c r="V837" s="448"/>
    </row>
    <row r="838">
      <c r="A838" s="448"/>
      <c r="B838" s="448"/>
      <c r="C838" s="448"/>
      <c r="D838" s="448"/>
      <c r="E838" s="448"/>
      <c r="F838" s="448"/>
      <c r="G838" s="448"/>
      <c r="H838" s="448"/>
      <c r="I838" s="448"/>
      <c r="J838" s="448"/>
      <c r="K838" s="448"/>
      <c r="L838" s="448"/>
      <c r="M838" s="448"/>
      <c r="N838" s="448"/>
      <c r="O838" s="448"/>
      <c r="P838" s="448"/>
      <c r="Q838" s="448"/>
      <c r="R838" s="448"/>
      <c r="S838" s="448"/>
      <c r="T838" s="448"/>
      <c r="U838" s="448"/>
      <c r="V838" s="448"/>
    </row>
    <row r="839">
      <c r="A839" s="448"/>
      <c r="B839" s="448"/>
      <c r="C839" s="448"/>
      <c r="D839" s="448"/>
      <c r="E839" s="448"/>
      <c r="F839" s="448"/>
      <c r="G839" s="448"/>
      <c r="H839" s="448"/>
      <c r="I839" s="448"/>
      <c r="J839" s="448"/>
      <c r="K839" s="448"/>
      <c r="L839" s="448"/>
      <c r="M839" s="448"/>
      <c r="N839" s="448"/>
      <c r="O839" s="448"/>
      <c r="P839" s="448"/>
      <c r="Q839" s="448"/>
      <c r="R839" s="448"/>
      <c r="S839" s="448"/>
      <c r="T839" s="448"/>
      <c r="U839" s="448"/>
      <c r="V839" s="448"/>
    </row>
    <row r="840">
      <c r="A840" s="448"/>
      <c r="B840" s="448"/>
      <c r="C840" s="448"/>
      <c r="D840" s="448"/>
      <c r="E840" s="448"/>
      <c r="F840" s="448"/>
      <c r="G840" s="448"/>
      <c r="H840" s="448"/>
      <c r="I840" s="448"/>
      <c r="J840" s="448"/>
      <c r="K840" s="448"/>
      <c r="L840" s="448"/>
      <c r="M840" s="448"/>
      <c r="N840" s="448"/>
      <c r="O840" s="448"/>
      <c r="P840" s="448"/>
      <c r="Q840" s="448"/>
      <c r="R840" s="448"/>
      <c r="S840" s="448"/>
      <c r="T840" s="448"/>
      <c r="U840" s="448"/>
      <c r="V840" s="448"/>
    </row>
    <row r="841">
      <c r="A841" s="448"/>
      <c r="B841" s="448"/>
      <c r="C841" s="448"/>
      <c r="D841" s="448"/>
      <c r="E841" s="448"/>
      <c r="F841" s="448"/>
      <c r="G841" s="448"/>
      <c r="H841" s="448"/>
      <c r="I841" s="448"/>
      <c r="J841" s="448"/>
      <c r="K841" s="448"/>
      <c r="L841" s="448"/>
      <c r="M841" s="448"/>
      <c r="N841" s="448"/>
      <c r="O841" s="448"/>
      <c r="P841" s="448"/>
      <c r="Q841" s="448"/>
      <c r="R841" s="448"/>
      <c r="S841" s="448"/>
      <c r="T841" s="448"/>
      <c r="U841" s="448"/>
      <c r="V841" s="448"/>
    </row>
    <row r="842">
      <c r="A842" s="448"/>
      <c r="B842" s="448"/>
      <c r="C842" s="448"/>
      <c r="D842" s="448"/>
      <c r="E842" s="448"/>
      <c r="F842" s="448"/>
      <c r="G842" s="448"/>
      <c r="H842" s="448"/>
      <c r="I842" s="448"/>
      <c r="J842" s="448"/>
      <c r="K842" s="448"/>
      <c r="L842" s="448"/>
      <c r="M842" s="448"/>
      <c r="N842" s="448"/>
      <c r="O842" s="448"/>
      <c r="P842" s="448"/>
      <c r="Q842" s="448"/>
      <c r="R842" s="448"/>
      <c r="S842" s="448"/>
      <c r="T842" s="448"/>
      <c r="U842" s="448"/>
      <c r="V842" s="448"/>
    </row>
    <row r="843">
      <c r="A843" s="448"/>
      <c r="B843" s="448"/>
      <c r="C843" s="448"/>
      <c r="D843" s="448"/>
      <c r="E843" s="448"/>
      <c r="F843" s="448"/>
      <c r="G843" s="448"/>
      <c r="H843" s="448"/>
      <c r="I843" s="448"/>
      <c r="J843" s="448"/>
      <c r="K843" s="448"/>
      <c r="L843" s="448"/>
      <c r="M843" s="448"/>
      <c r="N843" s="448"/>
      <c r="O843" s="448"/>
      <c r="P843" s="448"/>
      <c r="Q843" s="448"/>
      <c r="R843" s="448"/>
      <c r="S843" s="448"/>
      <c r="T843" s="448"/>
      <c r="U843" s="448"/>
      <c r="V843" s="448"/>
    </row>
    <row r="844">
      <c r="A844" s="448"/>
      <c r="B844" s="448"/>
      <c r="C844" s="448"/>
      <c r="D844" s="448"/>
      <c r="E844" s="448"/>
      <c r="F844" s="448"/>
      <c r="G844" s="448"/>
      <c r="H844" s="448"/>
      <c r="I844" s="448"/>
      <c r="J844" s="448"/>
      <c r="K844" s="448"/>
      <c r="L844" s="448"/>
      <c r="M844" s="448"/>
      <c r="N844" s="448"/>
      <c r="O844" s="448"/>
      <c r="P844" s="448"/>
      <c r="Q844" s="448"/>
      <c r="R844" s="448"/>
      <c r="S844" s="448"/>
      <c r="T844" s="448"/>
      <c r="U844" s="448"/>
      <c r="V844" s="448"/>
    </row>
    <row r="845">
      <c r="A845" s="448"/>
      <c r="B845" s="448"/>
      <c r="C845" s="448"/>
      <c r="D845" s="448"/>
      <c r="E845" s="448"/>
      <c r="F845" s="448"/>
      <c r="G845" s="448"/>
      <c r="H845" s="448"/>
      <c r="I845" s="448"/>
      <c r="J845" s="448"/>
      <c r="K845" s="448"/>
      <c r="L845" s="448"/>
      <c r="M845" s="448"/>
      <c r="N845" s="448"/>
      <c r="O845" s="448"/>
      <c r="P845" s="448"/>
      <c r="Q845" s="448"/>
      <c r="R845" s="448"/>
      <c r="S845" s="448"/>
      <c r="T845" s="448"/>
      <c r="U845" s="448"/>
      <c r="V845" s="448"/>
    </row>
    <row r="846">
      <c r="A846" s="448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48"/>
      <c r="M846" s="448"/>
      <c r="N846" s="448"/>
      <c r="O846" s="448"/>
      <c r="P846" s="448"/>
      <c r="Q846" s="448"/>
      <c r="R846" s="448"/>
      <c r="S846" s="448"/>
      <c r="T846" s="448"/>
      <c r="U846" s="448"/>
      <c r="V846" s="448"/>
    </row>
    <row r="847">
      <c r="A847" s="448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48"/>
      <c r="M847" s="448"/>
      <c r="N847" s="448"/>
      <c r="O847" s="448"/>
      <c r="P847" s="448"/>
      <c r="Q847" s="448"/>
      <c r="R847" s="448"/>
      <c r="S847" s="448"/>
      <c r="T847" s="448"/>
      <c r="U847" s="448"/>
      <c r="V847" s="448"/>
    </row>
    <row r="848">
      <c r="A848" s="448"/>
      <c r="B848" s="448"/>
      <c r="C848" s="448"/>
      <c r="D848" s="448"/>
      <c r="E848" s="448"/>
      <c r="F848" s="448"/>
      <c r="G848" s="448"/>
      <c r="H848" s="448"/>
      <c r="I848" s="448"/>
      <c r="J848" s="448"/>
      <c r="K848" s="448"/>
      <c r="L848" s="448"/>
      <c r="M848" s="448"/>
      <c r="N848" s="448"/>
      <c r="O848" s="448"/>
      <c r="P848" s="448"/>
      <c r="Q848" s="448"/>
      <c r="R848" s="448"/>
      <c r="S848" s="448"/>
      <c r="T848" s="448"/>
      <c r="U848" s="448"/>
      <c r="V848" s="448"/>
    </row>
    <row r="849">
      <c r="A849" s="448"/>
      <c r="B849" s="448"/>
      <c r="C849" s="448"/>
      <c r="D849" s="448"/>
      <c r="E849" s="448"/>
      <c r="F849" s="448"/>
      <c r="G849" s="448"/>
      <c r="H849" s="448"/>
      <c r="I849" s="448"/>
      <c r="J849" s="448"/>
      <c r="K849" s="448"/>
      <c r="L849" s="448"/>
      <c r="M849" s="448"/>
      <c r="N849" s="448"/>
      <c r="O849" s="448"/>
      <c r="P849" s="448"/>
      <c r="Q849" s="448"/>
      <c r="R849" s="448"/>
      <c r="S849" s="448"/>
      <c r="T849" s="448"/>
      <c r="U849" s="448"/>
      <c r="V849" s="448"/>
    </row>
    <row r="850">
      <c r="A850" s="448"/>
      <c r="B850" s="448"/>
      <c r="C850" s="448"/>
      <c r="D850" s="448"/>
      <c r="E850" s="448"/>
      <c r="F850" s="448"/>
      <c r="G850" s="448"/>
      <c r="H850" s="448"/>
      <c r="I850" s="448"/>
      <c r="J850" s="448"/>
      <c r="K850" s="448"/>
      <c r="L850" s="448"/>
      <c r="M850" s="448"/>
      <c r="N850" s="448"/>
      <c r="O850" s="448"/>
      <c r="P850" s="448"/>
      <c r="Q850" s="448"/>
      <c r="R850" s="448"/>
      <c r="S850" s="448"/>
      <c r="T850" s="448"/>
      <c r="U850" s="448"/>
      <c r="V850" s="448"/>
    </row>
    <row r="851">
      <c r="A851" s="448"/>
      <c r="B851" s="448"/>
      <c r="C851" s="448"/>
      <c r="D851" s="448"/>
      <c r="E851" s="448"/>
      <c r="F851" s="448"/>
      <c r="G851" s="448"/>
      <c r="H851" s="448"/>
      <c r="I851" s="448"/>
      <c r="J851" s="448"/>
      <c r="K851" s="448"/>
      <c r="L851" s="448"/>
      <c r="M851" s="448"/>
      <c r="N851" s="448"/>
      <c r="O851" s="448"/>
      <c r="P851" s="448"/>
      <c r="Q851" s="448"/>
      <c r="R851" s="448"/>
      <c r="S851" s="448"/>
      <c r="T851" s="448"/>
      <c r="U851" s="448"/>
      <c r="V851" s="448"/>
    </row>
    <row r="852">
      <c r="A852" s="448"/>
      <c r="B852" s="448"/>
      <c r="C852" s="448"/>
      <c r="D852" s="448"/>
      <c r="E852" s="448"/>
      <c r="F852" s="448"/>
      <c r="G852" s="448"/>
      <c r="H852" s="448"/>
      <c r="I852" s="448"/>
      <c r="J852" s="448"/>
      <c r="K852" s="448"/>
      <c r="L852" s="448"/>
      <c r="M852" s="448"/>
      <c r="N852" s="448"/>
      <c r="O852" s="448"/>
      <c r="P852" s="448"/>
      <c r="Q852" s="448"/>
      <c r="R852" s="448"/>
      <c r="S852" s="448"/>
      <c r="T852" s="448"/>
      <c r="U852" s="448"/>
      <c r="V852" s="448"/>
    </row>
    <row r="853">
      <c r="A853" s="448"/>
      <c r="B853" s="448"/>
      <c r="C853" s="448"/>
      <c r="D853" s="448"/>
      <c r="E853" s="448"/>
      <c r="F853" s="448"/>
      <c r="G853" s="448"/>
      <c r="H853" s="448"/>
      <c r="I853" s="448"/>
      <c r="J853" s="448"/>
      <c r="K853" s="448"/>
      <c r="L853" s="448"/>
      <c r="M853" s="448"/>
      <c r="N853" s="448"/>
      <c r="O853" s="448"/>
      <c r="P853" s="448"/>
      <c r="Q853" s="448"/>
      <c r="R853" s="448"/>
      <c r="S853" s="448"/>
      <c r="T853" s="448"/>
      <c r="U853" s="448"/>
      <c r="V853" s="448"/>
    </row>
    <row r="854">
      <c r="A854" s="448"/>
      <c r="B854" s="448"/>
      <c r="C854" s="448"/>
      <c r="D854" s="448"/>
      <c r="E854" s="448"/>
      <c r="F854" s="448"/>
      <c r="G854" s="448"/>
      <c r="H854" s="448"/>
      <c r="I854" s="448"/>
      <c r="J854" s="448"/>
      <c r="K854" s="448"/>
      <c r="L854" s="448"/>
      <c r="M854" s="448"/>
      <c r="N854" s="448"/>
      <c r="O854" s="448"/>
      <c r="P854" s="448"/>
      <c r="Q854" s="448"/>
      <c r="R854" s="448"/>
      <c r="S854" s="448"/>
      <c r="T854" s="448"/>
      <c r="U854" s="448"/>
      <c r="V854" s="448"/>
    </row>
    <row r="855">
      <c r="A855" s="448"/>
      <c r="B855" s="448"/>
      <c r="C855" s="448"/>
      <c r="D855" s="448"/>
      <c r="E855" s="448"/>
      <c r="F855" s="448"/>
      <c r="G855" s="448"/>
      <c r="H855" s="448"/>
      <c r="I855" s="448"/>
      <c r="J855" s="448"/>
      <c r="K855" s="448"/>
      <c r="L855" s="448"/>
      <c r="M855" s="448"/>
      <c r="N855" s="448"/>
      <c r="O855" s="448"/>
      <c r="P855" s="448"/>
      <c r="Q855" s="448"/>
      <c r="R855" s="448"/>
      <c r="S855" s="448"/>
      <c r="T855" s="448"/>
      <c r="U855" s="448"/>
      <c r="V855" s="448"/>
    </row>
    <row r="856">
      <c r="A856" s="448"/>
      <c r="B856" s="448"/>
      <c r="C856" s="448"/>
      <c r="D856" s="448"/>
      <c r="E856" s="448"/>
      <c r="F856" s="448"/>
      <c r="G856" s="448"/>
      <c r="H856" s="448"/>
      <c r="I856" s="448"/>
      <c r="J856" s="448"/>
      <c r="K856" s="448"/>
      <c r="L856" s="448"/>
      <c r="M856" s="448"/>
      <c r="N856" s="448"/>
      <c r="O856" s="448"/>
      <c r="P856" s="448"/>
      <c r="Q856" s="448"/>
      <c r="R856" s="448"/>
      <c r="S856" s="448"/>
      <c r="T856" s="448"/>
      <c r="U856" s="448"/>
      <c r="V856" s="448"/>
    </row>
    <row r="857">
      <c r="A857" s="448"/>
      <c r="B857" s="448"/>
      <c r="C857" s="448"/>
      <c r="D857" s="448"/>
      <c r="E857" s="448"/>
      <c r="F857" s="448"/>
      <c r="G857" s="448"/>
      <c r="H857" s="448"/>
      <c r="I857" s="448"/>
      <c r="J857" s="448"/>
      <c r="K857" s="448"/>
      <c r="L857" s="448"/>
      <c r="M857" s="448"/>
      <c r="N857" s="448"/>
      <c r="O857" s="448"/>
      <c r="P857" s="448"/>
      <c r="Q857" s="448"/>
      <c r="R857" s="448"/>
      <c r="S857" s="448"/>
      <c r="T857" s="448"/>
      <c r="U857" s="448"/>
      <c r="V857" s="448"/>
    </row>
    <row r="858">
      <c r="A858" s="448"/>
      <c r="B858" s="448"/>
      <c r="C858" s="448"/>
      <c r="D858" s="448"/>
      <c r="E858" s="448"/>
      <c r="F858" s="448"/>
      <c r="G858" s="448"/>
      <c r="H858" s="448"/>
      <c r="I858" s="448"/>
      <c r="J858" s="448"/>
      <c r="K858" s="448"/>
      <c r="L858" s="448"/>
      <c r="M858" s="448"/>
      <c r="N858" s="448"/>
      <c r="O858" s="448"/>
      <c r="P858" s="448"/>
      <c r="Q858" s="448"/>
      <c r="R858" s="448"/>
      <c r="S858" s="448"/>
      <c r="T858" s="448"/>
      <c r="U858" s="448"/>
      <c r="V858" s="448"/>
    </row>
    <row r="859">
      <c r="A859" s="448"/>
      <c r="B859" s="448"/>
      <c r="C859" s="448"/>
      <c r="D859" s="448"/>
      <c r="E859" s="448"/>
      <c r="F859" s="448"/>
      <c r="G859" s="448"/>
      <c r="H859" s="448"/>
      <c r="I859" s="448"/>
      <c r="J859" s="448"/>
      <c r="K859" s="448"/>
      <c r="L859" s="448"/>
      <c r="M859" s="448"/>
      <c r="N859" s="448"/>
      <c r="O859" s="448"/>
      <c r="P859" s="448"/>
      <c r="Q859" s="448"/>
      <c r="R859" s="448"/>
      <c r="S859" s="448"/>
      <c r="T859" s="448"/>
      <c r="U859" s="448"/>
      <c r="V859" s="448"/>
    </row>
    <row r="860">
      <c r="A860" s="448"/>
      <c r="B860" s="448"/>
      <c r="C860" s="448"/>
      <c r="D860" s="448"/>
      <c r="E860" s="448"/>
      <c r="F860" s="448"/>
      <c r="G860" s="448"/>
      <c r="H860" s="448"/>
      <c r="I860" s="448"/>
      <c r="J860" s="448"/>
      <c r="K860" s="448"/>
      <c r="L860" s="448"/>
      <c r="M860" s="448"/>
      <c r="N860" s="448"/>
      <c r="O860" s="448"/>
      <c r="P860" s="448"/>
      <c r="Q860" s="448"/>
      <c r="R860" s="448"/>
      <c r="S860" s="448"/>
      <c r="T860" s="448"/>
      <c r="U860" s="448"/>
      <c r="V860" s="448"/>
    </row>
    <row r="861">
      <c r="A861" s="448"/>
      <c r="B861" s="448"/>
      <c r="C861" s="448"/>
      <c r="D861" s="448"/>
      <c r="E861" s="448"/>
      <c r="F861" s="448"/>
      <c r="G861" s="448"/>
      <c r="H861" s="448"/>
      <c r="I861" s="448"/>
      <c r="J861" s="448"/>
      <c r="K861" s="448"/>
      <c r="L861" s="448"/>
      <c r="M861" s="448"/>
      <c r="N861" s="448"/>
      <c r="O861" s="448"/>
      <c r="P861" s="448"/>
      <c r="Q861" s="448"/>
      <c r="R861" s="448"/>
      <c r="S861" s="448"/>
      <c r="T861" s="448"/>
      <c r="U861" s="448"/>
      <c r="V861" s="448"/>
    </row>
    <row r="862">
      <c r="A862" s="448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48"/>
      <c r="M862" s="448"/>
      <c r="N862" s="448"/>
      <c r="O862" s="448"/>
      <c r="P862" s="448"/>
      <c r="Q862" s="448"/>
      <c r="R862" s="448"/>
      <c r="S862" s="448"/>
      <c r="T862" s="448"/>
      <c r="U862" s="448"/>
      <c r="V862" s="448"/>
    </row>
    <row r="863">
      <c r="A863" s="448"/>
      <c r="B863" s="448"/>
      <c r="C863" s="448"/>
      <c r="D863" s="448"/>
      <c r="E863" s="448"/>
      <c r="F863" s="448"/>
      <c r="G863" s="448"/>
      <c r="H863" s="448"/>
      <c r="I863" s="448"/>
      <c r="J863" s="448"/>
      <c r="K863" s="448"/>
      <c r="L863" s="448"/>
      <c r="M863" s="448"/>
      <c r="N863" s="448"/>
      <c r="O863" s="448"/>
      <c r="P863" s="448"/>
      <c r="Q863" s="448"/>
      <c r="R863" s="448"/>
      <c r="S863" s="448"/>
      <c r="T863" s="448"/>
      <c r="U863" s="448"/>
      <c r="V863" s="448"/>
    </row>
    <row r="864">
      <c r="A864" s="448"/>
      <c r="B864" s="448"/>
      <c r="C864" s="448"/>
      <c r="D864" s="448"/>
      <c r="E864" s="448"/>
      <c r="F864" s="448"/>
      <c r="G864" s="448"/>
      <c r="H864" s="448"/>
      <c r="I864" s="448"/>
      <c r="J864" s="448"/>
      <c r="K864" s="448"/>
      <c r="L864" s="448"/>
      <c r="M864" s="448"/>
      <c r="N864" s="448"/>
      <c r="O864" s="448"/>
      <c r="P864" s="448"/>
      <c r="Q864" s="448"/>
      <c r="R864" s="448"/>
      <c r="S864" s="448"/>
      <c r="T864" s="448"/>
      <c r="U864" s="448"/>
      <c r="V864" s="448"/>
    </row>
    <row r="865">
      <c r="A865" s="448"/>
      <c r="B865" s="448"/>
      <c r="C865" s="448"/>
      <c r="D865" s="448"/>
      <c r="E865" s="448"/>
      <c r="F865" s="448"/>
      <c r="G865" s="448"/>
      <c r="H865" s="448"/>
      <c r="I865" s="448"/>
      <c r="J865" s="448"/>
      <c r="K865" s="448"/>
      <c r="L865" s="448"/>
      <c r="M865" s="448"/>
      <c r="N865" s="448"/>
      <c r="O865" s="448"/>
      <c r="P865" s="448"/>
      <c r="Q865" s="448"/>
      <c r="R865" s="448"/>
      <c r="S865" s="448"/>
      <c r="T865" s="448"/>
      <c r="U865" s="448"/>
      <c r="V865" s="448"/>
    </row>
    <row r="866">
      <c r="A866" s="448"/>
      <c r="B866" s="448"/>
      <c r="C866" s="448"/>
      <c r="D866" s="448"/>
      <c r="E866" s="448"/>
      <c r="F866" s="448"/>
      <c r="G866" s="448"/>
      <c r="H866" s="448"/>
      <c r="I866" s="448"/>
      <c r="J866" s="448"/>
      <c r="K866" s="448"/>
      <c r="L866" s="448"/>
      <c r="M866" s="448"/>
      <c r="N866" s="448"/>
      <c r="O866" s="448"/>
      <c r="P866" s="448"/>
      <c r="Q866" s="448"/>
      <c r="R866" s="448"/>
      <c r="S866" s="448"/>
      <c r="T866" s="448"/>
      <c r="U866" s="448"/>
      <c r="V866" s="448"/>
    </row>
    <row r="867">
      <c r="A867" s="448"/>
      <c r="B867" s="448"/>
      <c r="C867" s="448"/>
      <c r="D867" s="448"/>
      <c r="E867" s="448"/>
      <c r="F867" s="448"/>
      <c r="G867" s="448"/>
      <c r="H867" s="448"/>
      <c r="I867" s="448"/>
      <c r="J867" s="448"/>
      <c r="K867" s="448"/>
      <c r="L867" s="448"/>
      <c r="M867" s="448"/>
      <c r="N867" s="448"/>
      <c r="O867" s="448"/>
      <c r="P867" s="448"/>
      <c r="Q867" s="448"/>
      <c r="R867" s="448"/>
      <c r="S867" s="448"/>
      <c r="T867" s="448"/>
      <c r="U867" s="448"/>
      <c r="V867" s="448"/>
    </row>
    <row r="868">
      <c r="A868" s="448"/>
      <c r="B868" s="448"/>
      <c r="C868" s="448"/>
      <c r="D868" s="448"/>
      <c r="E868" s="448"/>
      <c r="F868" s="448"/>
      <c r="G868" s="448"/>
      <c r="H868" s="448"/>
      <c r="I868" s="448"/>
      <c r="J868" s="448"/>
      <c r="K868" s="448"/>
      <c r="L868" s="448"/>
      <c r="M868" s="448"/>
      <c r="N868" s="448"/>
      <c r="O868" s="448"/>
      <c r="P868" s="448"/>
      <c r="Q868" s="448"/>
      <c r="R868" s="448"/>
      <c r="S868" s="448"/>
      <c r="T868" s="448"/>
      <c r="U868" s="448"/>
      <c r="V868" s="448"/>
    </row>
    <row r="869">
      <c r="A869" s="448"/>
      <c r="B869" s="448"/>
      <c r="C869" s="448"/>
      <c r="D869" s="448"/>
      <c r="E869" s="448"/>
      <c r="F869" s="448"/>
      <c r="G869" s="448"/>
      <c r="H869" s="448"/>
      <c r="I869" s="448"/>
      <c r="J869" s="448"/>
      <c r="K869" s="448"/>
      <c r="L869" s="448"/>
      <c r="M869" s="448"/>
      <c r="N869" s="448"/>
      <c r="O869" s="448"/>
      <c r="P869" s="448"/>
      <c r="Q869" s="448"/>
      <c r="R869" s="448"/>
      <c r="S869" s="448"/>
      <c r="T869" s="448"/>
      <c r="U869" s="448"/>
      <c r="V869" s="448"/>
    </row>
    <row r="870">
      <c r="A870" s="448"/>
      <c r="B870" s="448"/>
      <c r="C870" s="448"/>
      <c r="D870" s="448"/>
      <c r="E870" s="448"/>
      <c r="F870" s="448"/>
      <c r="G870" s="448"/>
      <c r="H870" s="448"/>
      <c r="I870" s="448"/>
      <c r="J870" s="448"/>
      <c r="K870" s="448"/>
      <c r="L870" s="448"/>
      <c r="M870" s="448"/>
      <c r="N870" s="448"/>
      <c r="O870" s="448"/>
      <c r="P870" s="448"/>
      <c r="Q870" s="448"/>
      <c r="R870" s="448"/>
      <c r="S870" s="448"/>
      <c r="T870" s="448"/>
      <c r="U870" s="448"/>
      <c r="V870" s="448"/>
    </row>
    <row r="871">
      <c r="A871" s="448"/>
      <c r="B871" s="448"/>
      <c r="C871" s="448"/>
      <c r="D871" s="448"/>
      <c r="E871" s="448"/>
      <c r="F871" s="448"/>
      <c r="G871" s="448"/>
      <c r="H871" s="448"/>
      <c r="I871" s="448"/>
      <c r="J871" s="448"/>
      <c r="K871" s="448"/>
      <c r="L871" s="448"/>
      <c r="M871" s="448"/>
      <c r="N871" s="448"/>
      <c r="O871" s="448"/>
      <c r="P871" s="448"/>
      <c r="Q871" s="448"/>
      <c r="R871" s="448"/>
      <c r="S871" s="448"/>
      <c r="T871" s="448"/>
      <c r="U871" s="448"/>
      <c r="V871" s="448"/>
    </row>
    <row r="872">
      <c r="A872" s="448"/>
      <c r="B872" s="448"/>
      <c r="C872" s="448"/>
      <c r="D872" s="448"/>
      <c r="E872" s="448"/>
      <c r="F872" s="448"/>
      <c r="G872" s="448"/>
      <c r="H872" s="448"/>
      <c r="I872" s="448"/>
      <c r="J872" s="448"/>
      <c r="K872" s="448"/>
      <c r="L872" s="448"/>
      <c r="M872" s="448"/>
      <c r="N872" s="448"/>
      <c r="O872" s="448"/>
      <c r="P872" s="448"/>
      <c r="Q872" s="448"/>
      <c r="R872" s="448"/>
      <c r="S872" s="448"/>
      <c r="T872" s="448"/>
      <c r="U872" s="448"/>
      <c r="V872" s="448"/>
    </row>
    <row r="873">
      <c r="A873" s="448"/>
      <c r="B873" s="448"/>
      <c r="C873" s="448"/>
      <c r="D873" s="448"/>
      <c r="E873" s="448"/>
      <c r="F873" s="448"/>
      <c r="G873" s="448"/>
      <c r="H873" s="448"/>
      <c r="I873" s="448"/>
      <c r="J873" s="448"/>
      <c r="K873" s="448"/>
      <c r="L873" s="448"/>
      <c r="M873" s="448"/>
      <c r="N873" s="448"/>
      <c r="O873" s="448"/>
      <c r="P873" s="448"/>
      <c r="Q873" s="448"/>
      <c r="R873" s="448"/>
      <c r="S873" s="448"/>
      <c r="T873" s="448"/>
      <c r="U873" s="448"/>
      <c r="V873" s="448"/>
    </row>
    <row r="874">
      <c r="A874" s="448"/>
      <c r="B874" s="448"/>
      <c r="C874" s="448"/>
      <c r="D874" s="448"/>
      <c r="E874" s="448"/>
      <c r="F874" s="448"/>
      <c r="G874" s="448"/>
      <c r="H874" s="448"/>
      <c r="I874" s="448"/>
      <c r="J874" s="448"/>
      <c r="K874" s="448"/>
      <c r="L874" s="448"/>
      <c r="M874" s="448"/>
      <c r="N874" s="448"/>
      <c r="O874" s="448"/>
      <c r="P874" s="448"/>
      <c r="Q874" s="448"/>
      <c r="R874" s="448"/>
      <c r="S874" s="448"/>
      <c r="T874" s="448"/>
      <c r="U874" s="448"/>
      <c r="V874" s="448"/>
    </row>
    <row r="875">
      <c r="A875" s="448"/>
      <c r="B875" s="448"/>
      <c r="C875" s="448"/>
      <c r="D875" s="448"/>
      <c r="E875" s="448"/>
      <c r="F875" s="448"/>
      <c r="G875" s="448"/>
      <c r="H875" s="448"/>
      <c r="I875" s="448"/>
      <c r="J875" s="448"/>
      <c r="K875" s="448"/>
      <c r="L875" s="448"/>
      <c r="M875" s="448"/>
      <c r="N875" s="448"/>
      <c r="O875" s="448"/>
      <c r="P875" s="448"/>
      <c r="Q875" s="448"/>
      <c r="R875" s="448"/>
      <c r="S875" s="448"/>
      <c r="T875" s="448"/>
      <c r="U875" s="448"/>
      <c r="V875" s="448"/>
    </row>
    <row r="876">
      <c r="A876" s="448"/>
      <c r="B876" s="448"/>
      <c r="C876" s="448"/>
      <c r="D876" s="448"/>
      <c r="E876" s="448"/>
      <c r="F876" s="448"/>
      <c r="G876" s="448"/>
      <c r="H876" s="448"/>
      <c r="I876" s="448"/>
      <c r="J876" s="448"/>
      <c r="K876" s="448"/>
      <c r="L876" s="448"/>
      <c r="M876" s="448"/>
      <c r="N876" s="448"/>
      <c r="O876" s="448"/>
      <c r="P876" s="448"/>
      <c r="Q876" s="448"/>
      <c r="R876" s="448"/>
      <c r="S876" s="448"/>
      <c r="T876" s="448"/>
      <c r="U876" s="448"/>
      <c r="V876" s="448"/>
    </row>
    <row r="877">
      <c r="A877" s="448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48"/>
      <c r="M877" s="448"/>
      <c r="N877" s="448"/>
      <c r="O877" s="448"/>
      <c r="P877" s="448"/>
      <c r="Q877" s="448"/>
      <c r="R877" s="448"/>
      <c r="S877" s="448"/>
      <c r="T877" s="448"/>
      <c r="U877" s="448"/>
      <c r="V877" s="448"/>
    </row>
    <row r="878">
      <c r="A878" s="448"/>
      <c r="B878" s="448"/>
      <c r="C878" s="448"/>
      <c r="D878" s="448"/>
      <c r="E878" s="448"/>
      <c r="F878" s="448"/>
      <c r="G878" s="448"/>
      <c r="H878" s="448"/>
      <c r="I878" s="448"/>
      <c r="J878" s="448"/>
      <c r="K878" s="448"/>
      <c r="L878" s="448"/>
      <c r="M878" s="448"/>
      <c r="N878" s="448"/>
      <c r="O878" s="448"/>
      <c r="P878" s="448"/>
      <c r="Q878" s="448"/>
      <c r="R878" s="448"/>
      <c r="S878" s="448"/>
      <c r="T878" s="448"/>
      <c r="U878" s="448"/>
      <c r="V878" s="448"/>
    </row>
    <row r="879">
      <c r="A879" s="448"/>
      <c r="B879" s="448"/>
      <c r="C879" s="448"/>
      <c r="D879" s="448"/>
      <c r="E879" s="448"/>
      <c r="F879" s="448"/>
      <c r="G879" s="448"/>
      <c r="H879" s="448"/>
      <c r="I879" s="448"/>
      <c r="J879" s="448"/>
      <c r="K879" s="448"/>
      <c r="L879" s="448"/>
      <c r="M879" s="448"/>
      <c r="N879" s="448"/>
      <c r="O879" s="448"/>
      <c r="P879" s="448"/>
      <c r="Q879" s="448"/>
      <c r="R879" s="448"/>
      <c r="S879" s="448"/>
      <c r="T879" s="448"/>
      <c r="U879" s="448"/>
      <c r="V879" s="448"/>
    </row>
    <row r="880">
      <c r="A880" s="448"/>
      <c r="B880" s="448"/>
      <c r="C880" s="448"/>
      <c r="D880" s="448"/>
      <c r="E880" s="448"/>
      <c r="F880" s="448"/>
      <c r="G880" s="448"/>
      <c r="H880" s="448"/>
      <c r="I880" s="448"/>
      <c r="J880" s="448"/>
      <c r="K880" s="448"/>
      <c r="L880" s="448"/>
      <c r="M880" s="448"/>
      <c r="N880" s="448"/>
      <c r="O880" s="448"/>
      <c r="P880" s="448"/>
      <c r="Q880" s="448"/>
      <c r="R880" s="448"/>
      <c r="S880" s="448"/>
      <c r="T880" s="448"/>
      <c r="U880" s="448"/>
      <c r="V880" s="448"/>
    </row>
    <row r="881">
      <c r="A881" s="448"/>
      <c r="B881" s="448"/>
      <c r="C881" s="448"/>
      <c r="D881" s="448"/>
      <c r="E881" s="448"/>
      <c r="F881" s="448"/>
      <c r="G881" s="448"/>
      <c r="H881" s="448"/>
      <c r="I881" s="448"/>
      <c r="J881" s="448"/>
      <c r="K881" s="448"/>
      <c r="L881" s="448"/>
      <c r="M881" s="448"/>
      <c r="N881" s="448"/>
      <c r="O881" s="448"/>
      <c r="P881" s="448"/>
      <c r="Q881" s="448"/>
      <c r="R881" s="448"/>
      <c r="S881" s="448"/>
      <c r="T881" s="448"/>
      <c r="U881" s="448"/>
      <c r="V881" s="448"/>
    </row>
    <row r="882">
      <c r="A882" s="448"/>
      <c r="B882" s="448"/>
      <c r="C882" s="448"/>
      <c r="D882" s="448"/>
      <c r="E882" s="448"/>
      <c r="F882" s="448"/>
      <c r="G882" s="448"/>
      <c r="H882" s="448"/>
      <c r="I882" s="448"/>
      <c r="J882" s="448"/>
      <c r="K882" s="448"/>
      <c r="L882" s="448"/>
      <c r="M882" s="448"/>
      <c r="N882" s="448"/>
      <c r="O882" s="448"/>
      <c r="P882" s="448"/>
      <c r="Q882" s="448"/>
      <c r="R882" s="448"/>
      <c r="S882" s="448"/>
      <c r="T882" s="448"/>
      <c r="U882" s="448"/>
      <c r="V882" s="448"/>
    </row>
    <row r="883">
      <c r="A883" s="448"/>
      <c r="B883" s="448"/>
      <c r="C883" s="448"/>
      <c r="D883" s="448"/>
      <c r="E883" s="448"/>
      <c r="F883" s="448"/>
      <c r="G883" s="448"/>
      <c r="H883" s="448"/>
      <c r="I883" s="448"/>
      <c r="J883" s="448"/>
      <c r="K883" s="448"/>
      <c r="L883" s="448"/>
      <c r="M883" s="448"/>
      <c r="N883" s="448"/>
      <c r="O883" s="448"/>
      <c r="P883" s="448"/>
      <c r="Q883" s="448"/>
      <c r="R883" s="448"/>
      <c r="S883" s="448"/>
      <c r="T883" s="448"/>
      <c r="U883" s="448"/>
      <c r="V883" s="448"/>
    </row>
    <row r="884">
      <c r="A884" s="448"/>
      <c r="B884" s="448"/>
      <c r="C884" s="448"/>
      <c r="D884" s="448"/>
      <c r="E884" s="448"/>
      <c r="F884" s="448"/>
      <c r="G884" s="448"/>
      <c r="H884" s="448"/>
      <c r="I884" s="448"/>
      <c r="J884" s="448"/>
      <c r="K884" s="448"/>
      <c r="L884" s="448"/>
      <c r="M884" s="448"/>
      <c r="N884" s="448"/>
      <c r="O884" s="448"/>
      <c r="P884" s="448"/>
      <c r="Q884" s="448"/>
      <c r="R884" s="448"/>
      <c r="S884" s="448"/>
      <c r="T884" s="448"/>
      <c r="U884" s="448"/>
      <c r="V884" s="448"/>
    </row>
    <row r="885">
      <c r="A885" s="448"/>
      <c r="B885" s="448"/>
      <c r="C885" s="448"/>
      <c r="D885" s="448"/>
      <c r="E885" s="448"/>
      <c r="F885" s="448"/>
      <c r="G885" s="448"/>
      <c r="H885" s="448"/>
      <c r="I885" s="448"/>
      <c r="J885" s="448"/>
      <c r="K885" s="448"/>
      <c r="L885" s="448"/>
      <c r="M885" s="448"/>
      <c r="N885" s="448"/>
      <c r="O885" s="448"/>
      <c r="P885" s="448"/>
      <c r="Q885" s="448"/>
      <c r="R885" s="448"/>
      <c r="S885" s="448"/>
      <c r="T885" s="448"/>
      <c r="U885" s="448"/>
      <c r="V885" s="448"/>
    </row>
    <row r="886">
      <c r="A886" s="448"/>
      <c r="B886" s="448"/>
      <c r="C886" s="448"/>
      <c r="D886" s="448"/>
      <c r="E886" s="448"/>
      <c r="F886" s="448"/>
      <c r="G886" s="448"/>
      <c r="H886" s="448"/>
      <c r="I886" s="448"/>
      <c r="J886" s="448"/>
      <c r="K886" s="448"/>
      <c r="L886" s="448"/>
      <c r="M886" s="448"/>
      <c r="N886" s="448"/>
      <c r="O886" s="448"/>
      <c r="P886" s="448"/>
      <c r="Q886" s="448"/>
      <c r="R886" s="448"/>
      <c r="S886" s="448"/>
      <c r="T886" s="448"/>
      <c r="U886" s="448"/>
      <c r="V886" s="448"/>
    </row>
    <row r="887">
      <c r="A887" s="448"/>
      <c r="B887" s="448"/>
      <c r="C887" s="448"/>
      <c r="D887" s="448"/>
      <c r="E887" s="448"/>
      <c r="F887" s="448"/>
      <c r="G887" s="448"/>
      <c r="H887" s="448"/>
      <c r="I887" s="448"/>
      <c r="J887" s="448"/>
      <c r="K887" s="448"/>
      <c r="L887" s="448"/>
      <c r="M887" s="448"/>
      <c r="N887" s="448"/>
      <c r="O887" s="448"/>
      <c r="P887" s="448"/>
      <c r="Q887" s="448"/>
      <c r="R887" s="448"/>
      <c r="S887" s="448"/>
      <c r="T887" s="448"/>
      <c r="U887" s="448"/>
      <c r="V887" s="448"/>
    </row>
    <row r="888">
      <c r="A888" s="448"/>
      <c r="B888" s="448"/>
      <c r="C888" s="448"/>
      <c r="D888" s="448"/>
      <c r="E888" s="448"/>
      <c r="F888" s="448"/>
      <c r="G888" s="448"/>
      <c r="H888" s="448"/>
      <c r="I888" s="448"/>
      <c r="J888" s="448"/>
      <c r="K888" s="448"/>
      <c r="L888" s="448"/>
      <c r="M888" s="448"/>
      <c r="N888" s="448"/>
      <c r="O888" s="448"/>
      <c r="P888" s="448"/>
      <c r="Q888" s="448"/>
      <c r="R888" s="448"/>
      <c r="S888" s="448"/>
      <c r="T888" s="448"/>
      <c r="U888" s="448"/>
      <c r="V888" s="448"/>
    </row>
    <row r="889">
      <c r="A889" s="448"/>
      <c r="B889" s="448"/>
      <c r="C889" s="448"/>
      <c r="D889" s="448"/>
      <c r="E889" s="448"/>
      <c r="F889" s="448"/>
      <c r="G889" s="448"/>
      <c r="H889" s="448"/>
      <c r="I889" s="448"/>
      <c r="J889" s="448"/>
      <c r="K889" s="448"/>
      <c r="L889" s="448"/>
      <c r="M889" s="448"/>
      <c r="N889" s="448"/>
      <c r="O889" s="448"/>
      <c r="P889" s="448"/>
      <c r="Q889" s="448"/>
      <c r="R889" s="448"/>
      <c r="S889" s="448"/>
      <c r="T889" s="448"/>
      <c r="U889" s="448"/>
      <c r="V889" s="448"/>
    </row>
    <row r="890">
      <c r="A890" s="448"/>
      <c r="B890" s="448"/>
      <c r="C890" s="448"/>
      <c r="D890" s="448"/>
      <c r="E890" s="448"/>
      <c r="F890" s="448"/>
      <c r="G890" s="448"/>
      <c r="H890" s="448"/>
      <c r="I890" s="448"/>
      <c r="J890" s="448"/>
      <c r="K890" s="448"/>
      <c r="L890" s="448"/>
      <c r="M890" s="448"/>
      <c r="N890" s="448"/>
      <c r="O890" s="448"/>
      <c r="P890" s="448"/>
      <c r="Q890" s="448"/>
      <c r="R890" s="448"/>
      <c r="S890" s="448"/>
      <c r="T890" s="448"/>
      <c r="U890" s="448"/>
      <c r="V890" s="448"/>
    </row>
    <row r="891">
      <c r="A891" s="448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48"/>
      <c r="M891" s="448"/>
      <c r="N891" s="448"/>
      <c r="O891" s="448"/>
      <c r="P891" s="448"/>
      <c r="Q891" s="448"/>
      <c r="R891" s="448"/>
      <c r="S891" s="448"/>
      <c r="T891" s="448"/>
      <c r="U891" s="448"/>
      <c r="V891" s="448"/>
    </row>
    <row r="892">
      <c r="A892" s="448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48"/>
      <c r="M892" s="448"/>
      <c r="N892" s="448"/>
      <c r="O892" s="448"/>
      <c r="P892" s="448"/>
      <c r="Q892" s="448"/>
      <c r="R892" s="448"/>
      <c r="S892" s="448"/>
      <c r="T892" s="448"/>
      <c r="U892" s="448"/>
      <c r="V892" s="448"/>
    </row>
    <row r="893">
      <c r="A893" s="448"/>
      <c r="B893" s="448"/>
      <c r="C893" s="448"/>
      <c r="D893" s="448"/>
      <c r="E893" s="448"/>
      <c r="F893" s="448"/>
      <c r="G893" s="448"/>
      <c r="H893" s="448"/>
      <c r="I893" s="448"/>
      <c r="J893" s="448"/>
      <c r="K893" s="448"/>
      <c r="L893" s="448"/>
      <c r="M893" s="448"/>
      <c r="N893" s="448"/>
      <c r="O893" s="448"/>
      <c r="P893" s="448"/>
      <c r="Q893" s="448"/>
      <c r="R893" s="448"/>
      <c r="S893" s="448"/>
      <c r="T893" s="448"/>
      <c r="U893" s="448"/>
      <c r="V893" s="448"/>
    </row>
    <row r="894">
      <c r="A894" s="448"/>
      <c r="B894" s="448"/>
      <c r="C894" s="448"/>
      <c r="D894" s="448"/>
      <c r="E894" s="448"/>
      <c r="F894" s="448"/>
      <c r="G894" s="448"/>
      <c r="H894" s="448"/>
      <c r="I894" s="448"/>
      <c r="J894" s="448"/>
      <c r="K894" s="448"/>
      <c r="L894" s="448"/>
      <c r="M894" s="448"/>
      <c r="N894" s="448"/>
      <c r="O894" s="448"/>
      <c r="P894" s="448"/>
      <c r="Q894" s="448"/>
      <c r="R894" s="448"/>
      <c r="S894" s="448"/>
      <c r="T894" s="448"/>
      <c r="U894" s="448"/>
      <c r="V894" s="448"/>
    </row>
    <row r="895">
      <c r="A895" s="448"/>
      <c r="B895" s="448"/>
      <c r="C895" s="448"/>
      <c r="D895" s="448"/>
      <c r="E895" s="448"/>
      <c r="F895" s="448"/>
      <c r="G895" s="448"/>
      <c r="H895" s="448"/>
      <c r="I895" s="448"/>
      <c r="J895" s="448"/>
      <c r="K895" s="448"/>
      <c r="L895" s="448"/>
      <c r="M895" s="448"/>
      <c r="N895" s="448"/>
      <c r="O895" s="448"/>
      <c r="P895" s="448"/>
      <c r="Q895" s="448"/>
      <c r="R895" s="448"/>
      <c r="S895" s="448"/>
      <c r="T895" s="448"/>
      <c r="U895" s="448"/>
      <c r="V895" s="448"/>
    </row>
    <row r="896">
      <c r="A896" s="448"/>
      <c r="B896" s="448"/>
      <c r="C896" s="448"/>
      <c r="D896" s="448"/>
      <c r="E896" s="448"/>
      <c r="F896" s="448"/>
      <c r="G896" s="448"/>
      <c r="H896" s="448"/>
      <c r="I896" s="448"/>
      <c r="J896" s="448"/>
      <c r="K896" s="448"/>
      <c r="L896" s="448"/>
      <c r="M896" s="448"/>
      <c r="N896" s="448"/>
      <c r="O896" s="448"/>
      <c r="P896" s="448"/>
      <c r="Q896" s="448"/>
      <c r="R896" s="448"/>
      <c r="S896" s="448"/>
      <c r="T896" s="448"/>
      <c r="U896" s="448"/>
      <c r="V896" s="448"/>
    </row>
    <row r="897">
      <c r="A897" s="448"/>
      <c r="B897" s="448"/>
      <c r="C897" s="448"/>
      <c r="D897" s="448"/>
      <c r="E897" s="448"/>
      <c r="F897" s="448"/>
      <c r="G897" s="448"/>
      <c r="H897" s="448"/>
      <c r="I897" s="448"/>
      <c r="J897" s="448"/>
      <c r="K897" s="448"/>
      <c r="L897" s="448"/>
      <c r="M897" s="448"/>
      <c r="N897" s="448"/>
      <c r="O897" s="448"/>
      <c r="P897" s="448"/>
      <c r="Q897" s="448"/>
      <c r="R897" s="448"/>
      <c r="S897" s="448"/>
      <c r="T897" s="448"/>
      <c r="U897" s="448"/>
      <c r="V897" s="448"/>
    </row>
    <row r="898">
      <c r="A898" s="448"/>
      <c r="B898" s="448"/>
      <c r="C898" s="448"/>
      <c r="D898" s="448"/>
      <c r="E898" s="448"/>
      <c r="F898" s="448"/>
      <c r="G898" s="448"/>
      <c r="H898" s="448"/>
      <c r="I898" s="448"/>
      <c r="J898" s="448"/>
      <c r="K898" s="448"/>
      <c r="L898" s="448"/>
      <c r="M898" s="448"/>
      <c r="N898" s="448"/>
      <c r="O898" s="448"/>
      <c r="P898" s="448"/>
      <c r="Q898" s="448"/>
      <c r="R898" s="448"/>
      <c r="S898" s="448"/>
      <c r="T898" s="448"/>
      <c r="U898" s="448"/>
      <c r="V898" s="448"/>
    </row>
    <row r="899">
      <c r="A899" s="448"/>
      <c r="B899" s="448"/>
      <c r="C899" s="448"/>
      <c r="D899" s="448"/>
      <c r="E899" s="448"/>
      <c r="F899" s="448"/>
      <c r="G899" s="448"/>
      <c r="H899" s="448"/>
      <c r="I899" s="448"/>
      <c r="J899" s="448"/>
      <c r="K899" s="448"/>
      <c r="L899" s="448"/>
      <c r="M899" s="448"/>
      <c r="N899" s="448"/>
      <c r="O899" s="448"/>
      <c r="P899" s="448"/>
      <c r="Q899" s="448"/>
      <c r="R899" s="448"/>
      <c r="S899" s="448"/>
      <c r="T899" s="448"/>
      <c r="U899" s="448"/>
      <c r="V899" s="448"/>
    </row>
    <row r="900">
      <c r="A900" s="448"/>
      <c r="B900" s="448"/>
      <c r="C900" s="448"/>
      <c r="D900" s="448"/>
      <c r="E900" s="448"/>
      <c r="F900" s="448"/>
      <c r="G900" s="448"/>
      <c r="H900" s="448"/>
      <c r="I900" s="448"/>
      <c r="J900" s="448"/>
      <c r="K900" s="448"/>
      <c r="L900" s="448"/>
      <c r="M900" s="448"/>
      <c r="N900" s="448"/>
      <c r="O900" s="448"/>
      <c r="P900" s="448"/>
      <c r="Q900" s="448"/>
      <c r="R900" s="448"/>
      <c r="S900" s="448"/>
      <c r="T900" s="448"/>
      <c r="U900" s="448"/>
      <c r="V900" s="448"/>
    </row>
    <row r="901">
      <c r="A901" s="448"/>
      <c r="B901" s="448"/>
      <c r="C901" s="448"/>
      <c r="D901" s="448"/>
      <c r="E901" s="448"/>
      <c r="F901" s="448"/>
      <c r="G901" s="448"/>
      <c r="H901" s="448"/>
      <c r="I901" s="448"/>
      <c r="J901" s="448"/>
      <c r="K901" s="448"/>
      <c r="L901" s="448"/>
      <c r="M901" s="448"/>
      <c r="N901" s="448"/>
      <c r="O901" s="448"/>
      <c r="P901" s="448"/>
      <c r="Q901" s="448"/>
      <c r="R901" s="448"/>
      <c r="S901" s="448"/>
      <c r="T901" s="448"/>
      <c r="U901" s="448"/>
      <c r="V901" s="448"/>
    </row>
    <row r="902">
      <c r="A902" s="448"/>
      <c r="B902" s="448"/>
      <c r="C902" s="448"/>
      <c r="D902" s="448"/>
      <c r="E902" s="448"/>
      <c r="F902" s="448"/>
      <c r="G902" s="448"/>
      <c r="H902" s="448"/>
      <c r="I902" s="448"/>
      <c r="J902" s="448"/>
      <c r="K902" s="448"/>
      <c r="L902" s="448"/>
      <c r="M902" s="448"/>
      <c r="N902" s="448"/>
      <c r="O902" s="448"/>
      <c r="P902" s="448"/>
      <c r="Q902" s="448"/>
      <c r="R902" s="448"/>
      <c r="S902" s="448"/>
      <c r="T902" s="448"/>
      <c r="U902" s="448"/>
      <c r="V902" s="448"/>
    </row>
    <row r="903">
      <c r="A903" s="448"/>
      <c r="B903" s="448"/>
      <c r="C903" s="448"/>
      <c r="D903" s="448"/>
      <c r="E903" s="448"/>
      <c r="F903" s="448"/>
      <c r="G903" s="448"/>
      <c r="H903" s="448"/>
      <c r="I903" s="448"/>
      <c r="J903" s="448"/>
      <c r="K903" s="448"/>
      <c r="L903" s="448"/>
      <c r="M903" s="448"/>
      <c r="N903" s="448"/>
      <c r="O903" s="448"/>
      <c r="P903" s="448"/>
      <c r="Q903" s="448"/>
      <c r="R903" s="448"/>
      <c r="S903" s="448"/>
      <c r="T903" s="448"/>
      <c r="U903" s="448"/>
      <c r="V903" s="448"/>
    </row>
    <row r="904">
      <c r="A904" s="448"/>
      <c r="B904" s="448"/>
      <c r="C904" s="448"/>
      <c r="D904" s="448"/>
      <c r="E904" s="448"/>
      <c r="F904" s="448"/>
      <c r="G904" s="448"/>
      <c r="H904" s="448"/>
      <c r="I904" s="448"/>
      <c r="J904" s="448"/>
      <c r="K904" s="448"/>
      <c r="L904" s="448"/>
      <c r="M904" s="448"/>
      <c r="N904" s="448"/>
      <c r="O904" s="448"/>
      <c r="P904" s="448"/>
      <c r="Q904" s="448"/>
      <c r="R904" s="448"/>
      <c r="S904" s="448"/>
      <c r="T904" s="448"/>
      <c r="U904" s="448"/>
      <c r="V904" s="448"/>
    </row>
    <row r="905">
      <c r="A905" s="448"/>
      <c r="B905" s="448"/>
      <c r="C905" s="448"/>
      <c r="D905" s="448"/>
      <c r="E905" s="448"/>
      <c r="F905" s="448"/>
      <c r="G905" s="448"/>
      <c r="H905" s="448"/>
      <c r="I905" s="448"/>
      <c r="J905" s="448"/>
      <c r="K905" s="448"/>
      <c r="L905" s="448"/>
      <c r="M905" s="448"/>
      <c r="N905" s="448"/>
      <c r="O905" s="448"/>
      <c r="P905" s="448"/>
      <c r="Q905" s="448"/>
      <c r="R905" s="448"/>
      <c r="S905" s="448"/>
      <c r="T905" s="448"/>
      <c r="U905" s="448"/>
      <c r="V905" s="448"/>
    </row>
    <row r="906">
      <c r="A906" s="448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48"/>
      <c r="M906" s="448"/>
      <c r="N906" s="448"/>
      <c r="O906" s="448"/>
      <c r="P906" s="448"/>
      <c r="Q906" s="448"/>
      <c r="R906" s="448"/>
      <c r="S906" s="448"/>
      <c r="T906" s="448"/>
      <c r="U906" s="448"/>
      <c r="V906" s="448"/>
    </row>
    <row r="907">
      <c r="A907" s="448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48"/>
      <c r="M907" s="448"/>
      <c r="N907" s="448"/>
      <c r="O907" s="448"/>
      <c r="P907" s="448"/>
      <c r="Q907" s="448"/>
      <c r="R907" s="448"/>
      <c r="S907" s="448"/>
      <c r="T907" s="448"/>
      <c r="U907" s="448"/>
      <c r="V907" s="448"/>
    </row>
    <row r="908">
      <c r="A908" s="448"/>
      <c r="B908" s="448"/>
      <c r="C908" s="448"/>
      <c r="D908" s="448"/>
      <c r="E908" s="448"/>
      <c r="F908" s="448"/>
      <c r="G908" s="448"/>
      <c r="H908" s="448"/>
      <c r="I908" s="448"/>
      <c r="J908" s="448"/>
      <c r="K908" s="448"/>
      <c r="L908" s="448"/>
      <c r="M908" s="448"/>
      <c r="N908" s="448"/>
      <c r="O908" s="448"/>
      <c r="P908" s="448"/>
      <c r="Q908" s="448"/>
      <c r="R908" s="448"/>
      <c r="S908" s="448"/>
      <c r="T908" s="448"/>
      <c r="U908" s="448"/>
      <c r="V908" s="448"/>
    </row>
    <row r="909">
      <c r="A909" s="448"/>
      <c r="B909" s="448"/>
      <c r="C909" s="448"/>
      <c r="D909" s="448"/>
      <c r="E909" s="448"/>
      <c r="F909" s="448"/>
      <c r="G909" s="448"/>
      <c r="H909" s="448"/>
      <c r="I909" s="448"/>
      <c r="J909" s="448"/>
      <c r="K909" s="448"/>
      <c r="L909" s="448"/>
      <c r="M909" s="448"/>
      <c r="N909" s="448"/>
      <c r="O909" s="448"/>
      <c r="P909" s="448"/>
      <c r="Q909" s="448"/>
      <c r="R909" s="448"/>
      <c r="S909" s="448"/>
      <c r="T909" s="448"/>
      <c r="U909" s="448"/>
      <c r="V909" s="448"/>
    </row>
    <row r="910">
      <c r="A910" s="448"/>
      <c r="B910" s="448"/>
      <c r="C910" s="448"/>
      <c r="D910" s="448"/>
      <c r="E910" s="448"/>
      <c r="F910" s="448"/>
      <c r="G910" s="448"/>
      <c r="H910" s="448"/>
      <c r="I910" s="448"/>
      <c r="J910" s="448"/>
      <c r="K910" s="448"/>
      <c r="L910" s="448"/>
      <c r="M910" s="448"/>
      <c r="N910" s="448"/>
      <c r="O910" s="448"/>
      <c r="P910" s="448"/>
      <c r="Q910" s="448"/>
      <c r="R910" s="448"/>
      <c r="S910" s="448"/>
      <c r="T910" s="448"/>
      <c r="U910" s="448"/>
      <c r="V910" s="448"/>
    </row>
    <row r="911">
      <c r="A911" s="448"/>
      <c r="B911" s="448"/>
      <c r="C911" s="448"/>
      <c r="D911" s="448"/>
      <c r="E911" s="448"/>
      <c r="F911" s="448"/>
      <c r="G911" s="448"/>
      <c r="H911" s="448"/>
      <c r="I911" s="448"/>
      <c r="J911" s="448"/>
      <c r="K911" s="448"/>
      <c r="L911" s="448"/>
      <c r="M911" s="448"/>
      <c r="N911" s="448"/>
      <c r="O911" s="448"/>
      <c r="P911" s="448"/>
      <c r="Q911" s="448"/>
      <c r="R911" s="448"/>
      <c r="S911" s="448"/>
      <c r="T911" s="448"/>
      <c r="U911" s="448"/>
      <c r="V911" s="448"/>
    </row>
    <row r="912">
      <c r="A912" s="448"/>
      <c r="B912" s="448"/>
      <c r="C912" s="448"/>
      <c r="D912" s="448"/>
      <c r="E912" s="448"/>
      <c r="F912" s="448"/>
      <c r="G912" s="448"/>
      <c r="H912" s="448"/>
      <c r="I912" s="448"/>
      <c r="J912" s="448"/>
      <c r="K912" s="448"/>
      <c r="L912" s="448"/>
      <c r="M912" s="448"/>
      <c r="N912" s="448"/>
      <c r="O912" s="448"/>
      <c r="P912" s="448"/>
      <c r="Q912" s="448"/>
      <c r="R912" s="448"/>
      <c r="S912" s="448"/>
      <c r="T912" s="448"/>
      <c r="U912" s="448"/>
      <c r="V912" s="448"/>
    </row>
    <row r="913">
      <c r="A913" s="448"/>
      <c r="B913" s="448"/>
      <c r="C913" s="448"/>
      <c r="D913" s="448"/>
      <c r="E913" s="448"/>
      <c r="F913" s="448"/>
      <c r="G913" s="448"/>
      <c r="H913" s="448"/>
      <c r="I913" s="448"/>
      <c r="J913" s="448"/>
      <c r="K913" s="448"/>
      <c r="L913" s="448"/>
      <c r="M913" s="448"/>
      <c r="N913" s="448"/>
      <c r="O913" s="448"/>
      <c r="P913" s="448"/>
      <c r="Q913" s="448"/>
      <c r="R913" s="448"/>
      <c r="S913" s="448"/>
      <c r="T913" s="448"/>
      <c r="U913" s="448"/>
      <c r="V913" s="448"/>
    </row>
    <row r="914">
      <c r="A914" s="448"/>
      <c r="B914" s="448"/>
      <c r="C914" s="448"/>
      <c r="D914" s="448"/>
      <c r="E914" s="448"/>
      <c r="F914" s="448"/>
      <c r="G914" s="448"/>
      <c r="H914" s="448"/>
      <c r="I914" s="448"/>
      <c r="J914" s="448"/>
      <c r="K914" s="448"/>
      <c r="L914" s="448"/>
      <c r="M914" s="448"/>
      <c r="N914" s="448"/>
      <c r="O914" s="448"/>
      <c r="P914" s="448"/>
      <c r="Q914" s="448"/>
      <c r="R914" s="448"/>
      <c r="S914" s="448"/>
      <c r="T914" s="448"/>
      <c r="U914" s="448"/>
      <c r="V914" s="448"/>
    </row>
    <row r="915">
      <c r="A915" s="448"/>
      <c r="B915" s="448"/>
      <c r="C915" s="448"/>
      <c r="D915" s="448"/>
      <c r="E915" s="448"/>
      <c r="F915" s="448"/>
      <c r="G915" s="448"/>
      <c r="H915" s="448"/>
      <c r="I915" s="448"/>
      <c r="J915" s="448"/>
      <c r="K915" s="448"/>
      <c r="L915" s="448"/>
      <c r="M915" s="448"/>
      <c r="N915" s="448"/>
      <c r="O915" s="448"/>
      <c r="P915" s="448"/>
      <c r="Q915" s="448"/>
      <c r="R915" s="448"/>
      <c r="S915" s="448"/>
      <c r="T915" s="448"/>
      <c r="U915" s="448"/>
      <c r="V915" s="448"/>
    </row>
    <row r="916">
      <c r="A916" s="448"/>
      <c r="B916" s="448"/>
      <c r="C916" s="448"/>
      <c r="D916" s="448"/>
      <c r="E916" s="448"/>
      <c r="F916" s="448"/>
      <c r="G916" s="448"/>
      <c r="H916" s="448"/>
      <c r="I916" s="448"/>
      <c r="J916" s="448"/>
      <c r="K916" s="448"/>
      <c r="L916" s="448"/>
      <c r="M916" s="448"/>
      <c r="N916" s="448"/>
      <c r="O916" s="448"/>
      <c r="P916" s="448"/>
      <c r="Q916" s="448"/>
      <c r="R916" s="448"/>
      <c r="S916" s="448"/>
      <c r="T916" s="448"/>
      <c r="U916" s="448"/>
      <c r="V916" s="448"/>
    </row>
    <row r="917">
      <c r="A917" s="448"/>
      <c r="B917" s="448"/>
      <c r="C917" s="448"/>
      <c r="D917" s="448"/>
      <c r="E917" s="448"/>
      <c r="F917" s="448"/>
      <c r="G917" s="448"/>
      <c r="H917" s="448"/>
      <c r="I917" s="448"/>
      <c r="J917" s="448"/>
      <c r="K917" s="448"/>
      <c r="L917" s="448"/>
      <c r="M917" s="448"/>
      <c r="N917" s="448"/>
      <c r="O917" s="448"/>
      <c r="P917" s="448"/>
      <c r="Q917" s="448"/>
      <c r="R917" s="448"/>
      <c r="S917" s="448"/>
      <c r="T917" s="448"/>
      <c r="U917" s="448"/>
      <c r="V917" s="448"/>
    </row>
    <row r="918">
      <c r="A918" s="448"/>
      <c r="B918" s="448"/>
      <c r="C918" s="448"/>
      <c r="D918" s="448"/>
      <c r="E918" s="448"/>
      <c r="F918" s="448"/>
      <c r="G918" s="448"/>
      <c r="H918" s="448"/>
      <c r="I918" s="448"/>
      <c r="J918" s="448"/>
      <c r="K918" s="448"/>
      <c r="L918" s="448"/>
      <c r="M918" s="448"/>
      <c r="N918" s="448"/>
      <c r="O918" s="448"/>
      <c r="P918" s="448"/>
      <c r="Q918" s="448"/>
      <c r="R918" s="448"/>
      <c r="S918" s="448"/>
      <c r="T918" s="448"/>
      <c r="U918" s="448"/>
      <c r="V918" s="448"/>
    </row>
    <row r="919">
      <c r="A919" s="448"/>
      <c r="B919" s="448"/>
      <c r="C919" s="448"/>
      <c r="D919" s="448"/>
      <c r="E919" s="448"/>
      <c r="F919" s="448"/>
      <c r="G919" s="448"/>
      <c r="H919" s="448"/>
      <c r="I919" s="448"/>
      <c r="J919" s="448"/>
      <c r="K919" s="448"/>
      <c r="L919" s="448"/>
      <c r="M919" s="448"/>
      <c r="N919" s="448"/>
      <c r="O919" s="448"/>
      <c r="P919" s="448"/>
      <c r="Q919" s="448"/>
      <c r="R919" s="448"/>
      <c r="S919" s="448"/>
      <c r="T919" s="448"/>
      <c r="U919" s="448"/>
      <c r="V919" s="448"/>
    </row>
    <row r="920">
      <c r="A920" s="448"/>
      <c r="B920" s="448"/>
      <c r="C920" s="448"/>
      <c r="D920" s="448"/>
      <c r="E920" s="448"/>
      <c r="F920" s="448"/>
      <c r="G920" s="448"/>
      <c r="H920" s="448"/>
      <c r="I920" s="448"/>
      <c r="J920" s="448"/>
      <c r="K920" s="448"/>
      <c r="L920" s="448"/>
      <c r="M920" s="448"/>
      <c r="N920" s="448"/>
      <c r="O920" s="448"/>
      <c r="P920" s="448"/>
      <c r="Q920" s="448"/>
      <c r="R920" s="448"/>
      <c r="S920" s="448"/>
      <c r="T920" s="448"/>
      <c r="U920" s="448"/>
      <c r="V920" s="448"/>
    </row>
    <row r="921">
      <c r="A921" s="448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48"/>
      <c r="M921" s="448"/>
      <c r="N921" s="448"/>
      <c r="O921" s="448"/>
      <c r="P921" s="448"/>
      <c r="Q921" s="448"/>
      <c r="R921" s="448"/>
      <c r="S921" s="448"/>
      <c r="T921" s="448"/>
      <c r="U921" s="448"/>
      <c r="V921" s="448"/>
    </row>
    <row r="922">
      <c r="A922" s="448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48"/>
      <c r="M922" s="448"/>
      <c r="N922" s="448"/>
      <c r="O922" s="448"/>
      <c r="P922" s="448"/>
      <c r="Q922" s="448"/>
      <c r="R922" s="448"/>
      <c r="S922" s="448"/>
      <c r="T922" s="448"/>
      <c r="U922" s="448"/>
      <c r="V922" s="448"/>
    </row>
    <row r="923">
      <c r="A923" s="448"/>
      <c r="B923" s="448"/>
      <c r="C923" s="448"/>
      <c r="D923" s="448"/>
      <c r="E923" s="448"/>
      <c r="F923" s="448"/>
      <c r="G923" s="448"/>
      <c r="H923" s="448"/>
      <c r="I923" s="448"/>
      <c r="J923" s="448"/>
      <c r="K923" s="448"/>
      <c r="L923" s="448"/>
      <c r="M923" s="448"/>
      <c r="N923" s="448"/>
      <c r="O923" s="448"/>
      <c r="P923" s="448"/>
      <c r="Q923" s="448"/>
      <c r="R923" s="448"/>
      <c r="S923" s="448"/>
      <c r="T923" s="448"/>
      <c r="U923" s="448"/>
      <c r="V923" s="448"/>
    </row>
    <row r="924">
      <c r="A924" s="448"/>
      <c r="B924" s="448"/>
      <c r="C924" s="448"/>
      <c r="D924" s="448"/>
      <c r="E924" s="448"/>
      <c r="F924" s="448"/>
      <c r="G924" s="448"/>
      <c r="H924" s="448"/>
      <c r="I924" s="448"/>
      <c r="J924" s="448"/>
      <c r="K924" s="448"/>
      <c r="L924" s="448"/>
      <c r="M924" s="448"/>
      <c r="N924" s="448"/>
      <c r="O924" s="448"/>
      <c r="P924" s="448"/>
      <c r="Q924" s="448"/>
      <c r="R924" s="448"/>
      <c r="S924" s="448"/>
      <c r="T924" s="448"/>
      <c r="U924" s="448"/>
      <c r="V924" s="448"/>
    </row>
    <row r="925">
      <c r="A925" s="448"/>
      <c r="B925" s="448"/>
      <c r="C925" s="448"/>
      <c r="D925" s="448"/>
      <c r="E925" s="448"/>
      <c r="F925" s="448"/>
      <c r="G925" s="448"/>
      <c r="H925" s="448"/>
      <c r="I925" s="448"/>
      <c r="J925" s="448"/>
      <c r="K925" s="448"/>
      <c r="L925" s="448"/>
      <c r="M925" s="448"/>
      <c r="N925" s="448"/>
      <c r="O925" s="448"/>
      <c r="P925" s="448"/>
      <c r="Q925" s="448"/>
      <c r="R925" s="448"/>
      <c r="S925" s="448"/>
      <c r="T925" s="448"/>
      <c r="U925" s="448"/>
      <c r="V925" s="448"/>
    </row>
    <row r="926">
      <c r="A926" s="448"/>
      <c r="B926" s="448"/>
      <c r="C926" s="448"/>
      <c r="D926" s="448"/>
      <c r="E926" s="448"/>
      <c r="F926" s="448"/>
      <c r="G926" s="448"/>
      <c r="H926" s="448"/>
      <c r="I926" s="448"/>
      <c r="J926" s="448"/>
      <c r="K926" s="448"/>
      <c r="L926" s="448"/>
      <c r="M926" s="448"/>
      <c r="N926" s="448"/>
      <c r="O926" s="448"/>
      <c r="P926" s="448"/>
      <c r="Q926" s="448"/>
      <c r="R926" s="448"/>
      <c r="S926" s="448"/>
      <c r="T926" s="448"/>
      <c r="U926" s="448"/>
      <c r="V926" s="448"/>
    </row>
    <row r="927">
      <c r="A927" s="448"/>
      <c r="B927" s="448"/>
      <c r="C927" s="448"/>
      <c r="D927" s="448"/>
      <c r="E927" s="448"/>
      <c r="F927" s="448"/>
      <c r="G927" s="448"/>
      <c r="H927" s="448"/>
      <c r="I927" s="448"/>
      <c r="J927" s="448"/>
      <c r="K927" s="448"/>
      <c r="L927" s="448"/>
      <c r="M927" s="448"/>
      <c r="N927" s="448"/>
      <c r="O927" s="448"/>
      <c r="P927" s="448"/>
      <c r="Q927" s="448"/>
      <c r="R927" s="448"/>
      <c r="S927" s="448"/>
      <c r="T927" s="448"/>
      <c r="U927" s="448"/>
      <c r="V927" s="448"/>
    </row>
    <row r="928">
      <c r="A928" s="448"/>
      <c r="B928" s="448"/>
      <c r="C928" s="448"/>
      <c r="D928" s="448"/>
      <c r="E928" s="448"/>
      <c r="F928" s="448"/>
      <c r="G928" s="448"/>
      <c r="H928" s="448"/>
      <c r="I928" s="448"/>
      <c r="J928" s="448"/>
      <c r="K928" s="448"/>
      <c r="L928" s="448"/>
      <c r="M928" s="448"/>
      <c r="N928" s="448"/>
      <c r="O928" s="448"/>
      <c r="P928" s="448"/>
      <c r="Q928" s="448"/>
      <c r="R928" s="448"/>
      <c r="S928" s="448"/>
      <c r="T928" s="448"/>
      <c r="U928" s="448"/>
      <c r="V928" s="448"/>
    </row>
    <row r="929">
      <c r="A929" s="448"/>
      <c r="B929" s="448"/>
      <c r="C929" s="448"/>
      <c r="D929" s="448"/>
      <c r="E929" s="448"/>
      <c r="F929" s="448"/>
      <c r="G929" s="448"/>
      <c r="H929" s="448"/>
      <c r="I929" s="448"/>
      <c r="J929" s="448"/>
      <c r="K929" s="448"/>
      <c r="L929" s="448"/>
      <c r="M929" s="448"/>
      <c r="N929" s="448"/>
      <c r="O929" s="448"/>
      <c r="P929" s="448"/>
      <c r="Q929" s="448"/>
      <c r="R929" s="448"/>
      <c r="S929" s="448"/>
      <c r="T929" s="448"/>
      <c r="U929" s="448"/>
      <c r="V929" s="448"/>
    </row>
    <row r="930">
      <c r="A930" s="448"/>
      <c r="B930" s="448"/>
      <c r="C930" s="448"/>
      <c r="D930" s="448"/>
      <c r="E930" s="448"/>
      <c r="F930" s="448"/>
      <c r="G930" s="448"/>
      <c r="H930" s="448"/>
      <c r="I930" s="448"/>
      <c r="J930" s="448"/>
      <c r="K930" s="448"/>
      <c r="L930" s="448"/>
      <c r="M930" s="448"/>
      <c r="N930" s="448"/>
      <c r="O930" s="448"/>
      <c r="P930" s="448"/>
      <c r="Q930" s="448"/>
      <c r="R930" s="448"/>
      <c r="S930" s="448"/>
      <c r="T930" s="448"/>
      <c r="U930" s="448"/>
      <c r="V930" s="448"/>
    </row>
    <row r="931">
      <c r="A931" s="448"/>
      <c r="B931" s="448"/>
      <c r="C931" s="448"/>
      <c r="D931" s="448"/>
      <c r="E931" s="448"/>
      <c r="F931" s="448"/>
      <c r="G931" s="448"/>
      <c r="H931" s="448"/>
      <c r="I931" s="448"/>
      <c r="J931" s="448"/>
      <c r="K931" s="448"/>
      <c r="L931" s="448"/>
      <c r="M931" s="448"/>
      <c r="N931" s="448"/>
      <c r="O931" s="448"/>
      <c r="P931" s="448"/>
      <c r="Q931" s="448"/>
      <c r="R931" s="448"/>
      <c r="S931" s="448"/>
      <c r="T931" s="448"/>
      <c r="U931" s="448"/>
      <c r="V931" s="448"/>
    </row>
    <row r="932">
      <c r="A932" s="448"/>
      <c r="B932" s="448"/>
      <c r="C932" s="448"/>
      <c r="D932" s="448"/>
      <c r="E932" s="448"/>
      <c r="F932" s="448"/>
      <c r="G932" s="448"/>
      <c r="H932" s="448"/>
      <c r="I932" s="448"/>
      <c r="J932" s="448"/>
      <c r="K932" s="448"/>
      <c r="L932" s="448"/>
      <c r="M932" s="448"/>
      <c r="N932" s="448"/>
      <c r="O932" s="448"/>
      <c r="P932" s="448"/>
      <c r="Q932" s="448"/>
      <c r="R932" s="448"/>
      <c r="S932" s="448"/>
      <c r="T932" s="448"/>
      <c r="U932" s="448"/>
      <c r="V932" s="448"/>
    </row>
    <row r="933">
      <c r="A933" s="448"/>
      <c r="B933" s="448"/>
      <c r="C933" s="448"/>
      <c r="D933" s="448"/>
      <c r="E933" s="448"/>
      <c r="F933" s="448"/>
      <c r="G933" s="448"/>
      <c r="H933" s="448"/>
      <c r="I933" s="448"/>
      <c r="J933" s="448"/>
      <c r="K933" s="448"/>
      <c r="L933" s="448"/>
      <c r="M933" s="448"/>
      <c r="N933" s="448"/>
      <c r="O933" s="448"/>
      <c r="P933" s="448"/>
      <c r="Q933" s="448"/>
      <c r="R933" s="448"/>
      <c r="S933" s="448"/>
      <c r="T933" s="448"/>
      <c r="U933" s="448"/>
      <c r="V933" s="448"/>
    </row>
    <row r="934">
      <c r="A934" s="448"/>
      <c r="B934" s="448"/>
      <c r="C934" s="448"/>
      <c r="D934" s="448"/>
      <c r="E934" s="448"/>
      <c r="F934" s="448"/>
      <c r="G934" s="448"/>
      <c r="H934" s="448"/>
      <c r="I934" s="448"/>
      <c r="J934" s="448"/>
      <c r="K934" s="448"/>
      <c r="L934" s="448"/>
      <c r="M934" s="448"/>
      <c r="N934" s="448"/>
      <c r="O934" s="448"/>
      <c r="P934" s="448"/>
      <c r="Q934" s="448"/>
      <c r="R934" s="448"/>
      <c r="S934" s="448"/>
      <c r="T934" s="448"/>
      <c r="U934" s="448"/>
      <c r="V934" s="448"/>
    </row>
    <row r="935">
      <c r="A935" s="448"/>
      <c r="B935" s="448"/>
      <c r="C935" s="448"/>
      <c r="D935" s="448"/>
      <c r="E935" s="448"/>
      <c r="F935" s="448"/>
      <c r="G935" s="448"/>
      <c r="H935" s="448"/>
      <c r="I935" s="448"/>
      <c r="J935" s="448"/>
      <c r="K935" s="448"/>
      <c r="L935" s="448"/>
      <c r="M935" s="448"/>
      <c r="N935" s="448"/>
      <c r="O935" s="448"/>
      <c r="P935" s="448"/>
      <c r="Q935" s="448"/>
      <c r="R935" s="448"/>
      <c r="S935" s="448"/>
      <c r="T935" s="448"/>
      <c r="U935" s="448"/>
      <c r="V935" s="448"/>
    </row>
    <row r="936">
      <c r="A936" s="448"/>
      <c r="B936" s="448"/>
      <c r="C936" s="448"/>
      <c r="D936" s="448"/>
      <c r="E936" s="448"/>
      <c r="F936" s="448"/>
      <c r="G936" s="448"/>
      <c r="H936" s="448"/>
      <c r="I936" s="448"/>
      <c r="J936" s="448"/>
      <c r="K936" s="448"/>
      <c r="L936" s="448"/>
      <c r="M936" s="448"/>
      <c r="N936" s="448"/>
      <c r="O936" s="448"/>
      <c r="P936" s="448"/>
      <c r="Q936" s="448"/>
      <c r="R936" s="448"/>
      <c r="S936" s="448"/>
      <c r="T936" s="448"/>
      <c r="U936" s="448"/>
      <c r="V936" s="448"/>
    </row>
    <row r="937">
      <c r="A937" s="448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48"/>
      <c r="M937" s="448"/>
      <c r="N937" s="448"/>
      <c r="O937" s="448"/>
      <c r="P937" s="448"/>
      <c r="Q937" s="448"/>
      <c r="R937" s="448"/>
      <c r="S937" s="448"/>
      <c r="T937" s="448"/>
      <c r="U937" s="448"/>
      <c r="V937" s="448"/>
    </row>
    <row r="938">
      <c r="A938" s="448"/>
      <c r="B938" s="448"/>
      <c r="C938" s="448"/>
      <c r="D938" s="448"/>
      <c r="E938" s="448"/>
      <c r="F938" s="448"/>
      <c r="G938" s="448"/>
      <c r="H938" s="448"/>
      <c r="I938" s="448"/>
      <c r="J938" s="448"/>
      <c r="K938" s="448"/>
      <c r="L938" s="448"/>
      <c r="M938" s="448"/>
      <c r="N938" s="448"/>
      <c r="O938" s="448"/>
      <c r="P938" s="448"/>
      <c r="Q938" s="448"/>
      <c r="R938" s="448"/>
      <c r="S938" s="448"/>
      <c r="T938" s="448"/>
      <c r="U938" s="448"/>
      <c r="V938" s="448"/>
    </row>
    <row r="939">
      <c r="A939" s="448"/>
      <c r="B939" s="448"/>
      <c r="C939" s="448"/>
      <c r="D939" s="448"/>
      <c r="E939" s="448"/>
      <c r="F939" s="448"/>
      <c r="G939" s="448"/>
      <c r="H939" s="448"/>
      <c r="I939" s="448"/>
      <c r="J939" s="448"/>
      <c r="K939" s="448"/>
      <c r="L939" s="448"/>
      <c r="M939" s="448"/>
      <c r="N939" s="448"/>
      <c r="O939" s="448"/>
      <c r="P939" s="448"/>
      <c r="Q939" s="448"/>
      <c r="R939" s="448"/>
      <c r="S939" s="448"/>
      <c r="T939" s="448"/>
      <c r="U939" s="448"/>
      <c r="V939" s="448"/>
    </row>
    <row r="940">
      <c r="A940" s="448"/>
      <c r="B940" s="448"/>
      <c r="C940" s="448"/>
      <c r="D940" s="448"/>
      <c r="E940" s="448"/>
      <c r="F940" s="448"/>
      <c r="G940" s="448"/>
      <c r="H940" s="448"/>
      <c r="I940" s="448"/>
      <c r="J940" s="448"/>
      <c r="K940" s="448"/>
      <c r="L940" s="448"/>
      <c r="M940" s="448"/>
      <c r="N940" s="448"/>
      <c r="O940" s="448"/>
      <c r="P940" s="448"/>
      <c r="Q940" s="448"/>
      <c r="R940" s="448"/>
      <c r="S940" s="448"/>
      <c r="T940" s="448"/>
      <c r="U940" s="448"/>
      <c r="V940" s="448"/>
    </row>
    <row r="941">
      <c r="A941" s="448"/>
      <c r="B941" s="448"/>
      <c r="C941" s="448"/>
      <c r="D941" s="448"/>
      <c r="E941" s="448"/>
      <c r="F941" s="448"/>
      <c r="G941" s="448"/>
      <c r="H941" s="448"/>
      <c r="I941" s="448"/>
      <c r="J941" s="448"/>
      <c r="K941" s="448"/>
      <c r="L941" s="448"/>
      <c r="M941" s="448"/>
      <c r="N941" s="448"/>
      <c r="O941" s="448"/>
      <c r="P941" s="448"/>
      <c r="Q941" s="448"/>
      <c r="R941" s="448"/>
      <c r="S941" s="448"/>
      <c r="T941" s="448"/>
      <c r="U941" s="448"/>
      <c r="V941" s="448"/>
    </row>
    <row r="942">
      <c r="A942" s="448"/>
      <c r="B942" s="448"/>
      <c r="C942" s="448"/>
      <c r="D942" s="448"/>
      <c r="E942" s="448"/>
      <c r="F942" s="448"/>
      <c r="G942" s="448"/>
      <c r="H942" s="448"/>
      <c r="I942" s="448"/>
      <c r="J942" s="448"/>
      <c r="K942" s="448"/>
      <c r="L942" s="448"/>
      <c r="M942" s="448"/>
      <c r="N942" s="448"/>
      <c r="O942" s="448"/>
      <c r="P942" s="448"/>
      <c r="Q942" s="448"/>
      <c r="R942" s="448"/>
      <c r="S942" s="448"/>
      <c r="T942" s="448"/>
      <c r="U942" s="448"/>
      <c r="V942" s="448"/>
    </row>
    <row r="943">
      <c r="A943" s="448"/>
      <c r="B943" s="448"/>
      <c r="C943" s="448"/>
      <c r="D943" s="448"/>
      <c r="E943" s="448"/>
      <c r="F943" s="448"/>
      <c r="G943" s="448"/>
      <c r="H943" s="448"/>
      <c r="I943" s="448"/>
      <c r="J943" s="448"/>
      <c r="K943" s="448"/>
      <c r="L943" s="448"/>
      <c r="M943" s="448"/>
      <c r="N943" s="448"/>
      <c r="O943" s="448"/>
      <c r="P943" s="448"/>
      <c r="Q943" s="448"/>
      <c r="R943" s="448"/>
      <c r="S943" s="448"/>
      <c r="T943" s="448"/>
      <c r="U943" s="448"/>
      <c r="V943" s="448"/>
    </row>
    <row r="944">
      <c r="A944" s="448"/>
      <c r="B944" s="448"/>
      <c r="C944" s="448"/>
      <c r="D944" s="448"/>
      <c r="E944" s="448"/>
      <c r="F944" s="448"/>
      <c r="G944" s="448"/>
      <c r="H944" s="448"/>
      <c r="I944" s="448"/>
      <c r="J944" s="448"/>
      <c r="K944" s="448"/>
      <c r="L944" s="448"/>
      <c r="M944" s="448"/>
      <c r="N944" s="448"/>
      <c r="O944" s="448"/>
      <c r="P944" s="448"/>
      <c r="Q944" s="448"/>
      <c r="R944" s="448"/>
      <c r="S944" s="448"/>
      <c r="T944" s="448"/>
      <c r="U944" s="448"/>
      <c r="V944" s="448"/>
    </row>
    <row r="945">
      <c r="A945" s="448"/>
      <c r="B945" s="448"/>
      <c r="C945" s="448"/>
      <c r="D945" s="448"/>
      <c r="E945" s="448"/>
      <c r="F945" s="448"/>
      <c r="G945" s="448"/>
      <c r="H945" s="448"/>
      <c r="I945" s="448"/>
      <c r="J945" s="448"/>
      <c r="K945" s="448"/>
      <c r="L945" s="448"/>
      <c r="M945" s="448"/>
      <c r="N945" s="448"/>
      <c r="O945" s="448"/>
      <c r="P945" s="448"/>
      <c r="Q945" s="448"/>
      <c r="R945" s="448"/>
      <c r="S945" s="448"/>
      <c r="T945" s="448"/>
      <c r="U945" s="448"/>
      <c r="V945" s="448"/>
    </row>
    <row r="946">
      <c r="A946" s="448"/>
      <c r="B946" s="448"/>
      <c r="C946" s="448"/>
      <c r="D946" s="448"/>
      <c r="E946" s="448"/>
      <c r="F946" s="448"/>
      <c r="G946" s="448"/>
      <c r="H946" s="448"/>
      <c r="I946" s="448"/>
      <c r="J946" s="448"/>
      <c r="K946" s="448"/>
      <c r="L946" s="448"/>
      <c r="M946" s="448"/>
      <c r="N946" s="448"/>
      <c r="O946" s="448"/>
      <c r="P946" s="448"/>
      <c r="Q946" s="448"/>
      <c r="R946" s="448"/>
      <c r="S946" s="448"/>
      <c r="T946" s="448"/>
      <c r="U946" s="448"/>
      <c r="V946" s="448"/>
    </row>
    <row r="947">
      <c r="A947" s="448"/>
      <c r="B947" s="448"/>
      <c r="C947" s="448"/>
      <c r="D947" s="448"/>
      <c r="E947" s="448"/>
      <c r="F947" s="448"/>
      <c r="G947" s="448"/>
      <c r="H947" s="448"/>
      <c r="I947" s="448"/>
      <c r="J947" s="448"/>
      <c r="K947" s="448"/>
      <c r="L947" s="448"/>
      <c r="M947" s="448"/>
      <c r="N947" s="448"/>
      <c r="O947" s="448"/>
      <c r="P947" s="448"/>
      <c r="Q947" s="448"/>
      <c r="R947" s="448"/>
      <c r="S947" s="448"/>
      <c r="T947" s="448"/>
      <c r="U947" s="448"/>
      <c r="V947" s="448"/>
    </row>
    <row r="948">
      <c r="A948" s="448"/>
      <c r="B948" s="448"/>
      <c r="C948" s="448"/>
      <c r="D948" s="448"/>
      <c r="E948" s="448"/>
      <c r="F948" s="448"/>
      <c r="G948" s="448"/>
      <c r="H948" s="448"/>
      <c r="I948" s="448"/>
      <c r="J948" s="448"/>
      <c r="K948" s="448"/>
      <c r="L948" s="448"/>
      <c r="M948" s="448"/>
      <c r="N948" s="448"/>
      <c r="O948" s="448"/>
      <c r="P948" s="448"/>
      <c r="Q948" s="448"/>
      <c r="R948" s="448"/>
      <c r="S948" s="448"/>
      <c r="T948" s="448"/>
      <c r="U948" s="448"/>
      <c r="V948" s="448"/>
    </row>
    <row r="949">
      <c r="A949" s="448"/>
      <c r="B949" s="448"/>
      <c r="C949" s="448"/>
      <c r="D949" s="448"/>
      <c r="E949" s="448"/>
      <c r="F949" s="448"/>
      <c r="G949" s="448"/>
      <c r="H949" s="448"/>
      <c r="I949" s="448"/>
      <c r="J949" s="448"/>
      <c r="K949" s="448"/>
      <c r="L949" s="448"/>
      <c r="M949" s="448"/>
      <c r="N949" s="448"/>
      <c r="O949" s="448"/>
      <c r="P949" s="448"/>
      <c r="Q949" s="448"/>
      <c r="R949" s="448"/>
      <c r="S949" s="448"/>
      <c r="T949" s="448"/>
      <c r="U949" s="448"/>
      <c r="V949" s="448"/>
    </row>
    <row r="950">
      <c r="A950" s="448"/>
      <c r="B950" s="448"/>
      <c r="C950" s="448"/>
      <c r="D950" s="448"/>
      <c r="E950" s="448"/>
      <c r="F950" s="448"/>
      <c r="G950" s="448"/>
      <c r="H950" s="448"/>
      <c r="I950" s="448"/>
      <c r="J950" s="448"/>
      <c r="K950" s="448"/>
      <c r="L950" s="448"/>
      <c r="M950" s="448"/>
      <c r="N950" s="448"/>
      <c r="O950" s="448"/>
      <c r="P950" s="448"/>
      <c r="Q950" s="448"/>
      <c r="R950" s="448"/>
      <c r="S950" s="448"/>
      <c r="T950" s="448"/>
      <c r="U950" s="448"/>
      <c r="V950" s="448"/>
    </row>
    <row r="951">
      <c r="A951" s="448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48"/>
      <c r="M951" s="448"/>
      <c r="N951" s="448"/>
      <c r="O951" s="448"/>
      <c r="P951" s="448"/>
      <c r="Q951" s="448"/>
      <c r="R951" s="448"/>
      <c r="S951" s="448"/>
      <c r="T951" s="448"/>
      <c r="U951" s="448"/>
      <c r="V951" s="448"/>
    </row>
    <row r="952">
      <c r="A952" s="448"/>
      <c r="B952" s="448"/>
      <c r="C952" s="448"/>
      <c r="D952" s="448"/>
      <c r="E952" s="448"/>
      <c r="F952" s="448"/>
      <c r="G952" s="448"/>
      <c r="H952" s="448"/>
      <c r="I952" s="448"/>
      <c r="J952" s="448"/>
      <c r="K952" s="448"/>
      <c r="L952" s="448"/>
      <c r="M952" s="448"/>
      <c r="N952" s="448"/>
      <c r="O952" s="448"/>
      <c r="P952" s="448"/>
      <c r="Q952" s="448"/>
      <c r="R952" s="448"/>
      <c r="S952" s="448"/>
      <c r="T952" s="448"/>
      <c r="U952" s="448"/>
      <c r="V952" s="448"/>
    </row>
    <row r="953">
      <c r="A953" s="448"/>
      <c r="B953" s="448"/>
      <c r="C953" s="448"/>
      <c r="D953" s="448"/>
      <c r="E953" s="448"/>
      <c r="F953" s="448"/>
      <c r="G953" s="448"/>
      <c r="H953" s="448"/>
      <c r="I953" s="448"/>
      <c r="J953" s="448"/>
      <c r="K953" s="448"/>
      <c r="L953" s="448"/>
      <c r="M953" s="448"/>
      <c r="N953" s="448"/>
      <c r="O953" s="448"/>
      <c r="P953" s="448"/>
      <c r="Q953" s="448"/>
      <c r="R953" s="448"/>
      <c r="S953" s="448"/>
      <c r="T953" s="448"/>
      <c r="U953" s="448"/>
      <c r="V953" s="448"/>
    </row>
    <row r="954">
      <c r="A954" s="448"/>
      <c r="B954" s="448"/>
      <c r="C954" s="448"/>
      <c r="D954" s="448"/>
      <c r="E954" s="448"/>
      <c r="F954" s="448"/>
      <c r="G954" s="448"/>
      <c r="H954" s="448"/>
      <c r="I954" s="448"/>
      <c r="J954" s="448"/>
      <c r="K954" s="448"/>
      <c r="L954" s="448"/>
      <c r="M954" s="448"/>
      <c r="N954" s="448"/>
      <c r="O954" s="448"/>
      <c r="P954" s="448"/>
      <c r="Q954" s="448"/>
      <c r="R954" s="448"/>
      <c r="S954" s="448"/>
      <c r="T954" s="448"/>
      <c r="U954" s="448"/>
      <c r="V954" s="448"/>
    </row>
    <row r="955">
      <c r="A955" s="448"/>
      <c r="B955" s="448"/>
      <c r="C955" s="448"/>
      <c r="D955" s="448"/>
      <c r="E955" s="448"/>
      <c r="F955" s="448"/>
      <c r="G955" s="448"/>
      <c r="H955" s="448"/>
      <c r="I955" s="448"/>
      <c r="J955" s="448"/>
      <c r="K955" s="448"/>
      <c r="L955" s="448"/>
      <c r="M955" s="448"/>
      <c r="N955" s="448"/>
      <c r="O955" s="448"/>
      <c r="P955" s="448"/>
      <c r="Q955" s="448"/>
      <c r="R955" s="448"/>
      <c r="S955" s="448"/>
      <c r="T955" s="448"/>
      <c r="U955" s="448"/>
      <c r="V955" s="448"/>
    </row>
    <row r="956">
      <c r="A956" s="448"/>
      <c r="B956" s="448"/>
      <c r="C956" s="448"/>
      <c r="D956" s="448"/>
      <c r="E956" s="448"/>
      <c r="F956" s="448"/>
      <c r="G956" s="448"/>
      <c r="H956" s="448"/>
      <c r="I956" s="448"/>
      <c r="J956" s="448"/>
      <c r="K956" s="448"/>
      <c r="L956" s="448"/>
      <c r="M956" s="448"/>
      <c r="N956" s="448"/>
      <c r="O956" s="448"/>
      <c r="P956" s="448"/>
      <c r="Q956" s="448"/>
      <c r="R956" s="448"/>
      <c r="S956" s="448"/>
      <c r="T956" s="448"/>
      <c r="U956" s="448"/>
      <c r="V956" s="448"/>
    </row>
    <row r="957">
      <c r="A957" s="448"/>
      <c r="B957" s="448"/>
      <c r="C957" s="448"/>
      <c r="D957" s="448"/>
      <c r="E957" s="448"/>
      <c r="F957" s="448"/>
      <c r="G957" s="448"/>
      <c r="H957" s="448"/>
      <c r="I957" s="448"/>
      <c r="J957" s="448"/>
      <c r="K957" s="448"/>
      <c r="L957" s="448"/>
      <c r="M957" s="448"/>
      <c r="N957" s="448"/>
      <c r="O957" s="448"/>
      <c r="P957" s="448"/>
      <c r="Q957" s="448"/>
      <c r="R957" s="448"/>
      <c r="S957" s="448"/>
      <c r="T957" s="448"/>
      <c r="U957" s="448"/>
      <c r="V957" s="448"/>
    </row>
    <row r="958">
      <c r="A958" s="448"/>
      <c r="B958" s="448"/>
      <c r="C958" s="448"/>
      <c r="D958" s="448"/>
      <c r="E958" s="448"/>
      <c r="F958" s="448"/>
      <c r="G958" s="448"/>
      <c r="H958" s="448"/>
      <c r="I958" s="448"/>
      <c r="J958" s="448"/>
      <c r="K958" s="448"/>
      <c r="L958" s="448"/>
      <c r="M958" s="448"/>
      <c r="N958" s="448"/>
      <c r="O958" s="448"/>
      <c r="P958" s="448"/>
      <c r="Q958" s="448"/>
      <c r="R958" s="448"/>
      <c r="S958" s="448"/>
      <c r="T958" s="448"/>
      <c r="U958" s="448"/>
      <c r="V958" s="448"/>
    </row>
    <row r="959">
      <c r="A959" s="448"/>
      <c r="B959" s="448"/>
      <c r="C959" s="448"/>
      <c r="D959" s="448"/>
      <c r="E959" s="448"/>
      <c r="F959" s="448"/>
      <c r="G959" s="448"/>
      <c r="H959" s="448"/>
      <c r="I959" s="448"/>
      <c r="J959" s="448"/>
      <c r="K959" s="448"/>
      <c r="L959" s="448"/>
      <c r="M959" s="448"/>
      <c r="N959" s="448"/>
      <c r="O959" s="448"/>
      <c r="P959" s="448"/>
      <c r="Q959" s="448"/>
      <c r="R959" s="448"/>
      <c r="S959" s="448"/>
      <c r="T959" s="448"/>
      <c r="U959" s="448"/>
      <c r="V959" s="448"/>
    </row>
    <row r="960">
      <c r="A960" s="448"/>
      <c r="B960" s="448"/>
      <c r="C960" s="448"/>
      <c r="D960" s="448"/>
      <c r="E960" s="448"/>
      <c r="F960" s="448"/>
      <c r="G960" s="448"/>
      <c r="H960" s="448"/>
      <c r="I960" s="448"/>
      <c r="J960" s="448"/>
      <c r="K960" s="448"/>
      <c r="L960" s="448"/>
      <c r="M960" s="448"/>
      <c r="N960" s="448"/>
      <c r="O960" s="448"/>
      <c r="P960" s="448"/>
      <c r="Q960" s="448"/>
      <c r="R960" s="448"/>
      <c r="S960" s="448"/>
      <c r="T960" s="448"/>
      <c r="U960" s="448"/>
      <c r="V960" s="448"/>
    </row>
    <row r="961">
      <c r="A961" s="448"/>
      <c r="B961" s="448"/>
      <c r="C961" s="448"/>
      <c r="D961" s="448"/>
      <c r="E961" s="448"/>
      <c r="F961" s="448"/>
      <c r="G961" s="448"/>
      <c r="H961" s="448"/>
      <c r="I961" s="448"/>
      <c r="J961" s="448"/>
      <c r="K961" s="448"/>
      <c r="L961" s="448"/>
      <c r="M961" s="448"/>
      <c r="N961" s="448"/>
      <c r="O961" s="448"/>
      <c r="P961" s="448"/>
      <c r="Q961" s="448"/>
      <c r="R961" s="448"/>
      <c r="S961" s="448"/>
      <c r="T961" s="448"/>
      <c r="U961" s="448"/>
      <c r="V961" s="448"/>
    </row>
    <row r="962">
      <c r="A962" s="448"/>
      <c r="B962" s="448"/>
      <c r="C962" s="448"/>
      <c r="D962" s="448"/>
      <c r="E962" s="448"/>
      <c r="F962" s="448"/>
      <c r="G962" s="448"/>
      <c r="H962" s="448"/>
      <c r="I962" s="448"/>
      <c r="J962" s="448"/>
      <c r="K962" s="448"/>
      <c r="L962" s="448"/>
      <c r="M962" s="448"/>
      <c r="N962" s="448"/>
      <c r="O962" s="448"/>
      <c r="P962" s="448"/>
      <c r="Q962" s="448"/>
      <c r="R962" s="448"/>
      <c r="S962" s="448"/>
      <c r="T962" s="448"/>
      <c r="U962" s="448"/>
      <c r="V962" s="448"/>
    </row>
    <row r="963">
      <c r="A963" s="448"/>
      <c r="B963" s="448"/>
      <c r="C963" s="448"/>
      <c r="D963" s="448"/>
      <c r="E963" s="448"/>
      <c r="F963" s="448"/>
      <c r="G963" s="448"/>
      <c r="H963" s="448"/>
      <c r="I963" s="448"/>
      <c r="J963" s="448"/>
      <c r="K963" s="448"/>
      <c r="L963" s="448"/>
      <c r="M963" s="448"/>
      <c r="N963" s="448"/>
      <c r="O963" s="448"/>
      <c r="P963" s="448"/>
      <c r="Q963" s="448"/>
      <c r="R963" s="448"/>
      <c r="S963" s="448"/>
      <c r="T963" s="448"/>
      <c r="U963" s="448"/>
      <c r="V963" s="448"/>
    </row>
    <row r="964">
      <c r="A964" s="448"/>
      <c r="B964" s="448"/>
      <c r="C964" s="448"/>
      <c r="D964" s="448"/>
      <c r="E964" s="448"/>
      <c r="F964" s="448"/>
      <c r="G964" s="448"/>
      <c r="H964" s="448"/>
      <c r="I964" s="448"/>
      <c r="J964" s="448"/>
      <c r="K964" s="448"/>
      <c r="L964" s="448"/>
      <c r="M964" s="448"/>
      <c r="N964" s="448"/>
      <c r="O964" s="448"/>
      <c r="P964" s="448"/>
      <c r="Q964" s="448"/>
      <c r="R964" s="448"/>
      <c r="S964" s="448"/>
      <c r="T964" s="448"/>
      <c r="U964" s="448"/>
      <c r="V964" s="448"/>
    </row>
    <row r="965">
      <c r="A965" s="448"/>
      <c r="B965" s="448"/>
      <c r="C965" s="448"/>
      <c r="D965" s="448"/>
      <c r="E965" s="448"/>
      <c r="F965" s="448"/>
      <c r="G965" s="448"/>
      <c r="H965" s="448"/>
      <c r="I965" s="448"/>
      <c r="J965" s="448"/>
      <c r="K965" s="448"/>
      <c r="L965" s="448"/>
      <c r="M965" s="448"/>
      <c r="N965" s="448"/>
      <c r="O965" s="448"/>
      <c r="P965" s="448"/>
      <c r="Q965" s="448"/>
      <c r="R965" s="448"/>
      <c r="S965" s="448"/>
      <c r="T965" s="448"/>
      <c r="U965" s="448"/>
      <c r="V965" s="448"/>
    </row>
    <row r="966">
      <c r="A966" s="448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48"/>
      <c r="M966" s="448"/>
      <c r="N966" s="448"/>
      <c r="O966" s="448"/>
      <c r="P966" s="448"/>
      <c r="Q966" s="448"/>
      <c r="R966" s="448"/>
      <c r="S966" s="448"/>
      <c r="T966" s="448"/>
      <c r="U966" s="448"/>
      <c r="V966" s="448"/>
    </row>
    <row r="967">
      <c r="A967" s="448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48"/>
      <c r="M967" s="448"/>
      <c r="N967" s="448"/>
      <c r="O967" s="448"/>
      <c r="P967" s="448"/>
      <c r="Q967" s="448"/>
      <c r="R967" s="448"/>
      <c r="S967" s="448"/>
      <c r="T967" s="448"/>
      <c r="U967" s="448"/>
      <c r="V967" s="448"/>
    </row>
    <row r="968">
      <c r="A968" s="448"/>
      <c r="B968" s="448"/>
      <c r="C968" s="448"/>
      <c r="D968" s="448"/>
      <c r="E968" s="448"/>
      <c r="F968" s="448"/>
      <c r="G968" s="448"/>
      <c r="H968" s="448"/>
      <c r="I968" s="448"/>
      <c r="J968" s="448"/>
      <c r="K968" s="448"/>
      <c r="L968" s="448"/>
      <c r="M968" s="448"/>
      <c r="N968" s="448"/>
      <c r="O968" s="448"/>
      <c r="P968" s="448"/>
      <c r="Q968" s="448"/>
      <c r="R968" s="448"/>
      <c r="S968" s="448"/>
      <c r="T968" s="448"/>
      <c r="U968" s="448"/>
      <c r="V968" s="448"/>
    </row>
    <row r="969">
      <c r="A969" s="448"/>
      <c r="B969" s="448"/>
      <c r="C969" s="448"/>
      <c r="D969" s="448"/>
      <c r="E969" s="448"/>
      <c r="F969" s="448"/>
      <c r="G969" s="448"/>
      <c r="H969" s="448"/>
      <c r="I969" s="448"/>
      <c r="J969" s="448"/>
      <c r="K969" s="448"/>
      <c r="L969" s="448"/>
      <c r="M969" s="448"/>
      <c r="N969" s="448"/>
      <c r="O969" s="448"/>
      <c r="P969" s="448"/>
      <c r="Q969" s="448"/>
      <c r="R969" s="448"/>
      <c r="S969" s="448"/>
      <c r="T969" s="448"/>
      <c r="U969" s="448"/>
      <c r="V969" s="448"/>
    </row>
    <row r="970">
      <c r="A970" s="448"/>
      <c r="B970" s="448"/>
      <c r="C970" s="448"/>
      <c r="D970" s="448"/>
      <c r="E970" s="448"/>
      <c r="F970" s="448"/>
      <c r="G970" s="448"/>
      <c r="H970" s="448"/>
      <c r="I970" s="448"/>
      <c r="J970" s="448"/>
      <c r="K970" s="448"/>
      <c r="L970" s="448"/>
      <c r="M970" s="448"/>
      <c r="N970" s="448"/>
      <c r="O970" s="448"/>
      <c r="P970" s="448"/>
      <c r="Q970" s="448"/>
      <c r="R970" s="448"/>
      <c r="S970" s="448"/>
      <c r="T970" s="448"/>
      <c r="U970" s="448"/>
      <c r="V970" s="448"/>
    </row>
    <row r="971">
      <c r="A971" s="448"/>
      <c r="B971" s="448"/>
      <c r="C971" s="448"/>
      <c r="D971" s="448"/>
      <c r="E971" s="448"/>
      <c r="F971" s="448"/>
      <c r="G971" s="448"/>
      <c r="H971" s="448"/>
      <c r="I971" s="448"/>
      <c r="J971" s="448"/>
      <c r="K971" s="448"/>
      <c r="L971" s="448"/>
      <c r="M971" s="448"/>
      <c r="N971" s="448"/>
      <c r="O971" s="448"/>
      <c r="P971" s="448"/>
      <c r="Q971" s="448"/>
      <c r="R971" s="448"/>
      <c r="S971" s="448"/>
      <c r="T971" s="448"/>
      <c r="U971" s="448"/>
      <c r="V971" s="448"/>
    </row>
    <row r="972">
      <c r="A972" s="448"/>
      <c r="B972" s="448"/>
      <c r="C972" s="448"/>
      <c r="D972" s="448"/>
      <c r="E972" s="448"/>
      <c r="F972" s="448"/>
      <c r="G972" s="448"/>
      <c r="H972" s="448"/>
      <c r="I972" s="448"/>
      <c r="J972" s="448"/>
      <c r="K972" s="448"/>
      <c r="L972" s="448"/>
      <c r="M972" s="448"/>
      <c r="N972" s="448"/>
      <c r="O972" s="448"/>
      <c r="P972" s="448"/>
      <c r="Q972" s="448"/>
      <c r="R972" s="448"/>
      <c r="S972" s="448"/>
      <c r="T972" s="448"/>
      <c r="U972" s="448"/>
      <c r="V972" s="448"/>
    </row>
    <row r="973">
      <c r="A973" s="448"/>
      <c r="B973" s="448"/>
      <c r="C973" s="448"/>
      <c r="D973" s="448"/>
      <c r="E973" s="448"/>
      <c r="F973" s="448"/>
      <c r="G973" s="448"/>
      <c r="H973" s="448"/>
      <c r="I973" s="448"/>
      <c r="J973" s="448"/>
      <c r="K973" s="448"/>
      <c r="L973" s="448"/>
      <c r="M973" s="448"/>
      <c r="N973" s="448"/>
      <c r="O973" s="448"/>
      <c r="P973" s="448"/>
      <c r="Q973" s="448"/>
      <c r="R973" s="448"/>
      <c r="S973" s="448"/>
      <c r="T973" s="448"/>
      <c r="U973" s="448"/>
      <c r="V973" s="448"/>
    </row>
    <row r="974">
      <c r="A974" s="448"/>
      <c r="B974" s="448"/>
      <c r="C974" s="448"/>
      <c r="D974" s="448"/>
      <c r="E974" s="448"/>
      <c r="F974" s="448"/>
      <c r="G974" s="448"/>
      <c r="H974" s="448"/>
      <c r="I974" s="448"/>
      <c r="J974" s="448"/>
      <c r="K974" s="448"/>
      <c r="L974" s="448"/>
      <c r="M974" s="448"/>
      <c r="N974" s="448"/>
      <c r="O974" s="448"/>
      <c r="P974" s="448"/>
      <c r="Q974" s="448"/>
      <c r="R974" s="448"/>
      <c r="S974" s="448"/>
      <c r="T974" s="448"/>
      <c r="U974" s="448"/>
      <c r="V974" s="448"/>
    </row>
    <row r="975">
      <c r="A975" s="448"/>
      <c r="B975" s="448"/>
      <c r="C975" s="448"/>
      <c r="D975" s="448"/>
      <c r="E975" s="448"/>
      <c r="F975" s="448"/>
      <c r="G975" s="448"/>
      <c r="H975" s="448"/>
      <c r="I975" s="448"/>
      <c r="J975" s="448"/>
      <c r="K975" s="448"/>
      <c r="L975" s="448"/>
      <c r="M975" s="448"/>
      <c r="N975" s="448"/>
      <c r="O975" s="448"/>
      <c r="P975" s="448"/>
      <c r="Q975" s="448"/>
      <c r="R975" s="448"/>
      <c r="S975" s="448"/>
      <c r="T975" s="448"/>
      <c r="U975" s="448"/>
      <c r="V975" s="448"/>
    </row>
    <row r="976">
      <c r="A976" s="448"/>
      <c r="B976" s="448"/>
      <c r="C976" s="448"/>
      <c r="D976" s="448"/>
      <c r="E976" s="448"/>
      <c r="F976" s="448"/>
      <c r="G976" s="448"/>
      <c r="H976" s="448"/>
      <c r="I976" s="448"/>
      <c r="J976" s="448"/>
      <c r="K976" s="448"/>
      <c r="L976" s="448"/>
      <c r="M976" s="448"/>
      <c r="N976" s="448"/>
      <c r="O976" s="448"/>
      <c r="P976" s="448"/>
      <c r="Q976" s="448"/>
      <c r="R976" s="448"/>
      <c r="S976" s="448"/>
      <c r="T976" s="448"/>
      <c r="U976" s="448"/>
      <c r="V976" s="448"/>
    </row>
    <row r="977">
      <c r="A977" s="448"/>
      <c r="B977" s="448"/>
      <c r="C977" s="448"/>
      <c r="D977" s="448"/>
      <c r="E977" s="448"/>
      <c r="F977" s="448"/>
      <c r="G977" s="448"/>
      <c r="H977" s="448"/>
      <c r="I977" s="448"/>
      <c r="J977" s="448"/>
      <c r="K977" s="448"/>
      <c r="L977" s="448"/>
      <c r="M977" s="448"/>
      <c r="N977" s="448"/>
      <c r="O977" s="448"/>
      <c r="P977" s="448"/>
      <c r="Q977" s="448"/>
      <c r="R977" s="448"/>
      <c r="S977" s="448"/>
      <c r="T977" s="448"/>
      <c r="U977" s="448"/>
      <c r="V977" s="448"/>
    </row>
    <row r="978">
      <c r="A978" s="448"/>
      <c r="B978" s="448"/>
      <c r="C978" s="448"/>
      <c r="D978" s="448"/>
      <c r="E978" s="448"/>
      <c r="F978" s="448"/>
      <c r="G978" s="448"/>
      <c r="H978" s="448"/>
      <c r="I978" s="448"/>
      <c r="J978" s="448"/>
      <c r="K978" s="448"/>
      <c r="L978" s="448"/>
      <c r="M978" s="448"/>
      <c r="N978" s="448"/>
      <c r="O978" s="448"/>
      <c r="P978" s="448"/>
      <c r="Q978" s="448"/>
      <c r="R978" s="448"/>
      <c r="S978" s="448"/>
      <c r="T978" s="448"/>
      <c r="U978" s="448"/>
      <c r="V978" s="448"/>
    </row>
    <row r="979">
      <c r="A979" s="448"/>
      <c r="B979" s="448"/>
      <c r="C979" s="448"/>
      <c r="D979" s="448"/>
      <c r="E979" s="448"/>
      <c r="F979" s="448"/>
      <c r="G979" s="448"/>
      <c r="H979" s="448"/>
      <c r="I979" s="448"/>
      <c r="J979" s="448"/>
      <c r="K979" s="448"/>
      <c r="L979" s="448"/>
      <c r="M979" s="448"/>
      <c r="N979" s="448"/>
      <c r="O979" s="448"/>
      <c r="P979" s="448"/>
      <c r="Q979" s="448"/>
      <c r="R979" s="448"/>
      <c r="S979" s="448"/>
      <c r="T979" s="448"/>
      <c r="U979" s="448"/>
      <c r="V979" s="448"/>
    </row>
    <row r="980">
      <c r="A980" s="448"/>
      <c r="B980" s="448"/>
      <c r="C980" s="448"/>
      <c r="D980" s="448"/>
      <c r="E980" s="448"/>
      <c r="F980" s="448"/>
      <c r="G980" s="448"/>
      <c r="H980" s="448"/>
      <c r="I980" s="448"/>
      <c r="J980" s="448"/>
      <c r="K980" s="448"/>
      <c r="L980" s="448"/>
      <c r="M980" s="448"/>
      <c r="N980" s="448"/>
      <c r="O980" s="448"/>
      <c r="P980" s="448"/>
      <c r="Q980" s="448"/>
      <c r="R980" s="448"/>
      <c r="S980" s="448"/>
      <c r="T980" s="448"/>
      <c r="U980" s="448"/>
      <c r="V980" s="448"/>
    </row>
    <row r="981">
      <c r="A981" s="448"/>
      <c r="B981" s="448"/>
      <c r="C981" s="448"/>
      <c r="D981" s="448"/>
      <c r="E981" s="448"/>
      <c r="F981" s="448"/>
      <c r="G981" s="448"/>
      <c r="H981" s="448"/>
      <c r="I981" s="448"/>
      <c r="J981" s="448"/>
      <c r="K981" s="448"/>
      <c r="L981" s="448"/>
      <c r="M981" s="448"/>
      <c r="N981" s="448"/>
      <c r="O981" s="448"/>
      <c r="P981" s="448"/>
      <c r="Q981" s="448"/>
      <c r="R981" s="448"/>
      <c r="S981" s="448"/>
      <c r="T981" s="448"/>
      <c r="U981" s="448"/>
      <c r="V981" s="448"/>
    </row>
    <row r="982">
      <c r="A982" s="448"/>
      <c r="B982" s="448"/>
      <c r="C982" s="448"/>
      <c r="D982" s="448"/>
      <c r="E982" s="448"/>
      <c r="F982" s="448"/>
      <c r="G982" s="448"/>
      <c r="H982" s="448"/>
      <c r="I982" s="448"/>
      <c r="J982" s="448"/>
      <c r="K982" s="448"/>
      <c r="L982" s="448"/>
      <c r="M982" s="448"/>
      <c r="N982" s="448"/>
      <c r="O982" s="448"/>
      <c r="P982" s="448"/>
      <c r="Q982" s="448"/>
      <c r="R982" s="448"/>
      <c r="S982" s="448"/>
      <c r="T982" s="448"/>
      <c r="U982" s="448"/>
      <c r="V982" s="448"/>
    </row>
    <row r="983">
      <c r="A983" s="448"/>
      <c r="B983" s="448"/>
      <c r="C983" s="448"/>
      <c r="D983" s="448"/>
      <c r="E983" s="448"/>
      <c r="F983" s="448"/>
      <c r="G983" s="448"/>
      <c r="H983" s="448"/>
      <c r="I983" s="448"/>
      <c r="J983" s="448"/>
      <c r="K983" s="448"/>
      <c r="L983" s="448"/>
      <c r="M983" s="448"/>
      <c r="N983" s="448"/>
      <c r="O983" s="448"/>
      <c r="P983" s="448"/>
      <c r="Q983" s="448"/>
      <c r="R983" s="448"/>
      <c r="S983" s="448"/>
      <c r="T983" s="448"/>
      <c r="U983" s="448"/>
      <c r="V983" s="448"/>
    </row>
    <row r="984">
      <c r="A984" s="448"/>
      <c r="B984" s="448"/>
      <c r="C984" s="448"/>
      <c r="D984" s="448"/>
      <c r="E984" s="448"/>
      <c r="F984" s="448"/>
      <c r="G984" s="448"/>
      <c r="H984" s="448"/>
      <c r="I984" s="448"/>
      <c r="J984" s="448"/>
      <c r="K984" s="448"/>
      <c r="L984" s="448"/>
      <c r="M984" s="448"/>
      <c r="N984" s="448"/>
      <c r="O984" s="448"/>
      <c r="P984" s="448"/>
      <c r="Q984" s="448"/>
      <c r="R984" s="448"/>
      <c r="S984" s="448"/>
      <c r="T984" s="448"/>
      <c r="U984" s="448"/>
      <c r="V984" s="448"/>
    </row>
    <row r="985">
      <c r="A985" s="448"/>
      <c r="B985" s="448"/>
      <c r="C985" s="448"/>
      <c r="D985" s="448"/>
      <c r="E985" s="448"/>
      <c r="F985" s="448"/>
      <c r="G985" s="448"/>
      <c r="H985" s="448"/>
      <c r="I985" s="448"/>
      <c r="J985" s="448"/>
      <c r="K985" s="448"/>
      <c r="L985" s="448"/>
      <c r="M985" s="448"/>
      <c r="N985" s="448"/>
      <c r="O985" s="448"/>
      <c r="P985" s="448"/>
      <c r="Q985" s="448"/>
      <c r="R985" s="448"/>
      <c r="S985" s="448"/>
      <c r="T985" s="448"/>
      <c r="U985" s="448"/>
      <c r="V985" s="448"/>
    </row>
    <row r="986">
      <c r="A986" s="448"/>
      <c r="B986" s="448"/>
      <c r="C986" s="448"/>
      <c r="D986" s="448"/>
      <c r="E986" s="448"/>
      <c r="F986" s="448"/>
      <c r="G986" s="448"/>
      <c r="H986" s="448"/>
      <c r="I986" s="448"/>
      <c r="J986" s="448"/>
      <c r="K986" s="448"/>
      <c r="L986" s="448"/>
      <c r="M986" s="448"/>
      <c r="N986" s="448"/>
      <c r="O986" s="448"/>
      <c r="P986" s="448"/>
      <c r="Q986" s="448"/>
      <c r="R986" s="448"/>
      <c r="S986" s="448"/>
      <c r="T986" s="448"/>
      <c r="U986" s="448"/>
      <c r="V986" s="448"/>
    </row>
    <row r="987">
      <c r="A987" s="448"/>
      <c r="B987" s="448"/>
      <c r="C987" s="448"/>
      <c r="D987" s="448"/>
      <c r="E987" s="448"/>
      <c r="F987" s="448"/>
      <c r="G987" s="448"/>
      <c r="H987" s="448"/>
      <c r="I987" s="448"/>
      <c r="J987" s="448"/>
      <c r="K987" s="448"/>
      <c r="L987" s="448"/>
      <c r="M987" s="448"/>
      <c r="N987" s="448"/>
      <c r="O987" s="448"/>
      <c r="P987" s="448"/>
      <c r="Q987" s="448"/>
      <c r="R987" s="448"/>
      <c r="S987" s="448"/>
      <c r="T987" s="448"/>
      <c r="U987" s="448"/>
      <c r="V987" s="448"/>
    </row>
    <row r="988">
      <c r="A988" s="448"/>
      <c r="B988" s="448"/>
      <c r="C988" s="448"/>
      <c r="D988" s="448"/>
      <c r="E988" s="448"/>
      <c r="F988" s="448"/>
      <c r="G988" s="448"/>
      <c r="H988" s="448"/>
      <c r="I988" s="448"/>
      <c r="J988" s="448"/>
      <c r="K988" s="448"/>
      <c r="L988" s="448"/>
      <c r="M988" s="448"/>
      <c r="N988" s="448"/>
      <c r="O988" s="448"/>
      <c r="P988" s="448"/>
      <c r="Q988" s="448"/>
      <c r="R988" s="448"/>
      <c r="S988" s="448"/>
      <c r="T988" s="448"/>
      <c r="U988" s="448"/>
      <c r="V988" s="448"/>
    </row>
    <row r="989">
      <c r="A989" s="448"/>
      <c r="B989" s="448"/>
      <c r="C989" s="448"/>
      <c r="D989" s="448"/>
      <c r="E989" s="448"/>
      <c r="F989" s="448"/>
      <c r="G989" s="448"/>
      <c r="H989" s="448"/>
      <c r="I989" s="448"/>
      <c r="J989" s="448"/>
      <c r="K989" s="448"/>
      <c r="L989" s="448"/>
      <c r="M989" s="448"/>
      <c r="N989" s="448"/>
      <c r="O989" s="448"/>
      <c r="P989" s="448"/>
      <c r="Q989" s="448"/>
      <c r="R989" s="448"/>
      <c r="S989" s="448"/>
      <c r="T989" s="448"/>
      <c r="U989" s="448"/>
      <c r="V989" s="448"/>
    </row>
    <row r="990">
      <c r="A990" s="448"/>
      <c r="B990" s="448"/>
      <c r="C990" s="448"/>
      <c r="D990" s="448"/>
      <c r="E990" s="448"/>
      <c r="F990" s="448"/>
      <c r="G990" s="448"/>
      <c r="H990" s="448"/>
      <c r="I990" s="448"/>
      <c r="J990" s="448"/>
      <c r="K990" s="448"/>
      <c r="L990" s="448"/>
      <c r="M990" s="448"/>
      <c r="N990" s="448"/>
      <c r="O990" s="448"/>
      <c r="P990" s="448"/>
      <c r="Q990" s="448"/>
      <c r="R990" s="448"/>
      <c r="S990" s="448"/>
      <c r="T990" s="448"/>
      <c r="U990" s="448"/>
      <c r="V990" s="448"/>
    </row>
    <row r="991">
      <c r="A991" s="448"/>
      <c r="B991" s="448"/>
      <c r="C991" s="448"/>
      <c r="D991" s="448"/>
      <c r="E991" s="448"/>
      <c r="F991" s="448"/>
      <c r="G991" s="448"/>
      <c r="H991" s="448"/>
      <c r="I991" s="448"/>
      <c r="J991" s="448"/>
      <c r="K991" s="448"/>
      <c r="L991" s="448"/>
      <c r="M991" s="448"/>
      <c r="N991" s="448"/>
      <c r="O991" s="448"/>
      <c r="P991" s="448"/>
      <c r="Q991" s="448"/>
      <c r="R991" s="448"/>
      <c r="S991" s="448"/>
      <c r="T991" s="448"/>
      <c r="U991" s="448"/>
      <c r="V991" s="448"/>
    </row>
    <row r="992">
      <c r="A992" s="448"/>
      <c r="B992" s="448"/>
      <c r="C992" s="448"/>
      <c r="D992" s="448"/>
      <c r="E992" s="448"/>
      <c r="F992" s="448"/>
      <c r="G992" s="448"/>
      <c r="H992" s="448"/>
      <c r="I992" s="448"/>
      <c r="J992" s="448"/>
      <c r="K992" s="448"/>
      <c r="L992" s="448"/>
      <c r="M992" s="448"/>
      <c r="N992" s="448"/>
      <c r="O992" s="448"/>
      <c r="P992" s="448"/>
      <c r="Q992" s="448"/>
      <c r="R992" s="448"/>
      <c r="S992" s="448"/>
      <c r="T992" s="448"/>
      <c r="U992" s="448"/>
      <c r="V992" s="448"/>
    </row>
    <row r="993">
      <c r="A993" s="448"/>
      <c r="B993" s="448"/>
      <c r="C993" s="448"/>
      <c r="D993" s="448"/>
      <c r="E993" s="448"/>
      <c r="F993" s="448"/>
      <c r="G993" s="448"/>
      <c r="H993" s="448"/>
      <c r="I993" s="448"/>
      <c r="J993" s="448"/>
      <c r="K993" s="448"/>
      <c r="L993" s="448"/>
      <c r="M993" s="448"/>
      <c r="N993" s="448"/>
      <c r="O993" s="448"/>
      <c r="P993" s="448"/>
      <c r="Q993" s="448"/>
      <c r="R993" s="448"/>
      <c r="S993" s="448"/>
      <c r="T993" s="448"/>
      <c r="U993" s="448"/>
      <c r="V993" s="448"/>
    </row>
    <row r="994">
      <c r="A994" s="448"/>
      <c r="B994" s="448"/>
      <c r="C994" s="448"/>
      <c r="D994" s="448"/>
      <c r="E994" s="448"/>
      <c r="F994" s="448"/>
      <c r="G994" s="448"/>
      <c r="H994" s="448"/>
      <c r="I994" s="448"/>
      <c r="J994" s="448"/>
      <c r="K994" s="448"/>
      <c r="L994" s="448"/>
      <c r="M994" s="448"/>
      <c r="N994" s="448"/>
      <c r="O994" s="448"/>
      <c r="P994" s="448"/>
      <c r="Q994" s="448"/>
      <c r="R994" s="448"/>
      <c r="S994" s="448"/>
      <c r="T994" s="448"/>
      <c r="U994" s="448"/>
      <c r="V994" s="448"/>
    </row>
    <row r="995">
      <c r="A995" s="448"/>
      <c r="B995" s="448"/>
      <c r="C995" s="448"/>
      <c r="D995" s="448"/>
      <c r="E995" s="448"/>
      <c r="F995" s="448"/>
      <c r="G995" s="448"/>
      <c r="H995" s="448"/>
      <c r="I995" s="448"/>
      <c r="J995" s="448"/>
      <c r="K995" s="448"/>
      <c r="L995" s="448"/>
      <c r="M995" s="448"/>
      <c r="N995" s="448"/>
      <c r="O995" s="448"/>
      <c r="P995" s="448"/>
      <c r="Q995" s="448"/>
      <c r="R995" s="448"/>
      <c r="S995" s="448"/>
      <c r="T995" s="448"/>
      <c r="U995" s="448"/>
      <c r="V995" s="448"/>
    </row>
    <row r="996">
      <c r="A996" s="448"/>
      <c r="B996" s="448"/>
      <c r="C996" s="448"/>
      <c r="D996" s="448"/>
      <c r="E996" s="448"/>
      <c r="F996" s="448"/>
      <c r="G996" s="448"/>
      <c r="H996" s="448"/>
      <c r="I996" s="448"/>
      <c r="J996" s="448"/>
      <c r="K996" s="448"/>
      <c r="L996" s="448"/>
      <c r="M996" s="448"/>
      <c r="N996" s="448"/>
      <c r="O996" s="448"/>
      <c r="P996" s="448"/>
      <c r="Q996" s="448"/>
      <c r="R996" s="448"/>
      <c r="S996" s="448"/>
      <c r="T996" s="448"/>
      <c r="U996" s="448"/>
      <c r="V996" s="448"/>
    </row>
    <row r="997">
      <c r="A997" s="448"/>
      <c r="B997" s="448"/>
      <c r="C997" s="448"/>
      <c r="D997" s="448"/>
      <c r="E997" s="448"/>
      <c r="F997" s="448"/>
      <c r="G997" s="448"/>
      <c r="H997" s="448"/>
      <c r="I997" s="448"/>
      <c r="J997" s="448"/>
      <c r="K997" s="448"/>
      <c r="L997" s="448"/>
      <c r="M997" s="448"/>
      <c r="N997" s="448"/>
      <c r="O997" s="448"/>
      <c r="P997" s="448"/>
      <c r="Q997" s="448"/>
      <c r="R997" s="448"/>
      <c r="S997" s="448"/>
      <c r="T997" s="448"/>
      <c r="U997" s="448"/>
      <c r="V997" s="448"/>
    </row>
    <row r="998">
      <c r="A998" s="448"/>
      <c r="B998" s="448"/>
      <c r="C998" s="448"/>
      <c r="D998" s="448"/>
      <c r="E998" s="448"/>
      <c r="F998" s="448"/>
      <c r="G998" s="448"/>
      <c r="H998" s="448"/>
      <c r="I998" s="448"/>
      <c r="J998" s="448"/>
      <c r="K998" s="448"/>
      <c r="L998" s="448"/>
      <c r="M998" s="448"/>
      <c r="N998" s="448"/>
      <c r="O998" s="448"/>
      <c r="P998" s="448"/>
      <c r="Q998" s="448"/>
      <c r="R998" s="448"/>
      <c r="S998" s="448"/>
      <c r="T998" s="448"/>
      <c r="U998" s="448"/>
      <c r="V998" s="448"/>
    </row>
    <row r="999">
      <c r="A999" s="448"/>
      <c r="B999" s="448"/>
      <c r="C999" s="448"/>
      <c r="D999" s="448"/>
      <c r="E999" s="448"/>
      <c r="F999" s="448"/>
      <c r="G999" s="448"/>
      <c r="H999" s="448"/>
      <c r="I999" s="448"/>
      <c r="J999" s="448"/>
      <c r="K999" s="448"/>
      <c r="L999" s="448"/>
      <c r="M999" s="448"/>
      <c r="N999" s="448"/>
      <c r="O999" s="448"/>
      <c r="P999" s="448"/>
      <c r="Q999" s="448"/>
      <c r="R999" s="448"/>
      <c r="S999" s="448"/>
      <c r="T999" s="448"/>
      <c r="U999" s="448"/>
      <c r="V999" s="448"/>
    </row>
    <row r="1000">
      <c r="A1000" s="448"/>
      <c r="B1000" s="448"/>
      <c r="C1000" s="448"/>
      <c r="D1000" s="448"/>
      <c r="E1000" s="448"/>
      <c r="F1000" s="448"/>
      <c r="G1000" s="448"/>
      <c r="H1000" s="448"/>
      <c r="I1000" s="448"/>
      <c r="J1000" s="448"/>
      <c r="K1000" s="448"/>
      <c r="L1000" s="448"/>
      <c r="M1000" s="448"/>
      <c r="N1000" s="448"/>
      <c r="O1000" s="448"/>
      <c r="P1000" s="448"/>
      <c r="Q1000" s="448"/>
      <c r="R1000" s="448"/>
      <c r="S1000" s="448"/>
      <c r="T1000" s="448"/>
      <c r="U1000" s="448"/>
      <c r="V1000" s="448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30.86"/>
  </cols>
  <sheetData>
    <row r="1">
      <c r="A1" s="257" t="s">
        <v>2779</v>
      </c>
      <c r="B1" s="257" t="s">
        <v>5904</v>
      </c>
      <c r="C1" s="257" t="s">
        <v>5905</v>
      </c>
    </row>
    <row r="2">
      <c r="A2" s="595" t="s">
        <v>1951</v>
      </c>
      <c r="B2" s="596">
        <v>0.025752</v>
      </c>
      <c r="C2" s="597">
        <v>0.350018</v>
      </c>
    </row>
    <row r="3">
      <c r="A3" s="598" t="s">
        <v>223</v>
      </c>
      <c r="B3" s="599">
        <v>0.027097</v>
      </c>
      <c r="C3" s="600">
        <v>0.31275</v>
      </c>
    </row>
    <row r="4">
      <c r="A4" s="601" t="s">
        <v>5906</v>
      </c>
      <c r="B4" s="602"/>
      <c r="C4" s="603"/>
    </row>
    <row r="5">
      <c r="A5" s="601" t="s">
        <v>5906</v>
      </c>
      <c r="B5" s="604"/>
      <c r="C5" s="605"/>
    </row>
    <row r="6">
      <c r="A6" s="601" t="s">
        <v>5906</v>
      </c>
      <c r="B6" s="602"/>
      <c r="C6" s="603"/>
    </row>
    <row r="7">
      <c r="A7" s="601" t="s">
        <v>5906</v>
      </c>
      <c r="B7" s="604"/>
      <c r="C7" s="605"/>
    </row>
    <row r="8">
      <c r="A8" s="598" t="s">
        <v>346</v>
      </c>
      <c r="B8" s="599">
        <v>0.052624</v>
      </c>
      <c r="C8" s="600">
        <v>0.644461</v>
      </c>
    </row>
    <row r="9">
      <c r="A9" s="598" t="s">
        <v>346</v>
      </c>
      <c r="B9" s="599">
        <v>0.045802</v>
      </c>
      <c r="C9" s="600">
        <v>0.524545</v>
      </c>
    </row>
    <row r="10">
      <c r="A10" s="595" t="s">
        <v>669</v>
      </c>
      <c r="B10" s="606">
        <v>0.035005</v>
      </c>
      <c r="C10" s="597">
        <v>0.502954</v>
      </c>
    </row>
    <row r="11">
      <c r="A11" s="598" t="s">
        <v>336</v>
      </c>
      <c r="B11" s="599">
        <v>0.035005</v>
      </c>
      <c r="C11" s="600">
        <v>0.502954</v>
      </c>
    </row>
    <row r="12">
      <c r="A12" s="595" t="s">
        <v>336</v>
      </c>
      <c r="B12" s="596">
        <v>0.034653</v>
      </c>
      <c r="C12" s="597">
        <v>0.424284</v>
      </c>
    </row>
    <row r="13">
      <c r="A13" s="598" t="s">
        <v>333</v>
      </c>
      <c r="B13" s="599">
        <v>0.031573</v>
      </c>
      <c r="C13" s="600">
        <v>0.283246</v>
      </c>
    </row>
    <row r="14">
      <c r="A14" s="595" t="s">
        <v>333</v>
      </c>
      <c r="B14" s="606">
        <v>0.028161</v>
      </c>
      <c r="C14" s="597">
        <v>0.446101</v>
      </c>
    </row>
    <row r="15">
      <c r="A15" s="595" t="s">
        <v>335</v>
      </c>
      <c r="B15" s="604"/>
      <c r="C15" s="603"/>
    </row>
    <row r="16">
      <c r="A16" s="595" t="s">
        <v>673</v>
      </c>
      <c r="B16" s="606">
        <v>0.058417</v>
      </c>
      <c r="C16" s="607">
        <v>0.690178</v>
      </c>
    </row>
    <row r="17">
      <c r="A17" s="598" t="s">
        <v>654</v>
      </c>
      <c r="B17" s="596">
        <v>0.034934</v>
      </c>
      <c r="C17" s="597">
        <v>0.432801</v>
      </c>
    </row>
    <row r="18">
      <c r="A18" s="595" t="s">
        <v>665</v>
      </c>
      <c r="B18" s="606">
        <v>0.057198</v>
      </c>
      <c r="C18" s="607">
        <v>0.637798</v>
      </c>
    </row>
    <row r="19">
      <c r="A19" s="598" t="s">
        <v>5907</v>
      </c>
      <c r="B19" s="599">
        <v>0.029225</v>
      </c>
      <c r="C19" s="600">
        <v>0.279116</v>
      </c>
    </row>
    <row r="20">
      <c r="A20" s="595" t="s">
        <v>5907</v>
      </c>
      <c r="B20" s="596">
        <v>0.029225</v>
      </c>
      <c r="C20" s="597">
        <v>0.279116</v>
      </c>
    </row>
    <row r="21">
      <c r="A21" s="598" t="s">
        <v>5907</v>
      </c>
      <c r="B21" s="599">
        <v>0.02506</v>
      </c>
      <c r="C21" s="600">
        <v>0.299726</v>
      </c>
    </row>
    <row r="22">
      <c r="A22" s="608" t="s">
        <v>5908</v>
      </c>
      <c r="B22" s="596">
        <v>0.023677</v>
      </c>
      <c r="C22" s="597">
        <v>0.29968</v>
      </c>
    </row>
    <row r="23">
      <c r="A23" s="609" t="s">
        <v>483</v>
      </c>
      <c r="B23" s="599">
        <v>0.045802</v>
      </c>
      <c r="C23" s="600">
        <v>0.524545</v>
      </c>
    </row>
    <row r="24">
      <c r="A24" s="598" t="s">
        <v>635</v>
      </c>
      <c r="B24" s="599">
        <v>0.028161</v>
      </c>
      <c r="C24" s="597">
        <v>0.446101</v>
      </c>
    </row>
    <row r="25">
      <c r="A25" s="595" t="s">
        <v>662</v>
      </c>
      <c r="B25" s="606">
        <v>0.038933</v>
      </c>
      <c r="C25" s="607">
        <v>0.53496</v>
      </c>
    </row>
    <row r="26">
      <c r="A26" s="598" t="s">
        <v>239</v>
      </c>
      <c r="B26" s="606">
        <v>0.038933</v>
      </c>
      <c r="C26" s="600">
        <v>0.53496</v>
      </c>
    </row>
    <row r="27">
      <c r="A27" s="595" t="s">
        <v>239</v>
      </c>
      <c r="B27" s="599">
        <v>0.038933</v>
      </c>
      <c r="C27" s="597">
        <v>0.53496</v>
      </c>
    </row>
    <row r="28">
      <c r="A28" s="598" t="s">
        <v>631</v>
      </c>
      <c r="B28" s="596">
        <v>0.028415</v>
      </c>
      <c r="C28" s="597">
        <v>0.373813</v>
      </c>
    </row>
    <row r="29">
      <c r="A29" s="595" t="s">
        <v>631</v>
      </c>
      <c r="B29" s="596">
        <v>0.031489</v>
      </c>
      <c r="C29" s="597">
        <v>0.401519</v>
      </c>
    </row>
    <row r="30">
      <c r="A30" s="595" t="s">
        <v>668</v>
      </c>
      <c r="B30" s="606">
        <v>0.051704</v>
      </c>
      <c r="C30" s="607">
        <v>0.586907</v>
      </c>
    </row>
    <row r="31">
      <c r="A31" s="598" t="s">
        <v>656</v>
      </c>
      <c r="B31" s="596">
        <v>0.034934</v>
      </c>
      <c r="C31" s="597">
        <v>0.432801</v>
      </c>
    </row>
    <row r="32">
      <c r="A32" s="595" t="s">
        <v>671</v>
      </c>
      <c r="B32" s="606">
        <v>0.046938</v>
      </c>
      <c r="C32" s="607">
        <v>0.54289</v>
      </c>
    </row>
    <row r="33">
      <c r="A33" s="595" t="s">
        <v>282</v>
      </c>
      <c r="B33" s="596">
        <v>0.038679</v>
      </c>
      <c r="C33" s="597">
        <v>0.466998</v>
      </c>
    </row>
    <row r="34">
      <c r="A34" s="598" t="s">
        <v>282</v>
      </c>
      <c r="B34" s="599">
        <v>0.046938</v>
      </c>
      <c r="C34" s="600">
        <v>0.54289</v>
      </c>
    </row>
    <row r="35">
      <c r="A35" s="598" t="s">
        <v>658</v>
      </c>
      <c r="B35" s="599">
        <v>0.038679</v>
      </c>
      <c r="C35" s="600">
        <v>0.466998</v>
      </c>
    </row>
    <row r="36">
      <c r="A36" s="598" t="s">
        <v>267</v>
      </c>
      <c r="B36" s="599">
        <v>0.038679</v>
      </c>
      <c r="C36" s="600">
        <v>0.466998</v>
      </c>
    </row>
    <row r="37">
      <c r="A37" s="598" t="s">
        <v>633</v>
      </c>
      <c r="B37" s="596">
        <v>0.028415</v>
      </c>
      <c r="C37" s="597">
        <v>0.373813</v>
      </c>
    </row>
    <row r="38">
      <c r="A38" s="595" t="s">
        <v>627</v>
      </c>
      <c r="B38" s="606">
        <v>0.025752</v>
      </c>
      <c r="C38" s="607">
        <v>0.350018</v>
      </c>
    </row>
    <row r="39">
      <c r="A39" s="598" t="s">
        <v>666</v>
      </c>
      <c r="B39" s="596">
        <v>0.057198</v>
      </c>
      <c r="C39" s="597">
        <v>0.637798</v>
      </c>
    </row>
    <row r="40">
      <c r="A40" s="610" t="s">
        <v>5909</v>
      </c>
      <c r="B40" s="599">
        <v>0.027231</v>
      </c>
      <c r="C40" s="600">
        <v>0.339859</v>
      </c>
    </row>
    <row r="41">
      <c r="A41" s="611" t="s">
        <v>648</v>
      </c>
      <c r="B41" s="606">
        <v>0.087944</v>
      </c>
      <c r="C41" s="597">
        <v>0.975469</v>
      </c>
    </row>
    <row r="42">
      <c r="A42" s="598" t="s">
        <v>337</v>
      </c>
      <c r="B42" s="596">
        <v>0.03689</v>
      </c>
      <c r="C42" s="597">
        <v>0.291525</v>
      </c>
    </row>
    <row r="43">
      <c r="A43" s="598" t="s">
        <v>5910</v>
      </c>
      <c r="B43" s="604"/>
      <c r="C43" s="612"/>
    </row>
    <row r="44">
      <c r="A44" s="595" t="s">
        <v>5910</v>
      </c>
      <c r="B44" s="602"/>
      <c r="C44" s="605"/>
    </row>
    <row r="45">
      <c r="A45" s="610" t="s">
        <v>313</v>
      </c>
      <c r="B45" s="604"/>
      <c r="C45" s="612"/>
    </row>
    <row r="46">
      <c r="A46" s="598" t="s">
        <v>300</v>
      </c>
      <c r="B46" s="604"/>
      <c r="C46" s="612"/>
    </row>
    <row r="47">
      <c r="A47" s="595" t="s">
        <v>300</v>
      </c>
      <c r="B47" s="602"/>
      <c r="C47" s="605"/>
    </row>
    <row r="48">
      <c r="A48" s="595" t="s">
        <v>242</v>
      </c>
      <c r="B48" s="606">
        <v>0.038933</v>
      </c>
      <c r="C48" s="607">
        <v>0.53496</v>
      </c>
    </row>
    <row r="49">
      <c r="A49" s="598" t="s">
        <v>242</v>
      </c>
      <c r="B49" s="599">
        <v>0.038933</v>
      </c>
      <c r="C49" s="597">
        <v>0.53496</v>
      </c>
    </row>
    <row r="50">
      <c r="A50" s="595" t="s">
        <v>5911</v>
      </c>
      <c r="B50" s="606">
        <v>0.046938</v>
      </c>
      <c r="C50" s="607">
        <v>0.54289</v>
      </c>
    </row>
    <row r="51">
      <c r="A51" s="598" t="s">
        <v>5912</v>
      </c>
      <c r="B51" s="596">
        <v>0.051704</v>
      </c>
      <c r="C51" s="597">
        <v>0.586907</v>
      </c>
    </row>
    <row r="52">
      <c r="A52" s="595" t="s">
        <v>234</v>
      </c>
      <c r="B52" s="606">
        <v>0.035005</v>
      </c>
      <c r="C52" s="607">
        <v>0.502954</v>
      </c>
    </row>
    <row r="53">
      <c r="A53" s="598" t="s">
        <v>234</v>
      </c>
      <c r="B53" s="599">
        <v>0.035005</v>
      </c>
      <c r="C53" s="597">
        <v>0.502954</v>
      </c>
    </row>
    <row r="54">
      <c r="A54" s="595" t="s">
        <v>247</v>
      </c>
      <c r="B54" s="606">
        <v>0.047607</v>
      </c>
      <c r="C54" s="607">
        <v>0.604621</v>
      </c>
    </row>
    <row r="55">
      <c r="A55" s="598" t="s">
        <v>247</v>
      </c>
      <c r="B55" s="599">
        <v>0.047607</v>
      </c>
      <c r="C55" s="597">
        <v>0.604621</v>
      </c>
    </row>
    <row r="56">
      <c r="A56" s="598" t="s">
        <v>1319</v>
      </c>
      <c r="B56" s="599">
        <v>0.038933</v>
      </c>
      <c r="C56" s="597">
        <v>0.53496</v>
      </c>
    </row>
    <row r="57">
      <c r="A57" s="595" t="s">
        <v>1319</v>
      </c>
      <c r="B57" s="606">
        <v>0.038933</v>
      </c>
      <c r="C57" s="607">
        <v>0.53496</v>
      </c>
    </row>
    <row r="58">
      <c r="A58" s="598" t="s">
        <v>1319</v>
      </c>
      <c r="B58" s="606">
        <v>0.058417</v>
      </c>
      <c r="C58" s="597">
        <v>0.690178</v>
      </c>
    </row>
    <row r="59">
      <c r="A59" s="598" t="s">
        <v>1319</v>
      </c>
      <c r="B59" s="606">
        <v>0.038933</v>
      </c>
      <c r="C59" s="597">
        <v>0.53496</v>
      </c>
    </row>
    <row r="60">
      <c r="A60" s="595" t="s">
        <v>661</v>
      </c>
      <c r="B60" s="606">
        <v>0.058417</v>
      </c>
      <c r="C60" s="607">
        <v>0.690178</v>
      </c>
    </row>
    <row r="61">
      <c r="A61" s="595" t="s">
        <v>661</v>
      </c>
      <c r="B61" s="599">
        <v>0.03139</v>
      </c>
      <c r="C61" s="607">
        <v>0.473141</v>
      </c>
    </row>
    <row r="62">
      <c r="A62" s="598" t="s">
        <v>661</v>
      </c>
      <c r="B62" s="606">
        <v>0.058417</v>
      </c>
      <c r="C62" s="597">
        <v>0.690178</v>
      </c>
    </row>
    <row r="63">
      <c r="A63" s="598" t="s">
        <v>636</v>
      </c>
      <c r="B63" s="599">
        <v>0.047607</v>
      </c>
      <c r="C63" s="597">
        <v>0.604621</v>
      </c>
    </row>
    <row r="64">
      <c r="A64" s="595" t="s">
        <v>636</v>
      </c>
      <c r="B64" s="599">
        <v>0.03139</v>
      </c>
      <c r="C64" s="607">
        <v>0.473141</v>
      </c>
    </row>
    <row r="65">
      <c r="A65" s="595" t="s">
        <v>636</v>
      </c>
      <c r="B65" s="599">
        <v>0.047607</v>
      </c>
      <c r="C65" s="607">
        <v>0.604621</v>
      </c>
    </row>
    <row r="66">
      <c r="A66" s="595" t="s">
        <v>214</v>
      </c>
      <c r="B66" s="606">
        <v>0.047607</v>
      </c>
      <c r="C66" s="607">
        <v>0.604621</v>
      </c>
    </row>
    <row r="67">
      <c r="A67" s="598" t="s">
        <v>214</v>
      </c>
      <c r="B67" s="599">
        <v>0.020985</v>
      </c>
      <c r="C67" s="597">
        <v>0.38356</v>
      </c>
    </row>
    <row r="68">
      <c r="A68" s="595" t="s">
        <v>214</v>
      </c>
      <c r="B68" s="606">
        <v>0.025353</v>
      </c>
      <c r="C68" s="607">
        <v>0.422141</v>
      </c>
    </row>
    <row r="69">
      <c r="A69" s="598" t="s">
        <v>214</v>
      </c>
      <c r="B69" s="606">
        <v>0.025353</v>
      </c>
      <c r="C69" s="597">
        <v>0.422141</v>
      </c>
    </row>
    <row r="70">
      <c r="A70" s="595" t="s">
        <v>155</v>
      </c>
      <c r="B70" s="602"/>
      <c r="C70" s="603"/>
    </row>
    <row r="71">
      <c r="A71" s="598" t="s">
        <v>1970</v>
      </c>
      <c r="B71" s="602"/>
      <c r="C71" s="603"/>
    </row>
    <row r="72">
      <c r="A72" s="595" t="s">
        <v>659</v>
      </c>
      <c r="B72" s="606">
        <v>0.058417</v>
      </c>
      <c r="C72" s="607">
        <v>0.690178</v>
      </c>
    </row>
    <row r="73">
      <c r="A73" s="598" t="s">
        <v>659</v>
      </c>
      <c r="B73" s="606">
        <v>0.058417</v>
      </c>
      <c r="C73" s="597">
        <v>0.690178</v>
      </c>
    </row>
    <row r="74">
      <c r="A74" s="595" t="s">
        <v>659</v>
      </c>
      <c r="B74" s="599">
        <v>0.058417</v>
      </c>
      <c r="C74" s="607">
        <v>0.690178</v>
      </c>
    </row>
    <row r="75">
      <c r="A75" s="595" t="s">
        <v>663</v>
      </c>
      <c r="B75" s="606">
        <v>0.047607</v>
      </c>
      <c r="C75" s="607">
        <v>0.604621</v>
      </c>
    </row>
    <row r="76">
      <c r="A76" s="598" t="s">
        <v>1320</v>
      </c>
      <c r="B76" s="599">
        <v>0.058417</v>
      </c>
      <c r="C76" s="597">
        <v>0.690178</v>
      </c>
    </row>
    <row r="77">
      <c r="A77" s="598" t="s">
        <v>1320</v>
      </c>
      <c r="B77" s="599">
        <v>0.03139</v>
      </c>
      <c r="C77" s="597">
        <v>0.473141</v>
      </c>
    </row>
    <row r="78">
      <c r="A78" s="598" t="s">
        <v>1320</v>
      </c>
      <c r="B78" s="606">
        <v>0.03139</v>
      </c>
      <c r="C78" s="597">
        <v>0.473141</v>
      </c>
    </row>
    <row r="79">
      <c r="A79" s="595" t="s">
        <v>1323</v>
      </c>
      <c r="B79" s="606">
        <v>0.058417</v>
      </c>
      <c r="C79" s="607">
        <v>0.690178</v>
      </c>
    </row>
    <row r="80">
      <c r="A80" s="595" t="s">
        <v>1323</v>
      </c>
      <c r="B80" s="606">
        <v>0.025353</v>
      </c>
      <c r="C80" s="607">
        <v>0.422141</v>
      </c>
    </row>
    <row r="81">
      <c r="A81" s="598" t="s">
        <v>1301</v>
      </c>
      <c r="B81" s="604"/>
      <c r="C81" s="612"/>
    </row>
    <row r="82">
      <c r="A82" s="595" t="s">
        <v>1317</v>
      </c>
      <c r="B82" s="602"/>
      <c r="C82" s="605"/>
    </row>
    <row r="83">
      <c r="A83" s="598" t="s">
        <v>1321</v>
      </c>
      <c r="B83" s="599">
        <v>0.03139</v>
      </c>
      <c r="C83" s="597">
        <v>0.473141</v>
      </c>
    </row>
    <row r="84">
      <c r="A84" s="598" t="s">
        <v>1324</v>
      </c>
      <c r="B84" s="599">
        <v>0.058417</v>
      </c>
      <c r="C84" s="597">
        <v>0.690178</v>
      </c>
    </row>
    <row r="85">
      <c r="A85" s="598" t="s">
        <v>209</v>
      </c>
      <c r="B85" s="606">
        <v>0.018053</v>
      </c>
      <c r="C85" s="600">
        <v>0.356058</v>
      </c>
    </row>
    <row r="86">
      <c r="A86" s="595" t="s">
        <v>209</v>
      </c>
      <c r="B86" s="599">
        <v>0.018053</v>
      </c>
      <c r="C86" s="597">
        <v>0.356058</v>
      </c>
    </row>
    <row r="87">
      <c r="A87" s="598" t="s">
        <v>209</v>
      </c>
      <c r="B87" s="599">
        <v>0.018053</v>
      </c>
      <c r="C87" s="597">
        <v>0.356058</v>
      </c>
    </row>
    <row r="88">
      <c r="A88" s="595" t="s">
        <v>653</v>
      </c>
      <c r="B88" s="606">
        <v>0.03139</v>
      </c>
      <c r="C88" s="607">
        <v>0.473141</v>
      </c>
    </row>
    <row r="89">
      <c r="A89" s="598" t="s">
        <v>198</v>
      </c>
      <c r="B89" s="606">
        <v>0.016167</v>
      </c>
      <c r="C89" s="600">
        <v>0.337079</v>
      </c>
    </row>
    <row r="90">
      <c r="A90" s="598" t="s">
        <v>198</v>
      </c>
      <c r="B90" s="599">
        <v>0.016167</v>
      </c>
      <c r="C90" s="597">
        <v>0.337079</v>
      </c>
    </row>
    <row r="91">
      <c r="A91" s="595" t="s">
        <v>640</v>
      </c>
      <c r="B91" s="606">
        <v>0.03139</v>
      </c>
      <c r="C91" s="607">
        <v>0.473141</v>
      </c>
    </row>
    <row r="92">
      <c r="A92" s="598" t="s">
        <v>212</v>
      </c>
      <c r="B92" s="599">
        <v>0.020985</v>
      </c>
      <c r="C92" s="597">
        <v>0.38356</v>
      </c>
    </row>
    <row r="93">
      <c r="A93" s="595" t="s">
        <v>220</v>
      </c>
      <c r="B93" s="606">
        <v>0.022968</v>
      </c>
      <c r="C93" s="607">
        <v>0.401333</v>
      </c>
    </row>
    <row r="94">
      <c r="A94" s="608" t="s">
        <v>481</v>
      </c>
      <c r="B94" s="596">
        <v>0.031801</v>
      </c>
      <c r="C94" s="597">
        <v>0.39352</v>
      </c>
    </row>
    <row r="95">
      <c r="A95" s="598" t="s">
        <v>260</v>
      </c>
      <c r="B95" s="599">
        <v>0.057198</v>
      </c>
      <c r="C95" s="600">
        <v>0.637798</v>
      </c>
    </row>
    <row r="96">
      <c r="A96" s="595" t="s">
        <v>339</v>
      </c>
      <c r="B96" s="606">
        <v>0.03689</v>
      </c>
      <c r="C96" s="607">
        <v>0.291525</v>
      </c>
    </row>
    <row r="97">
      <c r="A97" s="598" t="s">
        <v>2660</v>
      </c>
      <c r="B97" s="596">
        <v>0.023689</v>
      </c>
      <c r="C97" s="597">
        <v>0.26492</v>
      </c>
    </row>
    <row r="98">
      <c r="A98" s="610" t="s">
        <v>5913</v>
      </c>
      <c r="B98" s="596">
        <v>0.017441</v>
      </c>
      <c r="C98" s="597">
        <v>0.278982</v>
      </c>
    </row>
    <row r="99">
      <c r="A99" s="598" t="s">
        <v>186</v>
      </c>
      <c r="B99" s="604"/>
      <c r="C99" s="612"/>
    </row>
    <row r="100">
      <c r="A100" s="595" t="s">
        <v>186</v>
      </c>
      <c r="B100" s="602"/>
      <c r="C100" s="605"/>
    </row>
    <row r="101">
      <c r="A101" s="598" t="s">
        <v>186</v>
      </c>
      <c r="B101" s="604"/>
      <c r="C101" s="612"/>
    </row>
    <row r="102">
      <c r="A102" s="595" t="s">
        <v>186</v>
      </c>
      <c r="B102" s="602"/>
      <c r="C102" s="605"/>
    </row>
    <row r="103">
      <c r="A103" s="598" t="s">
        <v>186</v>
      </c>
      <c r="B103" s="604"/>
      <c r="C103" s="612"/>
    </row>
    <row r="104">
      <c r="A104" s="595" t="s">
        <v>186</v>
      </c>
      <c r="B104" s="602"/>
      <c r="C104" s="605"/>
    </row>
    <row r="105">
      <c r="A105" s="598" t="s">
        <v>186</v>
      </c>
      <c r="B105" s="604"/>
      <c r="C105" s="612"/>
    </row>
    <row r="106">
      <c r="A106" s="595" t="s">
        <v>186</v>
      </c>
      <c r="B106" s="602"/>
      <c r="C106" s="605"/>
    </row>
    <row r="107">
      <c r="A107" s="595" t="s">
        <v>5914</v>
      </c>
      <c r="B107" s="606">
        <v>0.02344</v>
      </c>
      <c r="C107" s="607">
        <v>0.287321</v>
      </c>
    </row>
    <row r="108">
      <c r="A108" s="595" t="s">
        <v>231</v>
      </c>
      <c r="B108" s="596">
        <v>0.034142</v>
      </c>
      <c r="C108" s="597">
        <v>0.287334</v>
      </c>
    </row>
    <row r="109">
      <c r="A109" s="595" t="s">
        <v>331</v>
      </c>
      <c r="B109" s="596">
        <v>0.023689</v>
      </c>
      <c r="C109" s="597">
        <v>0.26492</v>
      </c>
    </row>
    <row r="110">
      <c r="A110" s="598" t="s">
        <v>2371</v>
      </c>
      <c r="B110" s="599">
        <v>0.025279</v>
      </c>
      <c r="C110" s="600">
        <v>0.270086</v>
      </c>
    </row>
    <row r="111">
      <c r="A111" s="611" t="s">
        <v>5915</v>
      </c>
      <c r="B111" s="604"/>
      <c r="C111" s="612"/>
    </row>
    <row r="112">
      <c r="A112" s="611" t="s">
        <v>5915</v>
      </c>
      <c r="B112" s="602"/>
      <c r="C112" s="605"/>
    </row>
    <row r="113">
      <c r="A113" s="611" t="s">
        <v>5915</v>
      </c>
      <c r="B113" s="604"/>
      <c r="C113" s="612"/>
    </row>
    <row r="114">
      <c r="A114" s="611" t="s">
        <v>5915</v>
      </c>
      <c r="B114" s="602"/>
      <c r="C114" s="605"/>
    </row>
    <row r="115">
      <c r="A115" s="611" t="s">
        <v>5915</v>
      </c>
      <c r="B115" s="604"/>
      <c r="C115" s="612"/>
    </row>
    <row r="116">
      <c r="A116" s="611" t="s">
        <v>5915</v>
      </c>
      <c r="B116" s="602"/>
      <c r="C116" s="605"/>
    </row>
    <row r="117">
      <c r="A117" s="611" t="s">
        <v>5915</v>
      </c>
      <c r="B117" s="604"/>
      <c r="C117" s="612"/>
    </row>
    <row r="118">
      <c r="A118" s="611" t="s">
        <v>5915</v>
      </c>
      <c r="B118" s="602"/>
      <c r="C118" s="605"/>
    </row>
    <row r="119">
      <c r="A119" s="595" t="s">
        <v>344</v>
      </c>
      <c r="B119" s="596">
        <v>0.039758</v>
      </c>
      <c r="C119" s="597">
        <v>0.29591</v>
      </c>
    </row>
    <row r="120">
      <c r="A120" s="613"/>
      <c r="B120" s="614"/>
      <c r="C120" s="612"/>
    </row>
    <row r="121">
      <c r="A121" s="615"/>
      <c r="B121" s="616"/>
      <c r="C121" s="605"/>
    </row>
    <row r="122">
      <c r="A122" s="613"/>
      <c r="B122" s="614"/>
      <c r="C122" s="612"/>
    </row>
    <row r="123">
      <c r="A123" s="615"/>
      <c r="B123" s="616"/>
      <c r="C123" s="605"/>
    </row>
    <row r="124">
      <c r="A124" s="613"/>
      <c r="B124" s="614"/>
      <c r="C124" s="612"/>
    </row>
    <row r="125">
      <c r="A125" s="615"/>
      <c r="B125" s="616"/>
      <c r="C125" s="605"/>
    </row>
    <row r="126">
      <c r="A126" s="613"/>
      <c r="B126" s="614"/>
      <c r="C126" s="612"/>
    </row>
    <row r="127">
      <c r="A127" s="615"/>
      <c r="B127" s="616"/>
      <c r="C127" s="605"/>
    </row>
    <row r="128">
      <c r="A128" s="613"/>
      <c r="B128" s="614"/>
      <c r="C128" s="612"/>
    </row>
    <row r="129">
      <c r="A129" s="615"/>
      <c r="B129" s="616"/>
      <c r="C129" s="605"/>
    </row>
    <row r="130">
      <c r="A130" s="613"/>
      <c r="B130" s="614"/>
      <c r="C130" s="612"/>
    </row>
    <row r="131">
      <c r="A131" s="615"/>
      <c r="B131" s="616"/>
      <c r="C131" s="605"/>
    </row>
    <row r="132">
      <c r="A132" s="613"/>
      <c r="B132" s="614"/>
      <c r="C132" s="612"/>
    </row>
    <row r="133">
      <c r="A133" s="615"/>
      <c r="B133" s="616"/>
      <c r="C133" s="605"/>
    </row>
    <row r="134">
      <c r="A134" s="613"/>
      <c r="B134" s="614"/>
      <c r="C134" s="612"/>
    </row>
    <row r="135">
      <c r="A135" s="615"/>
      <c r="B135" s="616"/>
      <c r="C135" s="605"/>
    </row>
    <row r="136">
      <c r="A136" s="613"/>
      <c r="B136" s="614"/>
      <c r="C136" s="612"/>
    </row>
    <row r="137">
      <c r="A137" s="615"/>
      <c r="B137" s="616"/>
      <c r="C137" s="605"/>
    </row>
    <row r="138">
      <c r="A138" s="613"/>
      <c r="B138" s="614"/>
      <c r="C138" s="612"/>
    </row>
    <row r="139">
      <c r="A139" s="615"/>
      <c r="B139" s="616"/>
      <c r="C139" s="605"/>
    </row>
    <row r="140">
      <c r="A140" s="613"/>
      <c r="B140" s="614"/>
      <c r="C140" s="612"/>
    </row>
    <row r="141">
      <c r="A141" s="615"/>
      <c r="B141" s="616"/>
      <c r="C141" s="605"/>
    </row>
    <row r="142">
      <c r="A142" s="613"/>
      <c r="B142" s="614"/>
      <c r="C142" s="612"/>
    </row>
    <row r="143">
      <c r="A143" s="615"/>
      <c r="B143" s="616"/>
      <c r="C143" s="605"/>
    </row>
    <row r="144">
      <c r="A144" s="613"/>
      <c r="B144" s="614"/>
      <c r="C144" s="612"/>
    </row>
    <row r="145">
      <c r="A145" s="615"/>
      <c r="B145" s="616"/>
      <c r="C145" s="605"/>
    </row>
    <row r="146">
      <c r="A146" s="613"/>
      <c r="B146" s="614"/>
      <c r="C146" s="612"/>
    </row>
    <row r="147">
      <c r="A147" s="615"/>
      <c r="B147" s="616"/>
      <c r="C147" s="605"/>
    </row>
    <row r="148">
      <c r="A148" s="613"/>
      <c r="B148" s="614"/>
      <c r="C148" s="612"/>
    </row>
    <row r="149">
      <c r="A149" s="615"/>
      <c r="B149" s="616"/>
      <c r="C149" s="605"/>
    </row>
    <row r="150">
      <c r="A150" s="613"/>
      <c r="B150" s="614"/>
      <c r="C150" s="612"/>
    </row>
    <row r="151">
      <c r="A151" s="615"/>
      <c r="B151" s="616"/>
      <c r="C151" s="605"/>
    </row>
    <row r="152">
      <c r="A152" s="613"/>
      <c r="B152" s="614"/>
      <c r="C152" s="612"/>
    </row>
    <row r="153">
      <c r="A153" s="615"/>
      <c r="B153" s="616"/>
      <c r="C153" s="605"/>
    </row>
    <row r="154">
      <c r="A154" s="613"/>
      <c r="B154" s="614"/>
      <c r="C154" s="612"/>
    </row>
    <row r="155">
      <c r="A155" s="615"/>
      <c r="B155" s="616"/>
      <c r="C155" s="605"/>
    </row>
    <row r="156">
      <c r="A156" s="613"/>
      <c r="B156" s="614"/>
      <c r="C156" s="612"/>
    </row>
    <row r="157">
      <c r="A157" s="615"/>
      <c r="B157" s="616"/>
      <c r="C157" s="605"/>
    </row>
    <row r="158">
      <c r="A158" s="613"/>
      <c r="B158" s="614"/>
      <c r="C158" s="612"/>
    </row>
    <row r="159">
      <c r="A159" s="615"/>
      <c r="B159" s="616"/>
      <c r="C159" s="605"/>
    </row>
    <row r="160">
      <c r="A160" s="613"/>
      <c r="B160" s="614"/>
      <c r="C160" s="612"/>
    </row>
    <row r="161">
      <c r="A161" s="615"/>
      <c r="B161" s="616"/>
      <c r="C161" s="605"/>
    </row>
    <row r="162">
      <c r="A162" s="613"/>
      <c r="B162" s="614"/>
      <c r="C162" s="612"/>
    </row>
    <row r="163">
      <c r="A163" s="615"/>
      <c r="B163" s="616"/>
      <c r="C163" s="605"/>
    </row>
    <row r="164">
      <c r="A164" s="613"/>
      <c r="B164" s="614"/>
      <c r="C164" s="612"/>
    </row>
    <row r="165">
      <c r="A165" s="615"/>
      <c r="B165" s="616"/>
      <c r="C165" s="605"/>
    </row>
    <row r="166">
      <c r="A166" s="613"/>
      <c r="B166" s="614"/>
      <c r="C166" s="612"/>
    </row>
    <row r="167">
      <c r="A167" s="615"/>
      <c r="B167" s="616"/>
      <c r="C167" s="605"/>
    </row>
    <row r="168">
      <c r="A168" s="613"/>
      <c r="B168" s="614"/>
      <c r="C168" s="612"/>
    </row>
    <row r="169">
      <c r="A169" s="615"/>
      <c r="B169" s="616"/>
      <c r="C169" s="605"/>
    </row>
    <row r="170">
      <c r="A170" s="613"/>
      <c r="B170" s="614"/>
      <c r="C170" s="612"/>
    </row>
    <row r="171">
      <c r="A171" s="615"/>
      <c r="B171" s="616"/>
      <c r="C171" s="605"/>
    </row>
    <row r="172">
      <c r="A172" s="613"/>
      <c r="B172" s="614"/>
      <c r="C172" s="612"/>
    </row>
    <row r="173">
      <c r="A173" s="615"/>
      <c r="B173" s="616"/>
      <c r="C173" s="605"/>
    </row>
    <row r="174">
      <c r="A174" s="613"/>
      <c r="B174" s="614"/>
      <c r="C174" s="612"/>
    </row>
    <row r="175">
      <c r="A175" s="615"/>
      <c r="B175" s="616"/>
      <c r="C175" s="605"/>
    </row>
    <row r="176">
      <c r="A176" s="613"/>
      <c r="B176" s="614"/>
      <c r="C176" s="612"/>
    </row>
    <row r="177">
      <c r="A177" s="615"/>
      <c r="B177" s="616"/>
      <c r="C177" s="605"/>
    </row>
    <row r="178">
      <c r="A178" s="613"/>
      <c r="B178" s="614"/>
      <c r="C178" s="612"/>
    </row>
    <row r="179">
      <c r="A179" s="615"/>
      <c r="B179" s="616"/>
      <c r="C179" s="605"/>
    </row>
    <row r="180">
      <c r="A180" s="613"/>
      <c r="B180" s="614"/>
      <c r="C180" s="612"/>
    </row>
    <row r="181">
      <c r="A181" s="615"/>
      <c r="B181" s="616"/>
      <c r="C181" s="605"/>
    </row>
    <row r="182">
      <c r="A182" s="613"/>
      <c r="B182" s="614"/>
      <c r="C182" s="612"/>
    </row>
    <row r="183">
      <c r="A183" s="615"/>
      <c r="B183" s="616"/>
      <c r="C183" s="605"/>
    </row>
    <row r="184">
      <c r="A184" s="613"/>
      <c r="B184" s="614"/>
      <c r="C184" s="612"/>
    </row>
    <row r="185">
      <c r="A185" s="615"/>
      <c r="B185" s="616"/>
      <c r="C185" s="605"/>
    </row>
    <row r="186">
      <c r="A186" s="613"/>
      <c r="B186" s="614"/>
      <c r="C186" s="612"/>
    </row>
    <row r="187">
      <c r="A187" s="615"/>
      <c r="B187" s="616"/>
      <c r="C187" s="605"/>
    </row>
    <row r="188">
      <c r="A188" s="613"/>
      <c r="B188" s="614"/>
      <c r="C188" s="612"/>
    </row>
    <row r="189">
      <c r="A189" s="615"/>
      <c r="B189" s="616"/>
      <c r="C189" s="605"/>
    </row>
    <row r="190">
      <c r="A190" s="613"/>
      <c r="B190" s="614"/>
      <c r="C190" s="612"/>
    </row>
    <row r="191">
      <c r="A191" s="615"/>
      <c r="B191" s="616"/>
      <c r="C191" s="605"/>
    </row>
    <row r="192">
      <c r="A192" s="613"/>
      <c r="B192" s="614"/>
      <c r="C192" s="612"/>
    </row>
    <row r="193">
      <c r="A193" s="615"/>
      <c r="B193" s="616"/>
      <c r="C193" s="605"/>
    </row>
    <row r="194">
      <c r="A194" s="613"/>
      <c r="B194" s="614"/>
      <c r="C194" s="612"/>
    </row>
    <row r="195">
      <c r="A195" s="615"/>
      <c r="B195" s="616"/>
      <c r="C195" s="605"/>
    </row>
    <row r="196">
      <c r="A196" s="613"/>
      <c r="B196" s="614"/>
      <c r="C196" s="612"/>
    </row>
    <row r="197">
      <c r="A197" s="615"/>
      <c r="B197" s="616"/>
      <c r="C197" s="605"/>
    </row>
    <row r="198">
      <c r="A198" s="613"/>
      <c r="B198" s="614"/>
      <c r="C198" s="612"/>
    </row>
    <row r="199">
      <c r="A199" s="615"/>
      <c r="B199" s="616"/>
      <c r="C199" s="605"/>
    </row>
    <row r="200">
      <c r="A200" s="613"/>
      <c r="B200" s="614"/>
      <c r="C200" s="612"/>
    </row>
    <row r="201">
      <c r="A201" s="615"/>
      <c r="B201" s="616"/>
      <c r="C201" s="605"/>
    </row>
    <row r="202">
      <c r="A202" s="613"/>
      <c r="B202" s="614"/>
      <c r="C202" s="612"/>
    </row>
    <row r="203">
      <c r="A203" s="615"/>
      <c r="B203" s="616"/>
      <c r="C203" s="605"/>
    </row>
    <row r="204">
      <c r="A204" s="613"/>
      <c r="B204" s="614"/>
      <c r="C204" s="612"/>
    </row>
    <row r="205">
      <c r="A205" s="615"/>
      <c r="B205" s="616"/>
      <c r="C205" s="605"/>
    </row>
    <row r="206">
      <c r="A206" s="613"/>
      <c r="B206" s="614"/>
      <c r="C206" s="612"/>
    </row>
    <row r="207">
      <c r="A207" s="615"/>
      <c r="B207" s="616"/>
      <c r="C207" s="605"/>
    </row>
    <row r="208">
      <c r="A208" s="613"/>
      <c r="B208" s="614"/>
      <c r="C208" s="612"/>
    </row>
    <row r="209">
      <c r="A209" s="615"/>
      <c r="B209" s="616"/>
      <c r="C209" s="605"/>
    </row>
    <row r="210">
      <c r="A210" s="613"/>
      <c r="B210" s="614"/>
      <c r="C210" s="612"/>
    </row>
    <row r="211">
      <c r="A211" s="615"/>
      <c r="B211" s="616"/>
      <c r="C211" s="605"/>
    </row>
    <row r="212">
      <c r="A212" s="613"/>
      <c r="B212" s="614"/>
      <c r="C212" s="612"/>
    </row>
    <row r="213">
      <c r="A213" s="615"/>
      <c r="B213" s="616"/>
      <c r="C213" s="605"/>
    </row>
    <row r="214">
      <c r="A214" s="613"/>
      <c r="B214" s="614"/>
      <c r="C214" s="612"/>
    </row>
    <row r="215">
      <c r="A215" s="615"/>
      <c r="B215" s="616"/>
      <c r="C215" s="605"/>
    </row>
    <row r="216">
      <c r="A216" s="613"/>
      <c r="B216" s="614"/>
      <c r="C216" s="612"/>
    </row>
    <row r="217">
      <c r="A217" s="615"/>
      <c r="B217" s="616"/>
      <c r="C217" s="605"/>
    </row>
    <row r="218">
      <c r="A218" s="613"/>
      <c r="B218" s="614"/>
      <c r="C218" s="612"/>
    </row>
    <row r="219">
      <c r="A219" s="615"/>
      <c r="B219" s="616"/>
      <c r="C219" s="605"/>
    </row>
    <row r="220">
      <c r="A220" s="613"/>
      <c r="B220" s="614"/>
      <c r="C220" s="612"/>
    </row>
    <row r="221">
      <c r="A221" s="615"/>
      <c r="B221" s="616"/>
      <c r="C221" s="605"/>
    </row>
    <row r="222">
      <c r="A222" s="613"/>
      <c r="B222" s="614"/>
      <c r="C222" s="612"/>
    </row>
    <row r="223">
      <c r="A223" s="615"/>
      <c r="B223" s="616"/>
      <c r="C223" s="605"/>
    </row>
    <row r="224">
      <c r="A224" s="613"/>
      <c r="B224" s="614"/>
      <c r="C224" s="612"/>
    </row>
    <row r="225">
      <c r="A225" s="615"/>
      <c r="B225" s="616"/>
      <c r="C225" s="605"/>
    </row>
    <row r="226">
      <c r="A226" s="613"/>
      <c r="B226" s="614"/>
      <c r="C226" s="612"/>
    </row>
    <row r="227">
      <c r="A227" s="615"/>
      <c r="B227" s="616"/>
      <c r="C227" s="605"/>
    </row>
    <row r="228">
      <c r="A228" s="613"/>
      <c r="B228" s="614"/>
      <c r="C228" s="612"/>
    </row>
    <row r="229">
      <c r="A229" s="615"/>
      <c r="B229" s="616"/>
      <c r="C229" s="605"/>
    </row>
    <row r="230">
      <c r="A230" s="613"/>
      <c r="B230" s="614"/>
      <c r="C230" s="612"/>
    </row>
    <row r="231">
      <c r="A231" s="615"/>
      <c r="B231" s="616"/>
      <c r="C231" s="605"/>
    </row>
    <row r="232">
      <c r="A232" s="613"/>
      <c r="B232" s="614"/>
      <c r="C232" s="612"/>
    </row>
    <row r="233">
      <c r="A233" s="615"/>
      <c r="B233" s="616"/>
      <c r="C233" s="605"/>
    </row>
    <row r="234">
      <c r="A234" s="613"/>
      <c r="B234" s="614"/>
      <c r="C234" s="612"/>
    </row>
    <row r="235">
      <c r="A235" s="615"/>
      <c r="B235" s="616"/>
      <c r="C235" s="605"/>
    </row>
    <row r="236">
      <c r="A236" s="613"/>
      <c r="B236" s="614"/>
      <c r="C236" s="612"/>
    </row>
    <row r="237">
      <c r="A237" s="615"/>
      <c r="B237" s="616"/>
      <c r="C237" s="605"/>
    </row>
    <row r="238">
      <c r="A238" s="613"/>
      <c r="B238" s="614"/>
      <c r="C238" s="612"/>
    </row>
    <row r="239">
      <c r="A239" s="615"/>
      <c r="B239" s="616"/>
      <c r="C239" s="605"/>
    </row>
    <row r="240">
      <c r="A240" s="613"/>
      <c r="B240" s="614"/>
      <c r="C240" s="612"/>
    </row>
    <row r="241">
      <c r="A241" s="615"/>
      <c r="B241" s="616"/>
      <c r="C241" s="605"/>
    </row>
    <row r="242">
      <c r="A242" s="613"/>
      <c r="B242" s="614"/>
      <c r="C242" s="612"/>
    </row>
    <row r="243">
      <c r="A243" s="615"/>
      <c r="B243" s="616"/>
      <c r="C243" s="605"/>
    </row>
    <row r="244">
      <c r="A244" s="613"/>
      <c r="B244" s="614"/>
      <c r="C244" s="612"/>
    </row>
    <row r="245">
      <c r="A245" s="615"/>
      <c r="B245" s="616"/>
      <c r="C245" s="605"/>
    </row>
    <row r="246">
      <c r="A246" s="613"/>
      <c r="B246" s="614"/>
      <c r="C246" s="612"/>
    </row>
    <row r="247">
      <c r="A247" s="615"/>
      <c r="B247" s="616"/>
      <c r="C247" s="605"/>
    </row>
    <row r="248">
      <c r="A248" s="613"/>
      <c r="B248" s="614"/>
      <c r="C248" s="612"/>
    </row>
    <row r="249">
      <c r="A249" s="615"/>
      <c r="B249" s="616"/>
      <c r="C249" s="605"/>
    </row>
    <row r="250">
      <c r="A250" s="613"/>
      <c r="B250" s="614"/>
      <c r="C250" s="612"/>
    </row>
    <row r="251">
      <c r="A251" s="615"/>
      <c r="B251" s="616"/>
      <c r="C251" s="605"/>
    </row>
    <row r="252">
      <c r="A252" s="613"/>
      <c r="B252" s="614"/>
      <c r="C252" s="612"/>
    </row>
    <row r="253">
      <c r="A253" s="615"/>
      <c r="B253" s="616"/>
      <c r="C253" s="605"/>
    </row>
    <row r="254">
      <c r="A254" s="613"/>
      <c r="B254" s="614"/>
      <c r="C254" s="612"/>
    </row>
    <row r="255">
      <c r="A255" s="615"/>
      <c r="B255" s="616"/>
      <c r="C255" s="605"/>
    </row>
    <row r="256">
      <c r="A256" s="613"/>
      <c r="B256" s="614"/>
      <c r="C256" s="612"/>
    </row>
    <row r="257">
      <c r="A257" s="615"/>
      <c r="B257" s="616"/>
      <c r="C257" s="605"/>
    </row>
    <row r="258">
      <c r="A258" s="613"/>
      <c r="B258" s="614"/>
      <c r="C258" s="612"/>
    </row>
    <row r="259">
      <c r="A259" s="615"/>
      <c r="B259" s="616"/>
      <c r="C259" s="605"/>
    </row>
    <row r="260">
      <c r="A260" s="613"/>
      <c r="B260" s="614"/>
      <c r="C260" s="612"/>
    </row>
    <row r="261">
      <c r="A261" s="615"/>
      <c r="B261" s="616"/>
      <c r="C261" s="605"/>
    </row>
    <row r="262">
      <c r="A262" s="613"/>
      <c r="B262" s="614"/>
      <c r="C262" s="612"/>
    </row>
    <row r="263">
      <c r="A263" s="615"/>
      <c r="B263" s="616"/>
      <c r="C263" s="605"/>
    </row>
    <row r="264">
      <c r="A264" s="613"/>
      <c r="B264" s="614"/>
      <c r="C264" s="612"/>
    </row>
    <row r="265">
      <c r="A265" s="615"/>
      <c r="B265" s="616"/>
      <c r="C265" s="605"/>
    </row>
    <row r="266">
      <c r="A266" s="613"/>
      <c r="B266" s="614"/>
      <c r="C266" s="612"/>
    </row>
    <row r="267">
      <c r="A267" s="615"/>
      <c r="B267" s="616"/>
      <c r="C267" s="605"/>
    </row>
    <row r="268">
      <c r="A268" s="613"/>
      <c r="B268" s="614"/>
      <c r="C268" s="612"/>
    </row>
    <row r="269">
      <c r="A269" s="615"/>
      <c r="B269" s="616"/>
      <c r="C269" s="605"/>
    </row>
    <row r="270">
      <c r="A270" s="613"/>
      <c r="B270" s="614"/>
      <c r="C270" s="612"/>
    </row>
    <row r="271">
      <c r="A271" s="615"/>
      <c r="B271" s="616"/>
      <c r="C271" s="605"/>
    </row>
    <row r="272">
      <c r="A272" s="613"/>
      <c r="B272" s="614"/>
      <c r="C272" s="612"/>
    </row>
    <row r="273">
      <c r="A273" s="615"/>
      <c r="B273" s="616"/>
      <c r="C273" s="605"/>
    </row>
    <row r="274">
      <c r="A274" s="613"/>
      <c r="B274" s="614"/>
      <c r="C274" s="612"/>
    </row>
    <row r="275">
      <c r="A275" s="615"/>
      <c r="B275" s="616"/>
      <c r="C275" s="605"/>
    </row>
    <row r="276">
      <c r="A276" s="613"/>
      <c r="B276" s="614"/>
      <c r="C276" s="612"/>
    </row>
    <row r="277">
      <c r="A277" s="615"/>
      <c r="B277" s="616"/>
      <c r="C277" s="605"/>
    </row>
    <row r="278">
      <c r="A278" s="613"/>
      <c r="B278" s="614"/>
      <c r="C278" s="612"/>
    </row>
    <row r="279">
      <c r="A279" s="615"/>
      <c r="B279" s="616"/>
      <c r="C279" s="605"/>
    </row>
    <row r="280">
      <c r="A280" s="613"/>
      <c r="B280" s="614"/>
      <c r="C280" s="612"/>
    </row>
    <row r="281">
      <c r="A281" s="615"/>
      <c r="B281" s="616"/>
      <c r="C281" s="605"/>
    </row>
    <row r="282">
      <c r="A282" s="613"/>
      <c r="B282" s="614"/>
      <c r="C282" s="612"/>
    </row>
    <row r="283">
      <c r="A283" s="615"/>
      <c r="B283" s="616"/>
      <c r="C283" s="605"/>
    </row>
    <row r="284">
      <c r="A284" s="613"/>
      <c r="B284" s="614"/>
      <c r="C284" s="612"/>
    </row>
    <row r="285">
      <c r="A285" s="615"/>
      <c r="B285" s="616"/>
      <c r="C285" s="605"/>
    </row>
    <row r="286">
      <c r="A286" s="613"/>
      <c r="B286" s="614"/>
      <c r="C286" s="612"/>
    </row>
    <row r="287">
      <c r="A287" s="615"/>
      <c r="B287" s="616"/>
      <c r="C287" s="605"/>
    </row>
    <row r="288">
      <c r="A288" s="613"/>
      <c r="B288" s="614"/>
      <c r="C288" s="612"/>
    </row>
    <row r="289">
      <c r="A289" s="615"/>
      <c r="B289" s="616"/>
      <c r="C289" s="605"/>
    </row>
    <row r="290">
      <c r="A290" s="613"/>
      <c r="B290" s="614"/>
      <c r="C290" s="612"/>
    </row>
    <row r="291">
      <c r="A291" s="615"/>
      <c r="B291" s="616"/>
      <c r="C291" s="605"/>
    </row>
    <row r="292">
      <c r="A292" s="613"/>
      <c r="B292" s="614"/>
      <c r="C292" s="612"/>
    </row>
    <row r="293">
      <c r="A293" s="615"/>
      <c r="B293" s="616"/>
      <c r="C293" s="605"/>
    </row>
    <row r="294">
      <c r="A294" s="613"/>
      <c r="B294" s="614"/>
      <c r="C294" s="612"/>
    </row>
    <row r="295">
      <c r="A295" s="615"/>
      <c r="B295" s="616"/>
      <c r="C295" s="605"/>
    </row>
    <row r="296">
      <c r="A296" s="613"/>
      <c r="B296" s="614"/>
      <c r="C296" s="612"/>
    </row>
    <row r="297">
      <c r="A297" s="615"/>
      <c r="B297" s="616"/>
      <c r="C297" s="605"/>
    </row>
    <row r="298">
      <c r="A298" s="613"/>
      <c r="B298" s="614"/>
      <c r="C298" s="612"/>
    </row>
    <row r="299">
      <c r="A299" s="615"/>
      <c r="B299" s="616"/>
      <c r="C299" s="605"/>
    </row>
    <row r="300">
      <c r="A300" s="613"/>
      <c r="B300" s="614"/>
      <c r="C300" s="612"/>
    </row>
    <row r="301">
      <c r="A301" s="615"/>
      <c r="B301" s="616"/>
      <c r="C301" s="605"/>
    </row>
    <row r="302">
      <c r="A302" s="613"/>
      <c r="B302" s="614"/>
      <c r="C302" s="612"/>
    </row>
    <row r="303">
      <c r="A303" s="615"/>
      <c r="B303" s="616"/>
      <c r="C303" s="605"/>
    </row>
    <row r="304">
      <c r="A304" s="613"/>
      <c r="B304" s="614"/>
      <c r="C304" s="612"/>
    </row>
    <row r="305">
      <c r="A305" s="615"/>
      <c r="B305" s="616"/>
      <c r="C305" s="605"/>
    </row>
    <row r="306">
      <c r="A306" s="613"/>
      <c r="B306" s="614"/>
      <c r="C306" s="612"/>
    </row>
    <row r="307">
      <c r="A307" s="615"/>
      <c r="B307" s="616"/>
      <c r="C307" s="605"/>
    </row>
    <row r="308">
      <c r="A308" s="613"/>
      <c r="B308" s="614"/>
      <c r="C308" s="612"/>
    </row>
    <row r="309">
      <c r="A309" s="615"/>
      <c r="B309" s="616"/>
      <c r="C309" s="605"/>
    </row>
    <row r="310">
      <c r="A310" s="613"/>
      <c r="B310" s="614"/>
      <c r="C310" s="612"/>
    </row>
    <row r="311">
      <c r="A311" s="615"/>
      <c r="B311" s="616"/>
      <c r="C311" s="605"/>
    </row>
    <row r="312">
      <c r="A312" s="613"/>
      <c r="B312" s="614"/>
      <c r="C312" s="612"/>
    </row>
    <row r="313">
      <c r="A313" s="615"/>
      <c r="B313" s="616"/>
      <c r="C313" s="605"/>
    </row>
    <row r="314">
      <c r="A314" s="613"/>
      <c r="B314" s="614"/>
      <c r="C314" s="612"/>
    </row>
    <row r="315">
      <c r="A315" s="615"/>
      <c r="B315" s="616"/>
      <c r="C315" s="605"/>
    </row>
    <row r="316">
      <c r="A316" s="613"/>
      <c r="B316" s="614"/>
      <c r="C316" s="612"/>
    </row>
    <row r="317">
      <c r="A317" s="615"/>
      <c r="B317" s="616"/>
      <c r="C317" s="605"/>
    </row>
    <row r="318">
      <c r="A318" s="613"/>
      <c r="B318" s="614"/>
      <c r="C318" s="612"/>
    </row>
    <row r="319">
      <c r="A319" s="615"/>
      <c r="B319" s="616"/>
      <c r="C319" s="605"/>
    </row>
    <row r="320">
      <c r="A320" s="613"/>
      <c r="B320" s="614"/>
      <c r="C320" s="612"/>
    </row>
    <row r="321">
      <c r="A321" s="615"/>
      <c r="B321" s="616"/>
      <c r="C321" s="605"/>
    </row>
    <row r="322">
      <c r="A322" s="613"/>
      <c r="B322" s="614"/>
      <c r="C322" s="612"/>
    </row>
    <row r="323">
      <c r="A323" s="615"/>
      <c r="B323" s="616"/>
      <c r="C323" s="605"/>
    </row>
    <row r="324">
      <c r="A324" s="613"/>
      <c r="B324" s="614"/>
      <c r="C324" s="612"/>
    </row>
    <row r="325">
      <c r="A325" s="615"/>
      <c r="B325" s="616"/>
      <c r="C325" s="605"/>
    </row>
    <row r="326">
      <c r="A326" s="613"/>
      <c r="B326" s="614"/>
      <c r="C326" s="612"/>
    </row>
    <row r="327">
      <c r="A327" s="615"/>
      <c r="B327" s="616"/>
      <c r="C327" s="605"/>
    </row>
    <row r="328">
      <c r="A328" s="613"/>
      <c r="B328" s="614"/>
      <c r="C328" s="612"/>
    </row>
    <row r="329">
      <c r="A329" s="615"/>
      <c r="B329" s="616"/>
      <c r="C329" s="605"/>
    </row>
    <row r="330">
      <c r="A330" s="613"/>
      <c r="B330" s="614"/>
      <c r="C330" s="612"/>
    </row>
    <row r="331">
      <c r="A331" s="615"/>
      <c r="B331" s="616"/>
      <c r="C331" s="605"/>
    </row>
    <row r="332">
      <c r="A332" s="613"/>
      <c r="B332" s="614"/>
      <c r="C332" s="612"/>
    </row>
    <row r="333">
      <c r="A333" s="615"/>
      <c r="B333" s="616"/>
      <c r="C333" s="605"/>
    </row>
    <row r="334">
      <c r="A334" s="613"/>
      <c r="B334" s="614"/>
      <c r="C334" s="612"/>
    </row>
    <row r="335">
      <c r="A335" s="615"/>
      <c r="B335" s="616"/>
      <c r="C335" s="605"/>
    </row>
    <row r="336">
      <c r="A336" s="613"/>
      <c r="B336" s="614"/>
      <c r="C336" s="612"/>
    </row>
    <row r="337">
      <c r="A337" s="615"/>
      <c r="B337" s="616"/>
      <c r="C337" s="605"/>
    </row>
    <row r="338">
      <c r="A338" s="613"/>
      <c r="B338" s="614"/>
      <c r="C338" s="612"/>
    </row>
    <row r="339">
      <c r="A339" s="615"/>
      <c r="B339" s="616"/>
      <c r="C339" s="605"/>
    </row>
    <row r="340">
      <c r="A340" s="613"/>
      <c r="B340" s="614"/>
      <c r="C340" s="612"/>
    </row>
    <row r="341">
      <c r="A341" s="615"/>
      <c r="B341" s="616"/>
      <c r="C341" s="605"/>
    </row>
    <row r="342">
      <c r="A342" s="613"/>
      <c r="B342" s="614"/>
      <c r="C342" s="612"/>
    </row>
    <row r="343">
      <c r="A343" s="615"/>
      <c r="B343" s="616"/>
      <c r="C343" s="605"/>
    </row>
    <row r="344">
      <c r="A344" s="613"/>
      <c r="B344" s="614"/>
      <c r="C344" s="612"/>
    </row>
    <row r="345">
      <c r="A345" s="615"/>
      <c r="B345" s="616"/>
      <c r="C345" s="605"/>
    </row>
    <row r="346">
      <c r="A346" s="613"/>
      <c r="B346" s="614"/>
      <c r="C346" s="612"/>
    </row>
    <row r="347">
      <c r="A347" s="615"/>
      <c r="B347" s="616"/>
      <c r="C347" s="605"/>
    </row>
    <row r="348">
      <c r="A348" s="613"/>
      <c r="B348" s="614"/>
      <c r="C348" s="612"/>
    </row>
    <row r="349">
      <c r="A349" s="615"/>
      <c r="B349" s="616"/>
      <c r="C349" s="605"/>
    </row>
    <row r="350">
      <c r="A350" s="613"/>
      <c r="B350" s="614"/>
      <c r="C350" s="612"/>
    </row>
    <row r="351">
      <c r="A351" s="615"/>
      <c r="B351" s="616"/>
      <c r="C351" s="605"/>
    </row>
    <row r="352">
      <c r="A352" s="613"/>
      <c r="B352" s="614"/>
      <c r="C352" s="612"/>
    </row>
    <row r="353">
      <c r="A353" s="615"/>
      <c r="B353" s="616"/>
      <c r="C353" s="605"/>
    </row>
    <row r="354">
      <c r="A354" s="613"/>
      <c r="B354" s="614"/>
      <c r="C354" s="612"/>
    </row>
    <row r="355">
      <c r="A355" s="615"/>
      <c r="B355" s="616"/>
      <c r="C355" s="605"/>
    </row>
    <row r="356">
      <c r="A356" s="613"/>
      <c r="B356" s="614"/>
      <c r="C356" s="612"/>
    </row>
    <row r="357">
      <c r="A357" s="615"/>
      <c r="B357" s="616"/>
      <c r="C357" s="605"/>
    </row>
    <row r="358">
      <c r="A358" s="613"/>
      <c r="B358" s="614"/>
      <c r="C358" s="612"/>
    </row>
    <row r="359">
      <c r="A359" s="615"/>
      <c r="B359" s="616"/>
      <c r="C359" s="605"/>
    </row>
    <row r="360">
      <c r="A360" s="613"/>
      <c r="B360" s="614"/>
      <c r="C360" s="612"/>
    </row>
    <row r="361">
      <c r="A361" s="615"/>
      <c r="B361" s="616"/>
      <c r="C361" s="605"/>
    </row>
    <row r="362">
      <c r="A362" s="613"/>
      <c r="B362" s="614"/>
      <c r="C362" s="612"/>
    </row>
    <row r="363">
      <c r="A363" s="615"/>
      <c r="B363" s="616"/>
      <c r="C363" s="605"/>
    </row>
    <row r="364">
      <c r="A364" s="613"/>
      <c r="B364" s="614"/>
      <c r="C364" s="612"/>
    </row>
    <row r="365">
      <c r="A365" s="615"/>
      <c r="B365" s="616"/>
      <c r="C365" s="605"/>
    </row>
    <row r="366">
      <c r="A366" s="613"/>
      <c r="B366" s="614"/>
      <c r="C366" s="612"/>
    </row>
    <row r="367">
      <c r="A367" s="615"/>
      <c r="B367" s="616"/>
      <c r="C367" s="605"/>
    </row>
    <row r="368">
      <c r="A368" s="613"/>
      <c r="B368" s="614"/>
      <c r="C368" s="612"/>
    </row>
    <row r="369">
      <c r="A369" s="615"/>
      <c r="B369" s="616"/>
      <c r="C369" s="605"/>
    </row>
    <row r="370">
      <c r="A370" s="613"/>
      <c r="B370" s="614"/>
      <c r="C370" s="612"/>
    </row>
    <row r="371">
      <c r="A371" s="615"/>
      <c r="B371" s="616"/>
      <c r="C371" s="605"/>
    </row>
    <row r="372">
      <c r="A372" s="613"/>
      <c r="B372" s="614"/>
      <c r="C372" s="612"/>
    </row>
    <row r="373">
      <c r="A373" s="615"/>
      <c r="B373" s="616"/>
      <c r="C373" s="605"/>
    </row>
    <row r="374">
      <c r="A374" s="613"/>
      <c r="B374" s="614"/>
      <c r="C374" s="612"/>
    </row>
    <row r="375">
      <c r="A375" s="615"/>
      <c r="B375" s="616"/>
      <c r="C375" s="605"/>
    </row>
    <row r="376">
      <c r="A376" s="613"/>
      <c r="B376" s="614"/>
      <c r="C376" s="612"/>
    </row>
    <row r="377">
      <c r="A377" s="615"/>
      <c r="B377" s="616"/>
      <c r="C377" s="605"/>
    </row>
    <row r="378">
      <c r="A378" s="613"/>
      <c r="B378" s="614"/>
      <c r="C378" s="612"/>
    </row>
    <row r="379">
      <c r="A379" s="615"/>
      <c r="B379" s="616"/>
      <c r="C379" s="605"/>
    </row>
    <row r="380">
      <c r="A380" s="613"/>
      <c r="B380" s="614"/>
      <c r="C380" s="612"/>
    </row>
    <row r="381">
      <c r="A381" s="615"/>
      <c r="B381" s="616"/>
      <c r="C381" s="605"/>
    </row>
    <row r="382">
      <c r="A382" s="613"/>
      <c r="B382" s="614"/>
      <c r="C382" s="612"/>
    </row>
    <row r="383">
      <c r="A383" s="615"/>
      <c r="B383" s="616"/>
      <c r="C383" s="605"/>
    </row>
    <row r="384">
      <c r="A384" s="613"/>
      <c r="B384" s="614"/>
      <c r="C384" s="612"/>
    </row>
    <row r="385">
      <c r="A385" s="615"/>
      <c r="B385" s="616"/>
      <c r="C385" s="605"/>
    </row>
    <row r="386">
      <c r="A386" s="613"/>
      <c r="B386" s="614"/>
      <c r="C386" s="612"/>
    </row>
    <row r="387">
      <c r="A387" s="615"/>
      <c r="B387" s="616"/>
      <c r="C387" s="605"/>
    </row>
    <row r="388">
      <c r="A388" s="613"/>
      <c r="B388" s="614"/>
      <c r="C388" s="612"/>
    </row>
    <row r="389">
      <c r="A389" s="615"/>
      <c r="B389" s="616"/>
      <c r="C389" s="605"/>
    </row>
    <row r="390">
      <c r="A390" s="613"/>
      <c r="B390" s="614"/>
      <c r="C390" s="612"/>
    </row>
    <row r="391">
      <c r="A391" s="615"/>
      <c r="B391" s="616"/>
      <c r="C391" s="605"/>
    </row>
    <row r="392">
      <c r="A392" s="613"/>
      <c r="B392" s="614"/>
      <c r="C392" s="612"/>
    </row>
    <row r="393">
      <c r="A393" s="615"/>
      <c r="B393" s="616"/>
      <c r="C393" s="605"/>
    </row>
    <row r="394">
      <c r="A394" s="613"/>
      <c r="B394" s="614"/>
      <c r="C394" s="612"/>
    </row>
    <row r="395">
      <c r="A395" s="615"/>
      <c r="B395" s="616"/>
      <c r="C395" s="605"/>
    </row>
    <row r="396">
      <c r="A396" s="613"/>
      <c r="B396" s="614"/>
      <c r="C396" s="612"/>
    </row>
    <row r="397">
      <c r="A397" s="615"/>
      <c r="B397" s="616"/>
      <c r="C397" s="605"/>
    </row>
    <row r="398">
      <c r="A398" s="613"/>
      <c r="B398" s="614"/>
      <c r="C398" s="612"/>
    </row>
    <row r="399">
      <c r="A399" s="615"/>
      <c r="B399" s="616"/>
      <c r="C399" s="605"/>
    </row>
    <row r="400">
      <c r="A400" s="613"/>
      <c r="B400" s="614"/>
      <c r="C400" s="612"/>
    </row>
    <row r="401">
      <c r="A401" s="615"/>
      <c r="B401" s="616"/>
      <c r="C401" s="605"/>
    </row>
    <row r="402">
      <c r="A402" s="613"/>
      <c r="B402" s="614"/>
      <c r="C402" s="612"/>
    </row>
    <row r="403">
      <c r="A403" s="615"/>
      <c r="B403" s="616"/>
      <c r="C403" s="605"/>
    </row>
    <row r="404">
      <c r="A404" s="613"/>
      <c r="B404" s="614"/>
      <c r="C404" s="612"/>
    </row>
    <row r="405">
      <c r="A405" s="615"/>
      <c r="B405" s="616"/>
      <c r="C405" s="605"/>
    </row>
    <row r="406">
      <c r="A406" s="613"/>
      <c r="B406" s="614"/>
      <c r="C406" s="612"/>
    </row>
    <row r="407">
      <c r="A407" s="615"/>
      <c r="B407" s="616"/>
      <c r="C407" s="605"/>
    </row>
    <row r="408">
      <c r="A408" s="613"/>
      <c r="B408" s="614"/>
      <c r="C408" s="612"/>
    </row>
    <row r="409">
      <c r="A409" s="615"/>
      <c r="B409" s="616"/>
      <c r="C409" s="605"/>
    </row>
    <row r="410">
      <c r="A410" s="613"/>
      <c r="B410" s="614"/>
      <c r="C410" s="612"/>
    </row>
    <row r="411">
      <c r="A411" s="615"/>
      <c r="B411" s="616"/>
      <c r="C411" s="605"/>
    </row>
    <row r="412">
      <c r="A412" s="613"/>
      <c r="B412" s="614"/>
      <c r="C412" s="612"/>
    </row>
    <row r="413">
      <c r="A413" s="615"/>
      <c r="B413" s="616"/>
      <c r="C413" s="605"/>
    </row>
    <row r="414">
      <c r="A414" s="613"/>
      <c r="B414" s="614"/>
      <c r="C414" s="612"/>
    </row>
    <row r="415">
      <c r="A415" s="615"/>
      <c r="B415" s="616"/>
      <c r="C415" s="605"/>
    </row>
    <row r="416">
      <c r="A416" s="613"/>
      <c r="B416" s="614"/>
      <c r="C416" s="612"/>
    </row>
    <row r="417">
      <c r="A417" s="615"/>
      <c r="B417" s="616"/>
      <c r="C417" s="605"/>
    </row>
    <row r="418">
      <c r="A418" s="613"/>
      <c r="B418" s="614"/>
      <c r="C418" s="612"/>
    </row>
    <row r="419">
      <c r="A419" s="615"/>
      <c r="B419" s="616"/>
      <c r="C419" s="605"/>
    </row>
    <row r="420">
      <c r="A420" s="613"/>
      <c r="B420" s="614"/>
      <c r="C420" s="612"/>
    </row>
    <row r="421">
      <c r="A421" s="615"/>
      <c r="B421" s="616"/>
      <c r="C421" s="605"/>
    </row>
    <row r="422">
      <c r="A422" s="613"/>
      <c r="B422" s="614"/>
      <c r="C422" s="612"/>
    </row>
    <row r="423">
      <c r="A423" s="615"/>
      <c r="B423" s="616"/>
      <c r="C423" s="605"/>
    </row>
    <row r="424">
      <c r="A424" s="613"/>
      <c r="B424" s="614"/>
      <c r="C424" s="612"/>
    </row>
    <row r="425">
      <c r="A425" s="615"/>
      <c r="B425" s="616"/>
      <c r="C425" s="605"/>
    </row>
    <row r="426">
      <c r="A426" s="613"/>
      <c r="B426" s="614"/>
      <c r="C426" s="612"/>
    </row>
    <row r="427">
      <c r="A427" s="615"/>
      <c r="B427" s="616"/>
      <c r="C427" s="605"/>
    </row>
    <row r="428">
      <c r="A428" s="613"/>
      <c r="B428" s="614"/>
      <c r="C428" s="612"/>
    </row>
    <row r="429">
      <c r="A429" s="615"/>
      <c r="B429" s="616"/>
      <c r="C429" s="605"/>
    </row>
    <row r="430">
      <c r="A430" s="613"/>
      <c r="B430" s="614"/>
      <c r="C430" s="612"/>
    </row>
    <row r="431">
      <c r="A431" s="615"/>
      <c r="B431" s="616"/>
      <c r="C431" s="605"/>
    </row>
    <row r="432">
      <c r="A432" s="613"/>
      <c r="B432" s="614"/>
      <c r="C432" s="612"/>
    </row>
    <row r="433">
      <c r="A433" s="615"/>
      <c r="B433" s="616"/>
      <c r="C433" s="605"/>
    </row>
    <row r="434">
      <c r="A434" s="613"/>
      <c r="B434" s="614"/>
      <c r="C434" s="612"/>
    </row>
    <row r="435">
      <c r="A435" s="615"/>
      <c r="B435" s="616"/>
      <c r="C435" s="605"/>
    </row>
    <row r="436">
      <c r="A436" s="613"/>
      <c r="B436" s="614"/>
      <c r="C436" s="612"/>
    </row>
    <row r="437">
      <c r="A437" s="615"/>
      <c r="B437" s="616"/>
      <c r="C437" s="605"/>
    </row>
    <row r="438">
      <c r="A438" s="613"/>
      <c r="B438" s="614"/>
      <c r="C438" s="612"/>
    </row>
    <row r="439">
      <c r="A439" s="615"/>
      <c r="B439" s="616"/>
      <c r="C439" s="605"/>
    </row>
    <row r="440">
      <c r="A440" s="613"/>
      <c r="B440" s="614"/>
      <c r="C440" s="612"/>
    </row>
    <row r="441">
      <c r="A441" s="615"/>
      <c r="B441" s="616"/>
      <c r="C441" s="605"/>
    </row>
    <row r="442">
      <c r="A442" s="613"/>
      <c r="B442" s="614"/>
      <c r="C442" s="612"/>
    </row>
    <row r="443">
      <c r="A443" s="615"/>
      <c r="B443" s="616"/>
      <c r="C443" s="605"/>
    </row>
    <row r="444">
      <c r="A444" s="613"/>
      <c r="B444" s="614"/>
      <c r="C444" s="612"/>
    </row>
    <row r="445">
      <c r="A445" s="615"/>
      <c r="B445" s="616"/>
      <c r="C445" s="605"/>
    </row>
    <row r="446">
      <c r="A446" s="613"/>
      <c r="B446" s="614"/>
      <c r="C446" s="612"/>
    </row>
    <row r="447">
      <c r="A447" s="615"/>
      <c r="B447" s="616"/>
      <c r="C447" s="605"/>
    </row>
    <row r="448">
      <c r="A448" s="613"/>
      <c r="B448" s="614"/>
      <c r="C448" s="612"/>
    </row>
    <row r="449">
      <c r="A449" s="615"/>
      <c r="B449" s="616"/>
      <c r="C449" s="605"/>
    </row>
    <row r="450">
      <c r="A450" s="613"/>
      <c r="B450" s="614"/>
      <c r="C450" s="612"/>
    </row>
    <row r="451">
      <c r="A451" s="615"/>
      <c r="B451" s="616"/>
      <c r="C451" s="605"/>
    </row>
    <row r="452">
      <c r="A452" s="613"/>
      <c r="B452" s="614"/>
      <c r="C452" s="612"/>
    </row>
    <row r="453">
      <c r="A453" s="615"/>
      <c r="B453" s="616"/>
      <c r="C453" s="605"/>
    </row>
    <row r="454">
      <c r="A454" s="613"/>
      <c r="B454" s="614"/>
      <c r="C454" s="612"/>
    </row>
    <row r="455">
      <c r="A455" s="615"/>
      <c r="B455" s="616"/>
      <c r="C455" s="605"/>
    </row>
    <row r="456">
      <c r="A456" s="613"/>
      <c r="B456" s="614"/>
      <c r="C456" s="612"/>
    </row>
    <row r="457">
      <c r="A457" s="615"/>
      <c r="B457" s="616"/>
      <c r="C457" s="605"/>
    </row>
    <row r="458">
      <c r="A458" s="613"/>
      <c r="B458" s="614"/>
      <c r="C458" s="612"/>
    </row>
    <row r="459">
      <c r="A459" s="615"/>
      <c r="B459" s="616"/>
      <c r="C459" s="605"/>
    </row>
    <row r="460">
      <c r="A460" s="613"/>
      <c r="B460" s="614"/>
      <c r="C460" s="612"/>
    </row>
    <row r="461">
      <c r="A461" s="615"/>
      <c r="B461" s="616"/>
      <c r="C461" s="605"/>
    </row>
    <row r="462">
      <c r="A462" s="613"/>
      <c r="B462" s="614"/>
      <c r="C462" s="612"/>
    </row>
    <row r="463">
      <c r="A463" s="615"/>
      <c r="B463" s="616"/>
      <c r="C463" s="605"/>
    </row>
    <row r="464">
      <c r="A464" s="613"/>
      <c r="B464" s="614"/>
      <c r="C464" s="612"/>
    </row>
    <row r="465">
      <c r="A465" s="615"/>
      <c r="B465" s="616"/>
      <c r="C465" s="605"/>
    </row>
    <row r="466">
      <c r="A466" s="613"/>
      <c r="B466" s="614"/>
      <c r="C466" s="612"/>
    </row>
    <row r="467">
      <c r="A467" s="615"/>
      <c r="B467" s="616"/>
      <c r="C467" s="605"/>
    </row>
    <row r="468">
      <c r="A468" s="613"/>
      <c r="B468" s="614"/>
      <c r="C468" s="612"/>
    </row>
    <row r="469">
      <c r="A469" s="615"/>
      <c r="B469" s="616"/>
      <c r="C469" s="605"/>
    </row>
    <row r="470">
      <c r="A470" s="613"/>
      <c r="B470" s="614"/>
      <c r="C470" s="612"/>
    </row>
    <row r="471">
      <c r="A471" s="615"/>
      <c r="B471" s="616"/>
      <c r="C471" s="605"/>
    </row>
    <row r="472">
      <c r="A472" s="613"/>
      <c r="B472" s="614"/>
      <c r="C472" s="612"/>
    </row>
    <row r="473">
      <c r="A473" s="615"/>
      <c r="B473" s="616"/>
      <c r="C473" s="605"/>
    </row>
    <row r="474">
      <c r="A474" s="613"/>
      <c r="B474" s="614"/>
      <c r="C474" s="612"/>
    </row>
    <row r="475">
      <c r="A475" s="615"/>
      <c r="B475" s="616"/>
      <c r="C475" s="605"/>
    </row>
    <row r="476">
      <c r="A476" s="613"/>
      <c r="B476" s="614"/>
      <c r="C476" s="612"/>
    </row>
    <row r="477">
      <c r="A477" s="615"/>
      <c r="B477" s="616"/>
      <c r="C477" s="605"/>
    </row>
    <row r="478">
      <c r="A478" s="613"/>
      <c r="B478" s="614"/>
      <c r="C478" s="612"/>
    </row>
    <row r="479">
      <c r="A479" s="615"/>
      <c r="B479" s="616"/>
      <c r="C479" s="605"/>
    </row>
    <row r="480">
      <c r="A480" s="613"/>
      <c r="B480" s="614"/>
      <c r="C480" s="612"/>
    </row>
    <row r="481">
      <c r="A481" s="615"/>
      <c r="B481" s="616"/>
      <c r="C481" s="605"/>
    </row>
    <row r="482">
      <c r="A482" s="613"/>
      <c r="B482" s="614"/>
      <c r="C482" s="612"/>
    </row>
    <row r="483">
      <c r="A483" s="615"/>
      <c r="B483" s="616"/>
      <c r="C483" s="605"/>
    </row>
    <row r="484">
      <c r="A484" s="613"/>
      <c r="B484" s="614"/>
      <c r="C484" s="612"/>
    </row>
    <row r="485">
      <c r="A485" s="615"/>
      <c r="B485" s="616"/>
      <c r="C485" s="605"/>
    </row>
    <row r="486">
      <c r="A486" s="613"/>
      <c r="B486" s="614"/>
      <c r="C486" s="612"/>
    </row>
    <row r="487">
      <c r="A487" s="615"/>
      <c r="B487" s="616"/>
      <c r="C487" s="605"/>
    </row>
    <row r="488">
      <c r="A488" s="613"/>
      <c r="B488" s="614"/>
      <c r="C488" s="612"/>
    </row>
    <row r="489">
      <c r="A489" s="615"/>
      <c r="B489" s="616"/>
      <c r="C489" s="605"/>
    </row>
    <row r="490">
      <c r="A490" s="613"/>
      <c r="B490" s="614"/>
      <c r="C490" s="612"/>
    </row>
    <row r="491">
      <c r="A491" s="615"/>
      <c r="B491" s="616"/>
      <c r="C491" s="605"/>
    </row>
    <row r="492">
      <c r="A492" s="613"/>
      <c r="B492" s="614"/>
      <c r="C492" s="612"/>
    </row>
    <row r="493">
      <c r="A493" s="615"/>
      <c r="B493" s="616"/>
      <c r="C493" s="605"/>
    </row>
    <row r="494">
      <c r="A494" s="613"/>
      <c r="B494" s="614"/>
      <c r="C494" s="612"/>
    </row>
    <row r="495">
      <c r="A495" s="615"/>
      <c r="B495" s="616"/>
      <c r="C495" s="605"/>
    </row>
    <row r="496">
      <c r="A496" s="613"/>
      <c r="B496" s="614"/>
      <c r="C496" s="612"/>
    </row>
    <row r="497">
      <c r="A497" s="615"/>
      <c r="B497" s="616"/>
      <c r="C497" s="605"/>
    </row>
    <row r="498">
      <c r="A498" s="613"/>
      <c r="B498" s="614"/>
      <c r="C498" s="612"/>
    </row>
    <row r="499">
      <c r="A499" s="615"/>
      <c r="B499" s="616"/>
      <c r="C499" s="605"/>
    </row>
    <row r="500">
      <c r="A500" s="613"/>
      <c r="B500" s="614"/>
      <c r="C500" s="612"/>
    </row>
    <row r="501">
      <c r="A501" s="615"/>
      <c r="B501" s="616"/>
      <c r="C501" s="605"/>
    </row>
    <row r="502">
      <c r="A502" s="613"/>
      <c r="B502" s="614"/>
      <c r="C502" s="612"/>
    </row>
    <row r="503">
      <c r="A503" s="615"/>
      <c r="B503" s="616"/>
      <c r="C503" s="605"/>
    </row>
    <row r="504">
      <c r="A504" s="613"/>
      <c r="B504" s="614"/>
      <c r="C504" s="612"/>
    </row>
    <row r="505">
      <c r="A505" s="615"/>
      <c r="B505" s="616"/>
      <c r="C505" s="605"/>
    </row>
    <row r="506">
      <c r="A506" s="613"/>
      <c r="B506" s="614"/>
      <c r="C506" s="612"/>
    </row>
    <row r="507">
      <c r="A507" s="615"/>
      <c r="B507" s="616"/>
      <c r="C507" s="605"/>
    </row>
    <row r="508">
      <c r="A508" s="613"/>
      <c r="B508" s="614"/>
      <c r="C508" s="612"/>
    </row>
    <row r="509">
      <c r="A509" s="615"/>
      <c r="B509" s="616"/>
      <c r="C509" s="605"/>
    </row>
    <row r="510">
      <c r="A510" s="613"/>
      <c r="B510" s="614"/>
      <c r="C510" s="612"/>
    </row>
    <row r="511">
      <c r="A511" s="615"/>
      <c r="B511" s="616"/>
      <c r="C511" s="605"/>
    </row>
    <row r="512">
      <c r="A512" s="613"/>
      <c r="B512" s="614"/>
      <c r="C512" s="612"/>
    </row>
    <row r="513">
      <c r="A513" s="615"/>
      <c r="B513" s="616"/>
      <c r="C513" s="605"/>
    </row>
    <row r="514">
      <c r="A514" s="613"/>
      <c r="B514" s="614"/>
      <c r="C514" s="612"/>
    </row>
    <row r="515">
      <c r="A515" s="615"/>
      <c r="B515" s="616"/>
      <c r="C515" s="605"/>
    </row>
    <row r="516">
      <c r="A516" s="613"/>
      <c r="B516" s="614"/>
      <c r="C516" s="612"/>
    </row>
    <row r="517">
      <c r="A517" s="615"/>
      <c r="B517" s="616"/>
      <c r="C517" s="605"/>
    </row>
    <row r="518">
      <c r="A518" s="613"/>
      <c r="B518" s="614"/>
      <c r="C518" s="612"/>
    </row>
    <row r="519">
      <c r="A519" s="615"/>
      <c r="B519" s="616"/>
      <c r="C519" s="605"/>
    </row>
    <row r="520">
      <c r="A520" s="613"/>
      <c r="B520" s="614"/>
      <c r="C520" s="612"/>
    </row>
    <row r="521">
      <c r="A521" s="615"/>
      <c r="B521" s="616"/>
      <c r="C521" s="605"/>
    </row>
    <row r="522">
      <c r="A522" s="613"/>
      <c r="B522" s="614"/>
      <c r="C522" s="612"/>
    </row>
    <row r="523">
      <c r="A523" s="615"/>
      <c r="B523" s="616"/>
      <c r="C523" s="605"/>
    </row>
    <row r="524">
      <c r="A524" s="613"/>
      <c r="B524" s="614"/>
      <c r="C524" s="612"/>
    </row>
    <row r="525">
      <c r="A525" s="615"/>
      <c r="B525" s="616"/>
      <c r="C525" s="605"/>
    </row>
    <row r="526">
      <c r="A526" s="613"/>
      <c r="B526" s="614"/>
      <c r="C526" s="612"/>
    </row>
    <row r="527">
      <c r="A527" s="615"/>
      <c r="B527" s="616"/>
      <c r="C527" s="605"/>
    </row>
    <row r="528">
      <c r="A528" s="613"/>
      <c r="B528" s="614"/>
      <c r="C528" s="612"/>
    </row>
    <row r="529">
      <c r="A529" s="615"/>
      <c r="B529" s="616"/>
      <c r="C529" s="605"/>
    </row>
    <row r="530">
      <c r="A530" s="613"/>
      <c r="B530" s="614"/>
      <c r="C530" s="612"/>
    </row>
    <row r="531">
      <c r="A531" s="615"/>
      <c r="B531" s="616"/>
      <c r="C531" s="605"/>
    </row>
    <row r="532">
      <c r="A532" s="613"/>
      <c r="B532" s="614"/>
      <c r="C532" s="612"/>
    </row>
    <row r="533">
      <c r="A533" s="615"/>
      <c r="B533" s="616"/>
      <c r="C533" s="605"/>
    </row>
    <row r="534">
      <c r="A534" s="613"/>
      <c r="B534" s="614"/>
      <c r="C534" s="612"/>
    </row>
    <row r="535">
      <c r="A535" s="615"/>
      <c r="B535" s="616"/>
      <c r="C535" s="605"/>
    </row>
    <row r="536">
      <c r="A536" s="613"/>
      <c r="B536" s="614"/>
      <c r="C536" s="612"/>
    </row>
    <row r="537">
      <c r="A537" s="615"/>
      <c r="B537" s="616"/>
      <c r="C537" s="605"/>
    </row>
    <row r="538">
      <c r="A538" s="613"/>
      <c r="B538" s="614"/>
      <c r="C538" s="612"/>
    </row>
    <row r="539">
      <c r="A539" s="615"/>
      <c r="B539" s="616"/>
      <c r="C539" s="605"/>
    </row>
    <row r="540">
      <c r="A540" s="613"/>
      <c r="B540" s="614"/>
      <c r="C540" s="612"/>
    </row>
    <row r="541">
      <c r="A541" s="615"/>
      <c r="B541" s="616"/>
      <c r="C541" s="605"/>
    </row>
    <row r="542">
      <c r="A542" s="613"/>
      <c r="B542" s="614"/>
      <c r="C542" s="612"/>
    </row>
    <row r="543">
      <c r="A543" s="615"/>
      <c r="B543" s="616"/>
      <c r="C543" s="605"/>
    </row>
    <row r="544">
      <c r="A544" s="613"/>
      <c r="B544" s="614"/>
      <c r="C544" s="612"/>
    </row>
    <row r="545">
      <c r="A545" s="615"/>
      <c r="B545" s="616"/>
      <c r="C545" s="605"/>
    </row>
    <row r="546">
      <c r="A546" s="613"/>
      <c r="B546" s="614"/>
      <c r="C546" s="612"/>
    </row>
    <row r="547">
      <c r="A547" s="615"/>
      <c r="B547" s="616"/>
      <c r="C547" s="605"/>
    </row>
    <row r="548">
      <c r="A548" s="613"/>
      <c r="B548" s="614"/>
      <c r="C548" s="612"/>
    </row>
    <row r="549">
      <c r="A549" s="615"/>
      <c r="B549" s="616"/>
      <c r="C549" s="605"/>
    </row>
    <row r="550">
      <c r="A550" s="613"/>
      <c r="B550" s="614"/>
      <c r="C550" s="612"/>
    </row>
    <row r="551">
      <c r="A551" s="615"/>
      <c r="B551" s="616"/>
      <c r="C551" s="605"/>
    </row>
    <row r="552">
      <c r="A552" s="613"/>
      <c r="B552" s="614"/>
      <c r="C552" s="612"/>
    </row>
    <row r="553">
      <c r="A553" s="615"/>
      <c r="B553" s="616"/>
      <c r="C553" s="605"/>
    </row>
    <row r="554">
      <c r="A554" s="613"/>
      <c r="B554" s="614"/>
      <c r="C554" s="612"/>
    </row>
    <row r="555">
      <c r="A555" s="615"/>
      <c r="B555" s="616"/>
      <c r="C555" s="605"/>
    </row>
    <row r="556">
      <c r="A556" s="613"/>
      <c r="B556" s="614"/>
      <c r="C556" s="612"/>
    </row>
    <row r="557">
      <c r="A557" s="615"/>
      <c r="B557" s="616"/>
      <c r="C557" s="605"/>
    </row>
    <row r="558">
      <c r="A558" s="613"/>
      <c r="B558" s="614"/>
      <c r="C558" s="612"/>
    </row>
    <row r="559">
      <c r="A559" s="615"/>
      <c r="B559" s="616"/>
      <c r="C559" s="605"/>
    </row>
    <row r="560">
      <c r="A560" s="613"/>
      <c r="B560" s="614"/>
      <c r="C560" s="612"/>
    </row>
    <row r="561">
      <c r="A561" s="615"/>
      <c r="B561" s="616"/>
      <c r="C561" s="605"/>
    </row>
    <row r="562">
      <c r="A562" s="613"/>
      <c r="B562" s="614"/>
      <c r="C562" s="612"/>
    </row>
    <row r="563">
      <c r="A563" s="615"/>
      <c r="B563" s="616"/>
      <c r="C563" s="605"/>
    </row>
    <row r="564">
      <c r="A564" s="613"/>
      <c r="B564" s="614"/>
      <c r="C564" s="612"/>
    </row>
    <row r="565">
      <c r="A565" s="615"/>
      <c r="B565" s="616"/>
      <c r="C565" s="605"/>
    </row>
    <row r="566">
      <c r="A566" s="613"/>
      <c r="B566" s="614"/>
      <c r="C566" s="612"/>
    </row>
    <row r="567">
      <c r="A567" s="615"/>
      <c r="B567" s="616"/>
      <c r="C567" s="605"/>
    </row>
    <row r="568">
      <c r="A568" s="613"/>
      <c r="B568" s="614"/>
      <c r="C568" s="612"/>
    </row>
    <row r="569">
      <c r="A569" s="615"/>
      <c r="B569" s="616"/>
      <c r="C569" s="605"/>
    </row>
    <row r="570">
      <c r="A570" s="613"/>
      <c r="B570" s="614"/>
      <c r="C570" s="612"/>
    </row>
    <row r="571">
      <c r="A571" s="615"/>
      <c r="B571" s="616"/>
      <c r="C571" s="605"/>
    </row>
    <row r="572">
      <c r="A572" s="613"/>
      <c r="B572" s="614"/>
      <c r="C572" s="612"/>
    </row>
    <row r="573">
      <c r="A573" s="615"/>
      <c r="B573" s="616"/>
      <c r="C573" s="605"/>
    </row>
    <row r="574">
      <c r="A574" s="613"/>
      <c r="B574" s="614"/>
      <c r="C574" s="612"/>
    </row>
    <row r="575">
      <c r="A575" s="615"/>
      <c r="B575" s="616"/>
      <c r="C575" s="605"/>
    </row>
    <row r="576">
      <c r="A576" s="613"/>
      <c r="B576" s="614"/>
      <c r="C576" s="612"/>
    </row>
    <row r="577">
      <c r="A577" s="615"/>
      <c r="B577" s="616"/>
      <c r="C577" s="605"/>
    </row>
    <row r="578">
      <c r="A578" s="613"/>
      <c r="B578" s="614"/>
      <c r="C578" s="612"/>
    </row>
    <row r="579">
      <c r="A579" s="615"/>
      <c r="B579" s="616"/>
      <c r="C579" s="605"/>
    </row>
    <row r="580">
      <c r="A580" s="613"/>
      <c r="B580" s="614"/>
      <c r="C580" s="612"/>
    </row>
    <row r="581">
      <c r="A581" s="615"/>
      <c r="B581" s="616"/>
      <c r="C581" s="605"/>
    </row>
    <row r="582">
      <c r="A582" s="613"/>
      <c r="B582" s="614"/>
      <c r="C582" s="612"/>
    </row>
    <row r="583">
      <c r="A583" s="615"/>
      <c r="B583" s="616"/>
      <c r="C583" s="605"/>
    </row>
    <row r="584">
      <c r="A584" s="613"/>
      <c r="B584" s="614"/>
      <c r="C584" s="612"/>
    </row>
    <row r="585">
      <c r="A585" s="615"/>
      <c r="B585" s="616"/>
      <c r="C585" s="605"/>
    </row>
    <row r="586">
      <c r="A586" s="613"/>
      <c r="B586" s="614"/>
      <c r="C586" s="612"/>
    </row>
    <row r="587">
      <c r="A587" s="615"/>
      <c r="B587" s="616"/>
      <c r="C587" s="605"/>
    </row>
    <row r="588">
      <c r="A588" s="613"/>
      <c r="B588" s="614"/>
      <c r="C588" s="612"/>
    </row>
    <row r="589">
      <c r="A589" s="615"/>
      <c r="B589" s="616"/>
      <c r="C589" s="605"/>
    </row>
    <row r="590">
      <c r="A590" s="613"/>
      <c r="B590" s="614"/>
      <c r="C590" s="612"/>
    </row>
    <row r="591">
      <c r="A591" s="615"/>
      <c r="B591" s="616"/>
      <c r="C591" s="605"/>
    </row>
    <row r="592">
      <c r="A592" s="613"/>
      <c r="B592" s="614"/>
      <c r="C592" s="612"/>
    </row>
    <row r="593">
      <c r="A593" s="615"/>
      <c r="B593" s="616"/>
      <c r="C593" s="605"/>
    </row>
    <row r="594">
      <c r="A594" s="613"/>
      <c r="B594" s="614"/>
      <c r="C594" s="612"/>
    </row>
    <row r="595">
      <c r="A595" s="615"/>
      <c r="B595" s="616"/>
      <c r="C595" s="605"/>
    </row>
    <row r="596">
      <c r="A596" s="613"/>
      <c r="B596" s="614"/>
      <c r="C596" s="612"/>
    </row>
    <row r="597">
      <c r="A597" s="615"/>
      <c r="B597" s="616"/>
      <c r="C597" s="605"/>
    </row>
    <row r="598">
      <c r="A598" s="613"/>
      <c r="B598" s="614"/>
      <c r="C598" s="612"/>
    </row>
    <row r="599">
      <c r="A599" s="615"/>
      <c r="B599" s="616"/>
      <c r="C599" s="605"/>
    </row>
    <row r="600">
      <c r="A600" s="613"/>
      <c r="B600" s="614"/>
      <c r="C600" s="612"/>
    </row>
    <row r="601">
      <c r="A601" s="615"/>
      <c r="B601" s="616"/>
      <c r="C601" s="605"/>
    </row>
    <row r="602">
      <c r="A602" s="613"/>
      <c r="B602" s="614"/>
      <c r="C602" s="612"/>
    </row>
    <row r="603">
      <c r="A603" s="615"/>
      <c r="B603" s="616"/>
      <c r="C603" s="605"/>
    </row>
    <row r="604">
      <c r="A604" s="613"/>
      <c r="B604" s="614"/>
      <c r="C604" s="612"/>
    </row>
    <row r="605">
      <c r="A605" s="615"/>
      <c r="B605" s="616"/>
      <c r="C605" s="605"/>
    </row>
    <row r="606">
      <c r="A606" s="613"/>
      <c r="B606" s="614"/>
      <c r="C606" s="612"/>
    </row>
    <row r="607">
      <c r="A607" s="615"/>
      <c r="B607" s="616"/>
      <c r="C607" s="605"/>
    </row>
    <row r="608">
      <c r="A608" s="613"/>
      <c r="B608" s="614"/>
      <c r="C608" s="612"/>
    </row>
    <row r="609">
      <c r="A609" s="615"/>
      <c r="B609" s="616"/>
      <c r="C609" s="605"/>
    </row>
    <row r="610">
      <c r="A610" s="613"/>
      <c r="B610" s="614"/>
      <c r="C610" s="612"/>
    </row>
    <row r="611">
      <c r="A611" s="615"/>
      <c r="B611" s="616"/>
      <c r="C611" s="605"/>
    </row>
    <row r="612">
      <c r="A612" s="613"/>
      <c r="B612" s="614"/>
      <c r="C612" s="612"/>
    </row>
    <row r="613">
      <c r="A613" s="615"/>
      <c r="B613" s="616"/>
      <c r="C613" s="605"/>
    </row>
    <row r="614">
      <c r="A614" s="613"/>
      <c r="B614" s="614"/>
      <c r="C614" s="612"/>
    </row>
    <row r="615">
      <c r="A615" s="615"/>
      <c r="B615" s="616"/>
      <c r="C615" s="605"/>
    </row>
    <row r="616">
      <c r="A616" s="613"/>
      <c r="B616" s="614"/>
      <c r="C616" s="612"/>
    </row>
    <row r="617">
      <c r="A617" s="615"/>
      <c r="B617" s="616"/>
      <c r="C617" s="605"/>
    </row>
    <row r="618">
      <c r="A618" s="613"/>
      <c r="B618" s="614"/>
      <c r="C618" s="612"/>
    </row>
    <row r="619">
      <c r="A619" s="615"/>
      <c r="B619" s="616"/>
      <c r="C619" s="605"/>
    </row>
    <row r="620">
      <c r="A620" s="613"/>
      <c r="B620" s="614"/>
      <c r="C620" s="612"/>
    </row>
    <row r="621">
      <c r="A621" s="615"/>
      <c r="B621" s="616"/>
      <c r="C621" s="605"/>
    </row>
    <row r="622">
      <c r="A622" s="613"/>
      <c r="B622" s="614"/>
      <c r="C622" s="612"/>
    </row>
    <row r="623">
      <c r="A623" s="615"/>
      <c r="B623" s="616"/>
      <c r="C623" s="605"/>
    </row>
    <row r="624">
      <c r="A624" s="613"/>
      <c r="B624" s="614"/>
      <c r="C624" s="612"/>
    </row>
    <row r="625">
      <c r="A625" s="615"/>
      <c r="B625" s="616"/>
      <c r="C625" s="605"/>
    </row>
    <row r="626">
      <c r="A626" s="613"/>
      <c r="B626" s="614"/>
      <c r="C626" s="612"/>
    </row>
    <row r="627">
      <c r="A627" s="615"/>
      <c r="B627" s="616"/>
      <c r="C627" s="605"/>
    </row>
    <row r="628">
      <c r="A628" s="613"/>
      <c r="B628" s="614"/>
      <c r="C628" s="612"/>
    </row>
    <row r="629">
      <c r="A629" s="615"/>
      <c r="B629" s="616"/>
      <c r="C629" s="605"/>
    </row>
    <row r="630">
      <c r="A630" s="613"/>
      <c r="B630" s="614"/>
      <c r="C630" s="612"/>
    </row>
    <row r="631">
      <c r="A631" s="615"/>
      <c r="B631" s="616"/>
      <c r="C631" s="605"/>
    </row>
    <row r="632">
      <c r="A632" s="613"/>
      <c r="B632" s="614"/>
      <c r="C632" s="612"/>
    </row>
    <row r="633">
      <c r="A633" s="615"/>
      <c r="B633" s="616"/>
      <c r="C633" s="605"/>
    </row>
    <row r="634">
      <c r="A634" s="613"/>
      <c r="B634" s="614"/>
      <c r="C634" s="612"/>
    </row>
    <row r="635">
      <c r="A635" s="615"/>
      <c r="B635" s="616"/>
      <c r="C635" s="605"/>
    </row>
    <row r="636">
      <c r="A636" s="613"/>
      <c r="B636" s="614"/>
      <c r="C636" s="612"/>
    </row>
    <row r="637">
      <c r="A637" s="615"/>
      <c r="B637" s="616"/>
      <c r="C637" s="605"/>
    </row>
    <row r="638">
      <c r="A638" s="613"/>
      <c r="B638" s="614"/>
      <c r="C638" s="612"/>
    </row>
    <row r="639">
      <c r="A639" s="615"/>
      <c r="B639" s="616"/>
      <c r="C639" s="605"/>
    </row>
    <row r="640">
      <c r="A640" s="613"/>
      <c r="B640" s="614"/>
      <c r="C640" s="612"/>
    </row>
    <row r="641">
      <c r="A641" s="615"/>
      <c r="B641" s="616"/>
      <c r="C641" s="605"/>
    </row>
    <row r="642">
      <c r="A642" s="613"/>
      <c r="B642" s="614"/>
      <c r="C642" s="612"/>
    </row>
    <row r="643">
      <c r="A643" s="615"/>
      <c r="B643" s="616"/>
      <c r="C643" s="605"/>
    </row>
    <row r="644">
      <c r="A644" s="613"/>
      <c r="B644" s="614"/>
      <c r="C644" s="612"/>
    </row>
    <row r="645">
      <c r="A645" s="615"/>
      <c r="B645" s="616"/>
      <c r="C645" s="605"/>
    </row>
    <row r="646">
      <c r="A646" s="613"/>
      <c r="B646" s="614"/>
      <c r="C646" s="612"/>
    </row>
    <row r="647">
      <c r="A647" s="615"/>
      <c r="B647" s="616"/>
      <c r="C647" s="605"/>
    </row>
    <row r="648">
      <c r="A648" s="613"/>
      <c r="B648" s="614"/>
      <c r="C648" s="612"/>
    </row>
    <row r="649">
      <c r="A649" s="615"/>
      <c r="B649" s="616"/>
      <c r="C649" s="605"/>
    </row>
    <row r="650">
      <c r="A650" s="613"/>
      <c r="B650" s="614"/>
      <c r="C650" s="612"/>
    </row>
    <row r="651">
      <c r="A651" s="615"/>
      <c r="B651" s="616"/>
      <c r="C651" s="605"/>
    </row>
    <row r="652">
      <c r="A652" s="613"/>
      <c r="B652" s="614"/>
      <c r="C652" s="612"/>
    </row>
    <row r="653">
      <c r="A653" s="615"/>
      <c r="B653" s="616"/>
      <c r="C653" s="605"/>
    </row>
    <row r="654">
      <c r="A654" s="613"/>
      <c r="B654" s="614"/>
      <c r="C654" s="612"/>
    </row>
    <row r="655">
      <c r="A655" s="615"/>
      <c r="B655" s="616"/>
      <c r="C655" s="605"/>
    </row>
    <row r="656">
      <c r="A656" s="613"/>
      <c r="B656" s="614"/>
      <c r="C656" s="612"/>
    </row>
    <row r="657">
      <c r="A657" s="615"/>
      <c r="B657" s="616"/>
      <c r="C657" s="605"/>
    </row>
    <row r="658">
      <c r="A658" s="613"/>
      <c r="B658" s="614"/>
      <c r="C658" s="612"/>
    </row>
    <row r="659">
      <c r="A659" s="615"/>
      <c r="B659" s="616"/>
      <c r="C659" s="605"/>
    </row>
    <row r="660">
      <c r="A660" s="613"/>
      <c r="B660" s="614"/>
      <c r="C660" s="612"/>
    </row>
    <row r="661">
      <c r="A661" s="615"/>
      <c r="B661" s="616"/>
      <c r="C661" s="605"/>
    </row>
    <row r="662">
      <c r="A662" s="613"/>
      <c r="B662" s="614"/>
      <c r="C662" s="612"/>
    </row>
    <row r="663">
      <c r="A663" s="615"/>
      <c r="B663" s="616"/>
      <c r="C663" s="605"/>
    </row>
    <row r="664">
      <c r="A664" s="613"/>
      <c r="B664" s="614"/>
      <c r="C664" s="612"/>
    </row>
    <row r="665">
      <c r="A665" s="615"/>
      <c r="B665" s="616"/>
      <c r="C665" s="605"/>
    </row>
    <row r="666">
      <c r="A666" s="613"/>
      <c r="B666" s="614"/>
      <c r="C666" s="612"/>
    </row>
    <row r="667">
      <c r="A667" s="615"/>
      <c r="B667" s="616"/>
      <c r="C667" s="605"/>
    </row>
    <row r="668">
      <c r="A668" s="613"/>
      <c r="B668" s="614"/>
      <c r="C668" s="612"/>
    </row>
    <row r="669">
      <c r="A669" s="615"/>
      <c r="B669" s="616"/>
      <c r="C669" s="605"/>
    </row>
    <row r="670">
      <c r="A670" s="613"/>
      <c r="B670" s="614"/>
      <c r="C670" s="612"/>
    </row>
    <row r="671">
      <c r="A671" s="615"/>
      <c r="B671" s="616"/>
      <c r="C671" s="605"/>
    </row>
    <row r="672">
      <c r="A672" s="613"/>
      <c r="B672" s="614"/>
      <c r="C672" s="612"/>
    </row>
    <row r="673">
      <c r="A673" s="615"/>
      <c r="B673" s="616"/>
      <c r="C673" s="605"/>
    </row>
    <row r="674">
      <c r="A674" s="613"/>
      <c r="B674" s="614"/>
      <c r="C674" s="612"/>
    </row>
    <row r="675">
      <c r="A675" s="615"/>
      <c r="B675" s="616"/>
      <c r="C675" s="605"/>
    </row>
    <row r="676">
      <c r="A676" s="613"/>
      <c r="B676" s="614"/>
      <c r="C676" s="612"/>
    </row>
    <row r="677">
      <c r="A677" s="615"/>
      <c r="B677" s="616"/>
      <c r="C677" s="605"/>
    </row>
    <row r="678">
      <c r="A678" s="613"/>
      <c r="B678" s="614"/>
      <c r="C678" s="612"/>
    </row>
    <row r="679">
      <c r="A679" s="615"/>
      <c r="B679" s="616"/>
      <c r="C679" s="605"/>
    </row>
    <row r="680">
      <c r="A680" s="613"/>
      <c r="B680" s="614"/>
      <c r="C680" s="612"/>
    </row>
    <row r="681">
      <c r="A681" s="615"/>
      <c r="B681" s="616"/>
      <c r="C681" s="605"/>
    </row>
    <row r="682">
      <c r="A682" s="613"/>
      <c r="B682" s="614"/>
      <c r="C682" s="612"/>
    </row>
    <row r="683">
      <c r="A683" s="615"/>
      <c r="B683" s="616"/>
      <c r="C683" s="605"/>
    </row>
    <row r="684">
      <c r="A684" s="613"/>
      <c r="B684" s="614"/>
      <c r="C684" s="612"/>
    </row>
    <row r="685">
      <c r="A685" s="615"/>
      <c r="B685" s="616"/>
      <c r="C685" s="605"/>
    </row>
    <row r="686">
      <c r="A686" s="613"/>
      <c r="B686" s="614"/>
      <c r="C686" s="612"/>
    </row>
    <row r="687">
      <c r="A687" s="615"/>
      <c r="B687" s="616"/>
      <c r="C687" s="605"/>
    </row>
    <row r="688">
      <c r="A688" s="613"/>
      <c r="B688" s="614"/>
      <c r="C688" s="612"/>
    </row>
    <row r="689">
      <c r="A689" s="615"/>
      <c r="B689" s="616"/>
      <c r="C689" s="605"/>
    </row>
    <row r="690">
      <c r="A690" s="613"/>
      <c r="B690" s="614"/>
      <c r="C690" s="612"/>
    </row>
    <row r="691">
      <c r="A691" s="615"/>
      <c r="B691" s="616"/>
      <c r="C691" s="605"/>
    </row>
    <row r="692">
      <c r="A692" s="613"/>
      <c r="B692" s="614"/>
      <c r="C692" s="612"/>
    </row>
    <row r="693">
      <c r="A693" s="615"/>
      <c r="B693" s="616"/>
      <c r="C693" s="605"/>
    </row>
    <row r="694">
      <c r="A694" s="613"/>
      <c r="B694" s="614"/>
      <c r="C694" s="612"/>
    </row>
    <row r="695">
      <c r="A695" s="615"/>
      <c r="B695" s="616"/>
      <c r="C695" s="605"/>
    </row>
    <row r="696">
      <c r="A696" s="613"/>
      <c r="B696" s="614"/>
      <c r="C696" s="612"/>
    </row>
    <row r="697">
      <c r="A697" s="615"/>
      <c r="B697" s="616"/>
      <c r="C697" s="605"/>
    </row>
    <row r="698">
      <c r="A698" s="613"/>
      <c r="B698" s="614"/>
      <c r="C698" s="612"/>
    </row>
    <row r="699">
      <c r="A699" s="615"/>
      <c r="B699" s="616"/>
      <c r="C699" s="605"/>
    </row>
    <row r="700">
      <c r="A700" s="613"/>
      <c r="B700" s="614"/>
      <c r="C700" s="612"/>
    </row>
    <row r="701">
      <c r="A701" s="615"/>
      <c r="B701" s="616"/>
      <c r="C701" s="605"/>
    </row>
    <row r="702">
      <c r="A702" s="613"/>
      <c r="B702" s="614"/>
      <c r="C702" s="612"/>
    </row>
    <row r="703">
      <c r="A703" s="615"/>
      <c r="B703" s="616"/>
      <c r="C703" s="605"/>
    </row>
    <row r="704">
      <c r="A704" s="613"/>
      <c r="B704" s="614"/>
      <c r="C704" s="612"/>
    </row>
    <row r="705">
      <c r="A705" s="615"/>
      <c r="B705" s="616"/>
      <c r="C705" s="605"/>
    </row>
    <row r="706">
      <c r="A706" s="613"/>
      <c r="B706" s="614"/>
      <c r="C706" s="612"/>
    </row>
    <row r="707">
      <c r="A707" s="615"/>
      <c r="B707" s="616"/>
      <c r="C707" s="605"/>
    </row>
    <row r="708">
      <c r="A708" s="613"/>
      <c r="B708" s="614"/>
      <c r="C708" s="612"/>
    </row>
    <row r="709">
      <c r="A709" s="615"/>
      <c r="B709" s="616"/>
      <c r="C709" s="605"/>
    </row>
    <row r="710">
      <c r="A710" s="613"/>
      <c r="B710" s="614"/>
      <c r="C710" s="612"/>
    </row>
    <row r="711">
      <c r="A711" s="615"/>
      <c r="B711" s="616"/>
      <c r="C711" s="605"/>
    </row>
    <row r="712">
      <c r="A712" s="613"/>
      <c r="B712" s="614"/>
      <c r="C712" s="612"/>
    </row>
    <row r="713">
      <c r="A713" s="615"/>
      <c r="B713" s="616"/>
      <c r="C713" s="605"/>
    </row>
    <row r="714">
      <c r="A714" s="613"/>
      <c r="B714" s="614"/>
      <c r="C714" s="612"/>
    </row>
    <row r="715">
      <c r="A715" s="615"/>
      <c r="B715" s="616"/>
      <c r="C715" s="605"/>
    </row>
    <row r="716">
      <c r="A716" s="613"/>
      <c r="B716" s="614"/>
      <c r="C716" s="612"/>
    </row>
    <row r="717">
      <c r="A717" s="615"/>
      <c r="B717" s="616"/>
      <c r="C717" s="605"/>
    </row>
    <row r="718">
      <c r="A718" s="613"/>
      <c r="B718" s="614"/>
      <c r="C718" s="612"/>
    </row>
    <row r="719">
      <c r="A719" s="615"/>
      <c r="B719" s="616"/>
      <c r="C719" s="605"/>
    </row>
    <row r="720">
      <c r="A720" s="613"/>
      <c r="B720" s="614"/>
      <c r="C720" s="612"/>
    </row>
    <row r="721">
      <c r="A721" s="615"/>
      <c r="B721" s="616"/>
      <c r="C721" s="605"/>
    </row>
    <row r="722">
      <c r="A722" s="613"/>
      <c r="B722" s="614"/>
      <c r="C722" s="612"/>
    </row>
    <row r="723">
      <c r="A723" s="615"/>
      <c r="B723" s="616"/>
      <c r="C723" s="605"/>
    </row>
    <row r="724">
      <c r="A724" s="613"/>
      <c r="B724" s="614"/>
      <c r="C724" s="612"/>
    </row>
    <row r="725">
      <c r="A725" s="615"/>
      <c r="B725" s="616"/>
      <c r="C725" s="605"/>
    </row>
    <row r="726">
      <c r="A726" s="613"/>
      <c r="B726" s="614"/>
      <c r="C726" s="612"/>
    </row>
    <row r="727">
      <c r="A727" s="615"/>
      <c r="B727" s="616"/>
      <c r="C727" s="605"/>
    </row>
    <row r="728">
      <c r="A728" s="613"/>
      <c r="B728" s="614"/>
      <c r="C728" s="612"/>
    </row>
    <row r="729">
      <c r="A729" s="615"/>
      <c r="B729" s="616"/>
      <c r="C729" s="605"/>
    </row>
    <row r="730">
      <c r="A730" s="613"/>
      <c r="B730" s="614"/>
      <c r="C730" s="612"/>
    </row>
    <row r="731">
      <c r="A731" s="615"/>
      <c r="B731" s="616"/>
      <c r="C731" s="605"/>
    </row>
    <row r="732">
      <c r="A732" s="613"/>
      <c r="B732" s="614"/>
      <c r="C732" s="612"/>
    </row>
    <row r="733">
      <c r="A733" s="615"/>
      <c r="B733" s="616"/>
      <c r="C733" s="605"/>
    </row>
    <row r="734">
      <c r="A734" s="613"/>
      <c r="B734" s="614"/>
      <c r="C734" s="612"/>
    </row>
    <row r="735">
      <c r="A735" s="615"/>
      <c r="B735" s="616"/>
      <c r="C735" s="605"/>
    </row>
    <row r="736">
      <c r="A736" s="613"/>
      <c r="B736" s="614"/>
      <c r="C736" s="612"/>
    </row>
    <row r="737">
      <c r="A737" s="615"/>
      <c r="B737" s="616"/>
      <c r="C737" s="605"/>
    </row>
    <row r="738">
      <c r="A738" s="613"/>
      <c r="B738" s="614"/>
      <c r="C738" s="612"/>
    </row>
    <row r="739">
      <c r="A739" s="615"/>
      <c r="B739" s="616"/>
      <c r="C739" s="605"/>
    </row>
    <row r="740">
      <c r="A740" s="613"/>
      <c r="B740" s="614"/>
      <c r="C740" s="612"/>
    </row>
    <row r="741">
      <c r="A741" s="615"/>
      <c r="B741" s="616"/>
      <c r="C741" s="605"/>
    </row>
    <row r="742">
      <c r="A742" s="613"/>
      <c r="B742" s="614"/>
      <c r="C742" s="612"/>
    </row>
    <row r="743">
      <c r="A743" s="615"/>
      <c r="B743" s="616"/>
      <c r="C743" s="605"/>
    </row>
    <row r="744">
      <c r="A744" s="613"/>
      <c r="B744" s="614"/>
      <c r="C744" s="612"/>
    </row>
    <row r="745">
      <c r="A745" s="615"/>
      <c r="B745" s="616"/>
      <c r="C745" s="605"/>
    </row>
    <row r="746">
      <c r="A746" s="613"/>
      <c r="B746" s="614"/>
      <c r="C746" s="612"/>
    </row>
    <row r="747">
      <c r="A747" s="615"/>
      <c r="B747" s="616"/>
      <c r="C747" s="605"/>
    </row>
    <row r="748">
      <c r="A748" s="613"/>
      <c r="B748" s="614"/>
      <c r="C748" s="612"/>
    </row>
    <row r="749">
      <c r="A749" s="615"/>
      <c r="B749" s="616"/>
      <c r="C749" s="605"/>
    </row>
    <row r="750">
      <c r="A750" s="613"/>
      <c r="B750" s="614"/>
      <c r="C750" s="612"/>
    </row>
    <row r="751">
      <c r="A751" s="615"/>
      <c r="B751" s="616"/>
      <c r="C751" s="605"/>
    </row>
    <row r="752">
      <c r="A752" s="613"/>
      <c r="B752" s="614"/>
      <c r="C752" s="612"/>
    </row>
    <row r="753">
      <c r="A753" s="615"/>
      <c r="B753" s="616"/>
      <c r="C753" s="605"/>
    </row>
    <row r="754">
      <c r="A754" s="613"/>
      <c r="B754" s="614"/>
      <c r="C754" s="612"/>
    </row>
    <row r="755">
      <c r="A755" s="615"/>
      <c r="B755" s="616"/>
      <c r="C755" s="605"/>
    </row>
    <row r="756">
      <c r="A756" s="613"/>
      <c r="B756" s="614"/>
      <c r="C756" s="612"/>
    </row>
    <row r="757">
      <c r="A757" s="615"/>
      <c r="B757" s="616"/>
      <c r="C757" s="605"/>
    </row>
    <row r="758">
      <c r="A758" s="613"/>
      <c r="B758" s="614"/>
      <c r="C758" s="612"/>
    </row>
    <row r="759">
      <c r="A759" s="615"/>
      <c r="B759" s="616"/>
      <c r="C759" s="605"/>
    </row>
    <row r="760">
      <c r="A760" s="613"/>
      <c r="B760" s="614"/>
      <c r="C760" s="612"/>
    </row>
    <row r="761">
      <c r="A761" s="615"/>
      <c r="B761" s="616"/>
      <c r="C761" s="605"/>
    </row>
    <row r="762">
      <c r="A762" s="613"/>
      <c r="B762" s="614"/>
      <c r="C762" s="612"/>
    </row>
    <row r="763">
      <c r="A763" s="615"/>
      <c r="B763" s="616"/>
      <c r="C763" s="605"/>
    </row>
    <row r="764">
      <c r="A764" s="613"/>
      <c r="B764" s="614"/>
      <c r="C764" s="612"/>
    </row>
    <row r="765">
      <c r="A765" s="615"/>
      <c r="B765" s="616"/>
      <c r="C765" s="605"/>
    </row>
    <row r="766">
      <c r="A766" s="613"/>
      <c r="B766" s="614"/>
      <c r="C766" s="612"/>
    </row>
    <row r="767">
      <c r="A767" s="615"/>
      <c r="B767" s="616"/>
      <c r="C767" s="605"/>
    </row>
    <row r="768">
      <c r="A768" s="613"/>
      <c r="B768" s="614"/>
      <c r="C768" s="612"/>
    </row>
    <row r="769">
      <c r="A769" s="615"/>
      <c r="B769" s="616"/>
      <c r="C769" s="605"/>
    </row>
    <row r="770">
      <c r="A770" s="613"/>
      <c r="B770" s="614"/>
      <c r="C770" s="612"/>
    </row>
    <row r="771">
      <c r="A771" s="615"/>
      <c r="B771" s="616"/>
      <c r="C771" s="605"/>
    </row>
    <row r="772">
      <c r="A772" s="613"/>
      <c r="B772" s="614"/>
      <c r="C772" s="612"/>
    </row>
    <row r="773">
      <c r="A773" s="615"/>
      <c r="B773" s="616"/>
      <c r="C773" s="605"/>
    </row>
    <row r="774">
      <c r="A774" s="613"/>
      <c r="B774" s="614"/>
      <c r="C774" s="612"/>
    </row>
    <row r="775">
      <c r="A775" s="615"/>
      <c r="B775" s="616"/>
      <c r="C775" s="605"/>
    </row>
    <row r="776">
      <c r="A776" s="613"/>
      <c r="B776" s="614"/>
      <c r="C776" s="612"/>
    </row>
    <row r="777">
      <c r="A777" s="615"/>
      <c r="B777" s="616"/>
      <c r="C777" s="605"/>
    </row>
    <row r="778">
      <c r="A778" s="613"/>
      <c r="B778" s="614"/>
      <c r="C778" s="612"/>
    </row>
    <row r="779">
      <c r="A779" s="615"/>
      <c r="B779" s="616"/>
      <c r="C779" s="605"/>
    </row>
    <row r="780">
      <c r="A780" s="613"/>
      <c r="B780" s="614"/>
      <c r="C780" s="612"/>
    </row>
    <row r="781">
      <c r="A781" s="615"/>
      <c r="B781" s="616"/>
      <c r="C781" s="605"/>
    </row>
    <row r="782">
      <c r="A782" s="613"/>
      <c r="B782" s="614"/>
      <c r="C782" s="612"/>
    </row>
    <row r="783">
      <c r="A783" s="615"/>
      <c r="B783" s="616"/>
      <c r="C783" s="605"/>
    </row>
    <row r="784">
      <c r="A784" s="613"/>
      <c r="B784" s="614"/>
      <c r="C784" s="612"/>
    </row>
    <row r="785">
      <c r="A785" s="615"/>
      <c r="B785" s="616"/>
      <c r="C785" s="605"/>
    </row>
    <row r="786">
      <c r="A786" s="613"/>
      <c r="B786" s="614"/>
      <c r="C786" s="612"/>
    </row>
    <row r="787">
      <c r="A787" s="615"/>
      <c r="B787" s="616"/>
      <c r="C787" s="605"/>
    </row>
    <row r="788">
      <c r="A788" s="613"/>
      <c r="B788" s="614"/>
      <c r="C788" s="612"/>
    </row>
    <row r="789">
      <c r="A789" s="615"/>
      <c r="B789" s="616"/>
      <c r="C789" s="605"/>
    </row>
    <row r="790">
      <c r="A790" s="613"/>
      <c r="B790" s="614"/>
      <c r="C790" s="612"/>
    </row>
    <row r="791">
      <c r="A791" s="615"/>
      <c r="B791" s="616"/>
      <c r="C791" s="605"/>
    </row>
    <row r="792">
      <c r="A792" s="613"/>
      <c r="B792" s="614"/>
      <c r="C792" s="612"/>
    </row>
    <row r="793">
      <c r="A793" s="615"/>
      <c r="B793" s="616"/>
      <c r="C793" s="605"/>
    </row>
    <row r="794">
      <c r="A794" s="613"/>
      <c r="B794" s="614"/>
      <c r="C794" s="612"/>
    </row>
    <row r="795">
      <c r="A795" s="615"/>
      <c r="B795" s="616"/>
      <c r="C795" s="605"/>
    </row>
    <row r="796">
      <c r="A796" s="613"/>
      <c r="B796" s="614"/>
      <c r="C796" s="612"/>
    </row>
    <row r="797">
      <c r="A797" s="615"/>
      <c r="B797" s="616"/>
      <c r="C797" s="605"/>
    </row>
    <row r="798">
      <c r="A798" s="613"/>
      <c r="B798" s="614"/>
      <c r="C798" s="612"/>
    </row>
    <row r="799">
      <c r="A799" s="615"/>
      <c r="B799" s="616"/>
      <c r="C799" s="605"/>
    </row>
    <row r="800">
      <c r="A800" s="613"/>
      <c r="B800" s="614"/>
      <c r="C800" s="612"/>
    </row>
    <row r="801">
      <c r="A801" s="615"/>
      <c r="B801" s="616"/>
      <c r="C801" s="605"/>
    </row>
    <row r="802">
      <c r="A802" s="613"/>
      <c r="B802" s="614"/>
      <c r="C802" s="612"/>
    </row>
    <row r="803">
      <c r="A803" s="615"/>
      <c r="B803" s="616"/>
      <c r="C803" s="605"/>
    </row>
    <row r="804">
      <c r="A804" s="613"/>
      <c r="B804" s="614"/>
      <c r="C804" s="612"/>
    </row>
    <row r="805">
      <c r="A805" s="615"/>
      <c r="B805" s="616"/>
      <c r="C805" s="605"/>
    </row>
    <row r="806">
      <c r="A806" s="613"/>
      <c r="B806" s="614"/>
      <c r="C806" s="612"/>
    </row>
    <row r="807">
      <c r="A807" s="615"/>
      <c r="B807" s="616"/>
      <c r="C807" s="605"/>
    </row>
    <row r="808">
      <c r="A808" s="613"/>
      <c r="B808" s="614"/>
      <c r="C808" s="612"/>
    </row>
    <row r="809">
      <c r="A809" s="615"/>
      <c r="B809" s="616"/>
      <c r="C809" s="605"/>
    </row>
    <row r="810">
      <c r="A810" s="613"/>
      <c r="B810" s="614"/>
      <c r="C810" s="612"/>
    </row>
    <row r="811">
      <c r="A811" s="615"/>
      <c r="B811" s="616"/>
      <c r="C811" s="605"/>
    </row>
    <row r="812">
      <c r="A812" s="613"/>
      <c r="B812" s="614"/>
      <c r="C812" s="612"/>
    </row>
    <row r="813">
      <c r="A813" s="615"/>
      <c r="B813" s="616"/>
      <c r="C813" s="605"/>
    </row>
    <row r="814">
      <c r="A814" s="613"/>
      <c r="B814" s="614"/>
      <c r="C814" s="612"/>
    </row>
    <row r="815">
      <c r="A815" s="615"/>
      <c r="B815" s="616"/>
      <c r="C815" s="605"/>
    </row>
    <row r="816">
      <c r="A816" s="613"/>
      <c r="B816" s="614"/>
      <c r="C816" s="612"/>
    </row>
    <row r="817">
      <c r="A817" s="615"/>
      <c r="B817" s="616"/>
      <c r="C817" s="605"/>
    </row>
    <row r="818">
      <c r="A818" s="613"/>
      <c r="B818" s="614"/>
      <c r="C818" s="612"/>
    </row>
    <row r="819">
      <c r="A819" s="615"/>
      <c r="B819" s="616"/>
      <c r="C819" s="605"/>
    </row>
    <row r="820">
      <c r="A820" s="613"/>
      <c r="B820" s="614"/>
      <c r="C820" s="612"/>
    </row>
    <row r="821">
      <c r="A821" s="615"/>
      <c r="B821" s="616"/>
      <c r="C821" s="605"/>
    </row>
    <row r="822">
      <c r="A822" s="613"/>
      <c r="B822" s="614"/>
      <c r="C822" s="612"/>
    </row>
    <row r="823">
      <c r="A823" s="615"/>
      <c r="B823" s="616"/>
      <c r="C823" s="605"/>
    </row>
    <row r="824">
      <c r="A824" s="613"/>
      <c r="B824" s="614"/>
      <c r="C824" s="612"/>
    </row>
    <row r="825">
      <c r="A825" s="615"/>
      <c r="B825" s="616"/>
      <c r="C825" s="605"/>
    </row>
    <row r="826">
      <c r="A826" s="613"/>
      <c r="B826" s="614"/>
      <c r="C826" s="612"/>
    </row>
    <row r="827">
      <c r="A827" s="615"/>
      <c r="B827" s="616"/>
      <c r="C827" s="605"/>
    </row>
    <row r="828">
      <c r="A828" s="613"/>
      <c r="B828" s="614"/>
      <c r="C828" s="612"/>
    </row>
    <row r="829">
      <c r="A829" s="615"/>
      <c r="B829" s="616"/>
      <c r="C829" s="605"/>
    </row>
    <row r="830">
      <c r="A830" s="613"/>
      <c r="B830" s="614"/>
      <c r="C830" s="612"/>
    </row>
    <row r="831">
      <c r="A831" s="615"/>
      <c r="B831" s="616"/>
      <c r="C831" s="605"/>
    </row>
    <row r="832">
      <c r="A832" s="613"/>
      <c r="B832" s="614"/>
      <c r="C832" s="612"/>
    </row>
    <row r="833">
      <c r="A833" s="615"/>
      <c r="B833" s="616"/>
      <c r="C833" s="605"/>
    </row>
    <row r="834">
      <c r="A834" s="613"/>
      <c r="B834" s="614"/>
      <c r="C834" s="612"/>
    </row>
    <row r="835">
      <c r="A835" s="615"/>
      <c r="B835" s="616"/>
      <c r="C835" s="605"/>
    </row>
    <row r="836">
      <c r="A836" s="613"/>
      <c r="B836" s="614"/>
      <c r="C836" s="612"/>
    </row>
    <row r="837">
      <c r="A837" s="615"/>
      <c r="B837" s="616"/>
      <c r="C837" s="605"/>
    </row>
    <row r="838">
      <c r="A838" s="613"/>
      <c r="B838" s="614"/>
      <c r="C838" s="612"/>
    </row>
    <row r="839">
      <c r="A839" s="615"/>
      <c r="B839" s="616"/>
      <c r="C839" s="605"/>
    </row>
    <row r="840">
      <c r="A840" s="613"/>
      <c r="B840" s="614"/>
      <c r="C840" s="612"/>
    </row>
    <row r="841">
      <c r="A841" s="615"/>
      <c r="B841" s="616"/>
      <c r="C841" s="605"/>
    </row>
    <row r="842">
      <c r="A842" s="613"/>
      <c r="B842" s="614"/>
      <c r="C842" s="612"/>
    </row>
    <row r="843">
      <c r="A843" s="615"/>
      <c r="B843" s="616"/>
      <c r="C843" s="605"/>
    </row>
    <row r="844">
      <c r="A844" s="613"/>
      <c r="B844" s="614"/>
      <c r="C844" s="612"/>
    </row>
    <row r="845">
      <c r="A845" s="615"/>
      <c r="B845" s="616"/>
      <c r="C845" s="605"/>
    </row>
    <row r="846">
      <c r="A846" s="613"/>
      <c r="B846" s="614"/>
      <c r="C846" s="612"/>
    </row>
    <row r="847">
      <c r="A847" s="615"/>
      <c r="B847" s="616"/>
      <c r="C847" s="605"/>
    </row>
    <row r="848">
      <c r="A848" s="613"/>
      <c r="B848" s="614"/>
      <c r="C848" s="612"/>
    </row>
    <row r="849">
      <c r="A849" s="615"/>
      <c r="B849" s="616"/>
      <c r="C849" s="605"/>
    </row>
    <row r="850">
      <c r="A850" s="613"/>
      <c r="B850" s="614"/>
      <c r="C850" s="612"/>
    </row>
    <row r="851">
      <c r="A851" s="615"/>
      <c r="B851" s="616"/>
      <c r="C851" s="605"/>
    </row>
    <row r="852">
      <c r="A852" s="613"/>
      <c r="B852" s="614"/>
      <c r="C852" s="612"/>
    </row>
    <row r="853">
      <c r="A853" s="615"/>
      <c r="B853" s="616"/>
      <c r="C853" s="605"/>
    </row>
    <row r="854">
      <c r="A854" s="613"/>
      <c r="B854" s="614"/>
      <c r="C854" s="612"/>
    </row>
    <row r="855">
      <c r="A855" s="615"/>
      <c r="B855" s="616"/>
      <c r="C855" s="605"/>
    </row>
    <row r="856">
      <c r="A856" s="613"/>
      <c r="B856" s="614"/>
      <c r="C856" s="612"/>
    </row>
    <row r="857">
      <c r="A857" s="615"/>
      <c r="B857" s="616"/>
      <c r="C857" s="605"/>
    </row>
    <row r="858">
      <c r="A858" s="613"/>
      <c r="B858" s="614"/>
      <c r="C858" s="612"/>
    </row>
    <row r="859">
      <c r="A859" s="615"/>
      <c r="B859" s="616"/>
      <c r="C859" s="605"/>
    </row>
    <row r="860">
      <c r="A860" s="613"/>
      <c r="B860" s="614"/>
      <c r="C860" s="612"/>
    </row>
    <row r="861">
      <c r="A861" s="615"/>
      <c r="B861" s="616"/>
      <c r="C861" s="605"/>
    </row>
    <row r="862">
      <c r="A862" s="613"/>
      <c r="B862" s="614"/>
      <c r="C862" s="612"/>
    </row>
    <row r="863">
      <c r="A863" s="615"/>
      <c r="B863" s="616"/>
      <c r="C863" s="605"/>
    </row>
    <row r="864">
      <c r="A864" s="613"/>
      <c r="B864" s="614"/>
      <c r="C864" s="612"/>
    </row>
    <row r="865">
      <c r="A865" s="615"/>
      <c r="B865" s="616"/>
      <c r="C865" s="605"/>
    </row>
    <row r="866">
      <c r="A866" s="613"/>
      <c r="B866" s="614"/>
      <c r="C866" s="612"/>
    </row>
    <row r="867">
      <c r="A867" s="615"/>
      <c r="B867" s="616"/>
      <c r="C867" s="605"/>
    </row>
    <row r="868">
      <c r="A868" s="613"/>
      <c r="B868" s="614"/>
      <c r="C868" s="612"/>
    </row>
    <row r="869">
      <c r="A869" s="615"/>
      <c r="B869" s="616"/>
      <c r="C869" s="605"/>
    </row>
    <row r="870">
      <c r="A870" s="613"/>
      <c r="B870" s="614"/>
      <c r="C870" s="612"/>
    </row>
    <row r="871">
      <c r="A871" s="615"/>
      <c r="B871" s="616"/>
      <c r="C871" s="605"/>
    </row>
    <row r="872">
      <c r="A872" s="613"/>
      <c r="B872" s="614"/>
      <c r="C872" s="612"/>
    </row>
    <row r="873">
      <c r="A873" s="615"/>
      <c r="B873" s="616"/>
      <c r="C873" s="605"/>
    </row>
    <row r="874">
      <c r="A874" s="613"/>
      <c r="B874" s="614"/>
      <c r="C874" s="612"/>
    </row>
    <row r="875">
      <c r="A875" s="615"/>
      <c r="B875" s="616"/>
      <c r="C875" s="605"/>
    </row>
    <row r="876">
      <c r="A876" s="613"/>
      <c r="B876" s="614"/>
      <c r="C876" s="612"/>
    </row>
    <row r="877">
      <c r="A877" s="615"/>
      <c r="B877" s="616"/>
      <c r="C877" s="605"/>
    </row>
    <row r="878">
      <c r="A878" s="613"/>
      <c r="B878" s="614"/>
      <c r="C878" s="612"/>
    </row>
    <row r="879">
      <c r="A879" s="615"/>
      <c r="B879" s="616"/>
      <c r="C879" s="605"/>
    </row>
    <row r="880">
      <c r="A880" s="613"/>
      <c r="B880" s="614"/>
      <c r="C880" s="612"/>
    </row>
    <row r="881">
      <c r="A881" s="615"/>
      <c r="B881" s="616"/>
      <c r="C881" s="605"/>
    </row>
    <row r="882">
      <c r="A882" s="613"/>
      <c r="B882" s="614"/>
      <c r="C882" s="612"/>
    </row>
    <row r="883">
      <c r="A883" s="615"/>
      <c r="B883" s="616"/>
      <c r="C883" s="605"/>
    </row>
    <row r="884">
      <c r="A884" s="613"/>
      <c r="B884" s="614"/>
      <c r="C884" s="612"/>
    </row>
    <row r="885">
      <c r="A885" s="615"/>
      <c r="B885" s="616"/>
      <c r="C885" s="605"/>
    </row>
    <row r="886">
      <c r="A886" s="613"/>
      <c r="B886" s="614"/>
      <c r="C886" s="612"/>
    </row>
    <row r="887">
      <c r="A887" s="615"/>
      <c r="B887" s="616"/>
      <c r="C887" s="605"/>
    </row>
    <row r="888">
      <c r="A888" s="613"/>
      <c r="B888" s="614"/>
      <c r="C888" s="612"/>
    </row>
    <row r="889">
      <c r="A889" s="615"/>
      <c r="B889" s="616"/>
      <c r="C889" s="605"/>
    </row>
    <row r="890">
      <c r="A890" s="613"/>
      <c r="B890" s="614"/>
      <c r="C890" s="612"/>
    </row>
    <row r="891">
      <c r="A891" s="615"/>
      <c r="B891" s="616"/>
      <c r="C891" s="605"/>
    </row>
    <row r="892">
      <c r="A892" s="613"/>
      <c r="B892" s="614"/>
      <c r="C892" s="612"/>
    </row>
    <row r="893">
      <c r="A893" s="615"/>
      <c r="B893" s="616"/>
      <c r="C893" s="605"/>
    </row>
    <row r="894">
      <c r="A894" s="613"/>
      <c r="B894" s="614"/>
      <c r="C894" s="612"/>
    </row>
    <row r="895">
      <c r="A895" s="615"/>
      <c r="B895" s="616"/>
      <c r="C895" s="605"/>
    </row>
    <row r="896">
      <c r="A896" s="613"/>
      <c r="B896" s="614"/>
      <c r="C896" s="612"/>
    </row>
    <row r="897">
      <c r="A897" s="615"/>
      <c r="B897" s="616"/>
      <c r="C897" s="605"/>
    </row>
    <row r="898">
      <c r="A898" s="613"/>
      <c r="B898" s="614"/>
      <c r="C898" s="612"/>
    </row>
    <row r="899">
      <c r="A899" s="615"/>
      <c r="B899" s="616"/>
      <c r="C899" s="605"/>
    </row>
    <row r="900">
      <c r="A900" s="613"/>
      <c r="B900" s="614"/>
      <c r="C900" s="612"/>
    </row>
    <row r="901">
      <c r="A901" s="615"/>
      <c r="B901" s="616"/>
      <c r="C901" s="605"/>
    </row>
    <row r="902">
      <c r="A902" s="613"/>
      <c r="B902" s="614"/>
      <c r="C902" s="612"/>
    </row>
    <row r="903">
      <c r="A903" s="615"/>
      <c r="B903" s="616"/>
      <c r="C903" s="605"/>
    </row>
    <row r="904">
      <c r="A904" s="613"/>
      <c r="B904" s="614"/>
      <c r="C904" s="612"/>
    </row>
    <row r="905">
      <c r="A905" s="615"/>
      <c r="B905" s="616"/>
      <c r="C905" s="605"/>
    </row>
    <row r="906">
      <c r="A906" s="613"/>
      <c r="B906" s="614"/>
      <c r="C906" s="612"/>
    </row>
    <row r="907">
      <c r="A907" s="615"/>
      <c r="B907" s="616"/>
      <c r="C907" s="605"/>
    </row>
    <row r="908">
      <c r="A908" s="613"/>
      <c r="B908" s="614"/>
      <c r="C908" s="612"/>
    </row>
    <row r="909">
      <c r="A909" s="615"/>
      <c r="B909" s="616"/>
      <c r="C909" s="605"/>
    </row>
    <row r="910">
      <c r="A910" s="613"/>
      <c r="B910" s="614"/>
      <c r="C910" s="612"/>
    </row>
    <row r="911">
      <c r="A911" s="615"/>
      <c r="B911" s="616"/>
      <c r="C911" s="605"/>
    </row>
    <row r="912">
      <c r="A912" s="613"/>
      <c r="B912" s="614"/>
      <c r="C912" s="612"/>
    </row>
    <row r="913">
      <c r="A913" s="615"/>
      <c r="B913" s="616"/>
      <c r="C913" s="605"/>
    </row>
    <row r="914">
      <c r="A914" s="613"/>
      <c r="B914" s="614"/>
      <c r="C914" s="612"/>
    </row>
    <row r="915">
      <c r="A915" s="615"/>
      <c r="B915" s="616"/>
      <c r="C915" s="605"/>
    </row>
    <row r="916">
      <c r="A916" s="613"/>
      <c r="B916" s="614"/>
      <c r="C916" s="612"/>
    </row>
    <row r="917">
      <c r="A917" s="615"/>
      <c r="B917" s="616"/>
      <c r="C917" s="605"/>
    </row>
    <row r="918">
      <c r="A918" s="613"/>
      <c r="B918" s="614"/>
      <c r="C918" s="612"/>
    </row>
    <row r="919">
      <c r="A919" s="615"/>
      <c r="B919" s="616"/>
      <c r="C919" s="605"/>
    </row>
    <row r="920">
      <c r="A920" s="613"/>
      <c r="B920" s="614"/>
      <c r="C920" s="612"/>
    </row>
    <row r="921">
      <c r="A921" s="615"/>
      <c r="B921" s="616"/>
      <c r="C921" s="605"/>
    </row>
    <row r="922">
      <c r="A922" s="613"/>
      <c r="B922" s="614"/>
      <c r="C922" s="612"/>
    </row>
    <row r="923">
      <c r="A923" s="615"/>
      <c r="B923" s="616"/>
      <c r="C923" s="605"/>
    </row>
    <row r="924">
      <c r="A924" s="613"/>
      <c r="B924" s="614"/>
      <c r="C924" s="612"/>
    </row>
    <row r="925">
      <c r="A925" s="615"/>
      <c r="B925" s="616"/>
      <c r="C925" s="605"/>
    </row>
    <row r="926">
      <c r="A926" s="613"/>
      <c r="B926" s="614"/>
      <c r="C926" s="612"/>
    </row>
    <row r="927">
      <c r="A927" s="615"/>
      <c r="B927" s="616"/>
      <c r="C927" s="605"/>
    </row>
    <row r="928">
      <c r="A928" s="613"/>
      <c r="B928" s="614"/>
      <c r="C928" s="612"/>
    </row>
    <row r="929">
      <c r="A929" s="615"/>
      <c r="B929" s="616"/>
      <c r="C929" s="605"/>
    </row>
    <row r="930">
      <c r="A930" s="613"/>
      <c r="B930" s="614"/>
      <c r="C930" s="612"/>
    </row>
    <row r="931">
      <c r="A931" s="615"/>
      <c r="B931" s="616"/>
      <c r="C931" s="605"/>
    </row>
    <row r="932">
      <c r="A932" s="613"/>
      <c r="B932" s="614"/>
      <c r="C932" s="612"/>
    </row>
    <row r="933">
      <c r="A933" s="615"/>
      <c r="B933" s="616"/>
      <c r="C933" s="605"/>
    </row>
    <row r="934">
      <c r="A934" s="617"/>
      <c r="B934" s="258"/>
      <c r="C934" s="258"/>
    </row>
    <row r="935">
      <c r="A935" s="617"/>
      <c r="B935" s="258"/>
      <c r="C935" s="258"/>
    </row>
    <row r="936">
      <c r="A936" s="617"/>
      <c r="B936" s="258"/>
      <c r="C936" s="258"/>
    </row>
    <row r="937">
      <c r="A937" s="617"/>
      <c r="B937" s="258"/>
      <c r="C937" s="258"/>
    </row>
    <row r="938">
      <c r="A938" s="617"/>
      <c r="B938" s="258"/>
      <c r="C938" s="258"/>
    </row>
    <row r="939">
      <c r="A939" s="617"/>
      <c r="B939" s="258"/>
      <c r="C939" s="258"/>
    </row>
    <row r="940">
      <c r="A940" s="617"/>
      <c r="B940" s="258"/>
      <c r="C940" s="258"/>
    </row>
    <row r="941">
      <c r="A941" s="617"/>
      <c r="B941" s="258"/>
      <c r="C941" s="258"/>
    </row>
    <row r="942">
      <c r="A942" s="617"/>
      <c r="B942" s="258"/>
      <c r="C942" s="258"/>
    </row>
    <row r="943">
      <c r="A943" s="617"/>
      <c r="B943" s="258"/>
      <c r="C943" s="258"/>
    </row>
    <row r="944">
      <c r="A944" s="617"/>
      <c r="B944" s="258"/>
      <c r="C944" s="258"/>
    </row>
    <row r="945">
      <c r="A945" s="617"/>
      <c r="B945" s="258"/>
      <c r="C945" s="258"/>
    </row>
    <row r="946">
      <c r="A946" s="617"/>
      <c r="B946" s="258"/>
      <c r="C946" s="258"/>
    </row>
    <row r="947">
      <c r="A947" s="617"/>
      <c r="B947" s="258"/>
      <c r="C947" s="258"/>
    </row>
    <row r="948">
      <c r="A948" s="617"/>
      <c r="B948" s="258"/>
      <c r="C948" s="258"/>
    </row>
    <row r="949">
      <c r="A949" s="617"/>
      <c r="B949" s="258"/>
      <c r="C949" s="258"/>
    </row>
    <row r="950">
      <c r="A950" s="617"/>
      <c r="B950" s="258"/>
      <c r="C950" s="258"/>
    </row>
    <row r="951">
      <c r="A951" s="617"/>
      <c r="B951" s="258"/>
      <c r="C951" s="258"/>
    </row>
    <row r="952">
      <c r="A952" s="617"/>
      <c r="B952" s="258"/>
      <c r="C952" s="258"/>
    </row>
    <row r="953">
      <c r="A953" s="617"/>
      <c r="B953" s="258"/>
      <c r="C953" s="258"/>
    </row>
    <row r="954">
      <c r="A954" s="617"/>
      <c r="B954" s="258"/>
      <c r="C954" s="258"/>
    </row>
    <row r="955">
      <c r="A955" s="617"/>
      <c r="B955" s="258"/>
      <c r="C955" s="258"/>
    </row>
    <row r="956">
      <c r="A956" s="617"/>
      <c r="B956" s="258"/>
      <c r="C956" s="258"/>
    </row>
    <row r="957">
      <c r="A957" s="617"/>
      <c r="B957" s="258"/>
      <c r="C957" s="258"/>
    </row>
    <row r="958">
      <c r="A958" s="617"/>
      <c r="B958" s="258"/>
      <c r="C958" s="258"/>
    </row>
    <row r="959">
      <c r="A959" s="617"/>
      <c r="B959" s="258"/>
      <c r="C959" s="258"/>
    </row>
    <row r="960">
      <c r="A960" s="617"/>
      <c r="B960" s="258"/>
      <c r="C960" s="258"/>
    </row>
    <row r="961">
      <c r="A961" s="617"/>
      <c r="B961" s="258"/>
      <c r="C961" s="258"/>
    </row>
    <row r="962">
      <c r="A962" s="617"/>
      <c r="B962" s="258"/>
      <c r="C962" s="258"/>
    </row>
    <row r="963">
      <c r="A963" s="617"/>
      <c r="B963" s="258"/>
      <c r="C963" s="258"/>
    </row>
    <row r="964">
      <c r="A964" s="617"/>
      <c r="B964" s="258"/>
      <c r="C964" s="258"/>
    </row>
    <row r="965">
      <c r="A965" s="617"/>
      <c r="B965" s="258"/>
      <c r="C965" s="258"/>
    </row>
    <row r="966">
      <c r="A966" s="617"/>
      <c r="B966" s="258"/>
      <c r="C966" s="258"/>
    </row>
    <row r="967">
      <c r="A967" s="617"/>
      <c r="B967" s="258"/>
      <c r="C967" s="258"/>
    </row>
    <row r="968">
      <c r="A968" s="617"/>
      <c r="B968" s="258"/>
      <c r="C968" s="258"/>
    </row>
    <row r="969">
      <c r="A969" s="617"/>
      <c r="B969" s="258"/>
      <c r="C969" s="258"/>
    </row>
    <row r="970">
      <c r="A970" s="617"/>
      <c r="B970" s="258"/>
      <c r="C970" s="258"/>
    </row>
    <row r="971">
      <c r="A971" s="617"/>
      <c r="B971" s="258"/>
      <c r="C971" s="258"/>
    </row>
    <row r="972">
      <c r="A972" s="617"/>
      <c r="B972" s="258"/>
      <c r="C972" s="258"/>
    </row>
    <row r="973">
      <c r="A973" s="617"/>
      <c r="B973" s="258"/>
      <c r="C973" s="258"/>
    </row>
    <row r="974">
      <c r="A974" s="617"/>
      <c r="B974" s="258"/>
      <c r="C974" s="258"/>
    </row>
    <row r="975">
      <c r="A975" s="617"/>
      <c r="B975" s="258"/>
      <c r="C975" s="258"/>
    </row>
    <row r="976">
      <c r="A976" s="617"/>
      <c r="B976" s="258"/>
      <c r="C976" s="258"/>
    </row>
    <row r="977">
      <c r="A977" s="617"/>
      <c r="B977" s="258"/>
      <c r="C977" s="258"/>
    </row>
    <row r="978">
      <c r="A978" s="617"/>
      <c r="B978" s="258"/>
      <c r="C978" s="258"/>
    </row>
    <row r="979">
      <c r="A979" s="617"/>
      <c r="B979" s="258"/>
      <c r="C979" s="258"/>
    </row>
  </sheetData>
  <drawing r:id="rId1"/>
</worksheet>
</file>